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29" sheetId="1" state="visible" r:id="rId2"/>
    <sheet name="August 2014" sheetId="2" state="visible" r:id="rId3"/>
    <sheet name="Copy of Beam time" sheetId="3" state="visible" r:id="rId4"/>
    <sheet name="April 18 2014" sheetId="4" state="visible" r:id="rId5"/>
    <sheet name="Copy of April 18 2014" sheetId="5" state="visible" r:id="rId6"/>
    <sheet name="Jul 3rd 2013" sheetId="6" state="visible" r:id="rId7"/>
    <sheet name="MQT Jul 3rd 2013" sheetId="7" state="visible" r:id="rId8"/>
    <sheet name="April 22nd 2013" sheetId="8" state="visible" r:id="rId9"/>
    <sheet name="Configs" sheetId="9" state="visible" r:id="rId10"/>
    <sheet name="Size Rates" sheetId="10" state="visible" r:id="rId11"/>
    <sheet name="Tape" sheetId="11" state="visible" r:id="rId12"/>
    <sheet name="Copy of Configs" sheetId="12" state="visible" r:id="rId13"/>
    <sheet name="Detectors" sheetId="13" state="visible" r:id="rId14"/>
    <sheet name="FADC option" sheetId="14" state="visible" r:id="rId15"/>
    <sheet name="Copy of FADC option" sheetId="15" state="visible" r:id="rId16"/>
    <sheet name="FADC option Nov 21 2013" sheetId="16" state="visible" r:id="rId17"/>
    <sheet name="FADC option Jan 15 2014" sheetId="17" state="visible" r:id="rId18"/>
    <sheet name="Sheet18" sheetId="18" state="visible" r:id="rId19"/>
    <sheet name="Sheet13" sheetId="19" state="visible" r:id="rId20"/>
    <sheet name="MQT April 22nd 2013" sheetId="20" state="visible" r:id="rId21"/>
    <sheet name="August 16th 2012" sheetId="21" state="visible" r:id="rId22"/>
    <sheet name="Sheet1" sheetId="22" state="visible" r:id="rId23"/>
    <sheet name="Sheet8" sheetId="23" state="visible" r:id="rId24"/>
    <sheet name="Fastbus" sheetId="24" state="visible" r:id="rId25"/>
    <sheet name="Sheet3" sheetId="25" state="visible" r:id="rId26"/>
    <sheet name="Copy of Sheet1" sheetId="26" state="visible" r:id="rId27"/>
    <sheet name="Experiments" sheetId="27" state="visible" r:id="rId28"/>
    <sheet name="Big Bite" sheetId="28" state="visible" r:id="rId29"/>
    <sheet name="Inventory" sheetId="29" state="visible" r:id="rId30"/>
  </sheets>
  <calcPr iterateCount="100" refMode="A1" iterate="false" iterateDelta="0.0001"/>
</workbook>
</file>

<file path=xl/sharedStrings.xml><?xml version="1.0" encoding="utf-8"?>
<sst xmlns="http://schemas.openxmlformats.org/spreadsheetml/2006/main" count="1948" uniqueCount="297">
  <si>
    <t>Fastbus option all channels on ADC</t>
  </si>
  <si>
    <t>Channels</t>
  </si>
  <si>
    <t>Triple</t>
  </si>
  <si>
    <t>1877 modules</t>
  </si>
  <si>
    <t>1881 modules</t>
  </si>
  <si>
    <t>Fastbus crate full</t>
  </si>
  <si>
    <t>Fastbus crates</t>
  </si>
  <si>
    <t>Controller</t>
  </si>
  <si>
    <t>CPU</t>
  </si>
  <si>
    <t>TI</t>
  </si>
  <si>
    <t>Distribution</t>
  </si>
  <si>
    <t>Scaler</t>
  </si>
  <si>
    <t>Fastbus TLab</t>
  </si>
  <si>
    <t>BigCal</t>
  </si>
  <si>
    <t>ADC</t>
  </si>
  <si>
    <t>CDet</t>
  </si>
  <si>
    <t>TDC</t>
  </si>
  <si>
    <t>Nb samples</t>
  </si>
  <si>
    <t>Rate</t>
  </si>
  <si>
    <t>Occupancy</t>
  </si>
  <si>
    <t>Total MB</t>
  </si>
  <si>
    <t>Data rate</t>
  </si>
  <si>
    <t>Crates</t>
  </si>
  <si>
    <t>APV</t>
  </si>
  <si>
    <t>FEC/MPD</t>
  </si>
  <si>
    <t>MPD/crate</t>
  </si>
  <si>
    <t>GEM Front</t>
  </si>
  <si>
    <t>GEM back</t>
  </si>
  <si>
    <t>HCAL</t>
  </si>
  <si>
    <t>Single</t>
  </si>
  <si>
    <t>Window ns</t>
  </si>
  <si>
    <t>Ocuppancy</t>
  </si>
  <si>
    <t>Modules</t>
  </si>
  <si>
    <t>Channels firing</t>
  </si>
  <si>
    <t>Data rate MB</t>
  </si>
  <si>
    <t>Cdet</t>
  </si>
  <si>
    <t>ECal</t>
  </si>
  <si>
    <t>VETROC</t>
  </si>
  <si>
    <t>TS</t>
  </si>
  <si>
    <t>CTP</t>
  </si>
  <si>
    <t>VXS</t>
  </si>
  <si>
    <t>SD</t>
  </si>
  <si>
    <t>SSP</t>
  </si>
  <si>
    <t>FADC</t>
  </si>
  <si>
    <t>GEM</t>
  </si>
  <si>
    <t>MPD</t>
  </si>
  <si>
    <t>VME64X</t>
  </si>
  <si>
    <t>SRS</t>
  </si>
  <si>
    <t>SRU</t>
  </si>
  <si>
    <t>FEC</t>
  </si>
  <si>
    <t>V1495/VETROC</t>
  </si>
  <si>
    <t>Scalers</t>
  </si>
  <si>
    <t>Backplane</t>
  </si>
  <si>
    <t>GAC</t>
  </si>
  <si>
    <t>ATC</t>
  </si>
  <si>
    <t>V1495</t>
  </si>
  <si>
    <t>Item</t>
  </si>
  <si>
    <t>Module</t>
  </si>
  <si>
    <t>Model</t>
  </si>
  <si>
    <t>Number of modules</t>
  </si>
  <si>
    <t>Unit price</t>
  </si>
  <si>
    <t>Total price FADC + VME TDC</t>
  </si>
  <si>
    <t>All FADC no TDC</t>
  </si>
  <si>
    <t>CDet Cer VME TDC only Big Cal on FADC</t>
  </si>
  <si>
    <t>Option BigCal FADC Cdet on FB TDC</t>
  </si>
  <si>
    <t>About 120 FADCs on Hand</t>
  </si>
  <si>
    <t>BigCal channels</t>
  </si>
  <si>
    <t>Cerenkov</t>
  </si>
  <si>
    <t>VXS crate</t>
  </si>
  <si>
    <t>VME crate</t>
  </si>
  <si>
    <t>Tested boards</t>
  </si>
  <si>
    <t>Total</t>
  </si>
  <si>
    <t>Power supplies</t>
  </si>
  <si>
    <t>Fastbus option ADC calo only</t>
  </si>
  <si>
    <t>MQT</t>
  </si>
  <si>
    <t>MQT crates</t>
  </si>
  <si>
    <t>PS MQT</t>
  </si>
  <si>
    <t>Fastbus option MQT</t>
  </si>
  <si>
    <t>MQT Crates</t>
  </si>
  <si>
    <t>Fastbus all new</t>
  </si>
  <si>
    <t>Fastbus PS</t>
  </si>
  <si>
    <t>Prices</t>
  </si>
  <si>
    <t>MQT PS</t>
  </si>
  <si>
    <t>SFI</t>
  </si>
  <si>
    <t>SFI refurbish</t>
  </si>
  <si>
    <t>Fastbus MQT</t>
  </si>
  <si>
    <t>Fastbus ADC</t>
  </si>
  <si>
    <t>Fastbus TDC</t>
  </si>
  <si>
    <t>GEn</t>
  </si>
  <si>
    <t>BigBite</t>
  </si>
  <si>
    <t>Shower</t>
  </si>
  <si>
    <t>2KHz</t>
  </si>
  <si>
    <t>Preshower</t>
  </si>
  <si>
    <t>Scintillator</t>
  </si>
  <si>
    <t>Neutron arm</t>
  </si>
  <si>
    <t>1.3 MHz</t>
  </si>
  <si>
    <t>GMn</t>
  </si>
  <si>
    <t>1KHz</t>
  </si>
  <si>
    <t>BigBen</t>
  </si>
  <si>
    <t>2MHz</t>
  </si>
  <si>
    <t>SIDIS</t>
  </si>
  <si>
    <t>Big Bite</t>
  </si>
  <si>
    <t>5KHz</t>
  </si>
  <si>
    <t>preshower</t>
  </si>
  <si>
    <t>scintillator</t>
  </si>
  <si>
    <t>SBS</t>
  </si>
  <si>
    <t>RICH</t>
  </si>
  <si>
    <t>3 MHz</t>
  </si>
  <si>
    <t>A1n</t>
  </si>
  <si>
    <t>10 KHz</t>
  </si>
  <si>
    <t>Scintillators</t>
  </si>
  <si>
    <t>Days</t>
  </si>
  <si>
    <t>Seconds</t>
  </si>
  <si>
    <t>Total data TB</t>
  </si>
  <si>
    <t>Double</t>
  </si>
  <si>
    <t>DLO5 in $</t>
  </si>
  <si>
    <t>DLO6 in $</t>
  </si>
  <si>
    <t>Tape DLO6</t>
  </si>
  <si>
    <t>E12-11-108</t>
  </si>
  <si>
    <t>Pol proton</t>
  </si>
  <si>
    <t>E12-12-006</t>
  </si>
  <si>
    <t>J/Psi</t>
  </si>
  <si>
    <t>E12-10-006</t>
  </si>
  <si>
    <t>Transv. Pol. 3He</t>
  </si>
  <si>
    <t>E12-11-007</t>
  </si>
  <si>
    <t>Long. Pol. 3 He</t>
  </si>
  <si>
    <t>E12-10-007</t>
  </si>
  <si>
    <t>PVDIS</t>
  </si>
  <si>
    <t>E-12-07-109</t>
  </si>
  <si>
    <t>GEp</t>
  </si>
  <si>
    <t>E12-09-016</t>
  </si>
  <si>
    <t>E12-09-019</t>
  </si>
  <si>
    <t>E12-09-018</t>
  </si>
  <si>
    <t>Actual days</t>
  </si>
  <si>
    <t>Actual years</t>
  </si>
  <si>
    <t>Time in s</t>
  </si>
  <si>
    <t>Per year</t>
  </si>
  <si>
    <t>Data rate ( Mb/s )</t>
  </si>
  <si>
    <t>Mb</t>
  </si>
  <si>
    <t>Tb</t>
  </si>
  <si>
    <t>Tapes</t>
  </si>
  <si>
    <t>Tape capacity</t>
  </si>
  <si>
    <t>Price</t>
  </si>
  <si>
    <t>Total price</t>
  </si>
  <si>
    <t>Status</t>
  </si>
  <si>
    <t>Available from Gep3</t>
  </si>
  <si>
    <t>Summing</t>
  </si>
  <si>
    <t>Fastbus crate</t>
  </si>
  <si>
    <t>HCAL blocks</t>
  </si>
  <si>
    <t>Ps/blower</t>
  </si>
  <si>
    <t>Trigger module</t>
  </si>
  <si>
    <t>TrigMod</t>
  </si>
  <si>
    <t>FADC250</t>
  </si>
  <si>
    <t>Trigger</t>
  </si>
  <si>
    <t>VME CPU</t>
  </si>
  <si>
    <t>GEM 1</t>
  </si>
  <si>
    <t>GEM APV ADC</t>
  </si>
  <si>
    <t>INFN APV ADC</t>
  </si>
  <si>
    <t>Available fro E906</t>
  </si>
  <si>
    <t>Lecroy Mainframe</t>
  </si>
  <si>
    <t>Lecroy Modules</t>
  </si>
  <si>
    <t>Computer</t>
  </si>
  <si>
    <t>Network</t>
  </si>
  <si>
    <t>Fastbus power bin</t>
  </si>
  <si>
    <t>Experiment</t>
  </si>
  <si>
    <t>coinc 50 ns</t>
  </si>
  <si>
    <t>GEp5</t>
  </si>
  <si>
    <t>ECAL</t>
  </si>
  <si>
    <t>Singles</t>
  </si>
  <si>
    <t>Amplitude</t>
  </si>
  <si>
    <t>Time</t>
  </si>
  <si>
    <t>High res time</t>
  </si>
  <si>
    <t>120 KHz</t>
  </si>
  <si>
    <t>CDET</t>
  </si>
  <si>
    <t>FPP</t>
  </si>
  <si>
    <t>ADC boards</t>
  </si>
  <si>
    <t>ADCs</t>
  </si>
  <si>
    <t>ADC/crate</t>
  </si>
  <si>
    <t>TDCs</t>
  </si>
  <si>
    <t>F1</t>
  </si>
  <si>
    <t>GMp</t>
  </si>
  <si>
    <t>All FADC</t>
  </si>
  <si>
    <t>CDet Cer TDC only Big Cal on FADC</t>
  </si>
  <si>
    <t>Fastbus</t>
  </si>
  <si>
    <t>26 slots</t>
  </si>
  <si>
    <t>23 slots</t>
  </si>
  <si>
    <t>PS</t>
  </si>
  <si>
    <t>5 V</t>
  </si>
  <si>
    <t>-5.2 V</t>
  </si>
  <si>
    <t>2-V</t>
  </si>
  <si>
    <t>15 V</t>
  </si>
  <si>
    <t>-15V</t>
  </si>
  <si>
    <t>(limited to 33 A on SFI)</t>
  </si>
  <si>
    <t>Power supply</t>
  </si>
  <si>
    <t>NMod</t>
  </si>
  <si>
    <t>5V</t>
  </si>
  <si>
    <t>-5.2V</t>
  </si>
  <si>
    <t>15V</t>
  </si>
  <si>
    <t>-8V</t>
  </si>
  <si>
    <t>-12V</t>
  </si>
  <si>
    <t>powers</t>
  </si>
  <si>
    <t>Power</t>
  </si>
  <si>
    <t>Discrminator / Fan</t>
  </si>
  <si>
    <t>AVailable GEn</t>
  </si>
  <si>
    <t>BB Shower</t>
  </si>
  <si>
    <t>Big Cal</t>
  </si>
  <si>
    <t>BB Preshower</t>
  </si>
  <si>
    <t>BB Scintillator</t>
  </si>
  <si>
    <t>BB Gas Cerenkov</t>
  </si>
  <si>
    <t>BB GEM</t>
  </si>
  <si>
    <t>HCAL SBS</t>
  </si>
  <si>
    <t>FPP GEM</t>
  </si>
  <si>
    <t>Label</t>
  </si>
  <si>
    <t>S/N</t>
  </si>
  <si>
    <t>Run</t>
  </si>
  <si>
    <t>Location</t>
  </si>
  <si>
    <t>A-01</t>
  </si>
  <si>
    <t>STR 340/SFI</t>
  </si>
  <si>
    <t>OK</t>
  </si>
  <si>
    <t>EEL Test stand</t>
  </si>
  <si>
    <t>A-02</t>
  </si>
  <si>
    <t>SIS 4100 NGF</t>
  </si>
  <si>
    <t>EEL</t>
  </si>
  <si>
    <t>A-03</t>
  </si>
  <si>
    <t>A-04</t>
  </si>
  <si>
    <t>A-05</t>
  </si>
  <si>
    <t>Not tested</t>
  </si>
  <si>
    <t>A-06</t>
  </si>
  <si>
    <t>RHRS</t>
  </si>
  <si>
    <t>A-07</t>
  </si>
  <si>
    <t>A-08</t>
  </si>
  <si>
    <t>A-09</t>
  </si>
  <si>
    <t>LHRS</t>
  </si>
  <si>
    <t>A-10</t>
  </si>
  <si>
    <t>A-11</t>
  </si>
  <si>
    <t>A-12</t>
  </si>
  <si>
    <t>A-13</t>
  </si>
  <si>
    <t>A-14</t>
  </si>
  <si>
    <t>Hall B</t>
  </si>
  <si>
    <t>A-15</t>
  </si>
  <si>
    <t>A-16</t>
  </si>
  <si>
    <t>A-17</t>
  </si>
  <si>
    <t>A-18</t>
  </si>
  <si>
    <t>SIS 4100 NGF (3 Slots)</t>
  </si>
  <si>
    <t>TEDF</t>
  </si>
  <si>
    <t>A-19</t>
  </si>
  <si>
    <t>ATC 1</t>
  </si>
  <si>
    <t>Kinetic Systems F152-A11</t>
  </si>
  <si>
    <t>ATC 2</t>
  </si>
  <si>
    <t>Bi Ra Systems Co, FB-ANC-001, Rev 4</t>
  </si>
  <si>
    <t>ATC 3</t>
  </si>
  <si>
    <t>ATC 4</t>
  </si>
  <si>
    <t>Toshiba, 2N8H2237P001-B G1, HNE815</t>
  </si>
  <si>
    <t>ATC 5</t>
  </si>
  <si>
    <t>ATC 6</t>
  </si>
  <si>
    <t>ATC 7</t>
  </si>
  <si>
    <t>ATC 8</t>
  </si>
  <si>
    <t>ATC 9</t>
  </si>
  <si>
    <t>ATC 10</t>
  </si>
  <si>
    <t>ATC11</t>
  </si>
  <si>
    <t>ATC12</t>
  </si>
  <si>
    <t>ATC13</t>
  </si>
  <si>
    <t>ATC14</t>
  </si>
  <si>
    <t>ATC15</t>
  </si>
  <si>
    <t>ATC16</t>
  </si>
  <si>
    <t>ATC17</t>
  </si>
  <si>
    <t>White Data Systems, FB-ANC-001, Rev 3</t>
  </si>
  <si>
    <t>ATC18</t>
  </si>
  <si>
    <t>no data</t>
  </si>
  <si>
    <t>GAC 01</t>
  </si>
  <si>
    <t>FB-ANC-002, Rev 3</t>
  </si>
  <si>
    <t>GAC 02</t>
  </si>
  <si>
    <t>Bi Ra Systems, FB-8178-001, Rev 1</t>
  </si>
  <si>
    <t>GAC 03</t>
  </si>
  <si>
    <t>GAC 04</t>
  </si>
  <si>
    <t>F151-T5</t>
  </si>
  <si>
    <t>GAC 05</t>
  </si>
  <si>
    <t>GAC 06</t>
  </si>
  <si>
    <t>Kinetic Systems, F151-A11</t>
  </si>
  <si>
    <t>GAC 07</t>
  </si>
  <si>
    <t>Toshiba, 2N8H2238P001-B G1, HNE815</t>
  </si>
  <si>
    <t>GAC 08</t>
  </si>
  <si>
    <t>GAC 09</t>
  </si>
  <si>
    <t>GAC 10</t>
  </si>
  <si>
    <t>GAC 11</t>
  </si>
  <si>
    <t>GAC 12</t>
  </si>
  <si>
    <t>White Data Systems, FB-ANC-002, Rev 2</t>
  </si>
  <si>
    <t>GAC 13</t>
  </si>
  <si>
    <t>GAC 14</t>
  </si>
  <si>
    <t>GAC 15</t>
  </si>
  <si>
    <t>GAC 16</t>
  </si>
  <si>
    <t>GAC 17</t>
  </si>
  <si>
    <t>GAC 18</t>
  </si>
  <si>
    <t>GAC 19</t>
  </si>
  <si>
    <t>GAC 20</t>
  </si>
  <si>
    <t>GAC 21</t>
  </si>
  <si>
    <t>GAC 22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</si>
</sst>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#,##0.00" numFmtId="166"/>
  </numFmts>
  <fonts count="4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/>
      <bottom/>
      <diagonal/>
    </border>
    <border diagonalDown="false" diagonalUp="false">
      <left/>
      <right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6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7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8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9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0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3" fillId="0" fontId="0" numFmtId="166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8"/>
  <sheetViews>
    <sheetView colorId="64" defaultGridColor="true" rightToLeft="false" showFormulas="false" showGridLines="true" showOutlineSymbols="true" showRowColHeaders="true" showZeros="true" tabSelected="true" topLeftCell="A49" view="normal" windowProtection="false" workbookViewId="0" zoomScale="100" zoomScaleNormal="100" zoomScalePageLayoutView="100">
      <selection activeCell="B78" activeCellId="0" pane="topLeft" sqref="B78:C78"/>
    </sheetView>
  </sheetViews>
  <sheetFormatPr defaultRowHeight="12.75"/>
  <cols>
    <col collapsed="false" hidden="false" max="1025" min="1" style="0" width="17.1326530612245"/>
  </cols>
  <sheetData>
    <row collapsed="false" customFormat="false" customHeight="false" hidden="false" ht="12.75" outlineLevel="0"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/>
      <c r="I1" s="1" t="s">
        <v>5</v>
      </c>
      <c r="J1" s="1" t="s">
        <v>6</v>
      </c>
      <c r="K1" s="1"/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collapsed="false" customFormat="false" customHeight="false" hidden="false" ht="12.75" outlineLevel="0" r="2">
      <c r="A2" s="1" t="s">
        <v>13</v>
      </c>
      <c r="B2" s="1" t="n">
        <v>2000</v>
      </c>
      <c r="C2" s="1" t="s">
        <v>14</v>
      </c>
      <c r="D2" s="1" t="n">
        <f aca="false">B2*3</f>
        <v>6000</v>
      </c>
      <c r="E2" s="1"/>
      <c r="F2" s="1"/>
      <c r="G2" s="1" t="n">
        <f aca="false">D2/62</f>
        <v>96.7741935483871</v>
      </c>
      <c r="H2" s="1" t="n">
        <f aca="false">G2/23</f>
        <v>4.20757363253857</v>
      </c>
      <c r="I2" s="1" t="n">
        <f aca="false">CEILING(((G2+H3)/23),1,1)</f>
        <v>5</v>
      </c>
      <c r="J2" s="1" t="n">
        <f aca="false">3*I2</f>
        <v>15</v>
      </c>
      <c r="K2" s="1" t="n">
        <f aca="false">CEILING(J2,1,1)</f>
        <v>15</v>
      </c>
      <c r="L2" s="1" t="n">
        <f aca="false">CEILING(J2,1,1)</f>
        <v>15</v>
      </c>
      <c r="M2" s="1" t="n">
        <f aca="false">L2</f>
        <v>15</v>
      </c>
      <c r="N2" s="1" t="n">
        <f aca="false">M2</f>
        <v>15</v>
      </c>
      <c r="O2" s="1"/>
      <c r="P2" s="1"/>
      <c r="Q2" s="1" t="n">
        <f aca="false">G2/12</f>
        <v>8.06451612903226</v>
      </c>
    </row>
    <row collapsed="false" customFormat="false" customHeight="false" hidden="false" ht="12.75" outlineLevel="0" r="3">
      <c r="A3" s="1"/>
      <c r="B3" s="1" t="n">
        <f aca="false">B2/8</f>
        <v>250</v>
      </c>
      <c r="C3" s="1"/>
      <c r="D3" s="1" t="n">
        <f aca="false">B3*3</f>
        <v>750</v>
      </c>
      <c r="E3" s="1"/>
      <c r="F3" s="1"/>
      <c r="G3" s="1" t="n">
        <f aca="false">D3/64</f>
        <v>11.71875</v>
      </c>
      <c r="H3" s="1" t="n">
        <f aca="false">G3/23</f>
        <v>0.509510869565217</v>
      </c>
      <c r="I3" s="1"/>
      <c r="J3" s="1"/>
      <c r="K3" s="1"/>
      <c r="L3" s="1" t="n">
        <f aca="false">CEILING(J3,1,1)</f>
        <v>0</v>
      </c>
      <c r="M3" s="1" t="n">
        <f aca="false">L3</f>
        <v>0</v>
      </c>
      <c r="N3" s="1" t="n">
        <f aca="false">M3</f>
        <v>0</v>
      </c>
      <c r="O3" s="1"/>
      <c r="P3" s="1"/>
      <c r="Q3" s="1" t="n">
        <f aca="false">G3/12</f>
        <v>0.9765625</v>
      </c>
    </row>
    <row collapsed="false" customFormat="false" customHeight="false" hidden="false" ht="12.75" outlineLevel="0" r="4">
      <c r="A4" s="1" t="s">
        <v>15</v>
      </c>
      <c r="B4" s="1" t="n">
        <v>3700</v>
      </c>
      <c r="C4" s="1" t="s">
        <v>16</v>
      </c>
      <c r="D4" s="1" t="n">
        <f aca="false">B4*2</f>
        <v>7400</v>
      </c>
      <c r="E4" s="1" t="n">
        <f aca="false">D4/96</f>
        <v>77.0833333333333</v>
      </c>
      <c r="F4" s="1"/>
      <c r="G4" s="1"/>
      <c r="H4" s="1"/>
      <c r="I4" s="1" t="n">
        <f aca="false">CEILING((E4/23),1,1)</f>
        <v>4</v>
      </c>
      <c r="J4" s="1" t="n">
        <f aca="false">3*I4</f>
        <v>12</v>
      </c>
      <c r="K4" s="1" t="n">
        <f aca="false">CEILING(J4,1,1)</f>
        <v>12</v>
      </c>
      <c r="L4" s="1" t="n">
        <f aca="false">CEILING(J4,1,1)</f>
        <v>12</v>
      </c>
      <c r="M4" s="1" t="n">
        <f aca="false">L4</f>
        <v>12</v>
      </c>
      <c r="N4" s="1" t="n">
        <f aca="false">M4</f>
        <v>12</v>
      </c>
      <c r="O4" s="1"/>
      <c r="P4" s="1"/>
      <c r="Q4" s="1" t="n">
        <f aca="false">E4/12</f>
        <v>6.42361111111111</v>
      </c>
    </row>
    <row collapsed="false" customFormat="false" customHeight="false" hidden="false" ht="12.75" outlineLevel="0" r="5">
      <c r="A5" s="1"/>
      <c r="B5" s="1"/>
      <c r="C5" s="1" t="s">
        <v>14</v>
      </c>
      <c r="D5" s="1" t="n">
        <v>0</v>
      </c>
      <c r="E5" s="1"/>
      <c r="F5" s="1"/>
      <c r="G5" s="1" t="n">
        <f aca="false">D5/64</f>
        <v>0</v>
      </c>
      <c r="H5" s="1"/>
      <c r="I5" s="1"/>
      <c r="J5" s="1" t="n">
        <f aca="false">G5/23</f>
        <v>0</v>
      </c>
      <c r="K5" s="1"/>
      <c r="L5" s="1"/>
      <c r="M5" s="1"/>
      <c r="N5" s="1"/>
      <c r="O5" s="1"/>
      <c r="P5" s="1"/>
      <c r="Q5" s="1" t="n">
        <f aca="false">G5/12</f>
        <v>0</v>
      </c>
    </row>
    <row collapsed="false" customFormat="false" customHeight="false" hidden="false" ht="12.75" outlineLevel="0" r="6">
      <c r="A6" s="1"/>
      <c r="B6" s="1"/>
      <c r="C6" s="1"/>
      <c r="D6" s="1" t="n">
        <f aca="false">B6*3</f>
        <v>0</v>
      </c>
      <c r="E6" s="1"/>
      <c r="F6" s="1"/>
      <c r="G6" s="1"/>
      <c r="H6" s="1"/>
      <c r="I6" s="1"/>
      <c r="J6" s="1" t="n">
        <f aca="false">E6/23</f>
        <v>0</v>
      </c>
      <c r="K6" s="1"/>
      <c r="L6" s="1"/>
      <c r="M6" s="1"/>
      <c r="N6" s="1"/>
      <c r="O6" s="1"/>
      <c r="P6" s="1"/>
      <c r="Q6" s="1"/>
    </row>
    <row collapsed="false" customFormat="false" customHeight="false" hidden="false" ht="12.75" outlineLevel="0" r="7">
      <c r="L7" s="2" t="n">
        <f aca="false">SUM(L2:L4)</f>
        <v>27</v>
      </c>
      <c r="M7" s="2" t="n">
        <f aca="false">SUM(M2:M4)</f>
        <v>27</v>
      </c>
      <c r="N7" s="2" t="n">
        <f aca="false">SUM(N2:N4)</f>
        <v>27</v>
      </c>
    </row>
    <row collapsed="false" customFormat="false" customHeight="false" hidden="false" ht="12.75" outlineLevel="0" r="8">
      <c r="G8" s="2" t="n">
        <f aca="false">SUM(G2:G3)</f>
        <v>108.492943548387</v>
      </c>
      <c r="H8" s="2" t="n">
        <f aca="false">G8/8</f>
        <v>13.5616179435484</v>
      </c>
    </row>
    <row collapsed="false" customFormat="false" customHeight="false" hidden="false" ht="12.75" outlineLevel="0" r="26">
      <c r="A26" s="0" t="s">
        <v>17</v>
      </c>
      <c r="B26" s="0" t="n">
        <v>5</v>
      </c>
      <c r="C26" s="2" t="n">
        <f aca="false">(((16+12)+4)/32)*4</f>
        <v>4</v>
      </c>
      <c r="D26" s="0" t="n">
        <v>2048</v>
      </c>
      <c r="E26" s="2" t="n">
        <f aca="false">POWER(2,11)</f>
        <v>2048</v>
      </c>
      <c r="G26" s="2" t="n">
        <f aca="false">POWER(2,16)</f>
        <v>65536</v>
      </c>
    </row>
    <row collapsed="false" customFormat="false" customHeight="false" hidden="false" ht="12.75" outlineLevel="0" r="27">
      <c r="A27" s="0" t="s">
        <v>18</v>
      </c>
      <c r="B27" s="0" t="n">
        <v>5000</v>
      </c>
    </row>
    <row collapsed="false" customFormat="false" customHeight="false" hidden="false" ht="12.75" outlineLevel="0" r="28">
      <c r="A28" s="0" t="s">
        <v>19</v>
      </c>
      <c r="B28" s="0" t="n">
        <v>1</v>
      </c>
      <c r="G28" s="0" t="s">
        <v>20</v>
      </c>
      <c r="H28" s="0" t="s">
        <v>21</v>
      </c>
      <c r="I28" s="0" t="s">
        <v>22</v>
      </c>
      <c r="J28" s="0" t="s">
        <v>23</v>
      </c>
      <c r="K28" s="0" t="s">
        <v>24</v>
      </c>
      <c r="L28" s="0" t="s">
        <v>25</v>
      </c>
    </row>
    <row collapsed="false" customFormat="false" customHeight="false" hidden="false" ht="12.75" outlineLevel="0" r="29">
      <c r="A29" s="0" t="s">
        <v>26</v>
      </c>
      <c r="B29" s="0" t="n">
        <v>60000</v>
      </c>
      <c r="C29" s="2" t="n">
        <f aca="false">B29*$B$28</f>
        <v>60000</v>
      </c>
      <c r="D29" s="2" t="n">
        <f aca="false">(((C29*$C$26)*$B$26)/128)*141</f>
        <v>1321875</v>
      </c>
      <c r="E29" s="2" t="n">
        <f aca="false">D29*$B$27</f>
        <v>6609375000</v>
      </c>
      <c r="G29" s="2" t="n">
        <f aca="false">E29/1000000</f>
        <v>6609.375</v>
      </c>
      <c r="H29" s="2" t="n">
        <f aca="false">G29/5</f>
        <v>1321.875</v>
      </c>
      <c r="I29" s="2" t="n">
        <f aca="false">H29/100</f>
        <v>13.21875</v>
      </c>
      <c r="J29" s="2" t="n">
        <f aca="false">B29/128</f>
        <v>468.75</v>
      </c>
      <c r="K29" s="2" t="n">
        <f aca="false">B29/2048</f>
        <v>29.296875</v>
      </c>
      <c r="L29" s="2" t="n">
        <f aca="false">K29/I29</f>
        <v>2.21631205673759</v>
      </c>
    </row>
    <row collapsed="false" customFormat="false" customHeight="false" hidden="false" ht="12.75" outlineLevel="0" r="30">
      <c r="A30" s="0" t="s">
        <v>27</v>
      </c>
      <c r="B30" s="0" t="n">
        <v>64000</v>
      </c>
      <c r="C30" s="2" t="n">
        <f aca="false">B30*$B$28</f>
        <v>64000</v>
      </c>
      <c r="D30" s="2" t="n">
        <f aca="false">(((C30*$C$26)*$B$26)/128)*141</f>
        <v>1410000</v>
      </c>
      <c r="E30" s="2" t="n">
        <f aca="false">D30*$B$27</f>
        <v>7050000000</v>
      </c>
      <c r="G30" s="2" t="n">
        <f aca="false">E30/1000000</f>
        <v>7050</v>
      </c>
      <c r="H30" s="2" t="n">
        <f aca="false">G30/5</f>
        <v>1410</v>
      </c>
      <c r="I30" s="2" t="n">
        <f aca="false">H30/100</f>
        <v>14.1</v>
      </c>
      <c r="J30" s="2" t="n">
        <f aca="false">B30/128</f>
        <v>500</v>
      </c>
      <c r="K30" s="2" t="n">
        <f aca="false">B30/2048</f>
        <v>31.25</v>
      </c>
      <c r="L30" s="2" t="n">
        <f aca="false">K30/I30</f>
        <v>2.21631205673759</v>
      </c>
    </row>
    <row collapsed="false" customFormat="false" customHeight="false" hidden="false" ht="12.75" outlineLevel="0" r="31">
      <c r="A31" s="0" t="s">
        <v>28</v>
      </c>
      <c r="B31" s="0" t="n">
        <v>288</v>
      </c>
    </row>
    <row collapsed="false" customFormat="false" customHeight="false" hidden="false" ht="12.75" outlineLevel="0" r="32">
      <c r="B32" s="0" t="s">
        <v>1</v>
      </c>
      <c r="C32" s="0" t="s">
        <v>29</v>
      </c>
      <c r="D32" s="0" t="s">
        <v>30</v>
      </c>
      <c r="E32" s="0" t="s">
        <v>31</v>
      </c>
      <c r="F32" s="0" t="s">
        <v>32</v>
      </c>
      <c r="G32" s="0" t="s">
        <v>33</v>
      </c>
      <c r="H32" s="0" t="s">
        <v>21</v>
      </c>
      <c r="I32" s="0" t="s">
        <v>34</v>
      </c>
    </row>
    <row collapsed="false" customFormat="false" customHeight="false" hidden="false" ht="12.75" outlineLevel="0" r="33">
      <c r="A33" s="0" t="s">
        <v>35</v>
      </c>
      <c r="B33" s="0" t="n">
        <v>3700</v>
      </c>
      <c r="C33" s="0" t="n">
        <v>2000000</v>
      </c>
      <c r="D33" s="0" t="n">
        <v>100</v>
      </c>
      <c r="E33" s="2" t="n">
        <f aca="false">(C33*D33)*0.000000001</f>
        <v>0.2</v>
      </c>
      <c r="F33" s="2" t="n">
        <f aca="false">B33/96</f>
        <v>38.5416666666667</v>
      </c>
      <c r="G33" s="0" t="n">
        <v>3700</v>
      </c>
      <c r="H33" s="2" t="n">
        <f aca="false">((G33*(1+((1/96)*2)))*4)*$B$27</f>
        <v>75541666.6666667</v>
      </c>
      <c r="I33" s="2" t="n">
        <f aca="false">H33/1000000</f>
        <v>75.5416666666667</v>
      </c>
      <c r="J33" s="2" t="n">
        <f aca="false">I33*E33</f>
        <v>15.1083333333333</v>
      </c>
    </row>
    <row collapsed="false" customFormat="false" customHeight="false" hidden="false" ht="12.75" outlineLevel="0" r="34">
      <c r="A34" s="0" t="s">
        <v>36</v>
      </c>
      <c r="B34" s="0" t="n">
        <v>1800</v>
      </c>
      <c r="C34" s="0" t="n">
        <v>350000</v>
      </c>
      <c r="D34" s="0" t="n">
        <v>60</v>
      </c>
      <c r="E34" s="2" t="n">
        <f aca="false">(C34*D34)*0.000000001</f>
        <v>0.021</v>
      </c>
      <c r="F34" s="2" t="n">
        <f aca="false">B34/64</f>
        <v>28.125</v>
      </c>
      <c r="G34" s="0" t="n">
        <v>1800</v>
      </c>
      <c r="H34" s="2" t="n">
        <f aca="false">((G34*(1+((1/64)*2)))*4)*$B$27</f>
        <v>37125000</v>
      </c>
      <c r="I34" s="2" t="n">
        <f aca="false">H34/1000000</f>
        <v>37.125</v>
      </c>
      <c r="J34" s="2" t="n">
        <f aca="false">I34*E34</f>
        <v>0.779625</v>
      </c>
    </row>
    <row collapsed="false" customFormat="false" customHeight="false" hidden="false" ht="12.75" outlineLevel="0" r="36">
      <c r="A36" s="0" t="s">
        <v>28</v>
      </c>
    </row>
    <row collapsed="false" customFormat="false" customHeight="false" hidden="false" ht="12.75" outlineLevel="0" r="37">
      <c r="B37" s="0" t="s">
        <v>37</v>
      </c>
      <c r="C37" s="0" t="n">
        <v>2</v>
      </c>
    </row>
    <row collapsed="false" customFormat="false" customHeight="false" hidden="false" ht="12.75" outlineLevel="0" r="38">
      <c r="B38" s="0" t="s">
        <v>38</v>
      </c>
      <c r="C38" s="0" t="n">
        <v>1</v>
      </c>
    </row>
    <row collapsed="false" customFormat="false" customHeight="false" hidden="false" ht="12.75" outlineLevel="0" r="39">
      <c r="B39" s="0" t="s">
        <v>39</v>
      </c>
      <c r="C39" s="0" t="n">
        <v>2</v>
      </c>
    </row>
    <row collapsed="false" customFormat="false" customHeight="false" hidden="false" ht="12.75" outlineLevel="0" r="40">
      <c r="B40" s="0" t="s">
        <v>40</v>
      </c>
      <c r="C40" s="0" t="n">
        <v>2</v>
      </c>
    </row>
    <row collapsed="false" customFormat="false" customHeight="false" hidden="false" ht="12.75" outlineLevel="0" r="41">
      <c r="B41" s="0" t="s">
        <v>9</v>
      </c>
      <c r="C41" s="0" t="n">
        <v>2</v>
      </c>
    </row>
    <row collapsed="false" customFormat="false" customHeight="false" hidden="false" ht="12.75" outlineLevel="0" r="42">
      <c r="B42" s="0" t="s">
        <v>41</v>
      </c>
      <c r="C42" s="0" t="n">
        <v>2</v>
      </c>
    </row>
    <row collapsed="false" customFormat="false" customHeight="false" hidden="false" ht="12.75" outlineLevel="0" r="43">
      <c r="B43" s="0" t="s">
        <v>42</v>
      </c>
      <c r="C43" s="0" t="n">
        <v>1</v>
      </c>
    </row>
    <row collapsed="false" customFormat="false" customHeight="false" hidden="false" ht="12.75" outlineLevel="0" r="44">
      <c r="B44" s="0" t="s">
        <v>43</v>
      </c>
      <c r="C44" s="0" t="n">
        <v>18</v>
      </c>
    </row>
    <row collapsed="false" customFormat="false" customHeight="false" hidden="false" ht="12.75" outlineLevel="0" r="45">
      <c r="B45" s="0" t="s">
        <v>8</v>
      </c>
      <c r="C45" s="0" t="n">
        <v>2</v>
      </c>
    </row>
    <row collapsed="false" customFormat="false" customHeight="false" hidden="false" ht="12.75" outlineLevel="0" r="46">
      <c r="A46" s="0" t="s">
        <v>44</v>
      </c>
    </row>
    <row collapsed="false" customFormat="false" customHeight="false" hidden="false" ht="12.75" outlineLevel="0" r="47">
      <c r="B47" s="0" t="s">
        <v>45</v>
      </c>
      <c r="C47" s="0" t="n">
        <v>32</v>
      </c>
    </row>
    <row collapsed="false" customFormat="false" customHeight="false" hidden="false" ht="12.75" outlineLevel="0" r="48">
      <c r="B48" s="0" t="s">
        <v>46</v>
      </c>
      <c r="C48" s="0" t="n">
        <v>6</v>
      </c>
    </row>
    <row collapsed="false" customFormat="false" customHeight="false" hidden="false" ht="12.75" outlineLevel="0" r="49">
      <c r="B49" s="0" t="s">
        <v>8</v>
      </c>
      <c r="C49" s="0" t="n">
        <v>6</v>
      </c>
    </row>
    <row collapsed="false" customFormat="false" customHeight="false" hidden="false" ht="12.75" outlineLevel="0" r="50">
      <c r="B50" s="0" t="s">
        <v>9</v>
      </c>
      <c r="C50" s="0" t="n">
        <v>6</v>
      </c>
    </row>
    <row collapsed="false" customFormat="false" customHeight="false" hidden="false" ht="12.75" outlineLevel="0" r="51">
      <c r="B51" s="0" t="s">
        <v>10</v>
      </c>
      <c r="C51" s="0" t="n">
        <v>6</v>
      </c>
    </row>
    <row collapsed="false" customFormat="false" customHeight="false" hidden="false" ht="12.75" outlineLevel="0" r="54">
      <c r="A54" s="0" t="s">
        <v>47</v>
      </c>
    </row>
    <row collapsed="false" customFormat="false" customHeight="false" hidden="false" ht="12.75" outlineLevel="0" r="55">
      <c r="B55" s="0" t="s">
        <v>48</v>
      </c>
      <c r="C55" s="0" t="n">
        <v>6</v>
      </c>
    </row>
    <row collapsed="false" customFormat="false" customHeight="false" hidden="false" ht="12.75" outlineLevel="0" r="56">
      <c r="B56" s="0" t="s">
        <v>49</v>
      </c>
      <c r="C56" s="0" t="n">
        <v>30</v>
      </c>
    </row>
    <row collapsed="false" customFormat="false" customHeight="false" hidden="false" ht="12.75" outlineLevel="0" r="57">
      <c r="B57" s="0" t="s">
        <v>8</v>
      </c>
      <c r="C57" s="0" t="n">
        <v>6</v>
      </c>
    </row>
    <row collapsed="false" customFormat="false" customHeight="false" hidden="false" ht="12.75" outlineLevel="0" r="58">
      <c r="B58" s="0" t="s">
        <v>9</v>
      </c>
      <c r="C58" s="0" t="n">
        <v>6</v>
      </c>
    </row>
    <row collapsed="false" customFormat="false" customHeight="false" hidden="false" ht="12.75" outlineLevel="0" r="61">
      <c r="A61" s="0" t="s">
        <v>13</v>
      </c>
    </row>
    <row collapsed="false" customFormat="false" customHeight="false" hidden="false" ht="12.75" outlineLevel="0" r="62">
      <c r="B62" s="0" t="n">
        <v>1881</v>
      </c>
      <c r="C62" s="0" t="n">
        <v>106</v>
      </c>
    </row>
    <row collapsed="false" customFormat="false" customHeight="false" hidden="false" ht="12.75" outlineLevel="0" r="63">
      <c r="B63" s="0" t="s">
        <v>50</v>
      </c>
      <c r="C63" s="0" t="n">
        <v>1</v>
      </c>
    </row>
    <row collapsed="false" customFormat="false" customHeight="false" hidden="false" ht="12.75" outlineLevel="0" r="64">
      <c r="B64" s="0" t="s">
        <v>22</v>
      </c>
      <c r="C64" s="0" t="n">
        <v>12</v>
      </c>
      <c r="G64" s="0" t="s">
        <v>38</v>
      </c>
      <c r="H64" s="0" t="n">
        <v>3</v>
      </c>
    </row>
    <row collapsed="false" customFormat="false" customHeight="false" hidden="false" ht="12.75" outlineLevel="0" r="65">
      <c r="B65" s="0" t="s">
        <v>8</v>
      </c>
      <c r="C65" s="0" t="n">
        <v>12</v>
      </c>
    </row>
    <row collapsed="false" customFormat="false" customHeight="false" hidden="false" ht="12.75" outlineLevel="0" r="66">
      <c r="B66" s="0" t="s">
        <v>9</v>
      </c>
      <c r="C66" s="0" t="n">
        <v>12</v>
      </c>
      <c r="G66" s="0" t="s">
        <v>51</v>
      </c>
      <c r="H66" s="0" t="n">
        <v>12</v>
      </c>
    </row>
    <row collapsed="false" customFormat="false" customHeight="false" hidden="false" ht="12.75" outlineLevel="0" r="67">
      <c r="B67" s="0" t="s">
        <v>52</v>
      </c>
      <c r="C67" s="0" t="n">
        <v>12</v>
      </c>
    </row>
    <row collapsed="false" customFormat="false" customHeight="false" hidden="false" ht="12.75" outlineLevel="0" r="68">
      <c r="B68" s="0" t="s">
        <v>53</v>
      </c>
      <c r="C68" s="0" t="n">
        <v>12</v>
      </c>
    </row>
    <row collapsed="false" customFormat="false" customHeight="false" hidden="false" ht="12.75" outlineLevel="0" r="69">
      <c r="B69" s="0" t="s">
        <v>54</v>
      </c>
      <c r="C69" s="0" t="n">
        <v>12</v>
      </c>
    </row>
    <row collapsed="false" customFormat="false" customHeight="false" hidden="false" ht="12.75" outlineLevel="0" r="71">
      <c r="A71" s="0" t="s">
        <v>15</v>
      </c>
    </row>
    <row collapsed="false" customFormat="false" customHeight="false" hidden="false" ht="12.75" outlineLevel="0" r="72">
      <c r="B72" s="0" t="s">
        <v>22</v>
      </c>
      <c r="C72" s="0" t="n">
        <v>8</v>
      </c>
      <c r="G72" s="0" t="s">
        <v>38</v>
      </c>
      <c r="H72" s="0" t="n">
        <v>2</v>
      </c>
    </row>
    <row collapsed="false" customFormat="false" customHeight="false" hidden="false" ht="12.75" outlineLevel="0" r="73">
      <c r="B73" s="0" t="s">
        <v>8</v>
      </c>
      <c r="C73" s="0" t="n">
        <v>8</v>
      </c>
      <c r="G73" s="0" t="s">
        <v>55</v>
      </c>
      <c r="H73" s="0" t="n">
        <v>1</v>
      </c>
    </row>
    <row collapsed="false" customFormat="false" customHeight="false" hidden="false" ht="12.75" outlineLevel="0" r="74">
      <c r="B74" s="0" t="s">
        <v>9</v>
      </c>
      <c r="C74" s="0" t="n">
        <v>8</v>
      </c>
      <c r="G74" s="0" t="s">
        <v>51</v>
      </c>
      <c r="H74" s="0" t="n">
        <v>8</v>
      </c>
    </row>
    <row collapsed="false" customFormat="false" customHeight="false" hidden="false" ht="12.75" outlineLevel="0" r="75">
      <c r="B75" s="0" t="s">
        <v>53</v>
      </c>
      <c r="C75" s="0" t="n">
        <v>8</v>
      </c>
    </row>
    <row collapsed="false" customFormat="false" customHeight="false" hidden="false" ht="12.75" outlineLevel="0" r="76">
      <c r="B76" s="0" t="s">
        <v>54</v>
      </c>
      <c r="C76" s="0" t="n">
        <v>8</v>
      </c>
    </row>
    <row collapsed="false" customFormat="false" customHeight="false" hidden="false" ht="12.75" outlineLevel="0" r="77">
      <c r="B77" s="0" t="n">
        <v>1877</v>
      </c>
      <c r="C77" s="0" t="n">
        <v>78</v>
      </c>
    </row>
    <row collapsed="false" customFormat="false" customHeight="false" hidden="false" ht="12.75" outlineLevel="0" r="78">
      <c r="B78" s="0" t="s">
        <v>50</v>
      </c>
      <c r="C78" s="0" t="n">
        <v>1</v>
      </c>
    </row>
    <row collapsed="false" customFormat="false" customHeight="false" hidden="false" ht="12.75" outlineLevel="0" r="83">
      <c r="B83" s="2" t="n">
        <f aca="false">1/0.00002</f>
        <v>50000</v>
      </c>
      <c r="E83" s="2" t="n">
        <f aca="false">1/10000000</f>
        <v>1E-007</v>
      </c>
      <c r="G83" s="2" t="n">
        <f aca="false">E83*1000000</f>
        <v>0.1</v>
      </c>
    </row>
    <row collapsed="false" customFormat="false" customHeight="false" hidden="false" ht="12.75" outlineLevel="0" r="85">
      <c r="A85" s="0" t="n">
        <v>0.05</v>
      </c>
    </row>
    <row collapsed="false" customFormat="false" customHeight="false" hidden="false" ht="12.75" outlineLevel="0" r="86">
      <c r="B86" s="2" t="n">
        <f aca="false">64*(20+(((64*7)*$A$85)*0.1))</f>
        <v>1423.36</v>
      </c>
      <c r="C86" s="2" t="n">
        <f aca="false">B86*0.000001</f>
        <v>0.00142336</v>
      </c>
      <c r="D86" s="2" t="n">
        <f aca="false">1/C86</f>
        <v>702.562949640288</v>
      </c>
    </row>
    <row collapsed="false" customFormat="false" customHeight="false" hidden="false" ht="12.75" outlineLevel="0" r="87">
      <c r="B87" s="2" t="n">
        <f aca="false">(64*(((64*7)*$A$85)*0.1))+20</f>
        <v>163.36</v>
      </c>
      <c r="C87" s="2" t="n">
        <f aca="false">B87*0.000001</f>
        <v>0.00016336</v>
      </c>
      <c r="D87" s="2" t="n">
        <f aca="false">1/C87</f>
        <v>6121.44955925563</v>
      </c>
    </row>
    <row collapsed="false" customFormat="false" customHeight="false" hidden="false" ht="12.75" outlineLevel="0" r="88">
      <c r="B88" s="2" t="n">
        <f aca="false">B86/B87</f>
        <v>8.7130264446621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" min="1" style="0" width="17.1326530612245"/>
    <col collapsed="false" hidden="false" max="2" min="2" style="0" width="10.4285714285714"/>
    <col collapsed="false" hidden="false" max="3" min="3" style="0" width="10.7091836734694"/>
    <col collapsed="false" hidden="false" max="4" min="4" style="0" width="6.4234693877551"/>
    <col collapsed="false" hidden="false" max="5" min="5" style="0" width="7.71428571428571"/>
    <col collapsed="false" hidden="false" max="6" min="6" style="0" width="9.13265306122449"/>
    <col collapsed="false" hidden="false" max="7" min="7" style="0" width="8.29081632653061"/>
    <col collapsed="false" hidden="false" max="8" min="8" style="0" width="11.7091836734694"/>
    <col collapsed="false" hidden="false" max="9" min="9" style="0" width="9.28571428571429"/>
    <col collapsed="false" hidden="false" max="10" min="10" style="0" width="9.5765306122449"/>
    <col collapsed="false" hidden="false" max="1025" min="11" style="0" width="17.1326530612245"/>
  </cols>
  <sheetData>
    <row collapsed="false" customFormat="false" customHeight="false" hidden="false" ht="12.75" outlineLevel="0" r="1">
      <c r="A1" s="0" t="s">
        <v>164</v>
      </c>
      <c r="K1" s="0" t="s">
        <v>165</v>
      </c>
      <c r="L1" s="0" t="s">
        <v>175</v>
      </c>
      <c r="M1" s="0" t="s">
        <v>176</v>
      </c>
      <c r="N1" s="0" t="s">
        <v>177</v>
      </c>
      <c r="O1" s="0" t="s">
        <v>178</v>
      </c>
    </row>
    <row collapsed="false" customFormat="false" customHeight="false" hidden="false" ht="12.75" outlineLevel="0" r="2">
      <c r="A2" s="0" t="s">
        <v>166</v>
      </c>
    </row>
    <row collapsed="false" customFormat="false" customHeight="false" hidden="false" ht="12.75" outlineLevel="0" r="3">
      <c r="B3" s="0" t="s">
        <v>167</v>
      </c>
      <c r="E3" s="0" t="s">
        <v>168</v>
      </c>
      <c r="F3" s="0" t="s">
        <v>169</v>
      </c>
      <c r="G3" s="0" t="s">
        <v>170</v>
      </c>
      <c r="H3" s="0" t="s">
        <v>171</v>
      </c>
    </row>
    <row collapsed="false" customFormat="false" customHeight="false" hidden="false" ht="12.75" outlineLevel="0" r="4">
      <c r="C4" s="0" t="s">
        <v>167</v>
      </c>
      <c r="D4" s="0" t="n">
        <v>1800</v>
      </c>
      <c r="E4" s="0" t="s">
        <v>172</v>
      </c>
      <c r="F4" s="2" t="n">
        <f aca="false">D4</f>
        <v>1800</v>
      </c>
      <c r="L4" s="2" t="n">
        <f aca="false">F4/64</f>
        <v>28.125</v>
      </c>
      <c r="M4" s="2" t="n">
        <f aca="false">CEILING((3*L4),1,1)</f>
        <v>85</v>
      </c>
      <c r="N4" s="2" t="n">
        <f aca="false">M4/15</f>
        <v>5.66666666666667</v>
      </c>
    </row>
    <row collapsed="false" customFormat="false" customHeight="false" hidden="false" ht="12.75" outlineLevel="0" r="5">
      <c r="D5" s="2" t="n">
        <f aca="false">D4/8</f>
        <v>225</v>
      </c>
      <c r="F5" s="2" t="n">
        <f aca="false">D5</f>
        <v>225</v>
      </c>
      <c r="L5" s="2" t="n">
        <f aca="false">F5/64</f>
        <v>3.515625</v>
      </c>
      <c r="M5" s="2" t="n">
        <f aca="false">CEILING((3*L5),1,1)</f>
        <v>11</v>
      </c>
      <c r="N5" s="2" t="n">
        <f aca="false">M5/15</f>
        <v>0.733333333333333</v>
      </c>
    </row>
    <row collapsed="false" customFormat="false" customHeight="false" hidden="false" ht="12.75" outlineLevel="0" r="6">
      <c r="C6" s="0" t="s">
        <v>173</v>
      </c>
      <c r="D6" s="0" t="n">
        <v>3700</v>
      </c>
      <c r="G6" s="2" t="n">
        <f aca="false">D6</f>
        <v>3700</v>
      </c>
      <c r="O6" s="2" t="n">
        <f aca="false">G6/96</f>
        <v>38.5416666666667</v>
      </c>
      <c r="P6" s="2" t="n">
        <f aca="false">O6*3</f>
        <v>115.625</v>
      </c>
      <c r="Q6" s="2" t="n">
        <f aca="false">P6/15</f>
        <v>7.70833333333333</v>
      </c>
    </row>
    <row collapsed="false" customFormat="false" customHeight="false" hidden="false" ht="12.75" outlineLevel="0" r="7">
      <c r="D7" s="2" t="n">
        <f aca="false">D4+D6</f>
        <v>5500</v>
      </c>
      <c r="G7" s="2" t="n">
        <f aca="false">D7</f>
        <v>5500</v>
      </c>
    </row>
    <row collapsed="false" customFormat="false" customHeight="false" hidden="false" ht="12.75" outlineLevel="0" r="9">
      <c r="K9" s="2" t="n">
        <f aca="false">((120000*3000000)*0.00000005)/3</f>
        <v>6000</v>
      </c>
    </row>
    <row collapsed="false" customFormat="false" customHeight="false" hidden="false" ht="12.75" outlineLevel="0" r="11">
      <c r="B11" s="0" t="s">
        <v>174</v>
      </c>
    </row>
    <row collapsed="false" customFormat="false" customHeight="false" hidden="false" ht="12.75" outlineLevel="0" r="12">
      <c r="C12" s="0" t="s">
        <v>44</v>
      </c>
      <c r="D12" s="0" t="n">
        <v>101700</v>
      </c>
    </row>
    <row collapsed="false" customFormat="false" customHeight="false" hidden="false" ht="12.75" outlineLevel="0" r="16">
      <c r="C16" s="0" t="s">
        <v>28</v>
      </c>
      <c r="D16" s="0" t="n">
        <v>288</v>
      </c>
      <c r="E16" s="0" t="s">
        <v>107</v>
      </c>
      <c r="F16" s="0" t="n">
        <v>288</v>
      </c>
    </row>
    <row collapsed="false" customFormat="false" customHeight="false" hidden="false" ht="12.75" outlineLevel="0" r="17">
      <c r="A17" s="0" t="s">
        <v>71</v>
      </c>
    </row>
    <row collapsed="false" customFormat="false" customHeight="false" hidden="false" ht="12.75" outlineLevel="0" r="21">
      <c r="A21" s="0" t="s">
        <v>88</v>
      </c>
      <c r="B21" s="2" t="n">
        <f aca="false">7*27</f>
        <v>189</v>
      </c>
      <c r="C21" s="2" t="n">
        <f aca="false">2*27</f>
        <v>54</v>
      </c>
    </row>
    <row collapsed="false" customFormat="false" customHeight="false" hidden="false" ht="12.75" outlineLevel="0" r="22">
      <c r="B22" s="0" t="s">
        <v>89</v>
      </c>
      <c r="C22" s="0" t="s">
        <v>90</v>
      </c>
      <c r="D22" s="0" t="n">
        <v>189</v>
      </c>
      <c r="E22" s="0" t="s">
        <v>91</v>
      </c>
      <c r="F22" s="0" t="n">
        <v>243</v>
      </c>
    </row>
    <row collapsed="false" customFormat="false" customHeight="false" hidden="false" ht="12.75" outlineLevel="0" r="23">
      <c r="C23" s="0" t="s">
        <v>92</v>
      </c>
      <c r="D23" s="0" t="n">
        <v>54</v>
      </c>
    </row>
    <row collapsed="false" customFormat="false" customHeight="false" hidden="false" ht="12.75" outlineLevel="0" r="24">
      <c r="C24" s="0" t="s">
        <v>93</v>
      </c>
      <c r="D24" s="0" t="n">
        <v>180</v>
      </c>
      <c r="F24" s="0" t="n">
        <v>180</v>
      </c>
      <c r="G24" s="0" t="n">
        <v>0</v>
      </c>
      <c r="H24" s="0" t="n">
        <v>288</v>
      </c>
    </row>
    <row collapsed="false" customFormat="false" customHeight="false" hidden="false" ht="12.75" outlineLevel="0" r="25">
      <c r="C25" s="0" t="s">
        <v>67</v>
      </c>
      <c r="D25" s="0" t="n">
        <v>550</v>
      </c>
      <c r="G25" s="0" t="n">
        <v>550</v>
      </c>
    </row>
    <row collapsed="false" customFormat="false" customHeight="false" hidden="false" ht="12.75" outlineLevel="0" r="27">
      <c r="K27" s="2" t="n">
        <f aca="false">(2000*1300000)*0.00000005</f>
        <v>130</v>
      </c>
    </row>
    <row collapsed="false" customFormat="false" customHeight="false" hidden="false" ht="12.75" outlineLevel="0" r="29">
      <c r="B29" s="0" t="s">
        <v>94</v>
      </c>
      <c r="C29" s="0" t="s">
        <v>28</v>
      </c>
      <c r="D29" s="0" t="n">
        <v>288</v>
      </c>
      <c r="E29" s="0" t="s">
        <v>95</v>
      </c>
      <c r="F29" s="0" t="n">
        <v>288</v>
      </c>
      <c r="G29" s="0" t="n">
        <v>0</v>
      </c>
      <c r="H29" s="0" t="n">
        <v>288</v>
      </c>
    </row>
    <row collapsed="false" customFormat="false" customHeight="false" hidden="false" ht="12.75" outlineLevel="0" r="34">
      <c r="A34" s="0" t="s">
        <v>96</v>
      </c>
    </row>
    <row collapsed="false" customFormat="false" customHeight="false" hidden="false" ht="12.75" outlineLevel="0" r="35">
      <c r="B35" s="0" t="s">
        <v>89</v>
      </c>
      <c r="C35" s="0" t="s">
        <v>90</v>
      </c>
      <c r="D35" s="0" t="n">
        <v>189</v>
      </c>
      <c r="E35" s="0" t="s">
        <v>97</v>
      </c>
      <c r="F35" s="0" t="n">
        <v>243</v>
      </c>
    </row>
    <row collapsed="false" customFormat="false" customHeight="false" hidden="false" ht="12.75" outlineLevel="0" r="36">
      <c r="C36" s="0" t="s">
        <v>92</v>
      </c>
      <c r="D36" s="0" t="n">
        <v>54</v>
      </c>
    </row>
    <row collapsed="false" customFormat="false" customHeight="false" hidden="false" ht="12.75" outlineLevel="0" r="37">
      <c r="C37" s="0" t="s">
        <v>93</v>
      </c>
      <c r="D37" s="0" t="n">
        <v>180</v>
      </c>
      <c r="F37" s="0" t="n">
        <v>180</v>
      </c>
      <c r="H37" s="0" t="n">
        <v>180</v>
      </c>
    </row>
    <row collapsed="false" customFormat="false" customHeight="false" hidden="false" ht="12.75" outlineLevel="0" r="38">
      <c r="C38" s="0" t="s">
        <v>67</v>
      </c>
      <c r="D38" s="0" t="n">
        <v>550</v>
      </c>
      <c r="G38" s="0" t="n">
        <v>550</v>
      </c>
    </row>
    <row collapsed="false" customFormat="false" customHeight="false" hidden="false" ht="12.75" outlineLevel="0" r="42">
      <c r="K42" s="2" t="n">
        <f aca="false">(2000*2000000)*0.00000005</f>
        <v>200</v>
      </c>
    </row>
    <row collapsed="false" customFormat="false" customHeight="false" hidden="false" ht="12.75" outlineLevel="0" r="44">
      <c r="B44" s="0" t="s">
        <v>98</v>
      </c>
    </row>
    <row collapsed="false" customFormat="false" customHeight="false" hidden="false" ht="12.75" outlineLevel="0" r="45">
      <c r="C45" s="0" t="s">
        <v>28</v>
      </c>
      <c r="D45" s="0" t="n">
        <v>288</v>
      </c>
      <c r="E45" s="0" t="s">
        <v>99</v>
      </c>
      <c r="F45" s="0" t="n">
        <v>288</v>
      </c>
      <c r="H45" s="0" t="n">
        <v>288</v>
      </c>
    </row>
    <row collapsed="false" customFormat="false" customHeight="false" hidden="false" ht="12.75" outlineLevel="0" r="52">
      <c r="A52" s="0" t="s">
        <v>100</v>
      </c>
    </row>
    <row collapsed="false" customFormat="false" customHeight="false" hidden="false" ht="12.75" outlineLevel="0" r="53">
      <c r="B53" s="0" t="s">
        <v>101</v>
      </c>
      <c r="C53" s="0" t="s">
        <v>90</v>
      </c>
      <c r="D53" s="0" t="n">
        <v>243</v>
      </c>
      <c r="E53" s="0" t="s">
        <v>102</v>
      </c>
      <c r="F53" s="0" t="n">
        <v>243</v>
      </c>
    </row>
    <row collapsed="false" customFormat="false" customHeight="false" hidden="false" ht="12.75" outlineLevel="0" r="54">
      <c r="C54" s="0" t="s">
        <v>103</v>
      </c>
    </row>
    <row collapsed="false" customFormat="false" customHeight="false" hidden="false" ht="12.75" outlineLevel="0" r="55">
      <c r="C55" s="0" t="s">
        <v>104</v>
      </c>
      <c r="D55" s="0" t="n">
        <v>180</v>
      </c>
      <c r="H55" s="0" t="n">
        <v>180</v>
      </c>
    </row>
    <row collapsed="false" customFormat="false" customHeight="false" hidden="false" ht="12.75" outlineLevel="0" r="56">
      <c r="C56" s="0" t="s">
        <v>67</v>
      </c>
      <c r="D56" s="0" t="n">
        <v>550</v>
      </c>
      <c r="G56" s="0" t="n">
        <v>550</v>
      </c>
    </row>
    <row collapsed="false" customFormat="false" customHeight="false" hidden="false" ht="12.75" outlineLevel="0" r="57">
      <c r="C57" s="0" t="s">
        <v>71</v>
      </c>
    </row>
    <row collapsed="false" customFormat="false" customHeight="false" hidden="false" ht="12.75" outlineLevel="0" r="58">
      <c r="K58" s="2" t="n">
        <f aca="false">(5000*3000000)*0.00000005</f>
        <v>750</v>
      </c>
    </row>
    <row collapsed="false" customFormat="false" customHeight="false" hidden="false" ht="12.75" outlineLevel="0" r="59">
      <c r="B59" s="0" t="s">
        <v>105</v>
      </c>
      <c r="C59" s="0" t="s">
        <v>44</v>
      </c>
      <c r="D59" s="0" t="n">
        <v>101700</v>
      </c>
    </row>
    <row collapsed="false" customFormat="false" customHeight="false" hidden="false" ht="12.75" outlineLevel="0" r="60">
      <c r="C60" s="0" t="s">
        <v>106</v>
      </c>
      <c r="D60" s="0" t="n">
        <v>2000</v>
      </c>
    </row>
    <row collapsed="false" customFormat="false" customHeight="false" hidden="false" ht="12.75" outlineLevel="0" r="61">
      <c r="C61" s="0" t="s">
        <v>28</v>
      </c>
      <c r="D61" s="0" t="n">
        <v>288</v>
      </c>
      <c r="E61" s="0" t="s">
        <v>107</v>
      </c>
      <c r="F61" s="0" t="n">
        <v>288</v>
      </c>
      <c r="H61" s="0" t="n">
        <v>288</v>
      </c>
    </row>
    <row collapsed="false" customFormat="false" customHeight="false" hidden="false" ht="12.75" outlineLevel="0" r="63">
      <c r="A63" s="0" t="s">
        <v>108</v>
      </c>
      <c r="B63" s="0" t="s">
        <v>89</v>
      </c>
      <c r="C63" s="0" t="s">
        <v>67</v>
      </c>
      <c r="D63" s="0" t="n">
        <v>550</v>
      </c>
      <c r="E63" s="0" t="s">
        <v>109</v>
      </c>
      <c r="G63" s="0" t="n">
        <v>550</v>
      </c>
    </row>
    <row collapsed="false" customFormat="false" customHeight="false" hidden="false" ht="12.75" outlineLevel="0" r="64">
      <c r="C64" s="0" t="s">
        <v>110</v>
      </c>
      <c r="D64" s="0" t="n">
        <v>180</v>
      </c>
      <c r="F64" s="0" t="n">
        <v>180</v>
      </c>
      <c r="G64" s="0" t="n">
        <v>180</v>
      </c>
    </row>
    <row collapsed="false" customFormat="false" customHeight="false" hidden="false" ht="12.75" outlineLevel="0" r="65">
      <c r="C65" s="0" t="s">
        <v>90</v>
      </c>
      <c r="D65" s="0" t="n">
        <v>243</v>
      </c>
      <c r="F65" s="0" t="n">
        <v>243</v>
      </c>
    </row>
    <row collapsed="false" customFormat="false" customHeight="false" hidden="false" ht="12.75" outlineLevel="0" r="66">
      <c r="D66" s="2" t="n">
        <f aca="false">SUM(D63:D65)</f>
        <v>973</v>
      </c>
    </row>
    <row collapsed="false" customFormat="false" customHeight="false" hidden="false" ht="12.75" outlineLevel="0" r="67">
      <c r="C67" s="2" t="n">
        <f aca="false">7*17</f>
        <v>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" min="1" style="0" width="17.1326530612245"/>
    <col collapsed="false" hidden="false" max="2" min="2" style="0" width="10.4285714285714"/>
    <col collapsed="false" hidden="false" max="3" min="3" style="0" width="8.13775510204082"/>
    <col collapsed="false" hidden="false" max="4" min="4" style="0" width="6.4234693877551"/>
    <col collapsed="false" hidden="false" max="5" min="5" style="0" width="7.71428571428571"/>
    <col collapsed="false" hidden="false" max="6" min="6" style="0" width="9.13265306122449"/>
    <col collapsed="false" hidden="false" max="7" min="7" style="0" width="8.29081632653061"/>
    <col collapsed="false" hidden="false" max="8" min="8" style="0" width="11.7091836734694"/>
    <col collapsed="false" hidden="false" max="9" min="9" style="0" width="9.28571428571429"/>
    <col collapsed="false" hidden="false" max="10" min="10" style="0" width="9.5765306122449"/>
    <col collapsed="false" hidden="false" max="1025" min="11" style="0" width="17.1326530612245"/>
  </cols>
  <sheetData>
    <row collapsed="false" customFormat="false" customHeight="false" hidden="false" ht="12.75" outlineLevel="0" r="1">
      <c r="A1" s="0" t="s">
        <v>164</v>
      </c>
    </row>
    <row collapsed="false" customFormat="false" customHeight="false" hidden="false" ht="12.75" outlineLevel="0" r="2">
      <c r="A2" s="0" t="s">
        <v>166</v>
      </c>
    </row>
    <row collapsed="false" customFormat="false" customHeight="false" hidden="false" ht="12.75" outlineLevel="0" r="3">
      <c r="B3" s="0" t="s">
        <v>167</v>
      </c>
      <c r="E3" s="0" t="s">
        <v>168</v>
      </c>
      <c r="F3" s="0" t="s">
        <v>169</v>
      </c>
      <c r="G3" s="0" t="s">
        <v>170</v>
      </c>
      <c r="H3" s="0" t="n">
        <v>1881</v>
      </c>
      <c r="I3" s="0" t="s">
        <v>74</v>
      </c>
      <c r="J3" s="0" t="n">
        <v>1877</v>
      </c>
      <c r="K3" s="0" t="s">
        <v>22</v>
      </c>
      <c r="M3" s="0" t="s">
        <v>179</v>
      </c>
      <c r="N3" s="0" t="s">
        <v>45</v>
      </c>
      <c r="O3" s="0" t="s">
        <v>47</v>
      </c>
      <c r="P3" s="0" t="s">
        <v>43</v>
      </c>
    </row>
    <row collapsed="false" customFormat="false" customHeight="false" hidden="false" ht="12.75" outlineLevel="0" r="4">
      <c r="C4" s="0" t="s">
        <v>167</v>
      </c>
      <c r="D4" s="0" t="n">
        <v>1736</v>
      </c>
      <c r="E4" s="0" t="s">
        <v>172</v>
      </c>
      <c r="F4" s="0" t="n">
        <v>1736</v>
      </c>
      <c r="H4" s="2" t="n">
        <f aca="false">F4/64</f>
        <v>27.125</v>
      </c>
      <c r="I4" s="2" t="n">
        <f aca="false">F4/32</f>
        <v>54.25</v>
      </c>
    </row>
    <row collapsed="false" customFormat="false" customHeight="false" hidden="false" ht="12.75" outlineLevel="0" r="5">
      <c r="D5" s="2" t="n">
        <f aca="false">D4/8</f>
        <v>217</v>
      </c>
      <c r="F5" s="0" t="n">
        <v>217</v>
      </c>
      <c r="H5" s="2" t="n">
        <f aca="false">F5/64</f>
        <v>3.390625</v>
      </c>
      <c r="I5" s="2" t="n">
        <f aca="false">F5/32</f>
        <v>6.78125</v>
      </c>
    </row>
    <row collapsed="false" customFormat="false" customHeight="false" hidden="false" ht="12.75" outlineLevel="0" r="6">
      <c r="C6" s="0" t="s">
        <v>173</v>
      </c>
      <c r="D6" s="0" t="n">
        <v>3700</v>
      </c>
      <c r="G6" s="0" t="n">
        <v>3700</v>
      </c>
      <c r="J6" s="2" t="n">
        <f aca="false">G6/96</f>
        <v>38.5416666666667</v>
      </c>
    </row>
    <row collapsed="false" customFormat="false" customHeight="false" hidden="false" ht="12.75" outlineLevel="0" r="7">
      <c r="D7" s="2" t="n">
        <f aca="false">D4+D6</f>
        <v>5436</v>
      </c>
      <c r="G7" s="0" t="n">
        <v>5436</v>
      </c>
      <c r="J7" s="2" t="n">
        <f aca="false">G7/96</f>
        <v>56.625</v>
      </c>
    </row>
    <row collapsed="false" customFormat="false" customHeight="false" hidden="false" ht="12.75" outlineLevel="0" r="11">
      <c r="B11" s="0" t="s">
        <v>174</v>
      </c>
    </row>
    <row collapsed="false" customFormat="false" customHeight="false" hidden="false" ht="12.75" outlineLevel="0" r="13">
      <c r="C13" s="0" t="s">
        <v>28</v>
      </c>
      <c r="D13" s="0" t="n">
        <v>288</v>
      </c>
      <c r="E13" s="0" t="s">
        <v>107</v>
      </c>
      <c r="F13" s="0" t="n">
        <v>288</v>
      </c>
    </row>
    <row collapsed="false" customFormat="false" customHeight="false" hidden="false" ht="12.75" outlineLevel="0" r="14">
      <c r="A14" s="0" t="s">
        <v>71</v>
      </c>
    </row>
    <row collapsed="false" customFormat="false" customHeight="false" hidden="false" ht="12.75" outlineLevel="0" r="16">
      <c r="C16" s="0" t="s">
        <v>44</v>
      </c>
      <c r="D16" s="0" t="n">
        <v>101700</v>
      </c>
    </row>
    <row collapsed="false" customFormat="false" customHeight="false" hidden="false" ht="12.75" outlineLevel="0" r="18">
      <c r="A18" s="0" t="s">
        <v>88</v>
      </c>
      <c r="B18" s="2" t="n">
        <f aca="false">7*27</f>
        <v>189</v>
      </c>
      <c r="C18" s="2" t="n">
        <f aca="false">2*27</f>
        <v>54</v>
      </c>
    </row>
    <row collapsed="false" customFormat="false" customHeight="false" hidden="false" ht="12.75" outlineLevel="0" r="19">
      <c r="B19" s="0" t="s">
        <v>89</v>
      </c>
      <c r="C19" s="0" t="s">
        <v>90</v>
      </c>
      <c r="D19" s="0" t="n">
        <v>189</v>
      </c>
      <c r="E19" s="0" t="s">
        <v>91</v>
      </c>
      <c r="F19" s="0" t="n">
        <v>243</v>
      </c>
    </row>
    <row collapsed="false" customFormat="false" customHeight="false" hidden="false" ht="12.75" outlineLevel="0" r="20">
      <c r="C20" s="0" t="s">
        <v>92</v>
      </c>
      <c r="D20" s="0" t="n">
        <v>54</v>
      </c>
    </row>
    <row collapsed="false" customFormat="false" customHeight="false" hidden="false" ht="12.75" outlineLevel="0" r="21">
      <c r="C21" s="0" t="s">
        <v>93</v>
      </c>
      <c r="D21" s="0" t="n">
        <v>180</v>
      </c>
      <c r="F21" s="0" t="n">
        <v>180</v>
      </c>
      <c r="G21" s="0" t="n">
        <v>180</v>
      </c>
    </row>
    <row collapsed="false" customFormat="false" customHeight="false" hidden="false" ht="12.75" outlineLevel="0" r="22">
      <c r="C22" s="0" t="s">
        <v>67</v>
      </c>
      <c r="D22" s="0" t="n">
        <v>550</v>
      </c>
      <c r="G22" s="0" t="n">
        <v>550</v>
      </c>
    </row>
    <row collapsed="false" customFormat="false" customHeight="false" hidden="false" ht="12.75" outlineLevel="0" r="26">
      <c r="B26" s="0" t="s">
        <v>94</v>
      </c>
      <c r="C26" s="0" t="s">
        <v>28</v>
      </c>
      <c r="D26" s="0" t="n">
        <v>288</v>
      </c>
      <c r="E26" s="0" t="s">
        <v>95</v>
      </c>
      <c r="F26" s="0" t="n">
        <v>288</v>
      </c>
      <c r="G26" s="0" t="n">
        <v>288</v>
      </c>
    </row>
    <row collapsed="false" customFormat="false" customHeight="false" hidden="false" ht="12.75" outlineLevel="0" r="31">
      <c r="A31" s="0" t="s">
        <v>180</v>
      </c>
    </row>
    <row collapsed="false" customFormat="false" customHeight="false" hidden="false" ht="12.75" outlineLevel="0" r="32">
      <c r="B32" s="0" t="s">
        <v>89</v>
      </c>
      <c r="C32" s="0" t="s">
        <v>90</v>
      </c>
      <c r="D32" s="0" t="n">
        <v>189</v>
      </c>
      <c r="F32" s="0" t="n">
        <v>243</v>
      </c>
    </row>
    <row collapsed="false" customFormat="false" customHeight="false" hidden="false" ht="12.75" outlineLevel="0" r="33">
      <c r="C33" s="0" t="s">
        <v>92</v>
      </c>
      <c r="D33" s="0" t="n">
        <v>54</v>
      </c>
    </row>
    <row collapsed="false" customFormat="false" customHeight="false" hidden="false" ht="12.75" outlineLevel="0" r="34">
      <c r="C34" s="0" t="s">
        <v>93</v>
      </c>
      <c r="D34" s="0" t="n">
        <v>180</v>
      </c>
    </row>
    <row collapsed="false" customFormat="false" customHeight="false" hidden="false" ht="12.75" outlineLevel="0" r="35">
      <c r="C35" s="0" t="s">
        <v>67</v>
      </c>
      <c r="D35" s="0" t="n">
        <v>550</v>
      </c>
    </row>
    <row collapsed="false" customFormat="false" customHeight="false" hidden="false" ht="12.75" outlineLevel="0" r="41">
      <c r="B41" s="0" t="s">
        <v>98</v>
      </c>
    </row>
    <row collapsed="false" customFormat="false" customHeight="false" hidden="false" ht="12.75" outlineLevel="0" r="42">
      <c r="C42" s="0" t="s">
        <v>28</v>
      </c>
      <c r="D42" s="0" t="n">
        <v>288</v>
      </c>
    </row>
    <row collapsed="false" customFormat="false" customHeight="false" hidden="false" ht="12.75" outlineLevel="0" r="49">
      <c r="A49" s="0" t="s">
        <v>100</v>
      </c>
    </row>
    <row collapsed="false" customFormat="false" customHeight="false" hidden="false" ht="12.75" outlineLevel="0" r="50">
      <c r="B50" s="0" t="s">
        <v>101</v>
      </c>
      <c r="C50" s="0" t="s">
        <v>90</v>
      </c>
      <c r="D50" s="0" t="n">
        <v>243</v>
      </c>
      <c r="E50" s="0" t="s">
        <v>102</v>
      </c>
    </row>
    <row collapsed="false" customFormat="false" customHeight="false" hidden="false" ht="12.75" outlineLevel="0" r="51">
      <c r="C51" s="0" t="s">
        <v>103</v>
      </c>
    </row>
    <row collapsed="false" customFormat="false" customHeight="false" hidden="false" ht="12.75" outlineLevel="0" r="52">
      <c r="C52" s="0" t="s">
        <v>104</v>
      </c>
      <c r="D52" s="0" t="n">
        <v>180</v>
      </c>
    </row>
    <row collapsed="false" customFormat="false" customHeight="false" hidden="false" ht="12.75" outlineLevel="0" r="53">
      <c r="C53" s="0" t="s">
        <v>67</v>
      </c>
      <c r="D53" s="0" t="n">
        <v>550</v>
      </c>
    </row>
    <row collapsed="false" customFormat="false" customHeight="false" hidden="false" ht="12.75" outlineLevel="0" r="54">
      <c r="C54" s="0" t="s">
        <v>71</v>
      </c>
    </row>
    <row collapsed="false" customFormat="false" customHeight="false" hidden="false" ht="12.75" outlineLevel="0" r="56">
      <c r="B56" s="0" t="s">
        <v>105</v>
      </c>
      <c r="C56" s="0" t="s">
        <v>44</v>
      </c>
      <c r="D56" s="0" t="n">
        <v>101700</v>
      </c>
    </row>
    <row collapsed="false" customFormat="false" customHeight="false" hidden="false" ht="12.75" outlineLevel="0" r="57">
      <c r="C57" s="0" t="s">
        <v>106</v>
      </c>
      <c r="D57" s="0" t="n">
        <v>2000</v>
      </c>
    </row>
    <row collapsed="false" customFormat="false" customHeight="false" hidden="false" ht="12.75" outlineLevel="0" r="58">
      <c r="C58" s="0" t="s">
        <v>28</v>
      </c>
      <c r="D58" s="0" t="n">
        <v>288</v>
      </c>
      <c r="E58" s="0" t="s">
        <v>107</v>
      </c>
    </row>
    <row collapsed="false" customFormat="false" customHeight="false" hidden="false" ht="12.75" outlineLevel="0" r="60">
      <c r="A60" s="0" t="s">
        <v>108</v>
      </c>
      <c r="B60" s="0" t="s">
        <v>89</v>
      </c>
      <c r="C60" s="0" t="s">
        <v>67</v>
      </c>
      <c r="D60" s="0" t="n">
        <v>550</v>
      </c>
      <c r="E60" s="2" t="n">
        <f aca="false">D60/16</f>
        <v>34.375</v>
      </c>
    </row>
    <row collapsed="false" customFormat="false" customHeight="false" hidden="false" ht="12.75" outlineLevel="0" r="61">
      <c r="C61" s="0" t="s">
        <v>110</v>
      </c>
      <c r="D61" s="0" t="n">
        <v>180</v>
      </c>
      <c r="E61" s="2" t="n">
        <f aca="false">D61/16</f>
        <v>11.25</v>
      </c>
    </row>
    <row collapsed="false" customFormat="false" customHeight="false" hidden="false" ht="12.75" outlineLevel="0" r="62">
      <c r="C62" s="0" t="s">
        <v>90</v>
      </c>
      <c r="D62" s="0" t="n">
        <v>243</v>
      </c>
      <c r="E62" s="2" t="n">
        <f aca="false">D62/16</f>
        <v>15.1875</v>
      </c>
    </row>
    <row collapsed="false" customFormat="false" customHeight="false" hidden="false" ht="12.75" outlineLevel="0" r="63">
      <c r="D63" s="2" t="n">
        <f aca="false">SUM(D60:D62)</f>
        <v>973</v>
      </c>
      <c r="E63" s="2" t="n">
        <f aca="false">SUM(E60:E62)</f>
        <v>60.8125</v>
      </c>
      <c r="F63" s="0" t="n">
        <v>4500</v>
      </c>
      <c r="G63" s="2" t="n">
        <f aca="false">E63*F63</f>
        <v>273656.25</v>
      </c>
    </row>
    <row collapsed="false" customFormat="false" customHeight="false" hidden="false" ht="12.75" outlineLevel="0" r="64">
      <c r="C64" s="2" t="n">
        <f aca="false">7*17</f>
        <v>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B78:C78 A2"/>
    </sheetView>
  </sheetViews>
  <sheetFormatPr defaultRowHeight="12.75"/>
  <cols>
    <col collapsed="false" hidden="false" max="2" min="1" style="0" width="17.1326530612245"/>
    <col collapsed="false" hidden="false" max="3" min="3" style="0" width="21.4285714285714"/>
    <col collapsed="false" hidden="false" max="1025" min="4" style="0" width="17.1326530612245"/>
  </cols>
  <sheetData>
    <row collapsed="false" customFormat="false" customHeight="false" hidden="false" ht="12.75" outlineLevel="0" r="1">
      <c r="A1" s="0" t="s">
        <v>56</v>
      </c>
      <c r="B1" s="0" t="s">
        <v>1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143</v>
      </c>
      <c r="H1" s="0" t="s">
        <v>144</v>
      </c>
      <c r="I1" s="0" t="s">
        <v>22</v>
      </c>
      <c r="J1" s="0" t="s">
        <v>60</v>
      </c>
    </row>
    <row collapsed="false" customFormat="false" customHeight="false" hidden="false" ht="12.75" outlineLevel="0" r="2">
      <c r="A2" s="0" t="s">
        <v>13</v>
      </c>
      <c r="B2" s="0" t="n">
        <v>1520</v>
      </c>
      <c r="C2" s="0" t="s">
        <v>14</v>
      </c>
      <c r="E2" s="2" t="n">
        <f aca="false">B2/16</f>
        <v>95</v>
      </c>
      <c r="F2" s="0" t="n">
        <v>4500</v>
      </c>
      <c r="G2" s="2" t="n">
        <f aca="false">E2*F2</f>
        <v>427500</v>
      </c>
      <c r="H2" s="0" t="s">
        <v>145</v>
      </c>
      <c r="I2" s="2" t="n">
        <f aca="false">E2/16</f>
        <v>5.9375</v>
      </c>
      <c r="J2" s="0" t="n">
        <v>20000</v>
      </c>
      <c r="K2" s="2" t="n">
        <f aca="false">I2*J2</f>
        <v>118750</v>
      </c>
      <c r="L2" s="2" t="n">
        <f aca="false">#ref!</f>
        <v>0</v>
      </c>
      <c r="M2" s="2" t="n">
        <f aca="false">L2/15</f>
        <v>0</v>
      </c>
    </row>
    <row collapsed="false" customFormat="false" customHeight="false" hidden="false" ht="12.75" outlineLevel="0" r="3">
      <c r="A3" s="0" t="s">
        <v>15</v>
      </c>
      <c r="B3" s="0" t="n">
        <v>3700</v>
      </c>
      <c r="C3" s="0" t="s">
        <v>14</v>
      </c>
      <c r="E3" s="2" t="n">
        <f aca="false">B3/16</f>
        <v>231.25</v>
      </c>
      <c r="F3" s="0" t="n">
        <v>4500</v>
      </c>
      <c r="G3" s="2" t="n">
        <f aca="false">E3*F3</f>
        <v>1040625</v>
      </c>
      <c r="I3" s="2" t="n">
        <f aca="false">E3/16</f>
        <v>14.453125</v>
      </c>
      <c r="J3" s="0" t="n">
        <v>20000</v>
      </c>
      <c r="K3" s="2" t="n">
        <f aca="false">I3*J3</f>
        <v>289062.5</v>
      </c>
      <c r="L3" s="2" t="n">
        <f aca="false">#ref!</f>
        <v>0</v>
      </c>
      <c r="M3" s="2" t="n">
        <f aca="false">L3/15</f>
        <v>0</v>
      </c>
    </row>
    <row collapsed="false" customFormat="false" customHeight="false" hidden="false" ht="12.75" outlineLevel="0" r="4">
      <c r="C4" s="0" t="s">
        <v>16</v>
      </c>
      <c r="E4" s="2" t="n">
        <f aca="false">B3/128</f>
        <v>28.90625</v>
      </c>
      <c r="F4" s="0" t="n">
        <v>10000</v>
      </c>
      <c r="G4" s="2" t="n">
        <f aca="false">E4*F4</f>
        <v>289062.5</v>
      </c>
      <c r="I4" s="2" t="n">
        <f aca="false">E4*2</f>
        <v>57.8125</v>
      </c>
      <c r="J4" s="0" t="n">
        <v>20000</v>
      </c>
      <c r="K4" s="2" t="n">
        <f aca="false">I4*J4</f>
        <v>1156250</v>
      </c>
      <c r="L4" s="2" t="n">
        <f aca="false">#ref!</f>
        <v>0</v>
      </c>
      <c r="M4" s="2" t="n">
        <f aca="false">L4/15</f>
        <v>0</v>
      </c>
    </row>
    <row collapsed="false" customFormat="false" customHeight="false" hidden="false" ht="12.75" outlineLevel="0" r="5">
      <c r="C5" s="2" t="n">
        <f aca="false">B3/128</f>
        <v>28.90625</v>
      </c>
      <c r="G5" s="2" t="n">
        <f aca="false">E5*F5</f>
        <v>0</v>
      </c>
    </row>
    <row collapsed="false" customFormat="false" customHeight="false" hidden="false" ht="12.75" outlineLevel="0" r="6">
      <c r="A6" s="0" t="s">
        <v>67</v>
      </c>
      <c r="B6" s="0" t="n">
        <v>550</v>
      </c>
      <c r="C6" s="0" t="s">
        <v>14</v>
      </c>
      <c r="E6" s="2" t="n">
        <f aca="false">B6/16</f>
        <v>34.375</v>
      </c>
      <c r="F6" s="0" t="n">
        <v>4500</v>
      </c>
      <c r="G6" s="2" t="n">
        <f aca="false">E6*F6</f>
        <v>154687.5</v>
      </c>
      <c r="I6" s="2" t="n">
        <f aca="false">E6*2</f>
        <v>68.75</v>
      </c>
      <c r="K6" s="2" t="n">
        <f aca="false">K2+K3</f>
        <v>407812.5</v>
      </c>
      <c r="L6" s="0" t="n">
        <v>0</v>
      </c>
      <c r="M6" s="2" t="n">
        <f aca="false">L6/15</f>
        <v>0</v>
      </c>
    </row>
    <row collapsed="false" customFormat="false" customHeight="false" hidden="false" ht="12.75" outlineLevel="0" r="7">
      <c r="I7" s="2" t="n">
        <f aca="false">E7*2</f>
        <v>0</v>
      </c>
      <c r="K7" s="2" t="n">
        <f aca="false">G6+K6</f>
        <v>562500</v>
      </c>
      <c r="L7" s="2" t="n">
        <f aca="false">SUM(L2:L6)</f>
        <v>0</v>
      </c>
      <c r="M7" s="2" t="n">
        <f aca="false">SUM(M2:M6)</f>
        <v>0</v>
      </c>
    </row>
    <row collapsed="false" customFormat="false" customHeight="false" hidden="false" ht="12.75" outlineLevel="0" r="8">
      <c r="B8" s="2" t="n">
        <f aca="false">B3+B6</f>
        <v>4250</v>
      </c>
      <c r="C8" s="2" t="n">
        <f aca="false">B8/128</f>
        <v>33.203125</v>
      </c>
      <c r="D8" s="2" t="n">
        <f aca="false">C8/8</f>
        <v>4.150390625</v>
      </c>
      <c r="I8" s="2" t="n">
        <f aca="false">E8*2</f>
        <v>0</v>
      </c>
    </row>
    <row collapsed="false" customFormat="false" customHeight="false" hidden="false" ht="12.75" outlineLevel="0" r="9">
      <c r="I9" s="2" t="n">
        <f aca="false">E9*2</f>
        <v>0</v>
      </c>
    </row>
    <row collapsed="false" customFormat="false" customHeight="false" hidden="false" ht="12.75" outlineLevel="0" r="10">
      <c r="I10" s="2" t="n">
        <f aca="false">E10*2</f>
        <v>0</v>
      </c>
    </row>
    <row collapsed="false" customFormat="false" customHeight="false" hidden="false" ht="12.75" outlineLevel="0" r="11">
      <c r="A11" s="0" t="s">
        <v>28</v>
      </c>
      <c r="B11" s="0" t="n">
        <v>288</v>
      </c>
      <c r="C11" s="0" t="s">
        <v>150</v>
      </c>
      <c r="D11" s="0" t="s">
        <v>151</v>
      </c>
      <c r="E11" s="0" t="n">
        <v>1</v>
      </c>
      <c r="F11" s="0" t="n">
        <v>10000</v>
      </c>
      <c r="G11" s="2" t="n">
        <f aca="false">E11*F11</f>
        <v>10000</v>
      </c>
      <c r="I11" s="2" t="n">
        <f aca="false">E11*2</f>
        <v>2</v>
      </c>
    </row>
    <row collapsed="false" customFormat="false" customHeight="false" hidden="false" ht="12.75" outlineLevel="0" r="12">
      <c r="A12" s="0" t="s">
        <v>28</v>
      </c>
      <c r="B12" s="0" t="n">
        <v>288</v>
      </c>
      <c r="C12" s="0" t="s">
        <v>14</v>
      </c>
      <c r="D12" s="0" t="s">
        <v>152</v>
      </c>
      <c r="E12" s="2" t="n">
        <f aca="false">CEILING((B12/16),1,1)</f>
        <v>18</v>
      </c>
      <c r="F12" s="0" t="n">
        <v>4500</v>
      </c>
      <c r="G12" s="2" t="n">
        <f aca="false">E12*F12</f>
        <v>81000</v>
      </c>
    </row>
    <row collapsed="false" customFormat="false" customHeight="false" hidden="false" ht="12.75" outlineLevel="0" r="13">
      <c r="A13" s="0" t="s">
        <v>28</v>
      </c>
      <c r="B13" s="0" t="n">
        <v>288</v>
      </c>
      <c r="C13" s="0" t="s">
        <v>153</v>
      </c>
      <c r="E13" s="0" t="n">
        <v>1</v>
      </c>
      <c r="F13" s="0" t="n">
        <v>10000</v>
      </c>
      <c r="G13" s="2" t="n">
        <f aca="false">E13*F13</f>
        <v>10000</v>
      </c>
    </row>
    <row collapsed="false" customFormat="false" customHeight="false" hidden="false" ht="12.75" outlineLevel="0" r="14">
      <c r="A14" s="0" t="s">
        <v>28</v>
      </c>
      <c r="B14" s="0" t="n">
        <v>288</v>
      </c>
      <c r="C14" s="0" t="s">
        <v>16</v>
      </c>
      <c r="D14" s="0" t="s">
        <v>179</v>
      </c>
      <c r="E14" s="2" t="n">
        <f aca="false">B14/32</f>
        <v>9</v>
      </c>
      <c r="F14" s="0" t="n">
        <v>10000</v>
      </c>
      <c r="G14" s="2" t="n">
        <f aca="false">E14*F14</f>
        <v>90000</v>
      </c>
    </row>
    <row collapsed="false" customFormat="false" customHeight="false" hidden="false" ht="12.75" outlineLevel="0" r="15">
      <c r="A15" s="0" t="s">
        <v>28</v>
      </c>
      <c r="B15" s="0" t="n">
        <v>288</v>
      </c>
      <c r="C15" s="0" t="s">
        <v>9</v>
      </c>
      <c r="E15" s="0" t="n">
        <v>2</v>
      </c>
      <c r="F15" s="0" t="n">
        <v>3000</v>
      </c>
      <c r="G15" s="2" t="n">
        <f aca="false">E15*F15</f>
        <v>6000</v>
      </c>
    </row>
    <row collapsed="false" customFormat="false" customHeight="false" hidden="false" ht="12.75" outlineLevel="0" r="16">
      <c r="A16" s="0" t="s">
        <v>28</v>
      </c>
      <c r="B16" s="0" t="n">
        <v>288</v>
      </c>
      <c r="C16" s="0" t="s">
        <v>154</v>
      </c>
      <c r="E16" s="0" t="n">
        <v>2</v>
      </c>
      <c r="F16" s="0" t="n">
        <v>3500</v>
      </c>
      <c r="G16" s="2" t="n">
        <f aca="false">E16*F16</f>
        <v>7000</v>
      </c>
    </row>
    <row collapsed="false" customFormat="false" customHeight="false" hidden="false" ht="12.75" outlineLevel="0" r="17">
      <c r="A17" s="0" t="s">
        <v>28</v>
      </c>
      <c r="B17" s="0" t="n">
        <v>288</v>
      </c>
      <c r="C17" s="0" t="s">
        <v>68</v>
      </c>
      <c r="E17" s="0" t="n">
        <v>2</v>
      </c>
      <c r="F17" s="0" t="n">
        <v>11500</v>
      </c>
      <c r="G17" s="2" t="n">
        <f aca="false">E17*F17</f>
        <v>23000</v>
      </c>
    </row>
    <row collapsed="false" customFormat="false" customHeight="false" hidden="false" ht="12.75" outlineLevel="0" r="18">
      <c r="G18" s="2" t="n">
        <f aca="false">SUM(G12:G17)</f>
        <v>217000</v>
      </c>
    </row>
    <row collapsed="false" customFormat="false" customHeight="false" hidden="false" ht="12.75" outlineLevel="0" r="19">
      <c r="A19" s="0" t="s">
        <v>155</v>
      </c>
      <c r="B19" s="0" t="n">
        <v>62500</v>
      </c>
    </row>
    <row collapsed="false" customFormat="false" customHeight="false" hidden="false" ht="12.75" outlineLevel="0" r="20">
      <c r="A20" s="0" t="s">
        <v>155</v>
      </c>
      <c r="B20" s="0" t="n">
        <v>27200</v>
      </c>
    </row>
    <row collapsed="false" customFormat="false" customHeight="false" hidden="false" ht="12.75" outlineLevel="0" r="21">
      <c r="A21" s="0" t="s">
        <v>155</v>
      </c>
      <c r="B21" s="0" t="n">
        <v>12000</v>
      </c>
      <c r="F21" s="2" t="n">
        <f aca="false">3700</f>
        <v>3700</v>
      </c>
      <c r="G21" s="2" t="n">
        <f aca="false">F21*1.4</f>
        <v>5180</v>
      </c>
    </row>
    <row collapsed="false" customFormat="false" customHeight="false" hidden="false" ht="12.75" outlineLevel="0" r="22">
      <c r="A22" s="0" t="s">
        <v>44</v>
      </c>
      <c r="B22" s="2" t="n">
        <f aca="false">SUM(B19:B21)</f>
        <v>101700</v>
      </c>
      <c r="C22" s="0" t="s">
        <v>156</v>
      </c>
      <c r="D22" s="0" t="s">
        <v>157</v>
      </c>
      <c r="E22" s="2" t="n">
        <f aca="false">CEILING(((B22/128)/8),1,1)</f>
        <v>100</v>
      </c>
      <c r="F22" s="0" t="n">
        <v>5000</v>
      </c>
      <c r="G22" s="2" t="n">
        <f aca="false">E22*F22</f>
        <v>500000</v>
      </c>
    </row>
    <row collapsed="false" customFormat="false" customHeight="false" hidden="false" ht="12.75" outlineLevel="0" r="23">
      <c r="A23" s="0" t="s">
        <v>44</v>
      </c>
      <c r="C23" s="0" t="s">
        <v>68</v>
      </c>
      <c r="E23" s="2" t="n">
        <f aca="false">CEILING((E22/17),1,1)</f>
        <v>6</v>
      </c>
      <c r="F23" s="0" t="n">
        <v>11500</v>
      </c>
      <c r="G23" s="2" t="n">
        <f aca="false">E23*F23</f>
        <v>69000</v>
      </c>
    </row>
    <row collapsed="false" customFormat="false" customHeight="false" hidden="false" ht="12.75" outlineLevel="0" r="24">
      <c r="C24" s="0" t="s">
        <v>8</v>
      </c>
      <c r="E24" s="2" t="n">
        <f aca="false">E23</f>
        <v>6</v>
      </c>
      <c r="F24" s="0" t="n">
        <v>3500</v>
      </c>
      <c r="G24" s="2" t="n">
        <f aca="false">E24*F24</f>
        <v>21000</v>
      </c>
    </row>
    <row collapsed="false" customFormat="false" customHeight="false" hidden="false" ht="12.75" outlineLevel="0" r="25">
      <c r="C25" s="0" t="s">
        <v>9</v>
      </c>
      <c r="E25" s="2" t="n">
        <f aca="false">E24</f>
        <v>6</v>
      </c>
      <c r="F25" s="0" t="n">
        <v>3000</v>
      </c>
      <c r="G25" s="2" t="n">
        <f aca="false">E25*F25</f>
        <v>18000</v>
      </c>
    </row>
    <row collapsed="false" customFormat="false" customHeight="false" hidden="false" ht="12.75" outlineLevel="0" r="27">
      <c r="G27" s="2" t="n">
        <f aca="false">SUM(G2:G25)</f>
        <v>2969055</v>
      </c>
    </row>
    <row collapsed="false" customFormat="false" customHeight="false" hidden="false" ht="12.75" outlineLevel="0" r="29">
      <c r="B29" s="2" t="n">
        <f aca="false">B22/2048</f>
        <v>49.658203125</v>
      </c>
      <c r="C29" s="2" t="n">
        <f aca="false">B29/21</f>
        <v>2.36467633928571</v>
      </c>
    </row>
    <row collapsed="false" customFormat="false" customHeight="false" hidden="false" ht="12.75" outlineLevel="0" r="33">
      <c r="A33" s="0" t="s">
        <v>106</v>
      </c>
      <c r="I33" s="0" t="s">
        <v>40</v>
      </c>
      <c r="J33" s="2" t="n">
        <f aca="false">#ref!</f>
        <v>14.453125</v>
      </c>
    </row>
    <row collapsed="false" customFormat="false" customHeight="false" hidden="false" ht="12.75" outlineLevel="0" r="34">
      <c r="A34" s="0" t="s">
        <v>106</v>
      </c>
    </row>
    <row collapsed="false" customFormat="false" customHeight="false" hidden="false" ht="12.75" outlineLevel="0" r="35">
      <c r="A35" s="0" t="s">
        <v>106</v>
      </c>
    </row>
    <row collapsed="false" customFormat="false" customHeight="false" hidden="false" ht="12.75" outlineLevel="0" r="36">
      <c r="A36" s="0" t="s">
        <v>106</v>
      </c>
    </row>
    <row collapsed="false" customFormat="false" customHeight="false" hidden="false" ht="12.75" outlineLevel="0" r="39">
      <c r="A39" s="0" t="s">
        <v>153</v>
      </c>
      <c r="C39" s="0" t="s">
        <v>55</v>
      </c>
      <c r="H39" s="0" t="s">
        <v>158</v>
      </c>
    </row>
    <row collapsed="false" customFormat="false" customHeight="false" hidden="false" ht="12.75" outlineLevel="0" r="42">
      <c r="A42" s="0" t="s">
        <v>159</v>
      </c>
    </row>
    <row collapsed="false" customFormat="false" customHeight="false" hidden="false" ht="12.75" outlineLevel="0" r="43">
      <c r="A43" s="0" t="s">
        <v>160</v>
      </c>
    </row>
    <row collapsed="false" customFormat="false" customHeight="false" hidden="false" ht="12.75" outlineLevel="0" r="52">
      <c r="A52" s="0" t="s">
        <v>161</v>
      </c>
    </row>
    <row collapsed="false" customFormat="false" customHeight="false" hidden="false" ht="12.75" outlineLevel="0" r="53">
      <c r="A53" s="0" t="s">
        <v>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B78:C78 A2"/>
    </sheetView>
  </sheetViews>
  <sheetFormatPr defaultRowHeight="12.75"/>
  <cols>
    <col collapsed="false" hidden="false" max="2" min="1" style="0" width="17.1326530612245"/>
    <col collapsed="false" hidden="false" max="3" min="3" style="0" width="21.4285714285714"/>
    <col collapsed="false" hidden="false" max="9" min="4" style="0" width="17.1326530612245"/>
    <col collapsed="false" hidden="false" max="10" min="10" style="0" width="22.7040816326531"/>
    <col collapsed="false" hidden="false" max="1025" min="11" style="0" width="17.1326530612245"/>
  </cols>
  <sheetData>
    <row collapsed="false" customFormat="false" customHeight="false" hidden="false" ht="12.75" outlineLevel="0" r="1">
      <c r="A1" s="0" t="s">
        <v>56</v>
      </c>
      <c r="B1" s="0" t="s">
        <v>1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143</v>
      </c>
      <c r="H1" s="0" t="s">
        <v>181</v>
      </c>
      <c r="I1" s="0" t="s">
        <v>32</v>
      </c>
      <c r="J1" s="0" t="s">
        <v>182</v>
      </c>
      <c r="L1" s="0" t="s">
        <v>22</v>
      </c>
      <c r="M1" s="0" t="s">
        <v>60</v>
      </c>
    </row>
    <row collapsed="false" customFormat="false" customHeight="false" hidden="false" ht="12.75" outlineLevel="0" r="2">
      <c r="A2" s="0" t="s">
        <v>13</v>
      </c>
      <c r="B2" s="0" t="n">
        <v>1520</v>
      </c>
      <c r="C2" s="0" t="s">
        <v>14</v>
      </c>
      <c r="E2" s="2" t="n">
        <f aca="false">CEILING((B2/16),1,1)</f>
        <v>95</v>
      </c>
      <c r="F2" s="0" t="n">
        <v>4500</v>
      </c>
      <c r="G2" s="2" t="n">
        <f aca="false">E2*F2</f>
        <v>427500</v>
      </c>
      <c r="H2" s="2" t="n">
        <f aca="false">G2</f>
        <v>427500</v>
      </c>
      <c r="I2" s="2" t="n">
        <f aca="false">E2</f>
        <v>95</v>
      </c>
      <c r="J2" s="2" t="n">
        <f aca="false">I2*F2</f>
        <v>427500</v>
      </c>
      <c r="L2" s="2" t="n">
        <f aca="false">E2/16</f>
        <v>5.9375</v>
      </c>
      <c r="M2" s="0" t="n">
        <v>20000</v>
      </c>
      <c r="N2" s="2" t="n">
        <f aca="false">L2*M2</f>
        <v>118750</v>
      </c>
      <c r="O2" s="2" t="n">
        <f aca="false">#ref!</f>
        <v>0</v>
      </c>
      <c r="P2" s="2" t="n">
        <f aca="false">O2/15</f>
        <v>0</v>
      </c>
    </row>
    <row collapsed="false" customFormat="false" customHeight="false" hidden="false" ht="12.75" outlineLevel="0" r="3">
      <c r="A3" s="0" t="s">
        <v>15</v>
      </c>
      <c r="B3" s="0" t="n">
        <v>3700</v>
      </c>
      <c r="C3" s="0" t="s">
        <v>14</v>
      </c>
      <c r="E3" s="2" t="n">
        <f aca="false">CEILING((B3/16),1,1)</f>
        <v>232</v>
      </c>
      <c r="F3" s="0" t="n">
        <v>4500</v>
      </c>
      <c r="G3" s="2" t="n">
        <f aca="false">E3*F3</f>
        <v>1044000</v>
      </c>
      <c r="H3" s="2" t="n">
        <f aca="false">G3</f>
        <v>1044000</v>
      </c>
      <c r="I3" s="0" t="n">
        <v>0</v>
      </c>
      <c r="J3" s="2" t="n">
        <f aca="false">I3*F3</f>
        <v>0</v>
      </c>
      <c r="L3" s="2" t="n">
        <f aca="false">E3/16</f>
        <v>14.5</v>
      </c>
      <c r="M3" s="0" t="n">
        <v>20000</v>
      </c>
      <c r="N3" s="2" t="n">
        <f aca="false">L3*M3</f>
        <v>290000</v>
      </c>
      <c r="O3" s="2" t="n">
        <f aca="false">#ref!</f>
        <v>0</v>
      </c>
      <c r="P3" s="2" t="n">
        <f aca="false">O3/15</f>
        <v>0</v>
      </c>
    </row>
    <row collapsed="false" customFormat="false" customHeight="false" hidden="false" ht="12.75" outlineLevel="0" r="4">
      <c r="C4" s="0" t="s">
        <v>16</v>
      </c>
      <c r="E4" s="2" t="n">
        <f aca="false">CEILING((((B2+B3)+B6)/128),1,1)</f>
        <v>46</v>
      </c>
      <c r="F4" s="0" t="n">
        <v>10000</v>
      </c>
      <c r="G4" s="2" t="n">
        <f aca="false">E4*F4</f>
        <v>460000</v>
      </c>
      <c r="H4" s="0" t="n">
        <v>0</v>
      </c>
      <c r="I4" s="2" t="n">
        <f aca="false">E4</f>
        <v>46</v>
      </c>
      <c r="J4" s="2" t="n">
        <f aca="false">I4*F4</f>
        <v>460000</v>
      </c>
      <c r="L4" s="2" t="n">
        <f aca="false">E4*2</f>
        <v>92</v>
      </c>
      <c r="M4" s="0" t="n">
        <v>20000</v>
      </c>
      <c r="N4" s="2" t="n">
        <f aca="false">L4*M4</f>
        <v>1840000</v>
      </c>
      <c r="O4" s="2" t="n">
        <f aca="false">#ref!</f>
        <v>0</v>
      </c>
      <c r="P4" s="2" t="n">
        <f aca="false">O4/15</f>
        <v>0</v>
      </c>
    </row>
    <row collapsed="false" customFormat="false" customHeight="false" hidden="false" ht="12.75" outlineLevel="0" r="5">
      <c r="C5" s="2" t="n">
        <f aca="false">B3/128</f>
        <v>28.90625</v>
      </c>
      <c r="E5" s="2" t="n">
        <f aca="false">CEILING((B5/16),1,1)</f>
        <v>0</v>
      </c>
      <c r="G5" s="2" t="n">
        <f aca="false">E5*F5</f>
        <v>0</v>
      </c>
      <c r="H5" s="2" t="n">
        <f aca="false">G5</f>
        <v>0</v>
      </c>
      <c r="I5" s="2" t="n">
        <f aca="false">E5</f>
        <v>0</v>
      </c>
      <c r="J5" s="2" t="n">
        <f aca="false">I5*F5</f>
        <v>0</v>
      </c>
    </row>
    <row collapsed="false" customFormat="false" customHeight="false" hidden="false" ht="12.75" outlineLevel="0" r="6">
      <c r="A6" s="0" t="s">
        <v>67</v>
      </c>
      <c r="B6" s="0" t="n">
        <v>550</v>
      </c>
      <c r="C6" s="0" t="s">
        <v>14</v>
      </c>
      <c r="E6" s="2" t="n">
        <f aca="false">CEILING((B6/16),1,1)</f>
        <v>35</v>
      </c>
      <c r="F6" s="0" t="n">
        <v>4500</v>
      </c>
      <c r="G6" s="2" t="n">
        <f aca="false">E6*F6</f>
        <v>157500</v>
      </c>
      <c r="H6" s="2" t="n">
        <f aca="false">G6</f>
        <v>157500</v>
      </c>
      <c r="I6" s="0" t="n">
        <v>0</v>
      </c>
      <c r="J6" s="2" t="n">
        <f aca="false">I6*F6</f>
        <v>0</v>
      </c>
      <c r="L6" s="2" t="n">
        <f aca="false">E6*2</f>
        <v>70</v>
      </c>
      <c r="N6" s="2" t="n">
        <f aca="false">N2+N3</f>
        <v>408750</v>
      </c>
      <c r="O6" s="0" t="n">
        <v>0</v>
      </c>
      <c r="P6" s="2" t="n">
        <f aca="false">O6/15</f>
        <v>0</v>
      </c>
    </row>
    <row collapsed="false" customFormat="false" customHeight="false" hidden="false" ht="12.75" outlineLevel="0" r="7">
      <c r="C7" s="0" t="s">
        <v>68</v>
      </c>
      <c r="E7" s="2" t="n">
        <f aca="false">CEILING((((E2+E3)+E6)/16),1,1)</f>
        <v>23</v>
      </c>
      <c r="F7" s="0" t="n">
        <v>15000</v>
      </c>
      <c r="G7" s="2" t="n">
        <f aca="false">E7*F7</f>
        <v>345000</v>
      </c>
      <c r="H7" s="2" t="n">
        <f aca="false">G7</f>
        <v>345000</v>
      </c>
      <c r="I7" s="2" t="n">
        <f aca="false">CEILING((I2/16),1,1)</f>
        <v>6</v>
      </c>
      <c r="J7" s="2" t="n">
        <f aca="false">I7*F7</f>
        <v>90000</v>
      </c>
    </row>
    <row collapsed="false" customFormat="false" customHeight="false" hidden="false" ht="12.75" outlineLevel="0" r="8">
      <c r="C8" s="0" t="s">
        <v>69</v>
      </c>
      <c r="E8" s="2" t="n">
        <f aca="false">CEILING(($E$4/19),1,1)</f>
        <v>3</v>
      </c>
      <c r="F8" s="0" t="n">
        <v>11000</v>
      </c>
      <c r="G8" s="2" t="n">
        <f aca="false">E8*F8</f>
        <v>33000</v>
      </c>
      <c r="H8" s="0" t="n">
        <v>0</v>
      </c>
      <c r="I8" s="2" t="n">
        <f aca="false">E8</f>
        <v>3</v>
      </c>
      <c r="J8" s="2" t="n">
        <f aca="false">I8*F8</f>
        <v>33000</v>
      </c>
    </row>
    <row collapsed="false" customFormat="false" customHeight="false" hidden="false" ht="12.75" outlineLevel="0" r="9">
      <c r="C9" s="0" t="s">
        <v>8</v>
      </c>
      <c r="E9" s="2" t="n">
        <f aca="false">E7+E8</f>
        <v>26</v>
      </c>
      <c r="F9" s="0" t="n">
        <v>3400</v>
      </c>
      <c r="G9" s="2" t="n">
        <f aca="false">E9*F9</f>
        <v>88400</v>
      </c>
      <c r="H9" s="2" t="n">
        <f aca="false">G9</f>
        <v>88400</v>
      </c>
      <c r="I9" s="2" t="n">
        <f aca="false">I7+I8</f>
        <v>9</v>
      </c>
      <c r="J9" s="2" t="n">
        <f aca="false">I9*F9</f>
        <v>30600</v>
      </c>
    </row>
    <row collapsed="false" customFormat="false" customHeight="false" hidden="false" ht="12.75" outlineLevel="0" r="10">
      <c r="C10" s="0" t="s">
        <v>9</v>
      </c>
      <c r="E10" s="2" t="n">
        <f aca="false">E9</f>
        <v>26</v>
      </c>
      <c r="F10" s="0" t="n">
        <v>2000</v>
      </c>
      <c r="G10" s="2" t="n">
        <f aca="false">E10*F10</f>
        <v>52000</v>
      </c>
      <c r="H10" s="2" t="n">
        <f aca="false">G10</f>
        <v>52000</v>
      </c>
      <c r="I10" s="2" t="n">
        <f aca="false">I9</f>
        <v>9</v>
      </c>
      <c r="J10" s="2" t="n">
        <f aca="false">I10*F10</f>
        <v>18000</v>
      </c>
      <c r="L10" s="2" t="n">
        <f aca="false">E10*2</f>
        <v>52</v>
      </c>
      <c r="N10" s="2" t="n">
        <f aca="false">G6+N6</f>
        <v>566250</v>
      </c>
      <c r="O10" s="2" t="n">
        <f aca="false">SUM(O2:O6)</f>
        <v>0</v>
      </c>
      <c r="P10" s="2" t="n">
        <f aca="false">SUM(P2:P6)</f>
        <v>0</v>
      </c>
    </row>
    <row collapsed="false" customFormat="false" customHeight="false" hidden="false" ht="12.75" outlineLevel="0" r="11">
      <c r="C11" s="0" t="s">
        <v>41</v>
      </c>
      <c r="E11" s="2" t="n">
        <f aca="false">E7</f>
        <v>23</v>
      </c>
      <c r="F11" s="0" t="n">
        <v>2000</v>
      </c>
      <c r="G11" s="2" t="n">
        <f aca="false">E11*F11</f>
        <v>46000</v>
      </c>
      <c r="H11" s="2" t="n">
        <f aca="false">G11</f>
        <v>46000</v>
      </c>
      <c r="I11" s="2" t="n">
        <f aca="false">I7</f>
        <v>6</v>
      </c>
      <c r="J11" s="2" t="n">
        <f aca="false">I11*F11</f>
        <v>12000</v>
      </c>
    </row>
    <row collapsed="false" customFormat="false" customHeight="false" hidden="false" ht="12.75" outlineLevel="0" r="12">
      <c r="C12" s="0" t="s">
        <v>39</v>
      </c>
      <c r="E12" s="2" t="n">
        <f aca="false">CEILING(($E$4/19),1,1)</f>
        <v>3</v>
      </c>
      <c r="F12" s="0" t="n">
        <v>4500</v>
      </c>
      <c r="G12" s="2" t="n">
        <f aca="false">E12*F12</f>
        <v>13500</v>
      </c>
      <c r="H12" s="2" t="n">
        <f aca="false">G12</f>
        <v>13500</v>
      </c>
      <c r="I12" s="2" t="n">
        <f aca="false">I7</f>
        <v>6</v>
      </c>
      <c r="J12" s="2" t="n">
        <f aca="false">I12*F12</f>
        <v>27000</v>
      </c>
    </row>
    <row collapsed="false" customFormat="false" customHeight="false" hidden="false" ht="12.75" outlineLevel="0" r="15">
      <c r="B15" s="2" t="n">
        <f aca="false">B3+B6</f>
        <v>4250</v>
      </c>
      <c r="C15" s="2" t="n">
        <f aca="false">B15/128</f>
        <v>33.203125</v>
      </c>
      <c r="D15" s="2" t="n">
        <f aca="false">C15/8</f>
        <v>4.150390625</v>
      </c>
      <c r="G15" s="2" t="n">
        <f aca="false">SUM(G2:G12)</f>
        <v>2666900</v>
      </c>
      <c r="H15" s="2" t="n">
        <f aca="false">SUM(H2:H12)</f>
        <v>2173900</v>
      </c>
      <c r="J15" s="2" t="n">
        <f aca="false">SUM(J2:J12)</f>
        <v>1098100</v>
      </c>
      <c r="L15" s="2" t="n">
        <f aca="false">E15*2</f>
        <v>0</v>
      </c>
    </row>
    <row collapsed="false" customFormat="false" customHeight="false" hidden="false" ht="12.75" outlineLevel="0" r="16">
      <c r="L16" s="2" t="n">
        <f aca="false">E16*2</f>
        <v>0</v>
      </c>
    </row>
    <row collapsed="false" customFormat="false" customHeight="false" hidden="false" ht="12.75" outlineLevel="0" r="17">
      <c r="L17" s="2" t="n">
        <f aca="false">E17*2</f>
        <v>0</v>
      </c>
    </row>
    <row collapsed="false" customFormat="false" customHeight="false" hidden="false" ht="12.75" outlineLevel="0" r="18">
      <c r="A18" s="0" t="s">
        <v>28</v>
      </c>
      <c r="B18" s="0" t="n">
        <v>288</v>
      </c>
      <c r="C18" s="0" t="s">
        <v>150</v>
      </c>
      <c r="D18" s="0" t="s">
        <v>151</v>
      </c>
      <c r="E18" s="0" t="n">
        <v>1</v>
      </c>
      <c r="F18" s="0" t="n">
        <v>10000</v>
      </c>
      <c r="G18" s="2" t="n">
        <f aca="false">E18*F18</f>
        <v>10000</v>
      </c>
      <c r="L18" s="2" t="n">
        <f aca="false">E18*2</f>
        <v>2</v>
      </c>
    </row>
    <row collapsed="false" customFormat="false" customHeight="false" hidden="false" ht="12.75" outlineLevel="0" r="19">
      <c r="A19" s="0" t="s">
        <v>28</v>
      </c>
      <c r="B19" s="0" t="n">
        <v>288</v>
      </c>
      <c r="C19" s="0" t="s">
        <v>14</v>
      </c>
      <c r="D19" s="0" t="s">
        <v>152</v>
      </c>
      <c r="E19" s="2" t="n">
        <f aca="false">CEILING((B19/16),1,1)</f>
        <v>18</v>
      </c>
      <c r="F19" s="0" t="n">
        <v>4500</v>
      </c>
      <c r="G19" s="2" t="n">
        <f aca="false">E19*F19</f>
        <v>81000</v>
      </c>
    </row>
    <row collapsed="false" customFormat="false" customHeight="false" hidden="false" ht="12.75" outlineLevel="0" r="20">
      <c r="A20" s="0" t="s">
        <v>28</v>
      </c>
      <c r="B20" s="0" t="n">
        <v>288</v>
      </c>
      <c r="C20" s="0" t="s">
        <v>153</v>
      </c>
      <c r="E20" s="0" t="n">
        <v>1</v>
      </c>
      <c r="F20" s="0" t="n">
        <v>10000</v>
      </c>
      <c r="G20" s="2" t="n">
        <f aca="false">E20*F20</f>
        <v>10000</v>
      </c>
    </row>
    <row collapsed="false" customFormat="false" customHeight="false" hidden="false" ht="12.75" outlineLevel="0" r="21">
      <c r="A21" s="0" t="s">
        <v>28</v>
      </c>
      <c r="B21" s="0" t="n">
        <v>288</v>
      </c>
      <c r="C21" s="0" t="s">
        <v>16</v>
      </c>
      <c r="D21" s="0" t="s">
        <v>179</v>
      </c>
      <c r="E21" s="2" t="n">
        <f aca="false">B21/32</f>
        <v>9</v>
      </c>
      <c r="F21" s="0" t="n">
        <v>10000</v>
      </c>
      <c r="G21" s="2" t="n">
        <f aca="false">E21*F21</f>
        <v>90000</v>
      </c>
    </row>
    <row collapsed="false" customFormat="false" customHeight="false" hidden="false" ht="12.75" outlineLevel="0" r="22">
      <c r="A22" s="0" t="s">
        <v>28</v>
      </c>
      <c r="B22" s="0" t="n">
        <v>288</v>
      </c>
      <c r="C22" s="0" t="s">
        <v>9</v>
      </c>
      <c r="E22" s="0" t="n">
        <v>2</v>
      </c>
      <c r="F22" s="0" t="n">
        <v>3000</v>
      </c>
      <c r="G22" s="2" t="n">
        <f aca="false">E22*F22</f>
        <v>6000</v>
      </c>
    </row>
    <row collapsed="false" customFormat="false" customHeight="false" hidden="false" ht="12.75" outlineLevel="0" r="23">
      <c r="A23" s="0" t="s">
        <v>28</v>
      </c>
      <c r="B23" s="0" t="n">
        <v>288</v>
      </c>
      <c r="C23" s="0" t="s">
        <v>154</v>
      </c>
      <c r="E23" s="0" t="n">
        <v>2</v>
      </c>
      <c r="F23" s="0" t="n">
        <v>3500</v>
      </c>
      <c r="G23" s="2" t="n">
        <f aca="false">E23*F23</f>
        <v>7000</v>
      </c>
    </row>
    <row collapsed="false" customFormat="false" customHeight="false" hidden="false" ht="12.75" outlineLevel="0" r="24">
      <c r="A24" s="0" t="s">
        <v>28</v>
      </c>
      <c r="B24" s="0" t="n">
        <v>288</v>
      </c>
      <c r="C24" s="0" t="s">
        <v>68</v>
      </c>
      <c r="E24" s="0" t="n">
        <v>2</v>
      </c>
      <c r="F24" s="0" t="n">
        <v>11500</v>
      </c>
      <c r="G24" s="2" t="n">
        <f aca="false">E24*F24</f>
        <v>23000</v>
      </c>
    </row>
    <row collapsed="false" customFormat="false" customHeight="false" hidden="false" ht="12.75" outlineLevel="0" r="25">
      <c r="G25" s="2" t="n">
        <f aca="false">SUM(G19:G24)</f>
        <v>217000</v>
      </c>
    </row>
    <row collapsed="false" customFormat="false" customHeight="false" hidden="false" ht="12.75" outlineLevel="0" r="26">
      <c r="A26" s="0" t="s">
        <v>155</v>
      </c>
      <c r="B26" s="0" t="n">
        <v>62500</v>
      </c>
    </row>
    <row collapsed="false" customFormat="false" customHeight="false" hidden="false" ht="12.75" outlineLevel="0" r="27">
      <c r="A27" s="0" t="s">
        <v>155</v>
      </c>
      <c r="B27" s="0" t="n">
        <v>27200</v>
      </c>
    </row>
    <row collapsed="false" customFormat="false" customHeight="false" hidden="false" ht="12.75" outlineLevel="0" r="28">
      <c r="A28" s="0" t="s">
        <v>155</v>
      </c>
      <c r="B28" s="0" t="n">
        <v>12000</v>
      </c>
      <c r="F28" s="2" t="n">
        <f aca="false">3700</f>
        <v>3700</v>
      </c>
      <c r="G28" s="2" t="n">
        <f aca="false">F28*1.4</f>
        <v>5180</v>
      </c>
    </row>
    <row collapsed="false" customFormat="false" customHeight="false" hidden="false" ht="12.75" outlineLevel="0" r="29">
      <c r="A29" s="0" t="s">
        <v>44</v>
      </c>
      <c r="B29" s="2" t="n">
        <f aca="false">SUM(B26:B28)</f>
        <v>101700</v>
      </c>
      <c r="C29" s="0" t="s">
        <v>156</v>
      </c>
      <c r="D29" s="0" t="s">
        <v>157</v>
      </c>
      <c r="E29" s="2" t="n">
        <f aca="false">CEILING(((B29/128)/8),1,1)</f>
        <v>100</v>
      </c>
      <c r="F29" s="0" t="n">
        <v>5000</v>
      </c>
      <c r="G29" s="2" t="n">
        <f aca="false">E29*F29</f>
        <v>500000</v>
      </c>
    </row>
    <row collapsed="false" customFormat="false" customHeight="false" hidden="false" ht="12.75" outlineLevel="0" r="30">
      <c r="A30" s="0" t="s">
        <v>44</v>
      </c>
      <c r="C30" s="0" t="s">
        <v>68</v>
      </c>
      <c r="E30" s="2" t="n">
        <f aca="false">CEILING((E29/17),1,1)</f>
        <v>6</v>
      </c>
      <c r="F30" s="0" t="n">
        <v>11500</v>
      </c>
      <c r="G30" s="2" t="n">
        <f aca="false">E30*F30</f>
        <v>69000</v>
      </c>
    </row>
    <row collapsed="false" customFormat="false" customHeight="false" hidden="false" ht="12.75" outlineLevel="0" r="31">
      <c r="C31" s="0" t="s">
        <v>8</v>
      </c>
      <c r="E31" s="2" t="n">
        <f aca="false">E30</f>
        <v>6</v>
      </c>
      <c r="F31" s="0" t="n">
        <v>3500</v>
      </c>
      <c r="G31" s="2" t="n">
        <f aca="false">E31*F31</f>
        <v>21000</v>
      </c>
    </row>
    <row collapsed="false" customFormat="false" customHeight="false" hidden="false" ht="12.75" outlineLevel="0" r="32">
      <c r="C32" s="0" t="s">
        <v>9</v>
      </c>
      <c r="E32" s="2" t="n">
        <f aca="false">E31</f>
        <v>6</v>
      </c>
      <c r="F32" s="0" t="n">
        <v>3000</v>
      </c>
      <c r="G32" s="2" t="n">
        <f aca="false">E32*F32</f>
        <v>18000</v>
      </c>
    </row>
    <row collapsed="false" customFormat="false" customHeight="false" hidden="false" ht="12.75" outlineLevel="0" r="34">
      <c r="G34" s="2" t="n">
        <f aca="false">SUM(G2:G32)</f>
        <v>6390980</v>
      </c>
    </row>
    <row collapsed="false" customFormat="false" customHeight="false" hidden="false" ht="12.75" outlineLevel="0" r="36">
      <c r="B36" s="2" t="n">
        <f aca="false">B29/2048</f>
        <v>49.658203125</v>
      </c>
      <c r="C36" s="2" t="n">
        <f aca="false">B36/21</f>
        <v>2.36467633928571</v>
      </c>
    </row>
    <row collapsed="false" customFormat="false" customHeight="false" hidden="false" ht="12.75" outlineLevel="0" r="40">
      <c r="A40" s="0" t="s">
        <v>106</v>
      </c>
      <c r="L40" s="0" t="s">
        <v>40</v>
      </c>
      <c r="M40" s="2" t="n">
        <f aca="false">#ref!</f>
        <v>14.5</v>
      </c>
    </row>
    <row collapsed="false" customFormat="false" customHeight="false" hidden="false" ht="12.75" outlineLevel="0" r="41">
      <c r="A41" s="0" t="s">
        <v>106</v>
      </c>
    </row>
    <row collapsed="false" customFormat="false" customHeight="false" hidden="false" ht="12.75" outlineLevel="0" r="42">
      <c r="A42" s="0" t="s">
        <v>106</v>
      </c>
    </row>
    <row collapsed="false" customFormat="false" customHeight="false" hidden="false" ht="12.75" outlineLevel="0" r="43">
      <c r="A43" s="0" t="s">
        <v>106</v>
      </c>
    </row>
    <row collapsed="false" customFormat="false" customHeight="false" hidden="false" ht="12.75" outlineLevel="0" r="46">
      <c r="A46" s="0" t="s">
        <v>153</v>
      </c>
      <c r="C46" s="0" t="s">
        <v>55</v>
      </c>
      <c r="I46" s="0" t="s">
        <v>158</v>
      </c>
    </row>
    <row collapsed="false" customFormat="false" customHeight="false" hidden="false" ht="12.75" outlineLevel="0" r="49">
      <c r="A49" s="0" t="s">
        <v>159</v>
      </c>
    </row>
    <row collapsed="false" customFormat="false" customHeight="false" hidden="false" ht="12.75" outlineLevel="0" r="50">
      <c r="A50" s="0" t="s">
        <v>160</v>
      </c>
    </row>
    <row collapsed="false" customFormat="false" customHeight="false" hidden="false" ht="12.75" outlineLevel="0" r="59">
      <c r="A59" s="0" t="s">
        <v>161</v>
      </c>
    </row>
    <row collapsed="false" customFormat="false" customHeight="false" hidden="false" ht="12.75" outlineLevel="0" r="60">
      <c r="A60" s="0" t="s">
        <v>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" min="1" style="0" width="14.0051020408163"/>
    <col collapsed="false" hidden="false" max="2" min="2" style="0" width="9.5765306122449"/>
    <col collapsed="false" hidden="false" max="3" min="3" style="0" width="8"/>
    <col collapsed="false" hidden="false" max="4" min="4" style="0" width="7.29081632653061"/>
    <col collapsed="false" hidden="false" max="5" min="5" style="0" width="11.7091836734694"/>
    <col collapsed="false" hidden="false" max="6" min="6" style="0" width="12.2908163265306"/>
    <col collapsed="false" hidden="false" max="7" min="7" style="0" width="10"/>
    <col collapsed="false" hidden="false" max="8" min="8" style="0" width="11.4285714285714"/>
    <col collapsed="false" hidden="false" max="9" min="9" style="0" width="11.2959183673469"/>
    <col collapsed="false" hidden="false" max="10" min="10" style="0" width="12.5714285714286"/>
    <col collapsed="false" hidden="false" max="11" min="11" style="0" width="10"/>
    <col collapsed="false" hidden="false" max="1025" min="12" style="0" width="17.1326530612245"/>
  </cols>
  <sheetData>
    <row collapsed="false" customFormat="false" customHeight="false" hidden="false" ht="12.75" outlineLevel="0" r="1">
      <c r="A1" s="1" t="s">
        <v>56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  <c r="G1" s="1"/>
      <c r="H1" s="1"/>
      <c r="I1" s="1" t="s">
        <v>143</v>
      </c>
      <c r="J1" s="1" t="s">
        <v>62</v>
      </c>
      <c r="K1" s="1" t="s">
        <v>32</v>
      </c>
      <c r="L1" s="1" t="s">
        <v>182</v>
      </c>
      <c r="M1" s="1"/>
      <c r="N1" s="1"/>
      <c r="O1" s="1"/>
      <c r="P1" s="1"/>
      <c r="Q1" s="1"/>
      <c r="R1" s="1"/>
      <c r="S1" s="1"/>
      <c r="T1" s="1"/>
      <c r="U1" s="1"/>
      <c r="V1" s="1"/>
    </row>
    <row collapsed="false" customFormat="false" customHeight="false" hidden="false" ht="12.75" outlineLevel="0" r="2">
      <c r="A2" s="1" t="s">
        <v>13</v>
      </c>
      <c r="B2" s="1" t="n">
        <v>1744</v>
      </c>
      <c r="C2" s="1" t="s">
        <v>14</v>
      </c>
      <c r="D2" s="1"/>
      <c r="E2" s="1" t="n">
        <f aca="false">CEILING((B2/16),1,1)</f>
        <v>109</v>
      </c>
      <c r="F2" s="1" t="n">
        <v>4500</v>
      </c>
      <c r="G2" s="1"/>
      <c r="H2" s="1"/>
      <c r="I2" s="1" t="n">
        <f aca="false">E2*F2</f>
        <v>490500</v>
      </c>
      <c r="J2" s="1" t="n">
        <f aca="false">I2</f>
        <v>490500</v>
      </c>
      <c r="K2" s="1" t="n">
        <f aca="false">E2</f>
        <v>109</v>
      </c>
      <c r="L2" s="1" t="n">
        <f aca="false">K2*F2</f>
        <v>490500</v>
      </c>
      <c r="M2" s="1"/>
      <c r="N2" s="1"/>
      <c r="O2" s="1"/>
      <c r="P2" s="1"/>
      <c r="Q2" s="1"/>
      <c r="R2" s="1"/>
      <c r="S2" s="1"/>
      <c r="T2" s="1"/>
      <c r="U2" s="1"/>
      <c r="V2" s="1"/>
    </row>
    <row collapsed="false" customFormat="false" customHeight="false" hidden="false" ht="12.75" outlineLevel="0" r="3">
      <c r="A3" s="1" t="s">
        <v>15</v>
      </c>
      <c r="B3" s="1" t="n">
        <v>3700</v>
      </c>
      <c r="C3" s="1" t="s">
        <v>14</v>
      </c>
      <c r="D3" s="1"/>
      <c r="E3" s="1" t="n">
        <f aca="false">CEILING((B3/16),1,1)</f>
        <v>232</v>
      </c>
      <c r="F3" s="1" t="n">
        <v>4500</v>
      </c>
      <c r="G3" s="1"/>
      <c r="H3" s="1"/>
      <c r="I3" s="1" t="n">
        <f aca="false">E3*F3</f>
        <v>1044000</v>
      </c>
      <c r="J3" s="1" t="n">
        <f aca="false">I3</f>
        <v>1044000</v>
      </c>
      <c r="K3" s="1" t="n">
        <v>0</v>
      </c>
      <c r="L3" s="1" t="n">
        <f aca="false">K3*F3</f>
        <v>0</v>
      </c>
      <c r="M3" s="1"/>
      <c r="N3" s="1"/>
      <c r="O3" s="1"/>
      <c r="P3" s="1"/>
      <c r="Q3" s="1"/>
      <c r="R3" s="1"/>
      <c r="S3" s="1"/>
      <c r="T3" s="1"/>
      <c r="U3" s="1"/>
      <c r="V3" s="1"/>
    </row>
    <row collapsed="false" customFormat="false" customHeight="false" hidden="false" ht="12.75" outlineLevel="0" r="4">
      <c r="A4" s="1"/>
      <c r="B4" s="1"/>
      <c r="C4" s="1" t="s">
        <v>16</v>
      </c>
      <c r="D4" s="1"/>
      <c r="E4" s="1" t="n">
        <f aca="false">CEILING((((B2+B3)+B6)/128),1,1)</f>
        <v>47</v>
      </c>
      <c r="F4" s="1" t="n">
        <v>10000</v>
      </c>
      <c r="G4" s="1"/>
      <c r="H4" s="1"/>
      <c r="I4" s="1" t="n">
        <f aca="false">E4*F4</f>
        <v>470000</v>
      </c>
      <c r="J4" s="1" t="n">
        <v>0</v>
      </c>
      <c r="K4" s="1" t="n">
        <f aca="false">E4</f>
        <v>47</v>
      </c>
      <c r="L4" s="1" t="n">
        <f aca="false">K4*F4</f>
        <v>470000</v>
      </c>
      <c r="M4" s="1"/>
      <c r="N4" s="1"/>
      <c r="O4" s="1"/>
      <c r="P4" s="1"/>
      <c r="Q4" s="1"/>
      <c r="R4" s="1"/>
      <c r="S4" s="1"/>
      <c r="T4" s="1"/>
      <c r="U4" s="1"/>
      <c r="V4" s="1"/>
    </row>
    <row collapsed="false" customFormat="false" customHeight="false" hidden="false" ht="12.75" outlineLevel="0" r="5">
      <c r="A5" s="1"/>
      <c r="B5" s="1"/>
      <c r="C5" s="1" t="n">
        <f aca="false">B3/128</f>
        <v>28.90625</v>
      </c>
      <c r="D5" s="1"/>
      <c r="E5" s="1" t="n">
        <f aca="false">CEILING((B5/16),1,1)</f>
        <v>0</v>
      </c>
      <c r="F5" s="1"/>
      <c r="G5" s="1"/>
      <c r="H5" s="1"/>
      <c r="I5" s="1" t="n">
        <f aca="false">E5*F5</f>
        <v>0</v>
      </c>
      <c r="J5" s="1" t="n">
        <f aca="false">I5</f>
        <v>0</v>
      </c>
      <c r="K5" s="1" t="n">
        <f aca="false">E5</f>
        <v>0</v>
      </c>
      <c r="L5" s="1" t="n">
        <f aca="false">K5*F5</f>
        <v>0</v>
      </c>
      <c r="M5" s="1"/>
      <c r="N5" s="1"/>
      <c r="O5" s="1"/>
      <c r="P5" s="1"/>
      <c r="Q5" s="1"/>
      <c r="R5" s="1"/>
      <c r="S5" s="1"/>
      <c r="T5" s="1"/>
      <c r="U5" s="1"/>
      <c r="V5" s="1"/>
    </row>
    <row collapsed="false" customFormat="false" customHeight="false" hidden="false" ht="12.75" outlineLevel="0" r="6">
      <c r="A6" s="1" t="s">
        <v>67</v>
      </c>
      <c r="B6" s="1" t="n">
        <v>550</v>
      </c>
      <c r="C6" s="1" t="s">
        <v>14</v>
      </c>
      <c r="D6" s="1"/>
      <c r="E6" s="1" t="n">
        <f aca="false">CEILING((B6/16),1,1)</f>
        <v>35</v>
      </c>
      <c r="F6" s="1" t="n">
        <v>4500</v>
      </c>
      <c r="G6" s="1"/>
      <c r="H6" s="1"/>
      <c r="I6" s="1" t="n">
        <f aca="false">E6*F6</f>
        <v>157500</v>
      </c>
      <c r="J6" s="1" t="n">
        <f aca="false">I6</f>
        <v>157500</v>
      </c>
      <c r="K6" s="1" t="n">
        <v>0</v>
      </c>
      <c r="L6" s="1" t="n">
        <f aca="false">K6*F6</f>
        <v>0</v>
      </c>
      <c r="M6" s="1"/>
      <c r="N6" s="1"/>
      <c r="O6" s="1"/>
      <c r="P6" s="1"/>
      <c r="Q6" s="1"/>
      <c r="R6" s="1"/>
      <c r="S6" s="1"/>
      <c r="T6" s="1"/>
      <c r="U6" s="1"/>
      <c r="V6" s="1"/>
    </row>
    <row collapsed="false" customFormat="false" customHeight="false" hidden="false" ht="12.75" outlineLevel="0" r="7">
      <c r="A7" s="1"/>
      <c r="B7" s="1"/>
      <c r="C7" s="1" t="s">
        <v>16</v>
      </c>
      <c r="D7" s="1"/>
      <c r="E7" s="1" t="n">
        <f aca="false">CEILING((B6/128),1,1)</f>
        <v>5</v>
      </c>
      <c r="F7" s="1" t="n">
        <v>10000</v>
      </c>
      <c r="G7" s="1"/>
      <c r="H7" s="1"/>
      <c r="I7" s="1" t="n">
        <f aca="false">E7*F7</f>
        <v>50000</v>
      </c>
      <c r="J7" s="1" t="n">
        <v>0</v>
      </c>
      <c r="K7" s="1" t="n">
        <f aca="false">E7</f>
        <v>5</v>
      </c>
      <c r="L7" s="1" t="n">
        <f aca="false">K7*F7</f>
        <v>50000</v>
      </c>
      <c r="M7" s="1"/>
      <c r="N7" s="1"/>
      <c r="O7" s="1"/>
      <c r="P7" s="1"/>
      <c r="Q7" s="1"/>
      <c r="R7" s="1"/>
      <c r="S7" s="1"/>
      <c r="T7" s="1"/>
      <c r="U7" s="1"/>
      <c r="V7" s="1"/>
    </row>
    <row collapsed="false" customFormat="false" customHeight="false" hidden="false" ht="12.75" outlineLevel="0" r="8">
      <c r="A8" s="1"/>
      <c r="B8" s="1"/>
      <c r="C8" s="1" t="s">
        <v>68</v>
      </c>
      <c r="D8" s="1"/>
      <c r="E8" s="1" t="n">
        <f aca="false">CEILING((((E2+E3)+E6)/16),1,1)</f>
        <v>24</v>
      </c>
      <c r="F8" s="1" t="n">
        <v>15000</v>
      </c>
      <c r="G8" s="1"/>
      <c r="H8" s="1"/>
      <c r="I8" s="1" t="n">
        <f aca="false">E8*F8</f>
        <v>360000</v>
      </c>
      <c r="J8" s="1" t="n">
        <f aca="false">I8</f>
        <v>360000</v>
      </c>
      <c r="K8" s="1" t="n">
        <f aca="false">CEILING((K2/16),1,1)</f>
        <v>7</v>
      </c>
      <c r="L8" s="1" t="n">
        <f aca="false">K8*F8</f>
        <v>105000</v>
      </c>
      <c r="M8" s="1"/>
      <c r="N8" s="1"/>
      <c r="O8" s="1"/>
      <c r="P8" s="1"/>
      <c r="Q8" s="1"/>
      <c r="R8" s="1"/>
      <c r="S8" s="1"/>
      <c r="T8" s="1"/>
      <c r="U8" s="1"/>
      <c r="V8" s="1"/>
    </row>
    <row collapsed="false" customFormat="false" customHeight="false" hidden="false" ht="12.75" outlineLevel="0" r="9">
      <c r="A9" s="1"/>
      <c r="B9" s="1"/>
      <c r="C9" s="1" t="s">
        <v>69</v>
      </c>
      <c r="D9" s="1"/>
      <c r="E9" s="1" t="n">
        <f aca="false">CEILING(($E$4/19),1,1)</f>
        <v>3</v>
      </c>
      <c r="F9" s="1" t="n">
        <v>11000</v>
      </c>
      <c r="G9" s="1"/>
      <c r="H9" s="1"/>
      <c r="I9" s="1" t="n">
        <f aca="false">E9*F9</f>
        <v>33000</v>
      </c>
      <c r="J9" s="1" t="n">
        <v>33000</v>
      </c>
      <c r="K9" s="1" t="n">
        <f aca="false">E9</f>
        <v>3</v>
      </c>
      <c r="L9" s="1" t="n">
        <f aca="false">K9*F9</f>
        <v>33000</v>
      </c>
      <c r="M9" s="1"/>
      <c r="N9" s="1"/>
      <c r="O9" s="1"/>
      <c r="P9" s="1"/>
      <c r="Q9" s="1"/>
      <c r="R9" s="1"/>
      <c r="S9" s="1"/>
      <c r="T9" s="1"/>
      <c r="U9" s="1"/>
      <c r="V9" s="1"/>
    </row>
    <row collapsed="false" customFormat="false" customHeight="false" hidden="false" ht="12.75" outlineLevel="0" r="10">
      <c r="A10" s="1"/>
      <c r="B10" s="1"/>
      <c r="C10" s="1" t="s">
        <v>8</v>
      </c>
      <c r="D10" s="1"/>
      <c r="E10" s="1" t="n">
        <f aca="false">E8+E9</f>
        <v>27</v>
      </c>
      <c r="F10" s="1" t="n">
        <v>3400</v>
      </c>
      <c r="G10" s="1"/>
      <c r="H10" s="1"/>
      <c r="I10" s="1" t="n">
        <f aca="false">E10*F10</f>
        <v>91800</v>
      </c>
      <c r="J10" s="1" t="n">
        <f aca="false">I10</f>
        <v>91800</v>
      </c>
      <c r="K10" s="1" t="n">
        <f aca="false">K8+K9</f>
        <v>10</v>
      </c>
      <c r="L10" s="1" t="n">
        <f aca="false">K10*F10</f>
        <v>34000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collapsed="false" customFormat="false" customHeight="false" hidden="false" ht="12.75" outlineLevel="0" r="11">
      <c r="A11" s="1"/>
      <c r="B11" s="1"/>
      <c r="C11" s="1" t="s">
        <v>9</v>
      </c>
      <c r="D11" s="1"/>
      <c r="E11" s="1" t="n">
        <f aca="false">E10</f>
        <v>27</v>
      </c>
      <c r="F11" s="1" t="n">
        <v>2000</v>
      </c>
      <c r="G11" s="1"/>
      <c r="H11" s="1"/>
      <c r="I11" s="1" t="n">
        <f aca="false">E11*F11</f>
        <v>54000</v>
      </c>
      <c r="J11" s="1" t="n">
        <f aca="false">I11</f>
        <v>54000</v>
      </c>
      <c r="K11" s="1" t="n">
        <f aca="false">K10</f>
        <v>10</v>
      </c>
      <c r="L11" s="1" t="n">
        <f aca="false">K11*F11</f>
        <v>20000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collapsed="false" customFormat="false" customHeight="false" hidden="false" ht="12.75" outlineLevel="0" r="12">
      <c r="A12" s="1"/>
      <c r="B12" s="1"/>
      <c r="C12" s="1" t="s">
        <v>41</v>
      </c>
      <c r="D12" s="1"/>
      <c r="E12" s="1" t="n">
        <f aca="false">E8</f>
        <v>24</v>
      </c>
      <c r="F12" s="1" t="n">
        <v>2000</v>
      </c>
      <c r="G12" s="1"/>
      <c r="H12" s="1"/>
      <c r="I12" s="1" t="n">
        <f aca="false">E12*F12</f>
        <v>48000</v>
      </c>
      <c r="J12" s="1" t="n">
        <f aca="false">I12</f>
        <v>48000</v>
      </c>
      <c r="K12" s="1" t="n">
        <f aca="false">K8</f>
        <v>7</v>
      </c>
      <c r="L12" s="1" t="n">
        <f aca="false">K12*F12</f>
        <v>14000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collapsed="false" customFormat="false" customHeight="false" hidden="false" ht="12.75" outlineLevel="0" r="13">
      <c r="A13" s="1"/>
      <c r="B13" s="1"/>
      <c r="C13" s="1" t="s">
        <v>39</v>
      </c>
      <c r="D13" s="1"/>
      <c r="E13" s="1" t="n">
        <f aca="false">CEILING(($E$4/19),1,1)</f>
        <v>3</v>
      </c>
      <c r="F13" s="1" t="n">
        <v>4500</v>
      </c>
      <c r="G13" s="1"/>
      <c r="H13" s="1"/>
      <c r="I13" s="1" t="n">
        <f aca="false">E13*F13</f>
        <v>13500</v>
      </c>
      <c r="J13" s="1" t="n">
        <f aca="false">I13</f>
        <v>13500</v>
      </c>
      <c r="K13" s="1" t="n">
        <f aca="false">K8</f>
        <v>7</v>
      </c>
      <c r="L13" s="1" t="n">
        <f aca="false">K13*F13</f>
        <v>31500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collapsed="false" customFormat="false" customHeight="false" hidden="false" ht="12.75" outlineLevel="0"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n">
        <v>177</v>
      </c>
      <c r="P14" s="1" t="n">
        <v>1877</v>
      </c>
      <c r="Q14" s="1"/>
      <c r="R14" s="1"/>
      <c r="S14" s="1"/>
      <c r="T14" s="1"/>
      <c r="U14" s="1"/>
      <c r="V14" s="1"/>
    </row>
    <row collapsed="false" customFormat="false" customHeight="false" hidden="false" ht="12.75" outlineLevel="0"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n">
        <v>52</v>
      </c>
      <c r="P15" s="1" t="n">
        <v>1881</v>
      </c>
      <c r="Q15" s="1"/>
      <c r="R15" s="1"/>
      <c r="S15" s="1"/>
      <c r="T15" s="1"/>
      <c r="U15" s="1"/>
      <c r="V15" s="1"/>
    </row>
    <row collapsed="false" customFormat="false" customHeight="false" hidden="false" ht="12.75" outlineLevel="0" r="16">
      <c r="A16" s="1"/>
      <c r="B16" s="1"/>
      <c r="C16" s="1"/>
      <c r="D16" s="1"/>
      <c r="E16" s="1" t="s">
        <v>71</v>
      </c>
      <c r="F16" s="1"/>
      <c r="G16" s="1"/>
      <c r="H16" s="1"/>
      <c r="I16" s="1" t="n">
        <f aca="false">SUM(I2:I13)</f>
        <v>2812300</v>
      </c>
      <c r="J16" s="1" t="n">
        <f aca="false">SUM(J2:J13)</f>
        <v>2292300</v>
      </c>
      <c r="K16" s="1"/>
      <c r="L16" s="1" t="n">
        <f aca="false">SUM(L2:L13)</f>
        <v>1248000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collapsed="false" customFormat="false" customHeight="false" hidden="false" ht="12.75" outlineLevel="0"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collapsed="false" customFormat="false" customHeight="false" hidden="false" ht="12.75" outlineLevel="0" r="18">
      <c r="A18" s="1" t="s">
        <v>73</v>
      </c>
      <c r="B18" s="1" t="s">
        <v>1</v>
      </c>
      <c r="C18" s="1"/>
      <c r="D18" s="1" t="s">
        <v>2</v>
      </c>
      <c r="E18" s="1" t="s">
        <v>3</v>
      </c>
      <c r="F18" s="1" t="s">
        <v>4</v>
      </c>
      <c r="G18" s="1" t="s">
        <v>74</v>
      </c>
      <c r="H18" s="1" t="s">
        <v>75</v>
      </c>
      <c r="I18" s="1" t="s">
        <v>6</v>
      </c>
      <c r="J18" s="1" t="s">
        <v>7</v>
      </c>
      <c r="K18" s="1" t="s">
        <v>8</v>
      </c>
      <c r="L18" s="1" t="s">
        <v>9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collapsed="false" customFormat="false" customHeight="false" hidden="false" ht="12.75" outlineLevel="0" r="19">
      <c r="A19" s="1" t="s">
        <v>13</v>
      </c>
      <c r="B19" s="1" t="n">
        <v>1744</v>
      </c>
      <c r="C19" s="1" t="s">
        <v>14</v>
      </c>
      <c r="D19" s="1" t="n">
        <f aca="false">B19*3</f>
        <v>5232</v>
      </c>
      <c r="E19" s="1"/>
      <c r="F19" s="1" t="n">
        <f aca="false">D19/64</f>
        <v>81.75</v>
      </c>
      <c r="G19" s="1"/>
      <c r="H19" s="1"/>
      <c r="I19" s="1" t="n">
        <f aca="false">F19/23</f>
        <v>3.55434782608696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collapsed="false" customFormat="false" customHeight="false" hidden="false" ht="12.75" outlineLevel="0" r="20">
      <c r="A20" s="1"/>
      <c r="B20" s="1"/>
      <c r="C20" s="1"/>
      <c r="D20" s="1" t="n">
        <f aca="false">D19-(52*64)</f>
        <v>1904</v>
      </c>
      <c r="E20" s="1" t="n">
        <f aca="false">D20/96</f>
        <v>19.8333333333333</v>
      </c>
      <c r="F20" s="1"/>
      <c r="G20" s="1" t="n">
        <f aca="false">D20/32</f>
        <v>59.5</v>
      </c>
      <c r="H20" s="1" t="n">
        <f aca="false">G20/20</f>
        <v>2.975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collapsed="false" customFormat="false" customHeight="false" hidden="false" ht="12.75" outlineLevel="0" r="21">
      <c r="A21" s="1" t="s">
        <v>15</v>
      </c>
      <c r="B21" s="1" t="n">
        <v>3700</v>
      </c>
      <c r="C21" s="1" t="s">
        <v>16</v>
      </c>
      <c r="D21" s="1" t="n">
        <f aca="false">B21*3</f>
        <v>11100</v>
      </c>
      <c r="E21" s="1" t="n">
        <f aca="false">D21/96</f>
        <v>115.625</v>
      </c>
      <c r="F21" s="1"/>
      <c r="G21" s="1"/>
      <c r="H21" s="1"/>
      <c r="I21" s="1" t="n">
        <f aca="false">E21/23</f>
        <v>5.02717391304348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collapsed="false" customFormat="false" customHeight="false" hidden="false" ht="12.75" outlineLevel="0" r="22">
      <c r="A22" s="1"/>
      <c r="B22" s="1"/>
      <c r="C22" s="1"/>
      <c r="D22" s="1" t="n">
        <f aca="false">B22*3</f>
        <v>0</v>
      </c>
      <c r="E22" s="1"/>
      <c r="F22" s="1"/>
      <c r="G22" s="1"/>
      <c r="H22" s="1"/>
      <c r="I22" s="1" t="n">
        <f aca="false">E22/23</f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collapsed="false" customFormat="false" customHeight="false" hidden="false" ht="12.75" outlineLevel="0" r="23">
      <c r="A23" s="1"/>
      <c r="B23" s="1"/>
      <c r="C23" s="1"/>
      <c r="D23" s="1" t="n">
        <f aca="false">B23*3</f>
        <v>0</v>
      </c>
      <c r="E23" s="1"/>
      <c r="F23" s="1"/>
      <c r="G23" s="1"/>
      <c r="H23" s="1"/>
      <c r="I23" s="1" t="n">
        <f aca="false">E23/23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collapsed="false" customFormat="false" customHeight="false" hidden="false" ht="12.75" outlineLevel="0" r="24">
      <c r="A24" s="1" t="s">
        <v>67</v>
      </c>
      <c r="B24" s="1" t="n">
        <v>550</v>
      </c>
      <c r="C24" s="1" t="s">
        <v>16</v>
      </c>
      <c r="D24" s="1" t="n">
        <f aca="false">B24*3</f>
        <v>1650</v>
      </c>
      <c r="E24" s="1" t="n">
        <f aca="false">D24/96</f>
        <v>17.1875</v>
      </c>
      <c r="F24" s="1"/>
      <c r="G24" s="1"/>
      <c r="H24" s="1"/>
      <c r="I24" s="1" t="n">
        <f aca="false">E24/23</f>
        <v>0.747282608695652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collapsed="false" customFormat="false" customHeight="false" hidden="false" ht="12.75" outlineLevel="0"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collapsed="false" customFormat="false" customHeight="false" hidden="false" ht="12.75" outlineLevel="0" r="26">
      <c r="A26" s="1"/>
      <c r="B26" s="1"/>
      <c r="C26" s="1"/>
      <c r="D26" s="1"/>
      <c r="E26" s="1"/>
      <c r="F26" s="1"/>
      <c r="G26" s="1"/>
      <c r="H26" s="1"/>
      <c r="I26" s="1" t="n">
        <f aca="false">CEILING(SUM(I19:I24),1,1)</f>
        <v>10</v>
      </c>
      <c r="J26" s="1" t="n">
        <f aca="false">I26</f>
        <v>10</v>
      </c>
      <c r="K26" s="1" t="n">
        <f aca="false">J26</f>
        <v>10</v>
      </c>
      <c r="L26" s="1" t="n">
        <f aca="false">K26</f>
        <v>10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collapsed="false" customFormat="false" customHeight="false" hidden="false" ht="12.75" outlineLevel="0"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collapsed="false" customFormat="false" customHeight="false" hidden="false" ht="12.75" outlineLevel="0" r="28">
      <c r="A28" s="1" t="s">
        <v>0</v>
      </c>
      <c r="B28" s="1" t="s">
        <v>1</v>
      </c>
      <c r="C28" s="1"/>
      <c r="D28" s="1" t="s">
        <v>2</v>
      </c>
      <c r="E28" s="1" t="s">
        <v>3</v>
      </c>
      <c r="F28" s="1" t="s">
        <v>4</v>
      </c>
      <c r="G28" s="1"/>
      <c r="H28" s="1"/>
      <c r="I28" s="1" t="s">
        <v>6</v>
      </c>
      <c r="J28" s="1" t="s">
        <v>7</v>
      </c>
      <c r="K28" s="1" t="s">
        <v>8</v>
      </c>
      <c r="L28" s="1" t="s">
        <v>9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collapsed="false" customFormat="false" customHeight="false" hidden="false" ht="12.75" outlineLevel="0" r="29">
      <c r="A29" s="1" t="s">
        <v>13</v>
      </c>
      <c r="B29" s="1" t="n">
        <v>1744</v>
      </c>
      <c r="C29" s="1" t="s">
        <v>14</v>
      </c>
      <c r="D29" s="1" t="n">
        <f aca="false">B29*3</f>
        <v>5232</v>
      </c>
      <c r="E29" s="1"/>
      <c r="F29" s="1" t="n">
        <f aca="false">D29/64</f>
        <v>81.75</v>
      </c>
      <c r="G29" s="1"/>
      <c r="H29" s="1"/>
      <c r="I29" s="1" t="n">
        <f aca="false">F29/23</f>
        <v>3.55434782608696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collapsed="false" customFormat="false" customHeight="false" hidden="false" ht="12.75" outlineLevel="0" r="30">
      <c r="A30" s="1"/>
      <c r="B30" s="1"/>
      <c r="C30" s="1"/>
      <c r="D30" s="1"/>
      <c r="E30" s="1"/>
      <c r="F30" s="1" t="n">
        <v>0</v>
      </c>
      <c r="G30" s="1"/>
      <c r="H30" s="1"/>
      <c r="I30" s="1" t="n">
        <f aca="false">F30/23</f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collapsed="false" customFormat="false" customHeight="false" hidden="false" ht="12.75" outlineLevel="0" r="31">
      <c r="A31" s="1" t="s">
        <v>15</v>
      </c>
      <c r="B31" s="1" t="n">
        <v>3700</v>
      </c>
      <c r="C31" s="1" t="s">
        <v>16</v>
      </c>
      <c r="D31" s="1" t="n">
        <f aca="false">B31*3</f>
        <v>11100</v>
      </c>
      <c r="E31" s="1" t="n">
        <f aca="false">D31/96</f>
        <v>115.625</v>
      </c>
      <c r="F31" s="1"/>
      <c r="G31" s="1"/>
      <c r="H31" s="1"/>
      <c r="I31" s="1" t="n">
        <f aca="false">E31/23</f>
        <v>5.02717391304348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collapsed="false" customFormat="false" customHeight="false" hidden="false" ht="12.75" outlineLevel="0" r="32">
      <c r="A32" s="1"/>
      <c r="B32" s="1"/>
      <c r="C32" s="1" t="s">
        <v>14</v>
      </c>
      <c r="D32" s="1" t="n">
        <v>11000</v>
      </c>
      <c r="E32" s="1"/>
      <c r="F32" s="1" t="n">
        <f aca="false">D31/64</f>
        <v>173.4375</v>
      </c>
      <c r="G32" s="1"/>
      <c r="H32" s="1"/>
      <c r="I32" s="1" t="n">
        <f aca="false">F32/23</f>
        <v>7.54076086956522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collapsed="false" customFormat="false" customHeight="false" hidden="false" ht="12.75" outlineLevel="0" r="33">
      <c r="A33" s="1"/>
      <c r="B33" s="1"/>
      <c r="C33" s="1"/>
      <c r="D33" s="1" t="n">
        <f aca="false">B33*3</f>
        <v>0</v>
      </c>
      <c r="E33" s="1"/>
      <c r="F33" s="1"/>
      <c r="G33" s="1"/>
      <c r="H33" s="1"/>
      <c r="I33" s="1" t="n">
        <f aca="false">E33/23</f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collapsed="false" customFormat="false" customHeight="false" hidden="false" ht="12.75" outlineLevel="0"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collapsed="false" customFormat="false" customHeight="false" hidden="false" ht="12.75" outlineLevel="0" r="35">
      <c r="A35" s="1" t="s">
        <v>67</v>
      </c>
      <c r="B35" s="1" t="n">
        <v>550</v>
      </c>
      <c r="C35" s="1" t="s">
        <v>16</v>
      </c>
      <c r="D35" s="1" t="n">
        <f aca="false">B35*3</f>
        <v>1650</v>
      </c>
      <c r="E35" s="1" t="n">
        <f aca="false">D35/96</f>
        <v>17.1875</v>
      </c>
      <c r="F35" s="1"/>
      <c r="G35" s="1"/>
      <c r="H35" s="1"/>
      <c r="I35" s="1" t="n">
        <f aca="false">E35/23</f>
        <v>0.747282608695652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collapsed="false" customFormat="false" customHeight="false" hidden="false" ht="12.75" outlineLevel="0" r="36">
      <c r="A36" s="1"/>
      <c r="B36" s="1"/>
      <c r="C36" s="1" t="s">
        <v>14</v>
      </c>
      <c r="D36" s="1"/>
      <c r="E36" s="1"/>
      <c r="F36" s="1" t="n">
        <f aca="false">D35/64</f>
        <v>25.78125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collapsed="false" customFormat="false" customHeight="false" hidden="false" ht="12.75" outlineLevel="0" r="37">
      <c r="A37" s="1"/>
      <c r="B37" s="1"/>
      <c r="C37" s="1"/>
      <c r="D37" s="1"/>
      <c r="E37" s="1"/>
      <c r="F37" s="1" t="n">
        <f aca="false">SUM(F29:F36)</f>
        <v>280.96875</v>
      </c>
      <c r="G37" s="1"/>
      <c r="H37" s="1"/>
      <c r="I37" s="1" t="n">
        <f aca="false">CEILING(SUM(I29:I35),1,1)</f>
        <v>17</v>
      </c>
      <c r="J37" s="1" t="n">
        <f aca="false">I37</f>
        <v>17</v>
      </c>
      <c r="K37" s="1" t="n">
        <f aca="false">J37</f>
        <v>17</v>
      </c>
      <c r="L37" s="1" t="n">
        <f aca="false">K37</f>
        <v>17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collapsed="false" customFormat="false" customHeight="false" hidden="false" ht="12.75" outlineLevel="0"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collapsed="false" customFormat="false" customHeight="false" hidden="false" ht="12.75" outlineLevel="0"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collapsed="false" customFormat="false" customHeight="false" hidden="false" ht="12.75" outlineLevel="0"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collapsed="false" customFormat="false" customHeight="false" hidden="false" ht="12.75" outlineLevel="0"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collapsed="false" customFormat="false" customHeight="false" hidden="false" ht="12.75" outlineLevel="0" r="42">
      <c r="A42" s="1" t="s">
        <v>77</v>
      </c>
      <c r="B42" s="1" t="s">
        <v>1</v>
      </c>
      <c r="C42" s="1"/>
      <c r="D42" s="1" t="s">
        <v>2</v>
      </c>
      <c r="E42" s="1" t="s">
        <v>3</v>
      </c>
      <c r="F42" s="1" t="s">
        <v>74</v>
      </c>
      <c r="G42" s="1" t="s">
        <v>22</v>
      </c>
      <c r="H42" s="1"/>
      <c r="I42" s="1" t="s">
        <v>78</v>
      </c>
      <c r="J42" s="1"/>
      <c r="K42" s="1" t="s">
        <v>6</v>
      </c>
      <c r="L42" s="1" t="s">
        <v>7</v>
      </c>
      <c r="M42" s="1" t="s">
        <v>8</v>
      </c>
      <c r="N42" s="1" t="s">
        <v>9</v>
      </c>
      <c r="O42" s="1"/>
      <c r="P42" s="1"/>
      <c r="Q42" s="1"/>
      <c r="R42" s="1"/>
      <c r="S42" s="1"/>
      <c r="T42" s="1"/>
      <c r="U42" s="1"/>
      <c r="V42" s="1"/>
    </row>
    <row collapsed="false" customFormat="false" customHeight="false" hidden="false" ht="12.75" outlineLevel="0" r="43">
      <c r="A43" s="1" t="s">
        <v>13</v>
      </c>
      <c r="B43" s="1" t="n">
        <v>1744</v>
      </c>
      <c r="C43" s="1" t="s">
        <v>16</v>
      </c>
      <c r="D43" s="1" t="n">
        <f aca="false">B43*3</f>
        <v>5232</v>
      </c>
      <c r="E43" s="1" t="n">
        <f aca="false">D43/96</f>
        <v>54.5</v>
      </c>
      <c r="F43" s="1" t="n">
        <f aca="false">D43/32</f>
        <v>163.5</v>
      </c>
      <c r="G43" s="1"/>
      <c r="H43" s="1"/>
      <c r="I43" s="1" t="n">
        <f aca="false">F43/22</f>
        <v>7.43181818181818</v>
      </c>
      <c r="J43" s="1"/>
      <c r="K43" s="1" t="n">
        <f aca="false">E43/23</f>
        <v>2.3695652173913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collapsed="false" customFormat="false" customHeight="false" hidden="false" ht="12.75" outlineLevel="0" r="44">
      <c r="A44" s="1"/>
      <c r="B44" s="1"/>
      <c r="C44" s="1"/>
      <c r="D44" s="1"/>
      <c r="E44" s="1" t="n">
        <f aca="false">D44/96</f>
        <v>0</v>
      </c>
      <c r="F44" s="1" t="n">
        <f aca="false">D44/32</f>
        <v>0</v>
      </c>
      <c r="G44" s="1"/>
      <c r="H44" s="1"/>
      <c r="I44" s="1" t="n">
        <f aca="false">F44/22</f>
        <v>0</v>
      </c>
      <c r="J44" s="1"/>
      <c r="K44" s="1" t="n">
        <f aca="false">E44/23</f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collapsed="false" customFormat="false" customHeight="false" hidden="false" ht="12.75" outlineLevel="0" r="45">
      <c r="A45" s="1" t="s">
        <v>15</v>
      </c>
      <c r="B45" s="1" t="n">
        <v>3700</v>
      </c>
      <c r="C45" s="1" t="s">
        <v>16</v>
      </c>
      <c r="D45" s="1" t="n">
        <f aca="false">B45*3</f>
        <v>11100</v>
      </c>
      <c r="E45" s="1" t="n">
        <f aca="false">D45/96</f>
        <v>115.625</v>
      </c>
      <c r="F45" s="1" t="n">
        <v>0</v>
      </c>
      <c r="G45" s="1"/>
      <c r="H45" s="1"/>
      <c r="I45" s="1" t="n">
        <f aca="false">F45/22</f>
        <v>0</v>
      </c>
      <c r="J45" s="1"/>
      <c r="K45" s="1" t="n">
        <f aca="false">E45/23</f>
        <v>5.02717391304348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collapsed="false" customFormat="false" customHeight="false" hidden="false" ht="12.75" outlineLevel="0" r="46">
      <c r="A46" s="1"/>
      <c r="B46" s="1"/>
      <c r="C46" s="1" t="s">
        <v>16</v>
      </c>
      <c r="D46" s="1" t="n">
        <v>0</v>
      </c>
      <c r="E46" s="1" t="n">
        <f aca="false">D46/96</f>
        <v>0</v>
      </c>
      <c r="F46" s="1" t="n">
        <f aca="false">D46/32</f>
        <v>0</v>
      </c>
      <c r="G46" s="1"/>
      <c r="H46" s="1"/>
      <c r="I46" s="1" t="n">
        <f aca="false">F46/22</f>
        <v>0</v>
      </c>
      <c r="J46" s="1"/>
      <c r="K46" s="1" t="n">
        <f aca="false">E46/23</f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collapsed="false" customFormat="false" customHeight="false" hidden="false" ht="12.75" outlineLevel="0" r="47">
      <c r="A47" s="1"/>
      <c r="B47" s="1"/>
      <c r="C47" s="1"/>
      <c r="D47" s="1" t="n">
        <f aca="false">B47*3</f>
        <v>0</v>
      </c>
      <c r="E47" s="1"/>
      <c r="F47" s="1" t="n">
        <f aca="false">D47/32</f>
        <v>0</v>
      </c>
      <c r="G47" s="1"/>
      <c r="H47" s="1"/>
      <c r="I47" s="1" t="n">
        <f aca="false">F47/22</f>
        <v>0</v>
      </c>
      <c r="J47" s="1"/>
      <c r="K47" s="1" t="n">
        <f aca="false">E47/23</f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collapsed="false" customFormat="false" customHeight="false" hidden="false" ht="12.75" outlineLevel="0" r="48">
      <c r="A48" s="1"/>
      <c r="B48" s="1"/>
      <c r="C48" s="1"/>
      <c r="D48" s="1"/>
      <c r="E48" s="1"/>
      <c r="F48" s="1" t="n">
        <f aca="false">D48/32</f>
        <v>0</v>
      </c>
      <c r="G48" s="1"/>
      <c r="H48" s="1"/>
      <c r="I48" s="1" t="n">
        <f aca="false">F48/22</f>
        <v>0</v>
      </c>
      <c r="J48" s="1"/>
      <c r="K48" s="1" t="n">
        <f aca="false">E48/23</f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collapsed="false" customFormat="false" customHeight="false" hidden="false" ht="12.75" outlineLevel="0" r="49">
      <c r="A49" s="1" t="s">
        <v>67</v>
      </c>
      <c r="B49" s="1" t="n">
        <v>550</v>
      </c>
      <c r="C49" s="1" t="s">
        <v>16</v>
      </c>
      <c r="D49" s="1" t="n">
        <f aca="false">B49*3</f>
        <v>1650</v>
      </c>
      <c r="E49" s="1" t="n">
        <f aca="false">D49/96</f>
        <v>17.1875</v>
      </c>
      <c r="F49" s="1" t="n">
        <v>0</v>
      </c>
      <c r="G49" s="1"/>
      <c r="H49" s="1"/>
      <c r="I49" s="1" t="n">
        <f aca="false">F49/22</f>
        <v>0</v>
      </c>
      <c r="J49" s="1"/>
      <c r="K49" s="1" t="n">
        <f aca="false">E49/23</f>
        <v>0.747282608695652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collapsed="false" customFormat="false" customHeight="false" hidden="false" ht="12.75" outlineLevel="0" r="50">
      <c r="A50" s="1"/>
      <c r="B50" s="1"/>
      <c r="C50" s="1" t="s">
        <v>16</v>
      </c>
      <c r="D50" s="1" t="n">
        <v>1650</v>
      </c>
      <c r="E50" s="1" t="n">
        <f aca="false">D50/96</f>
        <v>17.1875</v>
      </c>
      <c r="F50" s="1" t="n">
        <f aca="false">D50/32</f>
        <v>51.5625</v>
      </c>
      <c r="G50" s="1"/>
      <c r="H50" s="1"/>
      <c r="I50" s="1" t="n">
        <f aca="false">F50/22</f>
        <v>2.34375</v>
      </c>
      <c r="J50" s="1"/>
      <c r="K50" s="1" t="n">
        <f aca="false">E50/23</f>
        <v>0.747282608695652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collapsed="false" customFormat="false" customHeight="false" hidden="false" ht="12.75" outlineLevel="0" r="51">
      <c r="A51" s="1"/>
      <c r="B51" s="1"/>
      <c r="C51" s="1"/>
      <c r="D51" s="1" t="n">
        <f aca="false">SUM(D43:D50)</f>
        <v>19632</v>
      </c>
      <c r="E51" s="1" t="n">
        <f aca="false">SUM(E43:E50)</f>
        <v>204.5</v>
      </c>
      <c r="F51" s="1" t="n">
        <f aca="false">SUM(F43:F50)</f>
        <v>215.0625</v>
      </c>
      <c r="G51" s="1"/>
      <c r="H51" s="1"/>
      <c r="I51" s="1" t="n">
        <f aca="false">SUM(I43:I50)</f>
        <v>9.77556818181818</v>
      </c>
      <c r="J51" s="1"/>
      <c r="K51" s="1" t="n">
        <f aca="false">CEILING(SUM(K43:K49),1,1)</f>
        <v>9</v>
      </c>
      <c r="L51" s="1" t="n">
        <v>9</v>
      </c>
      <c r="M51" s="1" t="n">
        <v>9</v>
      </c>
      <c r="N51" s="1" t="n">
        <v>9</v>
      </c>
      <c r="O51" s="1"/>
      <c r="P51" s="1"/>
      <c r="Q51" s="1"/>
      <c r="R51" s="1"/>
      <c r="S51" s="1"/>
      <c r="T51" s="1"/>
      <c r="U51" s="1"/>
      <c r="V51" s="1"/>
    </row>
    <row collapsed="false" customFormat="false" customHeight="false" hidden="false" ht="12.75" outlineLevel="0"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collapsed="false" customFormat="false" customHeight="false" hidden="false" ht="12.75" outlineLevel="0" r="53">
      <c r="A53" s="1"/>
      <c r="B53" s="1"/>
      <c r="C53" s="1"/>
      <c r="D53" s="1"/>
      <c r="E53" s="1"/>
      <c r="F53" s="1"/>
      <c r="G53" s="1"/>
      <c r="H53" s="1"/>
      <c r="I53" s="1" t="n">
        <f aca="false">630.7+722.8</f>
        <v>1353.5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collapsed="false" customFormat="false" customHeight="false" hidden="false" ht="12.75" outlineLevel="0"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collapsed="false" customFormat="false" customHeight="false" hidden="false" ht="12.75" outlineLevel="0"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collapsed="false" customFormat="false" customHeight="false" hidden="false" ht="12.75" outlineLevel="0"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collapsed="false" customFormat="false" customHeight="false" hidden="false" ht="12.75" outlineLevel="0"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collapsed="false" customFormat="false" customHeight="false" hidden="false" ht="12.75" outlineLevel="0" r="58">
      <c r="A58" s="1"/>
      <c r="B58" s="1"/>
      <c r="C58" s="1"/>
      <c r="D58" s="1"/>
      <c r="E58" s="1"/>
      <c r="F58" s="1"/>
      <c r="G58" s="1"/>
      <c r="H58" s="1"/>
      <c r="I58" s="1" t="n">
        <f aca="false">20*I53</f>
        <v>27070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collapsed="false" customFormat="false" customHeight="false" hidden="false" ht="12.75" outlineLevel="0"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collapsed="false" customFormat="false" customHeight="false" hidden="false" ht="12.75" outlineLevel="0" r="60">
      <c r="A60" s="1" t="s">
        <v>77</v>
      </c>
      <c r="B60" s="1" t="s">
        <v>1</v>
      </c>
      <c r="C60" s="1"/>
      <c r="D60" s="1" t="s">
        <v>2</v>
      </c>
      <c r="E60" s="1" t="s">
        <v>3</v>
      </c>
      <c r="F60" s="1" t="s">
        <v>74</v>
      </c>
      <c r="G60" s="1"/>
      <c r="H60" s="1"/>
      <c r="I60" s="1" t="s">
        <v>78</v>
      </c>
      <c r="J60" s="1"/>
      <c r="K60" s="1" t="s">
        <v>6</v>
      </c>
      <c r="L60" s="1" t="s">
        <v>7</v>
      </c>
      <c r="M60" s="1" t="s">
        <v>8</v>
      </c>
      <c r="N60" s="1" t="s">
        <v>9</v>
      </c>
      <c r="O60" s="1"/>
      <c r="P60" s="1"/>
      <c r="Q60" s="1"/>
      <c r="R60" s="1"/>
      <c r="S60" s="1"/>
      <c r="T60" s="1"/>
      <c r="U60" s="1"/>
      <c r="V60" s="1"/>
    </row>
    <row collapsed="false" customFormat="false" customHeight="false" hidden="false" ht="12.75" outlineLevel="0" r="61">
      <c r="A61" s="1" t="s">
        <v>13</v>
      </c>
      <c r="B61" s="1" t="n">
        <v>1744</v>
      </c>
      <c r="C61" s="1" t="s">
        <v>16</v>
      </c>
      <c r="D61" s="1" t="n">
        <f aca="false">B61*3</f>
        <v>5232</v>
      </c>
      <c r="E61" s="1" t="n">
        <f aca="false">D61/96</f>
        <v>54.5</v>
      </c>
      <c r="F61" s="1" t="n">
        <f aca="false">D61/32</f>
        <v>163.5</v>
      </c>
      <c r="G61" s="1"/>
      <c r="H61" s="1"/>
      <c r="I61" s="1" t="n">
        <f aca="false">F61/20</f>
        <v>8.175</v>
      </c>
      <c r="J61" s="1"/>
      <c r="K61" s="1" t="n">
        <f aca="false">E61/23</f>
        <v>2.3695652173913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collapsed="false" customFormat="false" customHeight="false" hidden="false" ht="12.75" outlineLevel="0" r="62">
      <c r="A62" s="1"/>
      <c r="B62" s="1"/>
      <c r="C62" s="1"/>
      <c r="D62" s="1"/>
      <c r="E62" s="1" t="n">
        <f aca="false">D62/96</f>
        <v>0</v>
      </c>
      <c r="F62" s="1" t="n">
        <f aca="false">D62/32</f>
        <v>0</v>
      </c>
      <c r="G62" s="1"/>
      <c r="H62" s="1"/>
      <c r="I62" s="1" t="n">
        <f aca="false">F62/20</f>
        <v>0</v>
      </c>
      <c r="J62" s="1"/>
      <c r="K62" s="1" t="n">
        <f aca="false">E62/23</f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collapsed="false" customFormat="false" customHeight="false" hidden="false" ht="12.75" outlineLevel="0" r="63">
      <c r="A63" s="1" t="s">
        <v>15</v>
      </c>
      <c r="B63" s="1" t="n">
        <v>3700</v>
      </c>
      <c r="C63" s="1" t="s">
        <v>16</v>
      </c>
      <c r="D63" s="1" t="n">
        <f aca="false">B63*3</f>
        <v>11100</v>
      </c>
      <c r="E63" s="1" t="n">
        <f aca="false">D63/96</f>
        <v>115.625</v>
      </c>
      <c r="F63" s="1" t="n">
        <v>0</v>
      </c>
      <c r="G63" s="1"/>
      <c r="H63" s="1"/>
      <c r="I63" s="1" t="n">
        <f aca="false">F63/20</f>
        <v>0</v>
      </c>
      <c r="J63" s="1"/>
      <c r="K63" s="1" t="n">
        <f aca="false">E63/23</f>
        <v>5.02717391304348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collapsed="false" customFormat="false" customHeight="false" hidden="false" ht="12.75" outlineLevel="0" r="64">
      <c r="A64" s="1"/>
      <c r="B64" s="1"/>
      <c r="C64" s="1" t="s">
        <v>16</v>
      </c>
      <c r="D64" s="1" t="n">
        <v>0</v>
      </c>
      <c r="E64" s="1" t="n">
        <f aca="false">D64/96</f>
        <v>0</v>
      </c>
      <c r="F64" s="1" t="n">
        <f aca="false">D64/32</f>
        <v>0</v>
      </c>
      <c r="G64" s="1"/>
      <c r="H64" s="1"/>
      <c r="I64" s="1" t="n">
        <f aca="false">F64/20</f>
        <v>0</v>
      </c>
      <c r="J64" s="1"/>
      <c r="K64" s="1" t="n">
        <f aca="false">E64/23</f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collapsed="false" customFormat="false" customHeight="false" hidden="false" ht="12.75" outlineLevel="0" r="65">
      <c r="A65" s="1"/>
      <c r="B65" s="1"/>
      <c r="C65" s="1"/>
      <c r="D65" s="1" t="n">
        <f aca="false">B65*3</f>
        <v>0</v>
      </c>
      <c r="E65" s="1"/>
      <c r="F65" s="1" t="n">
        <f aca="false">D65/32</f>
        <v>0</v>
      </c>
      <c r="G65" s="1"/>
      <c r="H65" s="1"/>
      <c r="I65" s="1" t="n">
        <f aca="false">F65/20</f>
        <v>0</v>
      </c>
      <c r="J65" s="1"/>
      <c r="K65" s="1" t="n">
        <f aca="false">E65/23</f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collapsed="false" customFormat="false" customHeight="false" hidden="false" ht="12.75" outlineLevel="0" r="66">
      <c r="A66" s="1"/>
      <c r="B66" s="1"/>
      <c r="C66" s="1"/>
      <c r="D66" s="1"/>
      <c r="E66" s="1"/>
      <c r="F66" s="1" t="n">
        <f aca="false">D66/32</f>
        <v>0</v>
      </c>
      <c r="G66" s="1"/>
      <c r="H66" s="1"/>
      <c r="I66" s="1" t="n">
        <f aca="false">F66/20</f>
        <v>0</v>
      </c>
      <c r="J66" s="1"/>
      <c r="K66" s="1" t="n">
        <f aca="false">E66/23</f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collapsed="false" customFormat="false" customHeight="false" hidden="false" ht="12.75" outlineLevel="0" r="67">
      <c r="A67" s="1" t="s">
        <v>67</v>
      </c>
      <c r="B67" s="1" t="n">
        <v>550</v>
      </c>
      <c r="C67" s="1" t="s">
        <v>16</v>
      </c>
      <c r="D67" s="1" t="n">
        <f aca="false">B67*3</f>
        <v>1650</v>
      </c>
      <c r="E67" s="1" t="n">
        <f aca="false">D67/96</f>
        <v>17.1875</v>
      </c>
      <c r="F67" s="1" t="n">
        <v>0</v>
      </c>
      <c r="G67" s="1"/>
      <c r="H67" s="1"/>
      <c r="I67" s="1" t="n">
        <f aca="false">F67/20</f>
        <v>0</v>
      </c>
      <c r="J67" s="1"/>
      <c r="K67" s="1" t="n">
        <f aca="false">E67/23</f>
        <v>0.747282608695652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collapsed="false" customFormat="false" customHeight="false" hidden="false" ht="12.75" outlineLevel="0" r="68">
      <c r="A68" s="1"/>
      <c r="B68" s="1"/>
      <c r="C68" s="1" t="s">
        <v>16</v>
      </c>
      <c r="D68" s="1" t="n">
        <v>0</v>
      </c>
      <c r="E68" s="1" t="n">
        <f aca="false">D68/96</f>
        <v>0</v>
      </c>
      <c r="F68" s="1" t="n">
        <f aca="false">D68/32</f>
        <v>0</v>
      </c>
      <c r="G68" s="1"/>
      <c r="H68" s="1"/>
      <c r="I68" s="1" t="n">
        <f aca="false">F68/20</f>
        <v>0</v>
      </c>
      <c r="J68" s="1"/>
      <c r="K68" s="1" t="n">
        <f aca="false">E68/23</f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collapsed="false" customFormat="false" customHeight="false" hidden="false" ht="12.75" outlineLevel="0" r="69">
      <c r="A69" s="1"/>
      <c r="B69" s="1"/>
      <c r="C69" s="1"/>
      <c r="D69" s="1" t="n">
        <f aca="false">SUM(D61:D68)</f>
        <v>17982</v>
      </c>
      <c r="E69" s="1" t="n">
        <f aca="false">SUM(E61:E68)</f>
        <v>187.3125</v>
      </c>
      <c r="F69" s="1" t="n">
        <f aca="false">SUM(F61:F68)</f>
        <v>163.5</v>
      </c>
      <c r="G69" s="1"/>
      <c r="H69" s="1"/>
      <c r="I69" s="1" t="n">
        <f aca="false">SUM(I61:I68)</f>
        <v>8.175</v>
      </c>
      <c r="J69" s="1"/>
      <c r="K69" s="1" t="n">
        <f aca="false">CEILING(SUM(K61:K67),1,1)</f>
        <v>9</v>
      </c>
      <c r="L69" s="1" t="n">
        <v>9</v>
      </c>
      <c r="M69" s="1" t="n">
        <v>9</v>
      </c>
      <c r="N69" s="1" t="n">
        <v>9</v>
      </c>
      <c r="O69" s="1"/>
      <c r="P69" s="1"/>
      <c r="Q69" s="1"/>
      <c r="R69" s="1"/>
      <c r="S69" s="1"/>
      <c r="T69" s="1"/>
      <c r="U69" s="1"/>
      <c r="V69" s="1"/>
    </row>
    <row collapsed="false" customFormat="false" customHeight="false" hidden="false" ht="12.75" outlineLevel="0"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collapsed="false" customFormat="false" customHeight="false" hidden="false" ht="12.75" outlineLevel="0" r="71">
      <c r="A71" s="1"/>
      <c r="B71" s="1"/>
      <c r="C71" s="1"/>
      <c r="D71" s="1"/>
      <c r="E71" s="1"/>
      <c r="F71" s="1"/>
      <c r="G71" s="1"/>
      <c r="H71" s="1"/>
      <c r="I71" s="1" t="n">
        <f aca="false">630.7+722.8</f>
        <v>1353.5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collapsed="false" customFormat="false" customHeight="false" hidden="false" ht="12.75" outlineLevel="0"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collapsed="false" customFormat="false" customHeight="false" hidden="false" ht="12.75" outlineLevel="0" r="73">
      <c r="A73" s="1"/>
      <c r="B73" s="1"/>
      <c r="C73" s="1"/>
      <c r="D73" s="1"/>
      <c r="E73" s="1"/>
      <c r="F73" s="1"/>
      <c r="G73" s="1"/>
      <c r="H73" s="1"/>
      <c r="I73" s="1" t="n">
        <f aca="false">I69*I71</f>
        <v>11064.8625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collapsed="false" customFormat="false" customHeight="false" hidden="false" ht="12.75" outlineLevel="0"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collapsed="false" customFormat="false" customHeight="false" hidden="false" ht="12.75" outlineLevel="0"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collapsed="false" customFormat="false" customHeight="false" hidden="false" ht="12.75" outlineLevel="0"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collapsed="false" customFormat="false" customHeight="false" hidden="false" ht="12.75" outlineLevel="0" r="77">
      <c r="A77" s="1"/>
      <c r="B77" s="1" t="s">
        <v>8</v>
      </c>
      <c r="C77" s="1" t="n">
        <v>10</v>
      </c>
      <c r="D77" s="1" t="n">
        <v>3400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collapsed="false" customFormat="false" customHeight="false" hidden="false" ht="12.75" outlineLevel="0" r="78">
      <c r="A78" s="1"/>
      <c r="B78" s="1" t="s">
        <v>9</v>
      </c>
      <c r="C78" s="1" t="n">
        <v>10</v>
      </c>
      <c r="D78" s="1" t="n">
        <v>2000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collapsed="false" customFormat="false" customHeight="false" hidden="false" ht="12.75" outlineLevel="0" r="79">
      <c r="A79" s="1"/>
      <c r="B79" s="1" t="s">
        <v>82</v>
      </c>
      <c r="C79" s="1" t="n">
        <v>3</v>
      </c>
      <c r="D79" s="1" t="n">
        <v>1500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collapsed="false" customFormat="false" customHeight="false" hidden="false" ht="12.75" outlineLevel="0"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collapsed="false" customFormat="false" customHeight="false" hidden="false" ht="12.75" outlineLevel="0"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collapsed="false" customFormat="false" customHeight="false" hidden="false" ht="12.75" outlineLevel="0"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collapsed="false" customFormat="false" customHeight="false" hidden="false" ht="12.75" outlineLevel="0"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collapsed="false" customFormat="false" customHeight="false" hidden="false" ht="12.75" outlineLevel="0"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collapsed="false" customFormat="false" customHeight="false" hidden="false" ht="12.75" outlineLevel="0" r="85">
      <c r="A85" s="1" t="s">
        <v>85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collapsed="false" customFormat="false" customHeight="false" hidden="false" ht="12.75" outlineLevel="0"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collapsed="false" customFormat="false" customHeight="false" hidden="false" ht="12.75" outlineLevel="0"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collapsed="false" customFormat="false" customHeight="false" hidden="false" ht="12.75" outlineLevel="0"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collapsed="false" customFormat="false" customHeight="false" hidden="false" ht="12.75" outlineLevel="0"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collapsed="false" customFormat="false" customHeight="false" hidden="false" ht="12.75" outlineLevel="0"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collapsed="false" customFormat="false" customHeight="false" hidden="false" ht="12.75" outlineLevel="0"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collapsed="false" customFormat="false" customHeight="false" hidden="false" ht="12.75" outlineLevel="0"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collapsed="false" customFormat="false" customHeight="false" hidden="false" ht="12.75" outlineLevel="0"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collapsed="false" customFormat="false" customHeight="false" hidden="false" ht="12.75" outlineLevel="0"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collapsed="false" customFormat="false" customHeight="false" hidden="false" ht="12.75" outlineLevel="0"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collapsed="false" customFormat="false" customHeight="false" hidden="false" ht="12.75" outlineLevel="0" r="96">
      <c r="A96" s="1" t="s">
        <v>85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" min="1" style="0" width="14.0051020408163"/>
    <col collapsed="false" hidden="false" max="2" min="2" style="0" width="9.5765306122449"/>
    <col collapsed="false" hidden="false" max="3" min="3" style="0" width="8"/>
    <col collapsed="false" hidden="false" max="4" min="4" style="0" width="7.29081632653061"/>
    <col collapsed="false" hidden="false" max="5" min="5" style="0" width="11.7091836734694"/>
    <col collapsed="false" hidden="false" max="6" min="6" style="0" width="12.2908163265306"/>
    <col collapsed="false" hidden="false" max="7" min="7" style="0" width="10"/>
    <col collapsed="false" hidden="false" max="8" min="8" style="0" width="11.4285714285714"/>
    <col collapsed="false" hidden="false" max="9" min="9" style="0" width="11.2959183673469"/>
    <col collapsed="false" hidden="false" max="10" min="10" style="0" width="12.5714285714286"/>
    <col collapsed="false" hidden="false" max="11" min="11" style="0" width="10"/>
    <col collapsed="false" hidden="false" max="1025" min="12" style="0" width="17.1326530612245"/>
  </cols>
  <sheetData>
    <row collapsed="false" customFormat="false" customHeight="false" hidden="false" ht="12.75" outlineLevel="0" r="1">
      <c r="A1" s="1" t="s">
        <v>56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  <c r="G1" s="1"/>
      <c r="H1" s="1"/>
      <c r="I1" s="1" t="s">
        <v>61</v>
      </c>
      <c r="J1" s="1" t="s">
        <v>62</v>
      </c>
      <c r="K1" s="1" t="s">
        <v>32</v>
      </c>
      <c r="L1" s="3" t="s">
        <v>63</v>
      </c>
      <c r="M1" s="1" t="s">
        <v>64</v>
      </c>
      <c r="N1" s="1" t="s">
        <v>65</v>
      </c>
      <c r="O1" s="1" t="s">
        <v>66</v>
      </c>
      <c r="P1" s="1" t="n">
        <v>2000</v>
      </c>
      <c r="Q1" s="1"/>
      <c r="R1" s="1"/>
      <c r="S1" s="1"/>
      <c r="T1" s="1"/>
      <c r="U1" s="1"/>
      <c r="V1" s="1"/>
    </row>
    <row collapsed="false" customFormat="false" customHeight="false" hidden="false" ht="12.75" outlineLevel="0" r="2">
      <c r="A2" s="1" t="s">
        <v>13</v>
      </c>
      <c r="B2" s="1" t="n">
        <f aca="false">$P$1</f>
        <v>2000</v>
      </c>
      <c r="C2" s="1" t="s">
        <v>14</v>
      </c>
      <c r="D2" s="1"/>
      <c r="E2" s="1" t="n">
        <f aca="false">CEILING((B2/16),1,1)</f>
        <v>125</v>
      </c>
      <c r="F2" s="1" t="n">
        <v>4500</v>
      </c>
      <c r="G2" s="1"/>
      <c r="H2" s="1"/>
      <c r="I2" s="1" t="n">
        <f aca="false">E2*F2</f>
        <v>562500</v>
      </c>
      <c r="J2" s="1" t="n">
        <f aca="false">I2</f>
        <v>562500</v>
      </c>
      <c r="K2" s="1" t="n">
        <f aca="false">E2</f>
        <v>125</v>
      </c>
      <c r="L2" s="3" t="n">
        <f aca="false">K2*F2</f>
        <v>562500</v>
      </c>
      <c r="M2" s="1" t="n">
        <f aca="false">L2</f>
        <v>562500</v>
      </c>
      <c r="N2" s="1"/>
      <c r="O2" s="1"/>
      <c r="P2" s="1"/>
      <c r="Q2" s="1"/>
      <c r="R2" s="1"/>
      <c r="S2" s="1"/>
      <c r="T2" s="1"/>
      <c r="U2" s="1"/>
      <c r="V2" s="1"/>
    </row>
    <row collapsed="false" customFormat="false" customHeight="false" hidden="false" ht="12.75" outlineLevel="0"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1"/>
      <c r="N3" s="1"/>
      <c r="O3" s="1"/>
      <c r="P3" s="1"/>
      <c r="Q3" s="1"/>
      <c r="R3" s="1"/>
      <c r="S3" s="1"/>
      <c r="T3" s="1"/>
      <c r="U3" s="1"/>
      <c r="V3" s="1"/>
    </row>
    <row collapsed="false" customFormat="false" customHeight="false" hidden="false" ht="12.75" outlineLevel="0" r="4">
      <c r="A4" s="1" t="s">
        <v>15</v>
      </c>
      <c r="B4" s="1" t="n">
        <v>3700</v>
      </c>
      <c r="C4" s="1" t="s">
        <v>14</v>
      </c>
      <c r="D4" s="1"/>
      <c r="E4" s="1" t="n">
        <f aca="false">CEILING((B4/16),1,1)</f>
        <v>232</v>
      </c>
      <c r="F4" s="1" t="n">
        <v>4500</v>
      </c>
      <c r="G4" s="1"/>
      <c r="H4" s="1"/>
      <c r="I4" s="1" t="n">
        <f aca="false">E4*F4</f>
        <v>1044000</v>
      </c>
      <c r="J4" s="1" t="n">
        <f aca="false">I4</f>
        <v>1044000</v>
      </c>
      <c r="K4" s="1" t="n">
        <v>0</v>
      </c>
      <c r="L4" s="3" t="n">
        <f aca="false">K4*F4</f>
        <v>0</v>
      </c>
      <c r="M4" s="1"/>
      <c r="N4" s="1"/>
      <c r="O4" s="1"/>
      <c r="P4" s="1"/>
      <c r="Q4" s="1"/>
      <c r="R4" s="1"/>
      <c r="S4" s="1"/>
      <c r="T4" s="1"/>
      <c r="U4" s="1"/>
      <c r="V4" s="1"/>
    </row>
    <row collapsed="false" customFormat="false" customHeight="false" hidden="false" ht="12.75" outlineLevel="0" r="5">
      <c r="A5" s="1"/>
      <c r="B5" s="1"/>
      <c r="C5" s="1" t="s">
        <v>16</v>
      </c>
      <c r="D5" s="1"/>
      <c r="E5" s="1" t="n">
        <f aca="false">CEILING((((B2+B4)+B7)/128),1,1)</f>
        <v>45</v>
      </c>
      <c r="F5" s="1" t="n">
        <v>10000</v>
      </c>
      <c r="G5" s="1"/>
      <c r="H5" s="1"/>
      <c r="I5" s="1" t="n">
        <f aca="false">E5*F5</f>
        <v>450000</v>
      </c>
      <c r="J5" s="1" t="n">
        <v>0</v>
      </c>
      <c r="K5" s="1" t="n">
        <f aca="false">E5</f>
        <v>45</v>
      </c>
      <c r="L5" s="3" t="n">
        <f aca="false">K5*F5</f>
        <v>450000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collapsed="false" customFormat="false" customHeight="false" hidden="false" ht="12.75" outlineLevel="0" r="6">
      <c r="A6" s="1"/>
      <c r="B6" s="1"/>
      <c r="C6" s="1" t="n">
        <f aca="false">B4/128</f>
        <v>28.90625</v>
      </c>
      <c r="D6" s="1"/>
      <c r="E6" s="1" t="n">
        <f aca="false">CEILING((B6/16),1,1)</f>
        <v>0</v>
      </c>
      <c r="F6" s="1"/>
      <c r="G6" s="1"/>
      <c r="H6" s="1"/>
      <c r="I6" s="1" t="n">
        <f aca="false">E6*F6</f>
        <v>0</v>
      </c>
      <c r="J6" s="1" t="n">
        <f aca="false">I6</f>
        <v>0</v>
      </c>
      <c r="K6" s="1" t="n">
        <f aca="false">E6</f>
        <v>0</v>
      </c>
      <c r="L6" s="3" t="n">
        <f aca="false">K6*F6</f>
        <v>0</v>
      </c>
      <c r="M6" s="1"/>
      <c r="N6" s="1"/>
      <c r="O6" s="1"/>
      <c r="P6" s="1"/>
      <c r="Q6" s="1"/>
      <c r="R6" s="1"/>
      <c r="S6" s="1"/>
      <c r="T6" s="1"/>
      <c r="U6" s="1"/>
      <c r="V6" s="1"/>
    </row>
    <row collapsed="false" customFormat="false" customHeight="false" hidden="false" ht="12.75" outlineLevel="0" r="7">
      <c r="A7" s="1" t="s">
        <v>67</v>
      </c>
      <c r="B7" s="1" t="n">
        <v>0</v>
      </c>
      <c r="C7" s="1" t="s">
        <v>14</v>
      </c>
      <c r="D7" s="1"/>
      <c r="E7" s="1" t="n">
        <f aca="false">CEILING((B7/16),1,1)</f>
        <v>0</v>
      </c>
      <c r="F7" s="1" t="n">
        <v>4500</v>
      </c>
      <c r="G7" s="1"/>
      <c r="H7" s="1"/>
      <c r="I7" s="1" t="n">
        <f aca="false">E7*F7</f>
        <v>0</v>
      </c>
      <c r="J7" s="1" t="n">
        <f aca="false">I7</f>
        <v>0</v>
      </c>
      <c r="K7" s="1" t="n">
        <v>0</v>
      </c>
      <c r="L7" s="3" t="n">
        <f aca="false">K7*F7</f>
        <v>0</v>
      </c>
      <c r="M7" s="1"/>
      <c r="N7" s="1"/>
      <c r="O7" s="1"/>
      <c r="P7" s="1"/>
      <c r="Q7" s="1"/>
      <c r="R7" s="1"/>
      <c r="S7" s="1"/>
      <c r="T7" s="1"/>
      <c r="U7" s="1"/>
      <c r="V7" s="1"/>
    </row>
    <row collapsed="false" customFormat="false" customHeight="false" hidden="false" ht="12.75" outlineLevel="0" r="8">
      <c r="A8" s="1"/>
      <c r="B8" s="1"/>
      <c r="C8" s="1" t="s">
        <v>16</v>
      </c>
      <c r="D8" s="1"/>
      <c r="E8" s="1" t="n">
        <f aca="false">CEILING((B7/128),1,1)</f>
        <v>0</v>
      </c>
      <c r="F8" s="1" t="n">
        <v>10000</v>
      </c>
      <c r="G8" s="1"/>
      <c r="H8" s="1"/>
      <c r="I8" s="1" t="n">
        <f aca="false">E8*F8</f>
        <v>0</v>
      </c>
      <c r="J8" s="1" t="n">
        <v>0</v>
      </c>
      <c r="K8" s="1" t="n">
        <f aca="false">E8</f>
        <v>0</v>
      </c>
      <c r="L8" s="3" t="n">
        <f aca="false">K8*F8</f>
        <v>0</v>
      </c>
      <c r="M8" s="1"/>
      <c r="N8" s="1"/>
      <c r="O8" s="1"/>
      <c r="P8" s="1"/>
      <c r="Q8" s="1"/>
      <c r="R8" s="1"/>
      <c r="S8" s="1"/>
      <c r="T8" s="1"/>
      <c r="U8" s="1"/>
      <c r="V8" s="1"/>
    </row>
    <row collapsed="false" customFormat="false" customHeight="false" hidden="false" ht="12.75" outlineLevel="0" r="9">
      <c r="A9" s="1"/>
      <c r="B9" s="1"/>
      <c r="C9" s="1" t="s">
        <v>68</v>
      </c>
      <c r="D9" s="1"/>
      <c r="E9" s="1" t="n">
        <f aca="false">CEILING((((E2+E4)+E7)/16),1,1)</f>
        <v>23</v>
      </c>
      <c r="F9" s="1" t="n">
        <v>15000</v>
      </c>
      <c r="G9" s="1"/>
      <c r="H9" s="1"/>
      <c r="I9" s="1" t="n">
        <f aca="false">E9*F9</f>
        <v>345000</v>
      </c>
      <c r="J9" s="1" t="n">
        <f aca="false">I9</f>
        <v>345000</v>
      </c>
      <c r="K9" s="1" t="n">
        <f aca="false">CEILING((K2/16),1,1)</f>
        <v>8</v>
      </c>
      <c r="L9" s="3" t="n">
        <f aca="false">K9*F9</f>
        <v>120000</v>
      </c>
      <c r="M9" s="1" t="n">
        <f aca="false">L9</f>
        <v>120000</v>
      </c>
      <c r="N9" s="1"/>
      <c r="O9" s="1"/>
      <c r="P9" s="1"/>
      <c r="Q9" s="1"/>
      <c r="R9" s="1"/>
      <c r="S9" s="1"/>
      <c r="T9" s="1"/>
      <c r="U9" s="1"/>
      <c r="V9" s="1"/>
    </row>
    <row collapsed="false" customFormat="false" customHeight="false" hidden="false" ht="12.75" outlineLevel="0" r="10">
      <c r="A10" s="1"/>
      <c r="B10" s="1"/>
      <c r="C10" s="1" t="s">
        <v>69</v>
      </c>
      <c r="D10" s="1"/>
      <c r="E10" s="1" t="n">
        <f aca="false">CEILING(($E$5/19),1,1)</f>
        <v>3</v>
      </c>
      <c r="F10" s="1" t="n">
        <v>11000</v>
      </c>
      <c r="G10" s="1"/>
      <c r="H10" s="1"/>
      <c r="I10" s="1" t="n">
        <f aca="false">E10*F10</f>
        <v>33000</v>
      </c>
      <c r="J10" s="1" t="n">
        <v>33000</v>
      </c>
      <c r="K10" s="1" t="n">
        <f aca="false">E10</f>
        <v>3</v>
      </c>
      <c r="L10" s="3" t="n">
        <f aca="false">K10*F10</f>
        <v>33000</v>
      </c>
      <c r="M10" s="1" t="n">
        <f aca="false">L10</f>
        <v>33000</v>
      </c>
      <c r="N10" s="1"/>
      <c r="O10" s="1"/>
      <c r="P10" s="1"/>
      <c r="Q10" s="1"/>
      <c r="R10" s="1"/>
      <c r="S10" s="1"/>
      <c r="T10" s="1"/>
      <c r="U10" s="1"/>
      <c r="V10" s="1"/>
    </row>
    <row collapsed="false" customFormat="false" customHeight="false" hidden="false" ht="12.75" outlineLevel="0" r="11">
      <c r="A11" s="1"/>
      <c r="B11" s="1"/>
      <c r="C11" s="1" t="s">
        <v>8</v>
      </c>
      <c r="D11" s="1"/>
      <c r="E11" s="1" t="n">
        <f aca="false">E9+E10</f>
        <v>26</v>
      </c>
      <c r="F11" s="1" t="n">
        <v>3400</v>
      </c>
      <c r="G11" s="1"/>
      <c r="H11" s="1"/>
      <c r="I11" s="1" t="n">
        <f aca="false">E11*F11</f>
        <v>88400</v>
      </c>
      <c r="J11" s="1" t="n">
        <f aca="false">I11</f>
        <v>88400</v>
      </c>
      <c r="K11" s="1" t="n">
        <f aca="false">K9+K10</f>
        <v>11</v>
      </c>
      <c r="L11" s="3" t="n">
        <f aca="false">K11*F11</f>
        <v>37400</v>
      </c>
      <c r="M11" s="1" t="n">
        <f aca="false">L11</f>
        <v>37400</v>
      </c>
      <c r="N11" s="1"/>
      <c r="O11" s="1"/>
      <c r="P11" s="1"/>
      <c r="Q11" s="1"/>
      <c r="R11" s="1"/>
      <c r="S11" s="1"/>
      <c r="T11" s="1"/>
      <c r="U11" s="1"/>
      <c r="V11" s="1"/>
    </row>
    <row collapsed="false" customFormat="false" customHeight="false" hidden="false" ht="12.75" outlineLevel="0" r="12">
      <c r="A12" s="1"/>
      <c r="B12" s="1"/>
      <c r="C12" s="1" t="s">
        <v>9</v>
      </c>
      <c r="D12" s="1"/>
      <c r="E12" s="1" t="n">
        <f aca="false">E11</f>
        <v>26</v>
      </c>
      <c r="F12" s="1" t="n">
        <v>2000</v>
      </c>
      <c r="G12" s="1"/>
      <c r="H12" s="1"/>
      <c r="I12" s="1" t="n">
        <f aca="false">E12*F12</f>
        <v>52000</v>
      </c>
      <c r="J12" s="1" t="n">
        <f aca="false">I12</f>
        <v>52000</v>
      </c>
      <c r="K12" s="1" t="n">
        <f aca="false">K11</f>
        <v>11</v>
      </c>
      <c r="L12" s="3" t="n">
        <f aca="false">K12*F12</f>
        <v>22000</v>
      </c>
      <c r="M12" s="1" t="n">
        <f aca="false">L12</f>
        <v>22000</v>
      </c>
      <c r="N12" s="1"/>
      <c r="O12" s="1"/>
      <c r="P12" s="1"/>
      <c r="Q12" s="1"/>
      <c r="R12" s="1"/>
      <c r="S12" s="1"/>
      <c r="T12" s="1"/>
      <c r="U12" s="1"/>
      <c r="V12" s="1"/>
    </row>
    <row collapsed="false" customFormat="false" customHeight="false" hidden="false" ht="12.75" outlineLevel="0" r="13">
      <c r="A13" s="1"/>
      <c r="B13" s="1"/>
      <c r="C13" s="1" t="s">
        <v>41</v>
      </c>
      <c r="D13" s="1"/>
      <c r="E13" s="1" t="n">
        <f aca="false">E9</f>
        <v>23</v>
      </c>
      <c r="F13" s="1" t="n">
        <v>2000</v>
      </c>
      <c r="G13" s="1"/>
      <c r="H13" s="1"/>
      <c r="I13" s="1" t="n">
        <f aca="false">E13*F13</f>
        <v>46000</v>
      </c>
      <c r="J13" s="1" t="n">
        <f aca="false">I13</f>
        <v>46000</v>
      </c>
      <c r="K13" s="1" t="n">
        <f aca="false">K9</f>
        <v>8</v>
      </c>
      <c r="L13" s="3" t="n">
        <f aca="false">K13*F13</f>
        <v>16000</v>
      </c>
      <c r="M13" s="1" t="n">
        <f aca="false">L13</f>
        <v>16000</v>
      </c>
      <c r="N13" s="1"/>
      <c r="O13" s="1" t="s">
        <v>70</v>
      </c>
      <c r="P13" s="1"/>
      <c r="Q13" s="1"/>
      <c r="R13" s="1"/>
      <c r="S13" s="1"/>
      <c r="T13" s="1"/>
      <c r="U13" s="1"/>
      <c r="V13" s="1"/>
    </row>
    <row collapsed="false" customFormat="false" customHeight="false" hidden="false" ht="12.75" outlineLevel="0" r="14">
      <c r="A14" s="1"/>
      <c r="B14" s="1"/>
      <c r="C14" s="1" t="s">
        <v>39</v>
      </c>
      <c r="D14" s="1"/>
      <c r="E14" s="1" t="n">
        <f aca="false">CEILING(($E$5/19),1,1)</f>
        <v>3</v>
      </c>
      <c r="F14" s="1" t="n">
        <v>4500</v>
      </c>
      <c r="G14" s="1"/>
      <c r="H14" s="1"/>
      <c r="I14" s="1" t="n">
        <f aca="false">E14*F14</f>
        <v>13500</v>
      </c>
      <c r="J14" s="1" t="n">
        <f aca="false">I14</f>
        <v>13500</v>
      </c>
      <c r="K14" s="1" t="n">
        <f aca="false">K9</f>
        <v>8</v>
      </c>
      <c r="L14" s="3" t="n">
        <f aca="false">K14*F14</f>
        <v>36000</v>
      </c>
      <c r="M14" s="1" t="n">
        <f aca="false">L14</f>
        <v>36000</v>
      </c>
      <c r="N14" s="1"/>
      <c r="O14" s="1"/>
      <c r="P14" s="1"/>
      <c r="Q14" s="1"/>
      <c r="R14" s="1"/>
      <c r="S14" s="1"/>
      <c r="T14" s="1"/>
      <c r="U14" s="1"/>
      <c r="V14" s="1"/>
    </row>
    <row collapsed="false" customFormat="false" customHeight="false" hidden="false" ht="12.75" outlineLevel="0"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"/>
      <c r="N15" s="1"/>
      <c r="O15" s="1" t="n">
        <v>177</v>
      </c>
      <c r="P15" s="1" t="n">
        <v>1877</v>
      </c>
      <c r="Q15" s="1"/>
      <c r="R15" s="1"/>
      <c r="S15" s="1"/>
      <c r="T15" s="1"/>
      <c r="U15" s="1"/>
      <c r="V15" s="1"/>
    </row>
    <row collapsed="false" customFormat="false" customHeight="false" hidden="false" ht="12.75" outlineLevel="0"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M16" s="1"/>
      <c r="N16" s="1"/>
      <c r="O16" s="1" t="n">
        <v>52</v>
      </c>
      <c r="P16" s="1" t="n">
        <v>1881</v>
      </c>
      <c r="Q16" s="1"/>
      <c r="R16" s="1"/>
      <c r="S16" s="1"/>
      <c r="T16" s="1"/>
      <c r="U16" s="1"/>
      <c r="V16" s="1"/>
    </row>
    <row collapsed="false" customFormat="false" customHeight="false" hidden="false" ht="12.75" outlineLevel="0" r="17">
      <c r="A17" s="1"/>
      <c r="B17" s="1"/>
      <c r="C17" s="1"/>
      <c r="D17" s="1"/>
      <c r="E17" s="1" t="s">
        <v>71</v>
      </c>
      <c r="F17" s="1"/>
      <c r="G17" s="1"/>
      <c r="H17" s="1"/>
      <c r="I17" s="1" t="n">
        <f aca="false">SUM(I2:I14)</f>
        <v>2634400</v>
      </c>
      <c r="J17" s="1" t="n">
        <f aca="false">SUM(J2:J14)</f>
        <v>2184400</v>
      </c>
      <c r="K17" s="1"/>
      <c r="L17" s="3" t="n">
        <f aca="false">SUM(L2:L14)</f>
        <v>1276900</v>
      </c>
      <c r="M17" s="1" t="n">
        <f aca="false">SUM(M2:M14)</f>
        <v>826900</v>
      </c>
      <c r="N17" s="1"/>
      <c r="O17" s="1" t="n">
        <v>13</v>
      </c>
      <c r="P17" s="1" t="s">
        <v>72</v>
      </c>
      <c r="Q17" s="1"/>
      <c r="R17" s="1"/>
      <c r="S17" s="1"/>
      <c r="T17" s="1"/>
      <c r="U17" s="1"/>
      <c r="V17" s="1"/>
    </row>
    <row collapsed="false" customFormat="false" customHeight="false" hidden="false" ht="12.75" outlineLevel="0"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 t="n">
        <f aca="false">M17-(120*F2)</f>
        <v>286900</v>
      </c>
      <c r="N18" s="1"/>
      <c r="O18" s="1"/>
      <c r="P18" s="1"/>
      <c r="Q18" s="1"/>
      <c r="R18" s="1"/>
      <c r="S18" s="1"/>
      <c r="T18" s="1"/>
      <c r="U18" s="1"/>
      <c r="V18" s="1"/>
    </row>
    <row collapsed="false" customFormat="false" customHeight="false" hidden="false" ht="12.75" outlineLevel="0" r="19">
      <c r="A19" s="1" t="s">
        <v>73</v>
      </c>
      <c r="B19" s="1" t="s">
        <v>1</v>
      </c>
      <c r="C19" s="1"/>
      <c r="D19" s="1" t="s">
        <v>2</v>
      </c>
      <c r="E19" s="1" t="s">
        <v>3</v>
      </c>
      <c r="F19" s="1" t="s">
        <v>4</v>
      </c>
      <c r="G19" s="1" t="s">
        <v>74</v>
      </c>
      <c r="H19" s="1" t="s">
        <v>75</v>
      </c>
      <c r="I19" s="1" t="s">
        <v>6</v>
      </c>
      <c r="J19" s="1" t="s">
        <v>7</v>
      </c>
      <c r="K19" s="1" t="s">
        <v>8</v>
      </c>
      <c r="L19" s="1" t="s">
        <v>9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collapsed="false" customFormat="false" customHeight="false" hidden="false" ht="12.75" outlineLevel="0" r="20">
      <c r="A20" s="1" t="s">
        <v>13</v>
      </c>
      <c r="B20" s="1" t="n">
        <f aca="false">$P$1</f>
        <v>2000</v>
      </c>
      <c r="C20" s="1" t="s">
        <v>14</v>
      </c>
      <c r="D20" s="1" t="n">
        <f aca="false">B20*3</f>
        <v>6000</v>
      </c>
      <c r="E20" s="1"/>
      <c r="F20" s="1" t="n">
        <f aca="false">D20/64</f>
        <v>93.75</v>
      </c>
      <c r="G20" s="1"/>
      <c r="H20" s="1"/>
      <c r="I20" s="1" t="n">
        <f aca="false">F20/23</f>
        <v>4.07608695652174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collapsed="false" customFormat="false" customHeight="false" hidden="false" ht="12.75" outlineLevel="0" r="21">
      <c r="A21" s="1"/>
      <c r="B21" s="1"/>
      <c r="C21" s="1"/>
      <c r="D21" s="1" t="n">
        <f aca="false">D20-(90*64)</f>
        <v>240</v>
      </c>
      <c r="E21" s="1" t="n">
        <f aca="false">D21/96</f>
        <v>2.5</v>
      </c>
      <c r="F21" s="1"/>
      <c r="G21" s="1" t="n">
        <f aca="false">D21/32</f>
        <v>7.5</v>
      </c>
      <c r="H21" s="1" t="n">
        <f aca="false">G21/20</f>
        <v>0.375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collapsed="false" customFormat="false" customHeight="false" hidden="false" ht="12.75" outlineLevel="0" r="22">
      <c r="A22" s="1" t="s">
        <v>15</v>
      </c>
      <c r="B22" s="1" t="n">
        <v>3700</v>
      </c>
      <c r="C22" s="1" t="s">
        <v>16</v>
      </c>
      <c r="D22" s="1" t="n">
        <f aca="false">B22*3</f>
        <v>11100</v>
      </c>
      <c r="E22" s="1" t="n">
        <f aca="false">D22/96</f>
        <v>115.625</v>
      </c>
      <c r="F22" s="1"/>
      <c r="G22" s="1"/>
      <c r="H22" s="1"/>
      <c r="I22" s="1" t="n">
        <f aca="false">E22/23</f>
        <v>5.02717391304348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collapsed="false" customFormat="false" customHeight="false" hidden="false" ht="12.75" outlineLevel="0" r="23">
      <c r="A23" s="1"/>
      <c r="B23" s="1"/>
      <c r="C23" s="1"/>
      <c r="D23" s="1" t="n">
        <f aca="false">B23*3</f>
        <v>0</v>
      </c>
      <c r="E23" s="1"/>
      <c r="F23" s="1"/>
      <c r="G23" s="1"/>
      <c r="H23" s="1"/>
      <c r="I23" s="1" t="n">
        <f aca="false">E23/23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collapsed="false" customFormat="false" customHeight="false" hidden="false" ht="12.75" outlineLevel="0" r="24">
      <c r="A24" s="1"/>
      <c r="B24" s="1"/>
      <c r="C24" s="1"/>
      <c r="D24" s="1" t="n">
        <f aca="false">B24*3</f>
        <v>0</v>
      </c>
      <c r="E24" s="1"/>
      <c r="F24" s="1"/>
      <c r="G24" s="1"/>
      <c r="H24" s="1"/>
      <c r="I24" s="1" t="n">
        <f aca="false">E24/23</f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collapsed="false" customFormat="false" customHeight="false" hidden="false" ht="12.75" outlineLevel="0" r="25">
      <c r="A25" s="1" t="s">
        <v>67</v>
      </c>
      <c r="B25" s="1" t="n">
        <v>0</v>
      </c>
      <c r="C25" s="1" t="s">
        <v>16</v>
      </c>
      <c r="D25" s="1" t="n">
        <f aca="false">B25*3</f>
        <v>0</v>
      </c>
      <c r="E25" s="1" t="n">
        <f aca="false">D25/96</f>
        <v>0</v>
      </c>
      <c r="F25" s="1"/>
      <c r="G25" s="1"/>
      <c r="H25" s="1"/>
      <c r="I25" s="1" t="n">
        <f aca="false">E25/23</f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collapsed="false" customFormat="false" customHeight="false" hidden="false" ht="12.75" outlineLevel="0"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collapsed="false" customFormat="false" customHeight="false" hidden="false" ht="12.75" outlineLevel="0" r="27">
      <c r="A27" s="1"/>
      <c r="B27" s="1"/>
      <c r="C27" s="1"/>
      <c r="D27" s="1"/>
      <c r="E27" s="1"/>
      <c r="F27" s="1"/>
      <c r="G27" s="1"/>
      <c r="H27" s="1"/>
      <c r="I27" s="1" t="n">
        <f aca="false">CEILING(SUM(I20:I25),1,1)</f>
        <v>10</v>
      </c>
      <c r="J27" s="1" t="n">
        <f aca="false">I27</f>
        <v>10</v>
      </c>
      <c r="K27" s="1" t="n">
        <f aca="false">J27</f>
        <v>10</v>
      </c>
      <c r="L27" s="1" t="n">
        <f aca="false">K27</f>
        <v>10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collapsed="false" customFormat="false" customHeight="false" hidden="false" ht="12.75" outlineLevel="0"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collapsed="false" customFormat="false" customHeight="false" hidden="false" ht="12.75" outlineLevel="0" r="29">
      <c r="A29" s="1" t="s">
        <v>0</v>
      </c>
      <c r="B29" s="1" t="s">
        <v>1</v>
      </c>
      <c r="C29" s="1"/>
      <c r="D29" s="1" t="s">
        <v>2</v>
      </c>
      <c r="E29" s="1" t="s">
        <v>3</v>
      </c>
      <c r="F29" s="1" t="s">
        <v>4</v>
      </c>
      <c r="G29" s="1"/>
      <c r="H29" s="1"/>
      <c r="I29" s="1" t="s">
        <v>6</v>
      </c>
      <c r="J29" s="1" t="s">
        <v>7</v>
      </c>
      <c r="K29" s="1" t="s">
        <v>8</v>
      </c>
      <c r="L29" s="1" t="s">
        <v>9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collapsed="false" customFormat="false" customHeight="false" hidden="false" ht="12.75" outlineLevel="0" r="30">
      <c r="A30" s="1" t="s">
        <v>13</v>
      </c>
      <c r="B30" s="1" t="n">
        <f aca="false">$P$1</f>
        <v>2000</v>
      </c>
      <c r="C30" s="1" t="s">
        <v>14</v>
      </c>
      <c r="D30" s="1" t="n">
        <f aca="false">B30*3</f>
        <v>6000</v>
      </c>
      <c r="E30" s="1"/>
      <c r="F30" s="1" t="n">
        <f aca="false">D30/64</f>
        <v>93.75</v>
      </c>
      <c r="G30" s="1"/>
      <c r="H30" s="1"/>
      <c r="I30" s="1" t="n">
        <f aca="false">F30/23</f>
        <v>4.07608695652174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collapsed="false" customFormat="false" customHeight="false" hidden="false" ht="12.75" outlineLevel="0" r="31">
      <c r="A31" s="1"/>
      <c r="B31" s="1"/>
      <c r="C31" s="1"/>
      <c r="D31" s="1"/>
      <c r="E31" s="1"/>
      <c r="F31" s="1" t="n">
        <v>0</v>
      </c>
      <c r="G31" s="1"/>
      <c r="H31" s="1"/>
      <c r="I31" s="1" t="n">
        <f aca="false">F31/23</f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collapsed="false" customFormat="false" customHeight="false" hidden="false" ht="12.75" outlineLevel="0" r="32">
      <c r="A32" s="1" t="s">
        <v>15</v>
      </c>
      <c r="B32" s="1" t="n">
        <v>3700</v>
      </c>
      <c r="C32" s="1" t="s">
        <v>16</v>
      </c>
      <c r="D32" s="1" t="n">
        <f aca="false">B32*3</f>
        <v>11100</v>
      </c>
      <c r="E32" s="1" t="n">
        <f aca="false">D32/96</f>
        <v>115.625</v>
      </c>
      <c r="F32" s="1"/>
      <c r="G32" s="1"/>
      <c r="H32" s="1"/>
      <c r="I32" s="1" t="n">
        <f aca="false">E32/23</f>
        <v>5.02717391304348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collapsed="false" customFormat="false" customHeight="false" hidden="false" ht="12.75" outlineLevel="0" r="33">
      <c r="A33" s="1"/>
      <c r="B33" s="1"/>
      <c r="C33" s="1" t="s">
        <v>14</v>
      </c>
      <c r="D33" s="1" t="n">
        <v>11000</v>
      </c>
      <c r="E33" s="1"/>
      <c r="F33" s="1" t="n">
        <f aca="false">D32/64</f>
        <v>173.4375</v>
      </c>
      <c r="G33" s="1"/>
      <c r="H33" s="1"/>
      <c r="I33" s="1" t="n">
        <f aca="false">F33/23</f>
        <v>7.54076086956522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collapsed="false" customFormat="false" customHeight="false" hidden="false" ht="12.75" outlineLevel="0" r="34">
      <c r="A34" s="1"/>
      <c r="B34" s="1"/>
      <c r="C34" s="1"/>
      <c r="D34" s="1" t="n">
        <f aca="false">B34*3</f>
        <v>0</v>
      </c>
      <c r="E34" s="1"/>
      <c r="F34" s="1"/>
      <c r="G34" s="1"/>
      <c r="H34" s="1"/>
      <c r="I34" s="1" t="n">
        <f aca="false">E34/23</f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collapsed="false" customFormat="false" customHeight="false" hidden="false" ht="12.75" outlineLevel="0"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collapsed="false" customFormat="false" customHeight="false" hidden="false" ht="12.75" outlineLevel="0" r="36">
      <c r="A36" s="1" t="s">
        <v>67</v>
      </c>
      <c r="B36" s="1" t="n">
        <v>0</v>
      </c>
      <c r="C36" s="1" t="s">
        <v>16</v>
      </c>
      <c r="D36" s="1" t="n">
        <f aca="false">B36*3</f>
        <v>0</v>
      </c>
      <c r="E36" s="1" t="n">
        <f aca="false">D36/96</f>
        <v>0</v>
      </c>
      <c r="F36" s="1"/>
      <c r="G36" s="1"/>
      <c r="H36" s="1"/>
      <c r="I36" s="1" t="n">
        <f aca="false">E36/23</f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collapsed="false" customFormat="false" customHeight="false" hidden="false" ht="12.75" outlineLevel="0" r="37">
      <c r="A37" s="1"/>
      <c r="B37" s="1"/>
      <c r="C37" s="1" t="s">
        <v>14</v>
      </c>
      <c r="D37" s="1"/>
      <c r="E37" s="1"/>
      <c r="F37" s="1" t="n">
        <f aca="false">D36/64</f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collapsed="false" customFormat="false" customHeight="false" hidden="false" ht="12.75" outlineLevel="0" r="38">
      <c r="A38" s="1"/>
      <c r="B38" s="1"/>
      <c r="C38" s="1"/>
      <c r="D38" s="1"/>
      <c r="E38" s="1"/>
      <c r="F38" s="1" t="n">
        <f aca="false">SUM(F30:F37)</f>
        <v>267.1875</v>
      </c>
      <c r="G38" s="1"/>
      <c r="H38" s="1"/>
      <c r="I38" s="1" t="n">
        <f aca="false">CEILING(SUM(I30:I36),1,1)</f>
        <v>17</v>
      </c>
      <c r="J38" s="1" t="n">
        <f aca="false">I38</f>
        <v>17</v>
      </c>
      <c r="K38" s="1" t="n">
        <f aca="false">J38</f>
        <v>17</v>
      </c>
      <c r="L38" s="1" t="n">
        <f aca="false">K38</f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collapsed="false" customFormat="false" customHeight="false" hidden="false" ht="12.75" outlineLevel="0"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collapsed="false" customFormat="false" customHeight="false" hidden="false" ht="12.75" outlineLevel="0" r="40">
      <c r="A40" s="1"/>
      <c r="B40" s="1"/>
      <c r="C40" s="1"/>
      <c r="D40" s="1"/>
      <c r="E40" s="1"/>
      <c r="F40" s="1"/>
      <c r="G40" s="1" t="s">
        <v>76</v>
      </c>
      <c r="H40" s="1" t="n">
        <f aca="false">H21*I54</f>
        <v>507.5625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collapsed="false" customFormat="false" customHeight="false" hidden="false" ht="12.75" outlineLevel="0"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collapsed="false" customFormat="false" customHeight="false" hidden="false" ht="12.75" outlineLevel="0"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collapsed="false" customFormat="false" customHeight="false" hidden="false" ht="12.75" outlineLevel="0" r="43">
      <c r="A43" s="1" t="s">
        <v>77</v>
      </c>
      <c r="B43" s="1" t="s">
        <v>1</v>
      </c>
      <c r="C43" s="1"/>
      <c r="D43" s="1" t="s">
        <v>2</v>
      </c>
      <c r="E43" s="1" t="s">
        <v>3</v>
      </c>
      <c r="F43" s="1" t="s">
        <v>74</v>
      </c>
      <c r="G43" s="1" t="s">
        <v>22</v>
      </c>
      <c r="H43" s="1"/>
      <c r="I43" s="1" t="s">
        <v>78</v>
      </c>
      <c r="J43" s="1"/>
      <c r="K43" s="1" t="s">
        <v>6</v>
      </c>
      <c r="L43" s="1" t="s">
        <v>7</v>
      </c>
      <c r="M43" s="1" t="s">
        <v>8</v>
      </c>
      <c r="N43" s="1" t="s">
        <v>9</v>
      </c>
      <c r="O43" s="1"/>
      <c r="P43" s="1"/>
      <c r="Q43" s="1"/>
      <c r="R43" s="1"/>
      <c r="S43" s="1"/>
      <c r="T43" s="1"/>
      <c r="U43" s="1"/>
      <c r="V43" s="1"/>
    </row>
    <row collapsed="false" customFormat="false" customHeight="false" hidden="false" ht="12.75" outlineLevel="0" r="44">
      <c r="A44" s="1" t="s">
        <v>13</v>
      </c>
      <c r="B44" s="1" t="n">
        <f aca="false">$P$1</f>
        <v>2000</v>
      </c>
      <c r="C44" s="1" t="s">
        <v>16</v>
      </c>
      <c r="D44" s="1" t="n">
        <f aca="false">B44*3</f>
        <v>6000</v>
      </c>
      <c r="E44" s="1" t="n">
        <f aca="false">D44/96</f>
        <v>62.5</v>
      </c>
      <c r="F44" s="1" t="n">
        <f aca="false">D44/32</f>
        <v>187.5</v>
      </c>
      <c r="G44" s="1"/>
      <c r="H44" s="1"/>
      <c r="I44" s="1" t="n">
        <f aca="false">F44/20</f>
        <v>9.375</v>
      </c>
      <c r="J44" s="1"/>
      <c r="K44" s="1" t="n">
        <f aca="false">E44/23</f>
        <v>2.71739130434783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collapsed="false" customFormat="false" customHeight="false" hidden="false" ht="12.75" outlineLevel="0" r="45">
      <c r="A45" s="1"/>
      <c r="B45" s="1"/>
      <c r="C45" s="1"/>
      <c r="D45" s="1"/>
      <c r="E45" s="1" t="n">
        <f aca="false">D45/96</f>
        <v>0</v>
      </c>
      <c r="F45" s="1" t="n">
        <f aca="false">D45/32</f>
        <v>0</v>
      </c>
      <c r="G45" s="1"/>
      <c r="H45" s="1"/>
      <c r="I45" s="1" t="n">
        <f aca="false">F45/22</f>
        <v>0</v>
      </c>
      <c r="J45" s="1"/>
      <c r="K45" s="1" t="n">
        <f aca="false">E45/23</f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collapsed="false" customFormat="false" customHeight="false" hidden="false" ht="12.75" outlineLevel="0" r="46">
      <c r="A46" s="1" t="s">
        <v>15</v>
      </c>
      <c r="B46" s="1" t="n">
        <v>3700</v>
      </c>
      <c r="C46" s="1" t="s">
        <v>16</v>
      </c>
      <c r="D46" s="1" t="n">
        <f aca="false">B46*3</f>
        <v>11100</v>
      </c>
      <c r="E46" s="1" t="n">
        <f aca="false">D46/96</f>
        <v>115.625</v>
      </c>
      <c r="F46" s="1" t="n">
        <v>0</v>
      </c>
      <c r="G46" s="1"/>
      <c r="H46" s="1"/>
      <c r="I46" s="1" t="n">
        <f aca="false">F46/22</f>
        <v>0</v>
      </c>
      <c r="J46" s="1"/>
      <c r="K46" s="1" t="n">
        <f aca="false">E46/23</f>
        <v>5.02717391304348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collapsed="false" customFormat="false" customHeight="false" hidden="false" ht="12.75" outlineLevel="0" r="47">
      <c r="A47" s="1"/>
      <c r="B47" s="1"/>
      <c r="C47" s="1" t="s">
        <v>16</v>
      </c>
      <c r="D47" s="1" t="n">
        <v>0</v>
      </c>
      <c r="E47" s="1" t="n">
        <f aca="false">D47/96</f>
        <v>0</v>
      </c>
      <c r="F47" s="1" t="n">
        <f aca="false">D47/32</f>
        <v>0</v>
      </c>
      <c r="G47" s="1"/>
      <c r="H47" s="1"/>
      <c r="I47" s="1" t="n">
        <f aca="false">F47/22</f>
        <v>0</v>
      </c>
      <c r="J47" s="1"/>
      <c r="K47" s="1" t="n">
        <f aca="false">E47/23</f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collapsed="false" customFormat="false" customHeight="false" hidden="false" ht="12.75" outlineLevel="0" r="48">
      <c r="A48" s="1"/>
      <c r="B48" s="1"/>
      <c r="C48" s="1"/>
      <c r="D48" s="1" t="n">
        <f aca="false">B48*3</f>
        <v>0</v>
      </c>
      <c r="E48" s="1"/>
      <c r="F48" s="1" t="n">
        <f aca="false">D48/32</f>
        <v>0</v>
      </c>
      <c r="G48" s="1"/>
      <c r="H48" s="1"/>
      <c r="I48" s="1" t="n">
        <f aca="false">F48/22</f>
        <v>0</v>
      </c>
      <c r="J48" s="1"/>
      <c r="K48" s="1" t="n">
        <f aca="false">E48/23</f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collapsed="false" customFormat="false" customHeight="false" hidden="false" ht="12.75" outlineLevel="0" r="49">
      <c r="A49" s="1"/>
      <c r="B49" s="1"/>
      <c r="C49" s="1"/>
      <c r="D49" s="1"/>
      <c r="E49" s="1"/>
      <c r="F49" s="1" t="n">
        <f aca="false">D49/32</f>
        <v>0</v>
      </c>
      <c r="G49" s="1"/>
      <c r="H49" s="1"/>
      <c r="I49" s="1" t="n">
        <f aca="false">F49/22</f>
        <v>0</v>
      </c>
      <c r="J49" s="1"/>
      <c r="K49" s="1" t="n">
        <f aca="false">E49/23</f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collapsed="false" customFormat="false" customHeight="false" hidden="false" ht="12.75" outlineLevel="0" r="50">
      <c r="A50" s="1" t="s">
        <v>67</v>
      </c>
      <c r="B50" s="1" t="n">
        <v>0</v>
      </c>
      <c r="C50" s="1" t="s">
        <v>16</v>
      </c>
      <c r="D50" s="1" t="n">
        <f aca="false">B50*3</f>
        <v>0</v>
      </c>
      <c r="E50" s="1" t="n">
        <f aca="false">D50/96</f>
        <v>0</v>
      </c>
      <c r="F50" s="1" t="n">
        <v>0</v>
      </c>
      <c r="G50" s="1"/>
      <c r="H50" s="1"/>
      <c r="I50" s="1" t="n">
        <f aca="false">F50/22</f>
        <v>0</v>
      </c>
      <c r="J50" s="1"/>
      <c r="K50" s="1" t="n">
        <f aca="false">E50/23</f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collapsed="false" customFormat="false" customHeight="false" hidden="false" ht="12.75" outlineLevel="0" r="51">
      <c r="A51" s="1"/>
      <c r="B51" s="1"/>
      <c r="C51" s="1" t="s">
        <v>16</v>
      </c>
      <c r="D51" s="1" t="n">
        <v>0</v>
      </c>
      <c r="E51" s="1" t="n">
        <f aca="false">D51/96</f>
        <v>0</v>
      </c>
      <c r="F51" s="1" t="n">
        <f aca="false">D51/32</f>
        <v>0</v>
      </c>
      <c r="G51" s="1"/>
      <c r="H51" s="1"/>
      <c r="I51" s="1" t="n">
        <f aca="false">F51/22</f>
        <v>0</v>
      </c>
      <c r="J51" s="1"/>
      <c r="K51" s="1" t="n">
        <f aca="false">E51/23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collapsed="false" customFormat="false" customHeight="false" hidden="false" ht="12.75" outlineLevel="0" r="52">
      <c r="A52" s="1"/>
      <c r="B52" s="1"/>
      <c r="C52" s="1"/>
      <c r="D52" s="1" t="n">
        <f aca="false">SUM(D44:D51)</f>
        <v>17100</v>
      </c>
      <c r="E52" s="1" t="n">
        <f aca="false">SUM(E44:E51)</f>
        <v>178.125</v>
      </c>
      <c r="F52" s="1" t="n">
        <f aca="false">SUM(F44:F51)</f>
        <v>187.5</v>
      </c>
      <c r="G52" s="1"/>
      <c r="H52" s="1"/>
      <c r="I52" s="1" t="n">
        <f aca="false">SUM(I44:I51)</f>
        <v>9.375</v>
      </c>
      <c r="J52" s="1"/>
      <c r="K52" s="1" t="n">
        <f aca="false">CEILING(SUM(K44:K50),1,1)</f>
        <v>8</v>
      </c>
      <c r="L52" s="1" t="n">
        <v>9</v>
      </c>
      <c r="M52" s="1" t="n">
        <v>9</v>
      </c>
      <c r="N52" s="1" t="n">
        <v>9</v>
      </c>
      <c r="O52" s="1"/>
      <c r="P52" s="1"/>
      <c r="Q52" s="1"/>
      <c r="R52" s="1"/>
      <c r="S52" s="1"/>
      <c r="T52" s="1"/>
      <c r="U52" s="1"/>
      <c r="V52" s="1"/>
    </row>
    <row collapsed="false" customFormat="false" customHeight="false" hidden="false" ht="12.75" outlineLevel="0"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collapsed="false" customFormat="false" customHeight="false" hidden="false" ht="12.75" outlineLevel="0" r="54">
      <c r="A54" s="1"/>
      <c r="B54" s="1"/>
      <c r="C54" s="1"/>
      <c r="D54" s="1"/>
      <c r="E54" s="1"/>
      <c r="F54" s="1"/>
      <c r="G54" s="1"/>
      <c r="H54" s="1"/>
      <c r="I54" s="1" t="n">
        <f aca="false">630.7+722.8</f>
        <v>1353.5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collapsed="false" customFormat="false" customHeight="false" hidden="false" ht="12.75" outlineLevel="0"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collapsed="false" customFormat="false" customHeight="false" hidden="false" ht="12.75" outlineLevel="0"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collapsed="false" customFormat="false" customHeight="false" hidden="false" ht="12.75" outlineLevel="0"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collapsed="false" customFormat="false" customHeight="false" hidden="false" ht="12.75" outlineLevel="0"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collapsed="false" customFormat="false" customHeight="false" hidden="false" ht="12.75" outlineLevel="0" r="59">
      <c r="A59" s="1"/>
      <c r="B59" s="1"/>
      <c r="C59" s="1"/>
      <c r="D59" s="1"/>
      <c r="E59" s="1"/>
      <c r="F59" s="1"/>
      <c r="G59" s="1"/>
      <c r="H59" s="1" t="s">
        <v>76</v>
      </c>
      <c r="I59" s="1" t="n">
        <f aca="false">I52*I54</f>
        <v>12689.0625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collapsed="false" customFormat="false" customHeight="false" hidden="false" ht="12.75" outlineLevel="0"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collapsed="false" customFormat="false" customHeight="false" hidden="false" ht="12.75" outlineLevel="0" r="61">
      <c r="A61" s="1" t="s">
        <v>77</v>
      </c>
      <c r="B61" s="1" t="s">
        <v>1</v>
      </c>
      <c r="C61" s="1"/>
      <c r="D61" s="1" t="s">
        <v>2</v>
      </c>
      <c r="E61" s="1" t="s">
        <v>3</v>
      </c>
      <c r="F61" s="1" t="s">
        <v>74</v>
      </c>
      <c r="G61" s="1"/>
      <c r="H61" s="1"/>
      <c r="I61" s="1" t="s">
        <v>78</v>
      </c>
      <c r="J61" s="1"/>
      <c r="K61" s="1" t="s">
        <v>6</v>
      </c>
      <c r="L61" s="1" t="s">
        <v>7</v>
      </c>
      <c r="M61" s="1" t="s">
        <v>8</v>
      </c>
      <c r="N61" s="1" t="s">
        <v>9</v>
      </c>
      <c r="O61" s="1"/>
      <c r="P61" s="1"/>
      <c r="Q61" s="1"/>
      <c r="R61" s="1"/>
      <c r="S61" s="1"/>
      <c r="T61" s="1"/>
      <c r="U61" s="1"/>
      <c r="V61" s="1"/>
    </row>
    <row collapsed="false" customFormat="false" customHeight="false" hidden="false" ht="12.75" outlineLevel="0" r="62">
      <c r="A62" s="1" t="s">
        <v>13</v>
      </c>
      <c r="B62" s="1" t="n">
        <f aca="false">$P$1</f>
        <v>2000</v>
      </c>
      <c r="C62" s="1" t="s">
        <v>16</v>
      </c>
      <c r="D62" s="1" t="n">
        <f aca="false">B62*3</f>
        <v>6000</v>
      </c>
      <c r="E62" s="1" t="n">
        <f aca="false">D62/96</f>
        <v>62.5</v>
      </c>
      <c r="F62" s="1" t="n">
        <f aca="false">D62/32</f>
        <v>187.5</v>
      </c>
      <c r="G62" s="1"/>
      <c r="H62" s="1"/>
      <c r="I62" s="1" t="n">
        <f aca="false">F62/20</f>
        <v>9.375</v>
      </c>
      <c r="J62" s="1"/>
      <c r="K62" s="1" t="n">
        <f aca="false">E62/23</f>
        <v>2.71739130434783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collapsed="false" customFormat="false" customHeight="false" hidden="false" ht="12.75" outlineLevel="0" r="63">
      <c r="A63" s="1"/>
      <c r="B63" s="1"/>
      <c r="C63" s="1"/>
      <c r="D63" s="1"/>
      <c r="E63" s="1" t="n">
        <f aca="false">D63/96</f>
        <v>0</v>
      </c>
      <c r="F63" s="1" t="n">
        <f aca="false">D63/32</f>
        <v>0</v>
      </c>
      <c r="G63" s="1"/>
      <c r="H63" s="1"/>
      <c r="I63" s="1" t="n">
        <f aca="false">F63/20</f>
        <v>0</v>
      </c>
      <c r="J63" s="1"/>
      <c r="K63" s="1" t="n">
        <f aca="false">E63/23</f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collapsed="false" customFormat="false" customHeight="false" hidden="false" ht="12.75" outlineLevel="0" r="64">
      <c r="A64" s="1" t="s">
        <v>15</v>
      </c>
      <c r="B64" s="1" t="n">
        <v>3700</v>
      </c>
      <c r="C64" s="1" t="s">
        <v>16</v>
      </c>
      <c r="D64" s="1" t="n">
        <f aca="false">B64*3</f>
        <v>11100</v>
      </c>
      <c r="E64" s="1" t="n">
        <f aca="false">D64/96</f>
        <v>115.625</v>
      </c>
      <c r="F64" s="1" t="n">
        <v>0</v>
      </c>
      <c r="G64" s="1"/>
      <c r="H64" s="1"/>
      <c r="I64" s="1" t="n">
        <f aca="false">F64/20</f>
        <v>0</v>
      </c>
      <c r="J64" s="1"/>
      <c r="K64" s="1" t="n">
        <f aca="false">E64/23</f>
        <v>5.02717391304348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collapsed="false" customFormat="false" customHeight="false" hidden="false" ht="12.75" outlineLevel="0" r="65">
      <c r="A65" s="1"/>
      <c r="B65" s="1"/>
      <c r="C65" s="1" t="s">
        <v>16</v>
      </c>
      <c r="D65" s="1" t="n">
        <v>0</v>
      </c>
      <c r="E65" s="1" t="n">
        <f aca="false">D65/96</f>
        <v>0</v>
      </c>
      <c r="F65" s="1" t="n">
        <f aca="false">D65/32</f>
        <v>0</v>
      </c>
      <c r="G65" s="1"/>
      <c r="H65" s="1"/>
      <c r="I65" s="1" t="n">
        <f aca="false">F65/20</f>
        <v>0</v>
      </c>
      <c r="J65" s="1"/>
      <c r="K65" s="1" t="n">
        <f aca="false">E65/23</f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collapsed="false" customFormat="false" customHeight="false" hidden="false" ht="12.75" outlineLevel="0" r="66">
      <c r="A66" s="1"/>
      <c r="B66" s="1"/>
      <c r="C66" s="1"/>
      <c r="D66" s="1" t="n">
        <f aca="false">B66*3</f>
        <v>0</v>
      </c>
      <c r="E66" s="1"/>
      <c r="F66" s="1" t="n">
        <f aca="false">D66/32</f>
        <v>0</v>
      </c>
      <c r="G66" s="1"/>
      <c r="H66" s="1"/>
      <c r="I66" s="1" t="n">
        <f aca="false">F66/20</f>
        <v>0</v>
      </c>
      <c r="J66" s="1"/>
      <c r="K66" s="1" t="n">
        <f aca="false">E66/23</f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collapsed="false" customFormat="false" customHeight="false" hidden="false" ht="12.75" outlineLevel="0" r="67">
      <c r="A67" s="1"/>
      <c r="B67" s="1"/>
      <c r="C67" s="1"/>
      <c r="D67" s="1"/>
      <c r="E67" s="1"/>
      <c r="F67" s="1" t="n">
        <f aca="false">D67/32</f>
        <v>0</v>
      </c>
      <c r="G67" s="1"/>
      <c r="H67" s="1"/>
      <c r="I67" s="1" t="n">
        <f aca="false">F67/20</f>
        <v>0</v>
      </c>
      <c r="J67" s="1"/>
      <c r="K67" s="1" t="n">
        <f aca="false">E67/23</f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collapsed="false" customFormat="false" customHeight="false" hidden="false" ht="12.75" outlineLevel="0" r="68">
      <c r="A68" s="1" t="s">
        <v>67</v>
      </c>
      <c r="B68" s="1" t="n">
        <v>0</v>
      </c>
      <c r="C68" s="1" t="s">
        <v>16</v>
      </c>
      <c r="D68" s="1" t="n">
        <f aca="false">B68*3</f>
        <v>0</v>
      </c>
      <c r="E68" s="1" t="n">
        <f aca="false">D68/96</f>
        <v>0</v>
      </c>
      <c r="F68" s="1" t="n">
        <v>0</v>
      </c>
      <c r="G68" s="1"/>
      <c r="H68" s="1"/>
      <c r="I68" s="1" t="n">
        <f aca="false">F68/20</f>
        <v>0</v>
      </c>
      <c r="J68" s="1"/>
      <c r="K68" s="1" t="n">
        <f aca="false">E68/23</f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collapsed="false" customFormat="false" customHeight="false" hidden="false" ht="12.75" outlineLevel="0" r="69">
      <c r="A69" s="1"/>
      <c r="B69" s="1"/>
      <c r="C69" s="1" t="s">
        <v>16</v>
      </c>
      <c r="D69" s="1" t="n">
        <v>0</v>
      </c>
      <c r="E69" s="1" t="n">
        <f aca="false">D69/96</f>
        <v>0</v>
      </c>
      <c r="F69" s="1" t="n">
        <f aca="false">D69/32</f>
        <v>0</v>
      </c>
      <c r="G69" s="1"/>
      <c r="H69" s="1"/>
      <c r="I69" s="1" t="n">
        <f aca="false">F69/20</f>
        <v>0</v>
      </c>
      <c r="J69" s="1"/>
      <c r="K69" s="1" t="n">
        <f aca="false">E69/23</f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collapsed="false" customFormat="false" customHeight="false" hidden="false" ht="12.75" outlineLevel="0" r="70">
      <c r="A70" s="1"/>
      <c r="B70" s="1"/>
      <c r="C70" s="1"/>
      <c r="D70" s="1" t="n">
        <f aca="false">SUM(D62:D69)</f>
        <v>17100</v>
      </c>
      <c r="E70" s="1" t="n">
        <f aca="false">SUM(E62:E69)</f>
        <v>178.125</v>
      </c>
      <c r="F70" s="1" t="n">
        <f aca="false">SUM(F62:F69)</f>
        <v>187.5</v>
      </c>
      <c r="G70" s="1"/>
      <c r="H70" s="1"/>
      <c r="I70" s="1" t="n">
        <f aca="false">SUM(I62:I69)</f>
        <v>9.375</v>
      </c>
      <c r="J70" s="1"/>
      <c r="K70" s="1" t="n">
        <f aca="false">CEILING(SUM(K62:K68),1,1)</f>
        <v>8</v>
      </c>
      <c r="L70" s="1" t="n">
        <v>9</v>
      </c>
      <c r="M70" s="1" t="n">
        <v>9</v>
      </c>
      <c r="N70" s="1" t="n">
        <v>9</v>
      </c>
      <c r="O70" s="1"/>
      <c r="P70" s="1"/>
      <c r="Q70" s="1"/>
      <c r="R70" s="1"/>
      <c r="S70" s="1"/>
      <c r="T70" s="1"/>
      <c r="U70" s="1"/>
      <c r="V70" s="1"/>
    </row>
    <row collapsed="false" customFormat="false" customHeight="false" hidden="false" ht="12.75" outlineLevel="0"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collapsed="false" customFormat="false" customHeight="false" hidden="false" ht="12.75" outlineLevel="0" r="72">
      <c r="A72" s="1"/>
      <c r="B72" s="1"/>
      <c r="C72" s="1"/>
      <c r="D72" s="1"/>
      <c r="E72" s="1"/>
      <c r="F72" s="1"/>
      <c r="G72" s="1"/>
      <c r="H72" s="1" t="s">
        <v>76</v>
      </c>
      <c r="I72" s="1" t="n">
        <f aca="false">630.7+722.8</f>
        <v>1353.5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collapsed="false" customFormat="false" customHeight="false" hidden="false" ht="12.75" outlineLevel="0"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collapsed="false" customFormat="false" customHeight="false" hidden="false" ht="12.75" outlineLevel="0" r="74">
      <c r="A74" s="1"/>
      <c r="B74" s="1"/>
      <c r="C74" s="1"/>
      <c r="D74" s="1"/>
      <c r="E74" s="1"/>
      <c r="F74" s="1"/>
      <c r="G74" s="1"/>
      <c r="H74" s="1"/>
      <c r="I74" s="1" t="n">
        <f aca="false">I70*I72</f>
        <v>12689.0625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collapsed="false" customFormat="false" customHeight="false" hidden="false" ht="12.75" outlineLevel="0"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collapsed="false" customFormat="false" customHeight="false" hidden="false" ht="12.75" outlineLevel="0" r="76">
      <c r="A76" s="1" t="s">
        <v>79</v>
      </c>
      <c r="B76" s="1"/>
      <c r="C76" s="1"/>
      <c r="D76" s="1"/>
      <c r="E76" s="1"/>
      <c r="F76" s="1"/>
      <c r="G76" s="1"/>
      <c r="H76" s="1" t="s">
        <v>80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collapsed="false" customFormat="false" customHeight="false" hidden="false" ht="12.75" outlineLevel="0" r="77">
      <c r="A77" s="1"/>
      <c r="B77" s="1" t="s">
        <v>81</v>
      </c>
      <c r="C77" s="1"/>
      <c r="D77" s="1"/>
      <c r="E77" s="1"/>
      <c r="F77" s="1"/>
      <c r="G77" s="1"/>
      <c r="H77" s="1" t="s">
        <v>8</v>
      </c>
      <c r="I77" s="1" t="n">
        <v>11</v>
      </c>
      <c r="J77" s="1" t="n">
        <v>3400</v>
      </c>
      <c r="K77" s="1" t="n">
        <f aca="false">I77*J77</f>
        <v>37400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collapsed="false" customFormat="false" customHeight="false" hidden="false" ht="12.75" outlineLevel="0" r="78">
      <c r="A78" s="1"/>
      <c r="B78" s="1" t="s">
        <v>8</v>
      </c>
      <c r="C78" s="1" t="n">
        <v>10</v>
      </c>
      <c r="D78" s="1" t="n">
        <v>3400</v>
      </c>
      <c r="E78" s="1" t="n">
        <f aca="false">C78*D78</f>
        <v>34000</v>
      </c>
      <c r="F78" s="1"/>
      <c r="G78" s="1"/>
      <c r="H78" s="1" t="s">
        <v>9</v>
      </c>
      <c r="I78" s="1" t="n">
        <v>11</v>
      </c>
      <c r="J78" s="1" t="n">
        <v>2000</v>
      </c>
      <c r="K78" s="1" t="n">
        <f aca="false">I78*J78</f>
        <v>22000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collapsed="false" customFormat="false" customHeight="false" hidden="false" ht="12.75" outlineLevel="0" r="79">
      <c r="A79" s="1"/>
      <c r="B79" s="1" t="s">
        <v>9</v>
      </c>
      <c r="C79" s="1" t="n">
        <v>10</v>
      </c>
      <c r="D79" s="1" t="n">
        <v>2000</v>
      </c>
      <c r="E79" s="1" t="n">
        <f aca="false">C79*D79</f>
        <v>20000</v>
      </c>
      <c r="F79" s="1"/>
      <c r="G79" s="1"/>
      <c r="H79" s="1" t="s">
        <v>82</v>
      </c>
      <c r="I79" s="1" t="n">
        <v>0</v>
      </c>
      <c r="J79" s="1" t="n">
        <v>1500</v>
      </c>
      <c r="K79" s="1" t="n">
        <f aca="false">I79*J79</f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collapsed="false" customFormat="false" customHeight="false" hidden="false" ht="12.75" outlineLevel="0" r="80">
      <c r="A80" s="1"/>
      <c r="B80" s="1" t="s">
        <v>82</v>
      </c>
      <c r="C80" s="1" t="n">
        <v>10</v>
      </c>
      <c r="D80" s="1" t="n">
        <v>1500</v>
      </c>
      <c r="E80" s="1" t="n">
        <f aca="false">C80*D80</f>
        <v>15000</v>
      </c>
      <c r="F80" s="1"/>
      <c r="G80" s="1"/>
      <c r="H80" s="1" t="s">
        <v>80</v>
      </c>
      <c r="I80" s="1" t="n">
        <v>0</v>
      </c>
      <c r="J80" s="1" t="n">
        <v>10315</v>
      </c>
      <c r="K80" s="1" t="n">
        <f aca="false">I80*J80</f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collapsed="false" customFormat="false" customHeight="false" hidden="false" ht="12.75" outlineLevel="0" r="81">
      <c r="A81" s="1"/>
      <c r="B81" s="1" t="s">
        <v>80</v>
      </c>
      <c r="C81" s="1" t="n">
        <v>10</v>
      </c>
      <c r="D81" s="1" t="n">
        <v>10315</v>
      </c>
      <c r="E81" s="1" t="n">
        <f aca="false">C81*D81</f>
        <v>103150</v>
      </c>
      <c r="F81" s="1"/>
      <c r="G81" s="1"/>
      <c r="H81" s="1" t="s">
        <v>83</v>
      </c>
      <c r="I81" s="1" t="n">
        <v>0</v>
      </c>
      <c r="J81" s="1" t="n">
        <v>9000</v>
      </c>
      <c r="K81" s="1" t="n">
        <f aca="false">I81*J81</f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collapsed="false" customFormat="false" customHeight="false" hidden="false" ht="12.75" outlineLevel="0" r="82">
      <c r="A82" s="1"/>
      <c r="B82" s="1" t="s">
        <v>83</v>
      </c>
      <c r="C82" s="1" t="n">
        <v>10</v>
      </c>
      <c r="D82" s="1" t="n">
        <v>9000</v>
      </c>
      <c r="E82" s="1" t="n">
        <f aca="false">C82*D82</f>
        <v>90000</v>
      </c>
      <c r="F82" s="1"/>
      <c r="G82" s="1"/>
      <c r="H82" s="1" t="s">
        <v>84</v>
      </c>
      <c r="I82" s="1" t="n">
        <v>0</v>
      </c>
      <c r="J82" s="1" t="n">
        <v>1650</v>
      </c>
      <c r="K82" s="1" t="n">
        <f aca="false">I82*J82</f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collapsed="false" customFormat="false" customHeight="false" hidden="false" ht="12.75" outlineLevel="0" r="83">
      <c r="A83" s="1"/>
      <c r="B83" s="1"/>
      <c r="C83" s="1"/>
      <c r="D83" s="1"/>
      <c r="E83" s="1"/>
      <c r="F83" s="1"/>
      <c r="G83" s="1"/>
      <c r="H83" s="1"/>
      <c r="I83" s="1"/>
      <c r="J83" s="1" t="s">
        <v>71</v>
      </c>
      <c r="K83" s="1" t="n">
        <f aca="false">SUM(K77:K82)</f>
        <v>59400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collapsed="false" customFormat="false" customHeight="false" hidden="false" ht="12.75" outlineLevel="0" r="84">
      <c r="A84" s="1"/>
      <c r="B84" s="1"/>
      <c r="C84" s="1"/>
      <c r="D84" s="1" t="s">
        <v>71</v>
      </c>
      <c r="E84" s="1" t="n">
        <f aca="false">SUM(E78:E82)</f>
        <v>262150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collapsed="false" customFormat="false" customHeight="false" hidden="false" ht="12.75" outlineLevel="0"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collapsed="false" customFormat="false" customHeight="false" hidden="false" ht="12.75" outlineLevel="0" r="86">
      <c r="A86" s="1" t="s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collapsed="false" customFormat="false" customHeight="false" hidden="false" ht="12.75" outlineLevel="0"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collapsed="false" customFormat="false" customHeight="false" hidden="false" ht="12.75" outlineLevel="0" r="88">
      <c r="A88" s="1"/>
      <c r="B88" s="1"/>
      <c r="C88" s="1" t="n">
        <f aca="false">(1/200000)*1000000</f>
        <v>5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collapsed="false" customFormat="false" customHeight="false" hidden="false" ht="12.75" outlineLevel="0"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collapsed="false" customFormat="false" customHeight="false" hidden="false" ht="12.75" outlineLevel="0"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collapsed="false" customFormat="false" customHeight="false" hidden="false" ht="12.75" outlineLevel="0"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collapsed="false" customFormat="false" customHeight="false" hidden="false" ht="12.75" outlineLevel="0"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collapsed="false" customFormat="false" customHeight="false" hidden="false" ht="12.75" outlineLevel="0"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collapsed="false" customFormat="false" customHeight="false" hidden="false" ht="12.75" outlineLevel="0"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collapsed="false" customFormat="false" customHeight="false" hidden="false" ht="12.75" outlineLevel="0"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collapsed="false" customFormat="false" customHeight="false" hidden="false" ht="12.75" outlineLevel="0"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collapsed="false" customFormat="false" customHeight="false" hidden="false" ht="12.75" outlineLevel="0" r="97">
      <c r="A97" s="1" t="s">
        <v>85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>
    <row collapsed="false" customFormat="false" customHeight="false" hidden="false" ht="12.75" outlineLevel="0" r="1">
      <c r="A1" s="0" t="s">
        <v>13</v>
      </c>
      <c r="B1" s="0" t="n">
        <v>1520</v>
      </c>
      <c r="C1" s="2" t="n">
        <f aca="false">CEILING((B1/256),1,1)</f>
        <v>6</v>
      </c>
      <c r="D1" s="0" t="n">
        <v>81400</v>
      </c>
      <c r="E1" s="2" t="n">
        <f aca="false">C1*D1</f>
        <v>488400</v>
      </c>
    </row>
    <row collapsed="false" customFormat="false" customHeight="false" hidden="false" ht="12.75" outlineLevel="0" r="2">
      <c r="A2" s="0" t="s">
        <v>15</v>
      </c>
      <c r="B2" s="0" t="n">
        <v>3328</v>
      </c>
      <c r="C2" s="2" t="n">
        <f aca="false">CEILING((B2/256),1,1)</f>
        <v>13</v>
      </c>
      <c r="D2" s="0" t="n">
        <v>81400</v>
      </c>
      <c r="E2" s="2" t="n">
        <f aca="false">C2*D2</f>
        <v>1058200</v>
      </c>
    </row>
    <row collapsed="false" customFormat="false" customHeight="false" hidden="false" ht="12.75" outlineLevel="0" r="8">
      <c r="A8" s="0" t="s">
        <v>13</v>
      </c>
      <c r="B8" s="0" t="n">
        <v>1520</v>
      </c>
    </row>
    <row collapsed="false" customFormat="false" customHeight="false" hidden="false" ht="12.75" outlineLevel="0" r="9">
      <c r="A9" s="0" t="s">
        <v>15</v>
      </c>
      <c r="B9" s="0" t="n">
        <v>3328</v>
      </c>
    </row>
    <row collapsed="false" customFormat="false" customHeight="false" hidden="false" ht="12.75" outlineLevel="0" r="30">
      <c r="A30" s="0" t="s">
        <v>183</v>
      </c>
      <c r="B30" s="0" t="s">
        <v>184</v>
      </c>
      <c r="C30" s="0" t="s">
        <v>185</v>
      </c>
      <c r="D30" s="2" t="n">
        <f aca="false">23*64</f>
        <v>1472</v>
      </c>
    </row>
    <row collapsed="false" customFormat="false" customHeight="false" hidden="false" ht="12.75" outlineLevel="0" r="31">
      <c r="A31" s="0" t="s">
        <v>186</v>
      </c>
      <c r="B31" s="0" t="n">
        <v>10000</v>
      </c>
      <c r="D31" s="2" t="n">
        <f aca="false">23*128</f>
        <v>2944</v>
      </c>
    </row>
    <row collapsed="false" customFormat="false" customHeight="false" hidden="false" ht="12.75" outlineLevel="0" r="32">
      <c r="A32" s="0" t="s">
        <v>8</v>
      </c>
      <c r="B32" s="0" t="n">
        <v>4000</v>
      </c>
    </row>
    <row collapsed="false" customFormat="false" customHeight="false" hidden="false" ht="12.75" outlineLevel="0" r="33">
      <c r="A33" s="0" t="s">
        <v>83</v>
      </c>
      <c r="B33" s="0" t="n">
        <v>9000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" min="1" style="0" width="14.0051020408163"/>
    <col collapsed="false" hidden="false" max="2" min="2" style="0" width="9.5765306122449"/>
    <col collapsed="false" hidden="false" max="3" min="3" style="0" width="8"/>
    <col collapsed="false" hidden="false" max="4" min="4" style="0" width="7.29081632653061"/>
    <col collapsed="false" hidden="false" max="5" min="5" style="0" width="11.7091836734694"/>
    <col collapsed="false" hidden="false" max="6" min="6" style="0" width="12.2908163265306"/>
    <col collapsed="false" hidden="false" max="7" min="7" style="0" width="10"/>
    <col collapsed="false" hidden="false" max="8" min="8" style="0" width="11.4285714285714"/>
    <col collapsed="false" hidden="false" max="9" min="9" style="0" width="11.2959183673469"/>
    <col collapsed="false" hidden="false" max="10" min="10" style="0" width="12.5714285714286"/>
    <col collapsed="false" hidden="false" max="11" min="11" style="0" width="10"/>
    <col collapsed="false" hidden="false" max="1025" min="12" style="0" width="17.1326530612245"/>
  </cols>
  <sheetData>
    <row collapsed="false" customFormat="false" customHeight="false" hidden="false" ht="12.75" outlineLevel="0" r="1">
      <c r="A1" s="1" t="s">
        <v>56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  <c r="G1" s="1"/>
      <c r="H1" s="1"/>
      <c r="I1" s="1" t="s">
        <v>61</v>
      </c>
      <c r="J1" s="1" t="s">
        <v>62</v>
      </c>
      <c r="K1" s="1" t="s">
        <v>32</v>
      </c>
      <c r="L1" s="3" t="s">
        <v>63</v>
      </c>
      <c r="M1" s="1" t="s">
        <v>64</v>
      </c>
      <c r="N1" s="1" t="s">
        <v>65</v>
      </c>
      <c r="O1" s="1" t="s">
        <v>66</v>
      </c>
      <c r="P1" s="1" t="n">
        <v>2000</v>
      </c>
      <c r="Q1" s="1"/>
      <c r="R1" s="1"/>
      <c r="S1" s="1"/>
      <c r="T1" s="1"/>
      <c r="U1" s="1"/>
      <c r="V1" s="1"/>
    </row>
    <row collapsed="false" customFormat="false" customHeight="false" hidden="false" ht="12.75" outlineLevel="0" r="2">
      <c r="A2" s="1" t="s">
        <v>13</v>
      </c>
      <c r="B2" s="1" t="n">
        <f aca="false">$P$1</f>
        <v>2000</v>
      </c>
      <c r="C2" s="1" t="s">
        <v>14</v>
      </c>
      <c r="D2" s="1"/>
      <c r="E2" s="1" t="n">
        <f aca="false">CEILING((B2/16),1,1)</f>
        <v>125</v>
      </c>
      <c r="F2" s="1" t="n">
        <v>4500</v>
      </c>
      <c r="G2" s="1"/>
      <c r="H2" s="1"/>
      <c r="I2" s="1" t="n">
        <f aca="false">E2*F2</f>
        <v>562500</v>
      </c>
      <c r="J2" s="1" t="n">
        <f aca="false">I2</f>
        <v>562500</v>
      </c>
      <c r="K2" s="1" t="n">
        <f aca="false">E2</f>
        <v>125</v>
      </c>
      <c r="L2" s="3" t="n">
        <f aca="false">K2*F2</f>
        <v>562500</v>
      </c>
      <c r="M2" s="1" t="n">
        <f aca="false">L2</f>
        <v>562500</v>
      </c>
      <c r="N2" s="1"/>
      <c r="O2" s="1"/>
      <c r="P2" s="1"/>
      <c r="Q2" s="1"/>
      <c r="R2" s="1"/>
      <c r="S2" s="1"/>
      <c r="T2" s="1"/>
      <c r="U2" s="1"/>
      <c r="V2" s="1"/>
    </row>
    <row collapsed="false" customFormat="false" customHeight="false" hidden="false" ht="12.75" outlineLevel="0"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1"/>
      <c r="N3" s="1"/>
      <c r="O3" s="1"/>
      <c r="P3" s="1"/>
      <c r="Q3" s="1"/>
      <c r="R3" s="1"/>
      <c r="S3" s="1"/>
      <c r="T3" s="1"/>
      <c r="U3" s="1"/>
      <c r="V3" s="1"/>
    </row>
    <row collapsed="false" customFormat="false" customHeight="false" hidden="false" ht="12.75" outlineLevel="0" r="4">
      <c r="A4" s="1" t="s">
        <v>15</v>
      </c>
      <c r="B4" s="1" t="n">
        <v>3700</v>
      </c>
      <c r="C4" s="1" t="s">
        <v>14</v>
      </c>
      <c r="D4" s="1"/>
      <c r="E4" s="1" t="n">
        <f aca="false">CEILING((B4/16),1,1)</f>
        <v>232</v>
      </c>
      <c r="F4" s="1" t="n">
        <v>4500</v>
      </c>
      <c r="G4" s="1"/>
      <c r="H4" s="1"/>
      <c r="I4" s="1" t="n">
        <f aca="false">E4*F4</f>
        <v>1044000</v>
      </c>
      <c r="J4" s="1" t="n">
        <f aca="false">I4</f>
        <v>1044000</v>
      </c>
      <c r="K4" s="1" t="n">
        <v>0</v>
      </c>
      <c r="L4" s="3" t="n">
        <f aca="false">K4*F4</f>
        <v>0</v>
      </c>
      <c r="M4" s="1"/>
      <c r="N4" s="1"/>
      <c r="O4" s="1"/>
      <c r="P4" s="1"/>
      <c r="Q4" s="1"/>
      <c r="R4" s="1"/>
      <c r="S4" s="1"/>
      <c r="T4" s="1"/>
      <c r="U4" s="1"/>
      <c r="V4" s="1"/>
    </row>
    <row collapsed="false" customFormat="false" customHeight="false" hidden="false" ht="12.75" outlineLevel="0" r="5">
      <c r="A5" s="1"/>
      <c r="B5" s="1"/>
      <c r="C5" s="1" t="s">
        <v>16</v>
      </c>
      <c r="D5" s="1"/>
      <c r="E5" s="1" t="n">
        <f aca="false">CEILING((((B2+B4)+B7)/128),1,1)</f>
        <v>45</v>
      </c>
      <c r="F5" s="1" t="n">
        <v>10000</v>
      </c>
      <c r="G5" s="1"/>
      <c r="H5" s="1"/>
      <c r="I5" s="1" t="n">
        <f aca="false">E5*F5</f>
        <v>450000</v>
      </c>
      <c r="J5" s="1" t="n">
        <v>0</v>
      </c>
      <c r="K5" s="1" t="n">
        <f aca="false">E5</f>
        <v>45</v>
      </c>
      <c r="L5" s="3" t="n">
        <f aca="false">K5*F5</f>
        <v>450000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collapsed="false" customFormat="false" customHeight="false" hidden="false" ht="12.75" outlineLevel="0" r="6">
      <c r="A6" s="1"/>
      <c r="B6" s="1"/>
      <c r="C6" s="1" t="n">
        <f aca="false">B4/128</f>
        <v>28.90625</v>
      </c>
      <c r="D6" s="1"/>
      <c r="E6" s="1" t="n">
        <f aca="false">CEILING((B6/16),1,1)</f>
        <v>0</v>
      </c>
      <c r="F6" s="1"/>
      <c r="G6" s="1"/>
      <c r="H6" s="1"/>
      <c r="I6" s="1" t="n">
        <f aca="false">E6*F6</f>
        <v>0</v>
      </c>
      <c r="J6" s="1" t="n">
        <f aca="false">I6</f>
        <v>0</v>
      </c>
      <c r="K6" s="1" t="n">
        <f aca="false">E6</f>
        <v>0</v>
      </c>
      <c r="L6" s="3" t="n">
        <f aca="false">K6*F6</f>
        <v>0</v>
      </c>
      <c r="M6" s="1"/>
      <c r="N6" s="1"/>
      <c r="O6" s="1"/>
      <c r="P6" s="1"/>
      <c r="Q6" s="1"/>
      <c r="R6" s="1"/>
      <c r="S6" s="1"/>
      <c r="T6" s="1"/>
      <c r="U6" s="1"/>
      <c r="V6" s="1"/>
    </row>
    <row collapsed="false" customFormat="false" customHeight="false" hidden="false" ht="12.75" outlineLevel="0" r="7">
      <c r="A7" s="1" t="s">
        <v>67</v>
      </c>
      <c r="B7" s="1" t="n">
        <v>0</v>
      </c>
      <c r="C7" s="1" t="s">
        <v>14</v>
      </c>
      <c r="D7" s="1"/>
      <c r="E7" s="1" t="n">
        <f aca="false">CEILING((B7/16),1,1)</f>
        <v>0</v>
      </c>
      <c r="F7" s="1" t="n">
        <v>4500</v>
      </c>
      <c r="G7" s="1"/>
      <c r="H7" s="1"/>
      <c r="I7" s="1" t="n">
        <f aca="false">E7*F7</f>
        <v>0</v>
      </c>
      <c r="J7" s="1" t="n">
        <f aca="false">I7</f>
        <v>0</v>
      </c>
      <c r="K7" s="1" t="n">
        <v>0</v>
      </c>
      <c r="L7" s="3" t="n">
        <f aca="false">K7*F7</f>
        <v>0</v>
      </c>
      <c r="M7" s="1"/>
      <c r="N7" s="1"/>
      <c r="O7" s="1"/>
      <c r="P7" s="1"/>
      <c r="Q7" s="1"/>
      <c r="R7" s="1"/>
      <c r="S7" s="1"/>
      <c r="T7" s="1"/>
      <c r="U7" s="1"/>
      <c r="V7" s="1"/>
    </row>
    <row collapsed="false" customFormat="false" customHeight="false" hidden="false" ht="12.75" outlineLevel="0" r="8">
      <c r="A8" s="1"/>
      <c r="B8" s="1"/>
      <c r="C8" s="1" t="s">
        <v>16</v>
      </c>
      <c r="D8" s="1"/>
      <c r="E8" s="1" t="n">
        <f aca="false">CEILING((B7/128),1,1)</f>
        <v>0</v>
      </c>
      <c r="F8" s="1" t="n">
        <v>10000</v>
      </c>
      <c r="G8" s="1"/>
      <c r="H8" s="1"/>
      <c r="I8" s="1" t="n">
        <f aca="false">E8*F8</f>
        <v>0</v>
      </c>
      <c r="J8" s="1" t="n">
        <v>0</v>
      </c>
      <c r="K8" s="1" t="n">
        <f aca="false">E8</f>
        <v>0</v>
      </c>
      <c r="L8" s="3" t="n">
        <f aca="false">K8*F8</f>
        <v>0</v>
      </c>
      <c r="M8" s="1"/>
      <c r="N8" s="1"/>
      <c r="O8" s="1"/>
      <c r="P8" s="1"/>
      <c r="Q8" s="1"/>
      <c r="R8" s="1"/>
      <c r="S8" s="1"/>
      <c r="T8" s="1"/>
      <c r="U8" s="1"/>
      <c r="V8" s="1"/>
    </row>
    <row collapsed="false" customFormat="false" customHeight="false" hidden="false" ht="12.75" outlineLevel="0" r="9">
      <c r="A9" s="1"/>
      <c r="B9" s="1"/>
      <c r="C9" s="1" t="s">
        <v>68</v>
      </c>
      <c r="D9" s="1"/>
      <c r="E9" s="1" t="n">
        <f aca="false">CEILING((((E2+E4)+E7)/16),1,1)</f>
        <v>23</v>
      </c>
      <c r="F9" s="1" t="n">
        <v>15000</v>
      </c>
      <c r="G9" s="1"/>
      <c r="H9" s="1"/>
      <c r="I9" s="1" t="n">
        <f aca="false">E9*F9</f>
        <v>345000</v>
      </c>
      <c r="J9" s="1" t="n">
        <f aca="false">I9</f>
        <v>345000</v>
      </c>
      <c r="K9" s="1" t="n">
        <f aca="false">CEILING((K2/16),1,1)</f>
        <v>8</v>
      </c>
      <c r="L9" s="3" t="n">
        <f aca="false">K9*F9</f>
        <v>120000</v>
      </c>
      <c r="M9" s="1" t="n">
        <f aca="false">L9</f>
        <v>120000</v>
      </c>
      <c r="N9" s="1"/>
      <c r="O9" s="1"/>
      <c r="P9" s="1"/>
      <c r="Q9" s="1"/>
      <c r="R9" s="1"/>
      <c r="S9" s="1"/>
      <c r="T9" s="1"/>
      <c r="U9" s="1"/>
      <c r="V9" s="1"/>
    </row>
    <row collapsed="false" customFormat="false" customHeight="false" hidden="false" ht="12.75" outlineLevel="0" r="10">
      <c r="A10" s="1"/>
      <c r="B10" s="1"/>
      <c r="C10" s="1" t="s">
        <v>69</v>
      </c>
      <c r="D10" s="1"/>
      <c r="E10" s="1" t="n">
        <f aca="false">CEILING(($E$5/19),1,1)</f>
        <v>3</v>
      </c>
      <c r="F10" s="1" t="n">
        <v>11000</v>
      </c>
      <c r="G10" s="1"/>
      <c r="H10" s="1"/>
      <c r="I10" s="1" t="n">
        <f aca="false">E10*F10</f>
        <v>33000</v>
      </c>
      <c r="J10" s="1" t="n">
        <v>33000</v>
      </c>
      <c r="K10" s="1" t="n">
        <f aca="false">E10</f>
        <v>3</v>
      </c>
      <c r="L10" s="3" t="n">
        <f aca="false">K10*F10</f>
        <v>33000</v>
      </c>
      <c r="M10" s="1" t="n">
        <f aca="false">L10</f>
        <v>33000</v>
      </c>
      <c r="N10" s="1"/>
      <c r="O10" s="1"/>
      <c r="P10" s="1"/>
      <c r="Q10" s="1"/>
      <c r="R10" s="1"/>
      <c r="S10" s="1"/>
      <c r="T10" s="1"/>
      <c r="U10" s="1"/>
      <c r="V10" s="1"/>
    </row>
    <row collapsed="false" customFormat="false" customHeight="false" hidden="false" ht="12.75" outlineLevel="0" r="11">
      <c r="A11" s="1"/>
      <c r="B11" s="1"/>
      <c r="C11" s="1" t="s">
        <v>8</v>
      </c>
      <c r="D11" s="1"/>
      <c r="E11" s="1" t="n">
        <f aca="false">E9+E10</f>
        <v>26</v>
      </c>
      <c r="F11" s="1" t="n">
        <v>3400</v>
      </c>
      <c r="G11" s="1"/>
      <c r="H11" s="1"/>
      <c r="I11" s="1" t="n">
        <f aca="false">E11*F11</f>
        <v>88400</v>
      </c>
      <c r="J11" s="1" t="n">
        <f aca="false">I11</f>
        <v>88400</v>
      </c>
      <c r="K11" s="1" t="n">
        <f aca="false">K9+K10</f>
        <v>11</v>
      </c>
      <c r="L11" s="3" t="n">
        <f aca="false">K11*F11</f>
        <v>37400</v>
      </c>
      <c r="M11" s="1" t="n">
        <f aca="false">L11</f>
        <v>37400</v>
      </c>
      <c r="N11" s="1"/>
      <c r="O11" s="1"/>
      <c r="P11" s="1"/>
      <c r="Q11" s="1"/>
      <c r="R11" s="1"/>
      <c r="S11" s="1"/>
      <c r="T11" s="1"/>
      <c r="U11" s="1"/>
      <c r="V11" s="1"/>
    </row>
    <row collapsed="false" customFormat="false" customHeight="false" hidden="false" ht="12.75" outlineLevel="0" r="12">
      <c r="A12" s="1"/>
      <c r="B12" s="1"/>
      <c r="C12" s="1" t="s">
        <v>9</v>
      </c>
      <c r="D12" s="1"/>
      <c r="E12" s="1" t="n">
        <f aca="false">E11</f>
        <v>26</v>
      </c>
      <c r="F12" s="1" t="n">
        <v>2000</v>
      </c>
      <c r="G12" s="1"/>
      <c r="H12" s="1"/>
      <c r="I12" s="1" t="n">
        <f aca="false">E12*F12</f>
        <v>52000</v>
      </c>
      <c r="J12" s="1" t="n">
        <f aca="false">I12</f>
        <v>52000</v>
      </c>
      <c r="K12" s="1" t="n">
        <f aca="false">K11</f>
        <v>11</v>
      </c>
      <c r="L12" s="3" t="n">
        <f aca="false">K12*F12</f>
        <v>22000</v>
      </c>
      <c r="M12" s="1" t="n">
        <f aca="false">L12</f>
        <v>22000</v>
      </c>
      <c r="N12" s="1"/>
      <c r="O12" s="1"/>
      <c r="P12" s="1"/>
      <c r="Q12" s="1"/>
      <c r="R12" s="1"/>
      <c r="S12" s="1"/>
      <c r="T12" s="1"/>
      <c r="U12" s="1"/>
      <c r="V12" s="1"/>
    </row>
    <row collapsed="false" customFormat="false" customHeight="false" hidden="false" ht="12.75" outlineLevel="0" r="13">
      <c r="A13" s="1"/>
      <c r="B13" s="1"/>
      <c r="C13" s="1" t="s">
        <v>41</v>
      </c>
      <c r="D13" s="1"/>
      <c r="E13" s="1" t="n">
        <f aca="false">E9</f>
        <v>23</v>
      </c>
      <c r="F13" s="1" t="n">
        <v>2000</v>
      </c>
      <c r="G13" s="1"/>
      <c r="H13" s="1"/>
      <c r="I13" s="1" t="n">
        <f aca="false">E13*F13</f>
        <v>46000</v>
      </c>
      <c r="J13" s="1" t="n">
        <f aca="false">I13</f>
        <v>46000</v>
      </c>
      <c r="K13" s="1" t="n">
        <f aca="false">K9</f>
        <v>8</v>
      </c>
      <c r="L13" s="3" t="n">
        <f aca="false">K13*F13</f>
        <v>16000</v>
      </c>
      <c r="M13" s="1" t="n">
        <f aca="false">L13</f>
        <v>16000</v>
      </c>
      <c r="N13" s="1"/>
      <c r="O13" s="1" t="s">
        <v>70</v>
      </c>
      <c r="P13" s="1"/>
      <c r="Q13" s="1"/>
      <c r="R13" s="1"/>
      <c r="S13" s="1"/>
      <c r="T13" s="1"/>
      <c r="U13" s="1"/>
      <c r="V13" s="1"/>
    </row>
    <row collapsed="false" customFormat="false" customHeight="false" hidden="false" ht="12.75" outlineLevel="0" r="14">
      <c r="A14" s="1"/>
      <c r="B14" s="1"/>
      <c r="C14" s="1" t="s">
        <v>39</v>
      </c>
      <c r="D14" s="1"/>
      <c r="E14" s="1" t="n">
        <f aca="false">CEILING(($E$5/19),1,1)</f>
        <v>3</v>
      </c>
      <c r="F14" s="1" t="n">
        <v>4500</v>
      </c>
      <c r="G14" s="1"/>
      <c r="H14" s="1"/>
      <c r="I14" s="1" t="n">
        <f aca="false">E14*F14</f>
        <v>13500</v>
      </c>
      <c r="J14" s="1" t="n">
        <f aca="false">I14</f>
        <v>13500</v>
      </c>
      <c r="K14" s="1" t="n">
        <f aca="false">K9</f>
        <v>8</v>
      </c>
      <c r="L14" s="3" t="n">
        <f aca="false">K14*F14</f>
        <v>36000</v>
      </c>
      <c r="M14" s="1" t="n">
        <f aca="false">L14</f>
        <v>36000</v>
      </c>
      <c r="N14" s="1"/>
      <c r="O14" s="1"/>
      <c r="P14" s="1"/>
      <c r="Q14" s="1"/>
      <c r="R14" s="1"/>
      <c r="S14" s="1"/>
      <c r="T14" s="1"/>
      <c r="U14" s="1"/>
      <c r="V14" s="1"/>
    </row>
    <row collapsed="false" customFormat="false" customHeight="false" hidden="false" ht="12.75" outlineLevel="0"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"/>
      <c r="N15" s="1"/>
      <c r="O15" s="1" t="n">
        <v>177</v>
      </c>
      <c r="P15" s="1" t="n">
        <v>1877</v>
      </c>
      <c r="Q15" s="1"/>
      <c r="R15" s="1"/>
      <c r="S15" s="1"/>
      <c r="T15" s="1"/>
      <c r="U15" s="1"/>
      <c r="V15" s="1"/>
    </row>
    <row collapsed="false" customFormat="false" customHeight="false" hidden="false" ht="12.75" outlineLevel="0"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M16" s="1"/>
      <c r="N16" s="1"/>
      <c r="O16" s="1" t="n">
        <v>52</v>
      </c>
      <c r="P16" s="1" t="n">
        <v>1881</v>
      </c>
      <c r="Q16" s="1"/>
      <c r="R16" s="1"/>
      <c r="S16" s="1"/>
      <c r="T16" s="1"/>
      <c r="U16" s="1"/>
      <c r="V16" s="1"/>
    </row>
    <row collapsed="false" customFormat="false" customHeight="false" hidden="false" ht="12.75" outlineLevel="0" r="17">
      <c r="A17" s="1"/>
      <c r="B17" s="1"/>
      <c r="C17" s="1"/>
      <c r="D17" s="1"/>
      <c r="E17" s="1" t="s">
        <v>71</v>
      </c>
      <c r="F17" s="1"/>
      <c r="G17" s="1"/>
      <c r="H17" s="1"/>
      <c r="I17" s="1" t="n">
        <f aca="false">SUM(I2:I14)</f>
        <v>2634400</v>
      </c>
      <c r="J17" s="1" t="n">
        <f aca="false">SUM(J2:J14)</f>
        <v>2184400</v>
      </c>
      <c r="K17" s="1"/>
      <c r="L17" s="3" t="n">
        <f aca="false">SUM(L2:L14)</f>
        <v>1276900</v>
      </c>
      <c r="M17" s="1" t="n">
        <f aca="false">SUM(M2:M14)</f>
        <v>826900</v>
      </c>
      <c r="N17" s="1"/>
      <c r="O17" s="1" t="n">
        <v>13</v>
      </c>
      <c r="P17" s="1" t="s">
        <v>72</v>
      </c>
      <c r="Q17" s="1"/>
      <c r="R17" s="1"/>
      <c r="S17" s="1"/>
      <c r="T17" s="1"/>
      <c r="U17" s="1"/>
      <c r="V17" s="1"/>
    </row>
    <row collapsed="false" customFormat="false" customHeight="false" hidden="false" ht="12.75" outlineLevel="0"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 t="n">
        <f aca="false">M17-(120*F2)</f>
        <v>286900</v>
      </c>
      <c r="N18" s="1"/>
      <c r="O18" s="1"/>
      <c r="P18" s="1"/>
      <c r="Q18" s="1"/>
      <c r="R18" s="1"/>
      <c r="S18" s="1"/>
      <c r="T18" s="1"/>
      <c r="U18" s="1"/>
      <c r="V18" s="1"/>
    </row>
    <row collapsed="false" customFormat="false" customHeight="false" hidden="false" ht="12.75" outlineLevel="0" r="19">
      <c r="A19" s="1" t="s">
        <v>73</v>
      </c>
      <c r="B19" s="1" t="s">
        <v>1</v>
      </c>
      <c r="C19" s="1"/>
      <c r="D19" s="1" t="s">
        <v>2</v>
      </c>
      <c r="E19" s="1" t="s">
        <v>3</v>
      </c>
      <c r="F19" s="1" t="s">
        <v>4</v>
      </c>
      <c r="G19" s="1" t="s">
        <v>74</v>
      </c>
      <c r="H19" s="1" t="s">
        <v>75</v>
      </c>
      <c r="I19" s="1" t="s">
        <v>6</v>
      </c>
      <c r="J19" s="1" t="s">
        <v>7</v>
      </c>
      <c r="K19" s="1" t="s">
        <v>8</v>
      </c>
      <c r="L19" s="1" t="s">
        <v>9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collapsed="false" customFormat="false" customHeight="false" hidden="false" ht="12.75" outlineLevel="0" r="20">
      <c r="A20" s="1" t="s">
        <v>13</v>
      </c>
      <c r="B20" s="1" t="n">
        <f aca="false">$P$1</f>
        <v>2000</v>
      </c>
      <c r="C20" s="1" t="s">
        <v>14</v>
      </c>
      <c r="D20" s="1" t="n">
        <f aca="false">B20*3</f>
        <v>6000</v>
      </c>
      <c r="E20" s="1"/>
      <c r="F20" s="1" t="n">
        <f aca="false">D20/64</f>
        <v>93.75</v>
      </c>
      <c r="G20" s="1"/>
      <c r="H20" s="1"/>
      <c r="I20" s="1" t="n">
        <f aca="false">F20/23</f>
        <v>4.07608695652174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collapsed="false" customFormat="false" customHeight="false" hidden="false" ht="12.75" outlineLevel="0" r="21">
      <c r="A21" s="1"/>
      <c r="B21" s="1" t="n">
        <f aca="false">B20/8</f>
        <v>250</v>
      </c>
      <c r="C21" s="1"/>
      <c r="D21" s="1" t="n">
        <f aca="false">3*B21</f>
        <v>750</v>
      </c>
      <c r="E21" s="1" t="n">
        <f aca="false">D21/96</f>
        <v>7.8125</v>
      </c>
      <c r="F21" s="1" t="n">
        <f aca="false">D21/64</f>
        <v>11.71875</v>
      </c>
      <c r="G21" s="1" t="n">
        <f aca="false">D21/32</f>
        <v>23.4375</v>
      </c>
      <c r="H21" s="1" t="n">
        <f aca="false">G21/20</f>
        <v>1.171875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collapsed="false" customFormat="false" customHeight="false" hidden="false" ht="12.75" outlineLevel="0" r="22">
      <c r="A22" s="1" t="s">
        <v>15</v>
      </c>
      <c r="B22" s="1" t="n">
        <v>3700</v>
      </c>
      <c r="C22" s="1" t="s">
        <v>16</v>
      </c>
      <c r="D22" s="1" t="n">
        <f aca="false">B22*3</f>
        <v>11100</v>
      </c>
      <c r="E22" s="1" t="n">
        <f aca="false">D22/96</f>
        <v>115.625</v>
      </c>
      <c r="F22" s="1"/>
      <c r="G22" s="1"/>
      <c r="H22" s="1"/>
      <c r="I22" s="1" t="n">
        <f aca="false">E22/23</f>
        <v>5.02717391304348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collapsed="false" customFormat="false" customHeight="false" hidden="false" ht="12.75" outlineLevel="0" r="23">
      <c r="A23" s="1"/>
      <c r="B23" s="1"/>
      <c r="C23" s="1"/>
      <c r="D23" s="1" t="n">
        <f aca="false">B23*3</f>
        <v>0</v>
      </c>
      <c r="E23" s="1"/>
      <c r="F23" s="1"/>
      <c r="G23" s="1"/>
      <c r="H23" s="1"/>
      <c r="I23" s="1" t="n">
        <f aca="false">E23/23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collapsed="false" customFormat="false" customHeight="false" hidden="false" ht="12.75" outlineLevel="0" r="24">
      <c r="A24" s="1"/>
      <c r="B24" s="1"/>
      <c r="C24" s="1"/>
      <c r="D24" s="1" t="n">
        <f aca="false">B24*3</f>
        <v>0</v>
      </c>
      <c r="E24" s="1"/>
      <c r="F24" s="1"/>
      <c r="G24" s="1"/>
      <c r="H24" s="1"/>
      <c r="I24" s="1" t="n">
        <f aca="false">E24/23</f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collapsed="false" customFormat="false" customHeight="false" hidden="false" ht="12.75" outlineLevel="0" r="25">
      <c r="A25" s="1" t="s">
        <v>67</v>
      </c>
      <c r="B25" s="1" t="n">
        <v>0</v>
      </c>
      <c r="C25" s="1" t="s">
        <v>16</v>
      </c>
      <c r="D25" s="1" t="n">
        <f aca="false">B25*3</f>
        <v>0</v>
      </c>
      <c r="E25" s="1" t="n">
        <f aca="false">D25/96</f>
        <v>0</v>
      </c>
      <c r="F25" s="1"/>
      <c r="G25" s="1"/>
      <c r="H25" s="1"/>
      <c r="I25" s="1" t="n">
        <f aca="false">E25/23</f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collapsed="false" customFormat="false" customHeight="false" hidden="false" ht="12.75" outlineLevel="0"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collapsed="false" customFormat="false" customHeight="false" hidden="false" ht="12.75" outlineLevel="0" r="27">
      <c r="A27" s="1"/>
      <c r="B27" s="1"/>
      <c r="C27" s="1"/>
      <c r="D27" s="1"/>
      <c r="E27" s="1"/>
      <c r="F27" s="1"/>
      <c r="G27" s="1"/>
      <c r="H27" s="1"/>
      <c r="I27" s="1" t="n">
        <f aca="false">CEILING(SUM(I20:I25),1,1)</f>
        <v>10</v>
      </c>
      <c r="J27" s="1" t="n">
        <f aca="false">I27</f>
        <v>10</v>
      </c>
      <c r="K27" s="1" t="n">
        <f aca="false">J27</f>
        <v>10</v>
      </c>
      <c r="L27" s="1" t="n">
        <f aca="false">K27</f>
        <v>10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collapsed="false" customFormat="false" customHeight="false" hidden="false" ht="12.75" outlineLevel="0"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collapsed="false" customFormat="false" customHeight="false" hidden="false" ht="12.75" outlineLevel="0" r="29">
      <c r="A29" s="1" t="s">
        <v>0</v>
      </c>
      <c r="B29" s="1" t="s">
        <v>1</v>
      </c>
      <c r="C29" s="1"/>
      <c r="D29" s="1" t="s">
        <v>2</v>
      </c>
      <c r="E29" s="1" t="s">
        <v>3</v>
      </c>
      <c r="F29" s="1" t="s">
        <v>4</v>
      </c>
      <c r="G29" s="1"/>
      <c r="H29" s="1"/>
      <c r="I29" s="1" t="s">
        <v>6</v>
      </c>
      <c r="J29" s="1" t="s">
        <v>7</v>
      </c>
      <c r="K29" s="1" t="s">
        <v>8</v>
      </c>
      <c r="L29" s="1" t="s">
        <v>9</v>
      </c>
      <c r="M29" s="1" t="s">
        <v>12</v>
      </c>
      <c r="N29" s="1"/>
      <c r="O29" s="1"/>
      <c r="P29" s="1"/>
      <c r="Q29" s="1"/>
      <c r="R29" s="1"/>
      <c r="S29" s="1"/>
      <c r="T29" s="1"/>
      <c r="U29" s="1"/>
      <c r="V29" s="1"/>
    </row>
    <row collapsed="false" customFormat="false" customHeight="false" hidden="false" ht="12.75" outlineLevel="0" r="30">
      <c r="A30" s="1" t="s">
        <v>13</v>
      </c>
      <c r="B30" s="1" t="n">
        <f aca="false">$P$1</f>
        <v>2000</v>
      </c>
      <c r="C30" s="1" t="s">
        <v>14</v>
      </c>
      <c r="D30" s="1" t="n">
        <f aca="false">B30*3</f>
        <v>6000</v>
      </c>
      <c r="E30" s="1"/>
      <c r="F30" s="1" t="n">
        <f aca="false">D30/64</f>
        <v>93.75</v>
      </c>
      <c r="G30" s="1"/>
      <c r="H30" s="1"/>
      <c r="I30" s="1" t="n">
        <f aca="false">F30/23</f>
        <v>4.07608695652174</v>
      </c>
      <c r="J30" s="1"/>
      <c r="K30" s="1"/>
      <c r="L30" s="1"/>
      <c r="M30" s="1" t="n">
        <f aca="false">F30/12</f>
        <v>7.8125</v>
      </c>
      <c r="N30" s="1"/>
      <c r="O30" s="1"/>
      <c r="P30" s="1"/>
      <c r="Q30" s="1"/>
      <c r="R30" s="1"/>
      <c r="S30" s="1"/>
      <c r="T30" s="1"/>
      <c r="U30" s="1"/>
      <c r="V30" s="1"/>
    </row>
    <row collapsed="false" customFormat="false" customHeight="false" hidden="false" ht="12.75" outlineLevel="0" r="31">
      <c r="A31" s="1"/>
      <c r="B31" s="1" t="n">
        <f aca="false">B30/8</f>
        <v>250</v>
      </c>
      <c r="C31" s="1"/>
      <c r="D31" s="1" t="n">
        <f aca="false">B31*3</f>
        <v>750</v>
      </c>
      <c r="E31" s="1"/>
      <c r="F31" s="1" t="n">
        <f aca="false">D31/64</f>
        <v>11.71875</v>
      </c>
      <c r="G31" s="1"/>
      <c r="H31" s="1"/>
      <c r="I31" s="1" t="n">
        <f aca="false">F31/23</f>
        <v>0.509510869565217</v>
      </c>
      <c r="J31" s="1"/>
      <c r="K31" s="1"/>
      <c r="L31" s="1"/>
      <c r="M31" s="1" t="n">
        <f aca="false">F31/12</f>
        <v>0.9765625</v>
      </c>
      <c r="N31" s="1"/>
      <c r="O31" s="1"/>
      <c r="P31" s="1"/>
      <c r="Q31" s="1"/>
      <c r="R31" s="1"/>
      <c r="S31" s="1"/>
      <c r="T31" s="1"/>
      <c r="U31" s="1"/>
      <c r="V31" s="1"/>
    </row>
    <row collapsed="false" customFormat="false" customHeight="false" hidden="false" ht="12.75" outlineLevel="0" r="32">
      <c r="A32" s="1" t="s">
        <v>15</v>
      </c>
      <c r="B32" s="1" t="n">
        <v>3700</v>
      </c>
      <c r="C32" s="1" t="s">
        <v>16</v>
      </c>
      <c r="D32" s="1" t="n">
        <f aca="false">B32*3</f>
        <v>11100</v>
      </c>
      <c r="E32" s="1" t="n">
        <f aca="false">D32/96</f>
        <v>115.625</v>
      </c>
      <c r="F32" s="1"/>
      <c r="G32" s="1"/>
      <c r="H32" s="1"/>
      <c r="I32" s="1" t="n">
        <f aca="false">E32/23</f>
        <v>5.02717391304348</v>
      </c>
      <c r="J32" s="1"/>
      <c r="K32" s="1"/>
      <c r="L32" s="1"/>
      <c r="M32" s="1" t="n">
        <f aca="false">E32/12</f>
        <v>9.63541666666667</v>
      </c>
      <c r="N32" s="1"/>
      <c r="O32" s="1"/>
      <c r="P32" s="1"/>
      <c r="Q32" s="1"/>
      <c r="R32" s="1"/>
      <c r="S32" s="1"/>
      <c r="T32" s="1"/>
      <c r="U32" s="1"/>
      <c r="V32" s="1"/>
    </row>
    <row collapsed="false" customFormat="false" customHeight="false" hidden="false" ht="12.75" outlineLevel="0" r="33">
      <c r="A33" s="1"/>
      <c r="B33" s="1"/>
      <c r="C33" s="1" t="s">
        <v>14</v>
      </c>
      <c r="D33" s="1" t="n">
        <v>0</v>
      </c>
      <c r="E33" s="1"/>
      <c r="F33" s="1" t="n">
        <f aca="false">D33/64</f>
        <v>0</v>
      </c>
      <c r="G33" s="1"/>
      <c r="H33" s="1"/>
      <c r="I33" s="1" t="n">
        <f aca="false">F33/23</f>
        <v>0</v>
      </c>
      <c r="J33" s="1"/>
      <c r="K33" s="1"/>
      <c r="L33" s="1"/>
      <c r="M33" s="1" t="n">
        <f aca="false">F33/12</f>
        <v>0</v>
      </c>
      <c r="N33" s="1"/>
      <c r="O33" s="1"/>
      <c r="P33" s="1"/>
      <c r="Q33" s="1"/>
      <c r="R33" s="1"/>
      <c r="S33" s="1"/>
      <c r="T33" s="1"/>
      <c r="U33" s="1"/>
      <c r="V33" s="1"/>
    </row>
    <row collapsed="false" customFormat="false" customHeight="false" hidden="false" ht="12.75" outlineLevel="0" r="34">
      <c r="A34" s="1"/>
      <c r="B34" s="1"/>
      <c r="C34" s="1"/>
      <c r="D34" s="1" t="n">
        <f aca="false">B34*3</f>
        <v>0</v>
      </c>
      <c r="E34" s="1"/>
      <c r="F34" s="1"/>
      <c r="G34" s="1"/>
      <c r="H34" s="1"/>
      <c r="I34" s="1" t="n">
        <f aca="false">E34/23</f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collapsed="false" customFormat="false" customHeight="false" hidden="false" ht="12.75" outlineLevel="0" r="35">
      <c r="A35" s="1" t="s">
        <v>71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collapsed="false" customFormat="false" customHeight="false" hidden="false" ht="12.75" outlineLevel="0" r="36">
      <c r="A36" s="1" t="s">
        <v>67</v>
      </c>
      <c r="B36" s="1" t="n">
        <v>0</v>
      </c>
      <c r="C36" s="1" t="s">
        <v>16</v>
      </c>
      <c r="D36" s="1" t="n">
        <f aca="false">B36*3</f>
        <v>0</v>
      </c>
      <c r="E36" s="1" t="n">
        <f aca="false">D36/96</f>
        <v>0</v>
      </c>
      <c r="F36" s="1"/>
      <c r="G36" s="1"/>
      <c r="H36" s="1"/>
      <c r="I36" s="1" t="n">
        <f aca="false">E36/23</f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collapsed="false" customFormat="false" customHeight="false" hidden="false" ht="12.75" outlineLevel="0" r="37">
      <c r="A37" s="1"/>
      <c r="B37" s="1"/>
      <c r="C37" s="1" t="s">
        <v>14</v>
      </c>
      <c r="D37" s="1"/>
      <c r="E37" s="1"/>
      <c r="F37" s="1" t="n">
        <f aca="false">D36/64</f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collapsed="false" customFormat="false" customHeight="false" hidden="false" ht="12.75" outlineLevel="0" r="38">
      <c r="A38" s="1"/>
      <c r="B38" s="1"/>
      <c r="C38" s="1"/>
      <c r="D38" s="1"/>
      <c r="E38" s="1"/>
      <c r="F38" s="1" t="n">
        <f aca="false">SUM(F30:F37)</f>
        <v>105.46875</v>
      </c>
      <c r="G38" s="1"/>
      <c r="H38" s="1"/>
      <c r="I38" s="1" t="n">
        <f aca="false">CEILING(SUM(I30:I36),1,1)</f>
        <v>10</v>
      </c>
      <c r="J38" s="1" t="n">
        <f aca="false">I38</f>
        <v>10</v>
      </c>
      <c r="K38" s="1" t="n">
        <f aca="false">J38</f>
        <v>10</v>
      </c>
      <c r="L38" s="1" t="n">
        <f aca="false">K38</f>
        <v>10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collapsed="false" customFormat="false" customHeight="false" hidden="false" ht="12.75" outlineLevel="0"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collapsed="false" customFormat="false" customHeight="false" hidden="false" ht="12.75" outlineLevel="0" r="40">
      <c r="A40" s="1"/>
      <c r="B40" s="1"/>
      <c r="C40" s="1"/>
      <c r="D40" s="1"/>
      <c r="E40" s="1"/>
      <c r="F40" s="1"/>
      <c r="G40" s="1" t="s">
        <v>76</v>
      </c>
      <c r="H40" s="1" t="n">
        <f aca="false">H21*I54</f>
        <v>1586.1328125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collapsed="false" customFormat="false" customHeight="false" hidden="false" ht="12.75" outlineLevel="0"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collapsed="false" customFormat="false" customHeight="false" hidden="false" ht="12.75" outlineLevel="0"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collapsed="false" customFormat="false" customHeight="false" hidden="false" ht="12.75" outlineLevel="0" r="43">
      <c r="A43" s="1" t="s">
        <v>77</v>
      </c>
      <c r="B43" s="1" t="s">
        <v>1</v>
      </c>
      <c r="C43" s="1"/>
      <c r="D43" s="1" t="s">
        <v>2</v>
      </c>
      <c r="E43" s="1" t="s">
        <v>3</v>
      </c>
      <c r="F43" s="1" t="s">
        <v>74</v>
      </c>
      <c r="G43" s="1" t="s">
        <v>22</v>
      </c>
      <c r="H43" s="1"/>
      <c r="I43" s="1" t="s">
        <v>78</v>
      </c>
      <c r="J43" s="1"/>
      <c r="K43" s="1" t="s">
        <v>6</v>
      </c>
      <c r="L43" s="1" t="s">
        <v>7</v>
      </c>
      <c r="M43" s="1" t="s">
        <v>8</v>
      </c>
      <c r="N43" s="1" t="s">
        <v>9</v>
      </c>
      <c r="O43" s="1"/>
      <c r="P43" s="1"/>
      <c r="Q43" s="1"/>
      <c r="R43" s="1"/>
      <c r="S43" s="1"/>
      <c r="T43" s="1"/>
      <c r="U43" s="1"/>
      <c r="V43" s="1"/>
    </row>
    <row collapsed="false" customFormat="false" customHeight="false" hidden="false" ht="12.75" outlineLevel="0" r="44">
      <c r="A44" s="1" t="s">
        <v>13</v>
      </c>
      <c r="B44" s="1" t="n">
        <f aca="false">$P$1</f>
        <v>2000</v>
      </c>
      <c r="C44" s="1" t="s">
        <v>16</v>
      </c>
      <c r="D44" s="1" t="n">
        <f aca="false">B44*3</f>
        <v>6000</v>
      </c>
      <c r="E44" s="1" t="n">
        <f aca="false">D44/96</f>
        <v>62.5</v>
      </c>
      <c r="F44" s="1" t="n">
        <f aca="false">D44/32</f>
        <v>187.5</v>
      </c>
      <c r="G44" s="1"/>
      <c r="H44" s="1"/>
      <c r="I44" s="1" t="n">
        <f aca="false">F44/20</f>
        <v>9.375</v>
      </c>
      <c r="J44" s="1"/>
      <c r="K44" s="1" t="n">
        <f aca="false">E44/23</f>
        <v>2.71739130434783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collapsed="false" customFormat="false" customHeight="false" hidden="false" ht="12.75" outlineLevel="0" r="45">
      <c r="A45" s="1"/>
      <c r="B45" s="1"/>
      <c r="C45" s="1"/>
      <c r="D45" s="1"/>
      <c r="E45" s="1" t="n">
        <f aca="false">D45/96</f>
        <v>0</v>
      </c>
      <c r="F45" s="1" t="n">
        <f aca="false">D45/32</f>
        <v>0</v>
      </c>
      <c r="G45" s="1"/>
      <c r="H45" s="1"/>
      <c r="I45" s="1" t="n">
        <f aca="false">F45/22</f>
        <v>0</v>
      </c>
      <c r="J45" s="1"/>
      <c r="K45" s="1" t="n">
        <f aca="false">E45/23</f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collapsed="false" customFormat="false" customHeight="false" hidden="false" ht="12.75" outlineLevel="0" r="46">
      <c r="A46" s="1" t="s">
        <v>15</v>
      </c>
      <c r="B46" s="1" t="n">
        <v>3700</v>
      </c>
      <c r="C46" s="1" t="s">
        <v>16</v>
      </c>
      <c r="D46" s="1" t="n">
        <f aca="false">B46*3</f>
        <v>11100</v>
      </c>
      <c r="E46" s="1" t="n">
        <f aca="false">D46/96</f>
        <v>115.625</v>
      </c>
      <c r="F46" s="1" t="n">
        <v>0</v>
      </c>
      <c r="G46" s="1"/>
      <c r="H46" s="1"/>
      <c r="I46" s="1" t="n">
        <f aca="false">F46/22</f>
        <v>0</v>
      </c>
      <c r="J46" s="1"/>
      <c r="K46" s="1" t="n">
        <f aca="false">E46/23</f>
        <v>5.02717391304348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collapsed="false" customFormat="false" customHeight="false" hidden="false" ht="12.75" outlineLevel="0" r="47">
      <c r="A47" s="1"/>
      <c r="B47" s="1"/>
      <c r="C47" s="1" t="s">
        <v>16</v>
      </c>
      <c r="D47" s="1" t="n">
        <v>0</v>
      </c>
      <c r="E47" s="1" t="n">
        <f aca="false">D47/96</f>
        <v>0</v>
      </c>
      <c r="F47" s="1" t="n">
        <f aca="false">D47/32</f>
        <v>0</v>
      </c>
      <c r="G47" s="1"/>
      <c r="H47" s="1"/>
      <c r="I47" s="1" t="n">
        <f aca="false">F47/22</f>
        <v>0</v>
      </c>
      <c r="J47" s="1"/>
      <c r="K47" s="1" t="n">
        <f aca="false">E47/23</f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collapsed="false" customFormat="false" customHeight="false" hidden="false" ht="12.75" outlineLevel="0" r="48">
      <c r="A48" s="1"/>
      <c r="B48" s="1"/>
      <c r="C48" s="1"/>
      <c r="D48" s="1" t="n">
        <f aca="false">B48*3</f>
        <v>0</v>
      </c>
      <c r="E48" s="1"/>
      <c r="F48" s="1" t="n">
        <f aca="false">D48/32</f>
        <v>0</v>
      </c>
      <c r="G48" s="1"/>
      <c r="H48" s="1"/>
      <c r="I48" s="1" t="n">
        <f aca="false">F48/22</f>
        <v>0</v>
      </c>
      <c r="J48" s="1"/>
      <c r="K48" s="1" t="n">
        <f aca="false">E48/23</f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collapsed="false" customFormat="false" customHeight="false" hidden="false" ht="12.75" outlineLevel="0" r="49">
      <c r="A49" s="1"/>
      <c r="B49" s="1"/>
      <c r="C49" s="1"/>
      <c r="D49" s="1"/>
      <c r="E49" s="1"/>
      <c r="F49" s="1" t="n">
        <f aca="false">D49/32</f>
        <v>0</v>
      </c>
      <c r="G49" s="1"/>
      <c r="H49" s="1"/>
      <c r="I49" s="1" t="n">
        <f aca="false">F49/22</f>
        <v>0</v>
      </c>
      <c r="J49" s="1"/>
      <c r="K49" s="1" t="n">
        <f aca="false">E49/23</f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collapsed="false" customFormat="false" customHeight="false" hidden="false" ht="12.75" outlineLevel="0" r="50">
      <c r="A50" s="1" t="s">
        <v>67</v>
      </c>
      <c r="B50" s="1" t="n">
        <v>0</v>
      </c>
      <c r="C50" s="1" t="s">
        <v>16</v>
      </c>
      <c r="D50" s="1" t="n">
        <f aca="false">B50*3</f>
        <v>0</v>
      </c>
      <c r="E50" s="1" t="n">
        <f aca="false">D50/96</f>
        <v>0</v>
      </c>
      <c r="F50" s="1" t="n">
        <v>0</v>
      </c>
      <c r="G50" s="1"/>
      <c r="H50" s="1"/>
      <c r="I50" s="1" t="n">
        <f aca="false">F50/22</f>
        <v>0</v>
      </c>
      <c r="J50" s="1"/>
      <c r="K50" s="1" t="n">
        <f aca="false">E50/23</f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collapsed="false" customFormat="false" customHeight="false" hidden="false" ht="12.75" outlineLevel="0" r="51">
      <c r="A51" s="1"/>
      <c r="B51" s="1"/>
      <c r="C51" s="1" t="s">
        <v>16</v>
      </c>
      <c r="D51" s="1" t="n">
        <v>0</v>
      </c>
      <c r="E51" s="1" t="n">
        <f aca="false">D51/96</f>
        <v>0</v>
      </c>
      <c r="F51" s="1" t="n">
        <f aca="false">D51/32</f>
        <v>0</v>
      </c>
      <c r="G51" s="1"/>
      <c r="H51" s="1"/>
      <c r="I51" s="1" t="n">
        <f aca="false">F51/22</f>
        <v>0</v>
      </c>
      <c r="J51" s="1"/>
      <c r="K51" s="1" t="n">
        <f aca="false">E51/23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collapsed="false" customFormat="false" customHeight="false" hidden="false" ht="12.75" outlineLevel="0" r="52">
      <c r="A52" s="1"/>
      <c r="B52" s="1"/>
      <c r="C52" s="1"/>
      <c r="D52" s="1" t="n">
        <f aca="false">SUM(D44:D51)</f>
        <v>17100</v>
      </c>
      <c r="E52" s="1" t="n">
        <f aca="false">SUM(E44:E51)</f>
        <v>178.125</v>
      </c>
      <c r="F52" s="1" t="n">
        <f aca="false">SUM(F44:F51)</f>
        <v>187.5</v>
      </c>
      <c r="G52" s="1"/>
      <c r="H52" s="1"/>
      <c r="I52" s="1" t="n">
        <f aca="false">SUM(I44:I51)</f>
        <v>9.375</v>
      </c>
      <c r="J52" s="1"/>
      <c r="K52" s="1" t="n">
        <f aca="false">CEILING(SUM(K44:K50),1,1)</f>
        <v>8</v>
      </c>
      <c r="L52" s="1" t="n">
        <v>9</v>
      </c>
      <c r="M52" s="1" t="n">
        <v>9</v>
      </c>
      <c r="N52" s="1" t="n">
        <v>9</v>
      </c>
      <c r="O52" s="1"/>
      <c r="P52" s="1"/>
      <c r="Q52" s="1"/>
      <c r="R52" s="1"/>
      <c r="S52" s="1"/>
      <c r="T52" s="1"/>
      <c r="U52" s="1"/>
      <c r="V52" s="1"/>
    </row>
    <row collapsed="false" customFormat="false" customHeight="false" hidden="false" ht="12.75" outlineLevel="0"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collapsed="false" customFormat="false" customHeight="false" hidden="false" ht="12.75" outlineLevel="0" r="54">
      <c r="A54" s="1"/>
      <c r="B54" s="1"/>
      <c r="C54" s="1"/>
      <c r="D54" s="1"/>
      <c r="E54" s="1"/>
      <c r="F54" s="1"/>
      <c r="G54" s="1"/>
      <c r="H54" s="1"/>
      <c r="I54" s="1" t="n">
        <f aca="false">630.7+722.8</f>
        <v>1353.5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collapsed="false" customFormat="false" customHeight="false" hidden="false" ht="12.75" outlineLevel="0"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collapsed="false" customFormat="false" customHeight="false" hidden="false" ht="12.75" outlineLevel="0"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collapsed="false" customFormat="false" customHeight="false" hidden="false" ht="12.75" outlineLevel="0"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collapsed="false" customFormat="false" customHeight="false" hidden="false" ht="12.75" outlineLevel="0"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collapsed="false" customFormat="false" customHeight="false" hidden="false" ht="12.75" outlineLevel="0" r="59">
      <c r="A59" s="1"/>
      <c r="B59" s="1"/>
      <c r="C59" s="1"/>
      <c r="D59" s="1"/>
      <c r="E59" s="1"/>
      <c r="F59" s="1"/>
      <c r="G59" s="1"/>
      <c r="H59" s="1" t="s">
        <v>76</v>
      </c>
      <c r="I59" s="1" t="n">
        <f aca="false">I52*I54</f>
        <v>12689.0625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collapsed="false" customFormat="false" customHeight="false" hidden="false" ht="12.75" outlineLevel="0"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collapsed="false" customFormat="false" customHeight="false" hidden="false" ht="12.75" outlineLevel="0" r="61">
      <c r="A61" s="1" t="s">
        <v>77</v>
      </c>
      <c r="B61" s="1" t="s">
        <v>1</v>
      </c>
      <c r="C61" s="1"/>
      <c r="D61" s="1" t="s">
        <v>2</v>
      </c>
      <c r="E61" s="1" t="s">
        <v>3</v>
      </c>
      <c r="F61" s="1" t="s">
        <v>74</v>
      </c>
      <c r="G61" s="1"/>
      <c r="H61" s="1"/>
      <c r="I61" s="1" t="s">
        <v>78</v>
      </c>
      <c r="J61" s="1"/>
      <c r="K61" s="1" t="s">
        <v>6</v>
      </c>
      <c r="L61" s="1" t="s">
        <v>7</v>
      </c>
      <c r="M61" s="1" t="s">
        <v>8</v>
      </c>
      <c r="N61" s="1" t="s">
        <v>9</v>
      </c>
      <c r="O61" s="1"/>
      <c r="P61" s="1"/>
      <c r="Q61" s="1"/>
      <c r="R61" s="1"/>
      <c r="S61" s="1"/>
      <c r="T61" s="1"/>
      <c r="U61" s="1"/>
      <c r="V61" s="1"/>
    </row>
    <row collapsed="false" customFormat="false" customHeight="false" hidden="false" ht="12.75" outlineLevel="0" r="62">
      <c r="A62" s="1" t="s">
        <v>13</v>
      </c>
      <c r="B62" s="1" t="n">
        <f aca="false">$P$1</f>
        <v>2000</v>
      </c>
      <c r="C62" s="1" t="s">
        <v>16</v>
      </c>
      <c r="D62" s="1" t="n">
        <f aca="false">B62*3</f>
        <v>6000</v>
      </c>
      <c r="E62" s="1" t="n">
        <f aca="false">D62/96</f>
        <v>62.5</v>
      </c>
      <c r="F62" s="1" t="n">
        <f aca="false">D62/32</f>
        <v>187.5</v>
      </c>
      <c r="G62" s="1"/>
      <c r="H62" s="1"/>
      <c r="I62" s="1" t="n">
        <f aca="false">F62/20</f>
        <v>9.375</v>
      </c>
      <c r="J62" s="1"/>
      <c r="K62" s="1" t="n">
        <f aca="false">E62/23</f>
        <v>2.71739130434783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collapsed="false" customFormat="false" customHeight="false" hidden="false" ht="12.75" outlineLevel="0" r="63">
      <c r="A63" s="1"/>
      <c r="B63" s="1" t="n">
        <f aca="false">B62/8</f>
        <v>250</v>
      </c>
      <c r="C63" s="1"/>
      <c r="D63" s="1"/>
      <c r="E63" s="1" t="n">
        <f aca="false">D63/96</f>
        <v>0</v>
      </c>
      <c r="F63" s="1" t="n">
        <f aca="false">D63/32</f>
        <v>0</v>
      </c>
      <c r="G63" s="1"/>
      <c r="H63" s="1"/>
      <c r="I63" s="1" t="n">
        <f aca="false">F63/20</f>
        <v>0</v>
      </c>
      <c r="J63" s="1"/>
      <c r="K63" s="1" t="n">
        <f aca="false">E63/23</f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collapsed="false" customFormat="false" customHeight="false" hidden="false" ht="12.75" outlineLevel="0" r="64">
      <c r="A64" s="1" t="s">
        <v>15</v>
      </c>
      <c r="B64" s="1" t="n">
        <v>3700</v>
      </c>
      <c r="C64" s="1" t="s">
        <v>16</v>
      </c>
      <c r="D64" s="1" t="n">
        <f aca="false">B64*3</f>
        <v>11100</v>
      </c>
      <c r="E64" s="1" t="n">
        <f aca="false">D64/96</f>
        <v>115.625</v>
      </c>
      <c r="F64" s="1" t="n">
        <v>0</v>
      </c>
      <c r="G64" s="1"/>
      <c r="H64" s="1"/>
      <c r="I64" s="1" t="n">
        <f aca="false">F64/20</f>
        <v>0</v>
      </c>
      <c r="J64" s="1"/>
      <c r="K64" s="1" t="n">
        <f aca="false">E64/23</f>
        <v>5.02717391304348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collapsed="false" customFormat="false" customHeight="false" hidden="false" ht="12.75" outlineLevel="0" r="65">
      <c r="A65" s="1"/>
      <c r="B65" s="1"/>
      <c r="C65" s="1" t="s">
        <v>16</v>
      </c>
      <c r="D65" s="1" t="n">
        <v>0</v>
      </c>
      <c r="E65" s="1" t="n">
        <f aca="false">D65/96</f>
        <v>0</v>
      </c>
      <c r="F65" s="1" t="n">
        <f aca="false">D65/32</f>
        <v>0</v>
      </c>
      <c r="G65" s="1"/>
      <c r="H65" s="1"/>
      <c r="I65" s="1" t="n">
        <f aca="false">F65/20</f>
        <v>0</v>
      </c>
      <c r="J65" s="1"/>
      <c r="K65" s="1" t="n">
        <f aca="false">E65/23</f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collapsed="false" customFormat="false" customHeight="false" hidden="false" ht="12.75" outlineLevel="0" r="66">
      <c r="A66" s="1"/>
      <c r="B66" s="1"/>
      <c r="C66" s="1"/>
      <c r="D66" s="1" t="n">
        <f aca="false">B66*3</f>
        <v>0</v>
      </c>
      <c r="E66" s="1"/>
      <c r="F66" s="1" t="n">
        <f aca="false">D66/32</f>
        <v>0</v>
      </c>
      <c r="G66" s="1"/>
      <c r="H66" s="1"/>
      <c r="I66" s="1" t="n">
        <f aca="false">F66/20</f>
        <v>0</v>
      </c>
      <c r="J66" s="1"/>
      <c r="K66" s="1" t="n">
        <f aca="false">E66/23</f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collapsed="false" customFormat="false" customHeight="false" hidden="false" ht="12.75" outlineLevel="0" r="67">
      <c r="A67" s="1"/>
      <c r="B67" s="1"/>
      <c r="C67" s="1"/>
      <c r="D67" s="1"/>
      <c r="E67" s="1"/>
      <c r="F67" s="1" t="n">
        <f aca="false">D67/32</f>
        <v>0</v>
      </c>
      <c r="G67" s="1"/>
      <c r="H67" s="1"/>
      <c r="I67" s="1" t="n">
        <f aca="false">F67/20</f>
        <v>0</v>
      </c>
      <c r="J67" s="1"/>
      <c r="K67" s="1" t="n">
        <f aca="false">E67/23</f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collapsed="false" customFormat="false" customHeight="false" hidden="false" ht="12.75" outlineLevel="0" r="68">
      <c r="A68" s="1" t="s">
        <v>67</v>
      </c>
      <c r="B68" s="1" t="n">
        <v>0</v>
      </c>
      <c r="C68" s="1" t="s">
        <v>16</v>
      </c>
      <c r="D68" s="1" t="n">
        <f aca="false">B68*3</f>
        <v>0</v>
      </c>
      <c r="E68" s="1" t="n">
        <f aca="false">D68/96</f>
        <v>0</v>
      </c>
      <c r="F68" s="1" t="n">
        <v>0</v>
      </c>
      <c r="G68" s="1"/>
      <c r="H68" s="1"/>
      <c r="I68" s="1" t="n">
        <f aca="false">F68/20</f>
        <v>0</v>
      </c>
      <c r="J68" s="1"/>
      <c r="K68" s="1" t="n">
        <f aca="false">E68/23</f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collapsed="false" customFormat="false" customHeight="false" hidden="false" ht="12.75" outlineLevel="0" r="69">
      <c r="A69" s="1"/>
      <c r="B69" s="1"/>
      <c r="C69" s="1" t="s">
        <v>16</v>
      </c>
      <c r="D69" s="1" t="n">
        <v>0</v>
      </c>
      <c r="E69" s="1" t="n">
        <f aca="false">D69/96</f>
        <v>0</v>
      </c>
      <c r="F69" s="1" t="n">
        <f aca="false">D69/32</f>
        <v>0</v>
      </c>
      <c r="G69" s="1"/>
      <c r="H69" s="1"/>
      <c r="I69" s="1" t="n">
        <f aca="false">F69/20</f>
        <v>0</v>
      </c>
      <c r="J69" s="1"/>
      <c r="K69" s="1" t="n">
        <f aca="false">E69/23</f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collapsed="false" customFormat="false" customHeight="false" hidden="false" ht="12.75" outlineLevel="0" r="70">
      <c r="A70" s="1"/>
      <c r="B70" s="1"/>
      <c r="C70" s="1"/>
      <c r="D70" s="1" t="n">
        <f aca="false">SUM(D62:D69)</f>
        <v>17100</v>
      </c>
      <c r="E70" s="1" t="n">
        <f aca="false">SUM(E62:E69)</f>
        <v>178.125</v>
      </c>
      <c r="F70" s="1" t="n">
        <f aca="false">SUM(F62:F69)</f>
        <v>187.5</v>
      </c>
      <c r="G70" s="1"/>
      <c r="H70" s="1"/>
      <c r="I70" s="1" t="n">
        <f aca="false">SUM(I62:I69)</f>
        <v>9.375</v>
      </c>
      <c r="J70" s="1"/>
      <c r="K70" s="1" t="n">
        <f aca="false">CEILING(SUM(K62:K68),1,1)</f>
        <v>8</v>
      </c>
      <c r="L70" s="1" t="n">
        <v>9</v>
      </c>
      <c r="M70" s="1" t="n">
        <v>9</v>
      </c>
      <c r="N70" s="1" t="n">
        <v>9</v>
      </c>
      <c r="O70" s="1"/>
      <c r="P70" s="1"/>
      <c r="Q70" s="1"/>
      <c r="R70" s="1"/>
      <c r="S70" s="1"/>
      <c r="T70" s="1"/>
      <c r="U70" s="1"/>
      <c r="V70" s="1"/>
    </row>
    <row collapsed="false" customFormat="false" customHeight="false" hidden="false" ht="12.75" outlineLevel="0"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collapsed="false" customFormat="false" customHeight="false" hidden="false" ht="12.75" outlineLevel="0" r="72">
      <c r="A72" s="1"/>
      <c r="B72" s="1"/>
      <c r="C72" s="1"/>
      <c r="D72" s="1"/>
      <c r="E72" s="1"/>
      <c r="F72" s="1"/>
      <c r="G72" s="1"/>
      <c r="H72" s="1" t="s">
        <v>76</v>
      </c>
      <c r="I72" s="1" t="n">
        <f aca="false">630.7+722.8</f>
        <v>1353.5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collapsed="false" customFormat="false" customHeight="false" hidden="false" ht="12.75" outlineLevel="0"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collapsed="false" customFormat="false" customHeight="false" hidden="false" ht="12.75" outlineLevel="0" r="74">
      <c r="A74" s="1"/>
      <c r="B74" s="1"/>
      <c r="C74" s="1"/>
      <c r="D74" s="1"/>
      <c r="E74" s="1"/>
      <c r="F74" s="1"/>
      <c r="G74" s="1"/>
      <c r="H74" s="1"/>
      <c r="I74" s="1" t="n">
        <f aca="false">I70*I72</f>
        <v>12689.0625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collapsed="false" customFormat="false" customHeight="false" hidden="false" ht="12.75" outlineLevel="0"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collapsed="false" customFormat="false" customHeight="false" hidden="false" ht="12.75" outlineLevel="0" r="76">
      <c r="A76" s="1" t="s">
        <v>79</v>
      </c>
      <c r="B76" s="1"/>
      <c r="C76" s="1"/>
      <c r="D76" s="1"/>
      <c r="E76" s="1"/>
      <c r="F76" s="1"/>
      <c r="G76" s="1"/>
      <c r="H76" s="1" t="s">
        <v>80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collapsed="false" customFormat="false" customHeight="false" hidden="false" ht="12.75" outlineLevel="0" r="77">
      <c r="A77" s="1"/>
      <c r="B77" s="1" t="s">
        <v>81</v>
      </c>
      <c r="C77" s="1"/>
      <c r="D77" s="1"/>
      <c r="E77" s="1"/>
      <c r="F77" s="1"/>
      <c r="G77" s="1"/>
      <c r="H77" s="1" t="s">
        <v>8</v>
      </c>
      <c r="I77" s="1" t="n">
        <v>11</v>
      </c>
      <c r="J77" s="1" t="n">
        <v>3400</v>
      </c>
      <c r="K77" s="1" t="n">
        <f aca="false">I77*J77</f>
        <v>37400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collapsed="false" customFormat="false" customHeight="false" hidden="false" ht="12.75" outlineLevel="0" r="78">
      <c r="A78" s="1"/>
      <c r="B78" s="1" t="s">
        <v>8</v>
      </c>
      <c r="C78" s="1" t="n">
        <v>10</v>
      </c>
      <c r="D78" s="1" t="n">
        <v>3400</v>
      </c>
      <c r="E78" s="1" t="n">
        <f aca="false">C78*D78</f>
        <v>34000</v>
      </c>
      <c r="F78" s="1"/>
      <c r="G78" s="1"/>
      <c r="H78" s="1" t="s">
        <v>9</v>
      </c>
      <c r="I78" s="1" t="n">
        <v>11</v>
      </c>
      <c r="J78" s="1" t="n">
        <v>2000</v>
      </c>
      <c r="K78" s="1" t="n">
        <f aca="false">I78*J78</f>
        <v>22000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collapsed="false" customFormat="false" customHeight="false" hidden="false" ht="12.75" outlineLevel="0" r="79">
      <c r="A79" s="1"/>
      <c r="B79" s="1" t="s">
        <v>9</v>
      </c>
      <c r="C79" s="1" t="n">
        <v>10</v>
      </c>
      <c r="D79" s="1" t="n">
        <v>2000</v>
      </c>
      <c r="E79" s="1" t="n">
        <f aca="false">C79*D79</f>
        <v>20000</v>
      </c>
      <c r="F79" s="1"/>
      <c r="G79" s="1"/>
      <c r="H79" s="1" t="s">
        <v>82</v>
      </c>
      <c r="I79" s="1" t="n">
        <v>0</v>
      </c>
      <c r="J79" s="1" t="n">
        <v>1500</v>
      </c>
      <c r="K79" s="1" t="n">
        <f aca="false">I79*J79</f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collapsed="false" customFormat="false" customHeight="false" hidden="false" ht="12.75" outlineLevel="0" r="80">
      <c r="A80" s="1"/>
      <c r="B80" s="1" t="s">
        <v>82</v>
      </c>
      <c r="C80" s="1" t="n">
        <v>10</v>
      </c>
      <c r="D80" s="1" t="n">
        <v>1500</v>
      </c>
      <c r="E80" s="1" t="n">
        <f aca="false">C80*D80</f>
        <v>15000</v>
      </c>
      <c r="F80" s="1"/>
      <c r="G80" s="1"/>
      <c r="H80" s="1" t="s">
        <v>80</v>
      </c>
      <c r="I80" s="1" t="n">
        <v>0</v>
      </c>
      <c r="J80" s="1" t="n">
        <v>10315</v>
      </c>
      <c r="K80" s="1" t="n">
        <f aca="false">I80*J80</f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collapsed="false" customFormat="false" customHeight="false" hidden="false" ht="12.75" outlineLevel="0" r="81">
      <c r="A81" s="1"/>
      <c r="B81" s="1" t="s">
        <v>80</v>
      </c>
      <c r="C81" s="1" t="n">
        <v>10</v>
      </c>
      <c r="D81" s="1" t="n">
        <v>10315</v>
      </c>
      <c r="E81" s="1" t="n">
        <f aca="false">C81*D81</f>
        <v>103150</v>
      </c>
      <c r="F81" s="1"/>
      <c r="G81" s="1"/>
      <c r="H81" s="1" t="s">
        <v>83</v>
      </c>
      <c r="I81" s="1" t="n">
        <v>0</v>
      </c>
      <c r="J81" s="1" t="n">
        <v>9000</v>
      </c>
      <c r="K81" s="1" t="n">
        <f aca="false">I81*J81</f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collapsed="false" customFormat="false" customHeight="false" hidden="false" ht="12.75" outlineLevel="0" r="82">
      <c r="A82" s="1"/>
      <c r="B82" s="1" t="s">
        <v>83</v>
      </c>
      <c r="C82" s="1" t="n">
        <v>10</v>
      </c>
      <c r="D82" s="1" t="n">
        <v>9000</v>
      </c>
      <c r="E82" s="1" t="n">
        <f aca="false">C82*D82</f>
        <v>90000</v>
      </c>
      <c r="F82" s="1"/>
      <c r="G82" s="1"/>
      <c r="H82" s="1" t="s">
        <v>84</v>
      </c>
      <c r="I82" s="1" t="n">
        <v>0</v>
      </c>
      <c r="J82" s="1" t="n">
        <v>1650</v>
      </c>
      <c r="K82" s="1" t="n">
        <f aca="false">I82*J82</f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collapsed="false" customFormat="false" customHeight="false" hidden="false" ht="12.75" outlineLevel="0" r="83">
      <c r="A83" s="1"/>
      <c r="B83" s="1"/>
      <c r="C83" s="1"/>
      <c r="D83" s="1"/>
      <c r="E83" s="1"/>
      <c r="F83" s="1"/>
      <c r="G83" s="1"/>
      <c r="H83" s="1"/>
      <c r="I83" s="1"/>
      <c r="J83" s="1" t="s">
        <v>71</v>
      </c>
      <c r="K83" s="1" t="n">
        <f aca="false">SUM(K77:K82)</f>
        <v>59400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collapsed="false" customFormat="false" customHeight="false" hidden="false" ht="12.75" outlineLevel="0" r="84">
      <c r="A84" s="1"/>
      <c r="B84" s="1"/>
      <c r="C84" s="1"/>
      <c r="D84" s="1" t="s">
        <v>71</v>
      </c>
      <c r="E84" s="1" t="n">
        <f aca="false">SUM(E78:E82)</f>
        <v>262150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collapsed="false" customFormat="false" customHeight="false" hidden="false" ht="12.75" outlineLevel="0"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collapsed="false" customFormat="false" customHeight="false" hidden="false" ht="12.75" outlineLevel="0" r="86">
      <c r="A86" s="1" t="s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collapsed="false" customFormat="false" customHeight="false" hidden="false" ht="12.75" outlineLevel="0"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collapsed="false" customFormat="false" customHeight="false" hidden="false" ht="12.75" outlineLevel="0" r="88">
      <c r="A88" s="1"/>
      <c r="B88" s="1"/>
      <c r="C88" s="1" t="n">
        <f aca="false">(1/200000)*1000000</f>
        <v>5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collapsed="false" customFormat="false" customHeight="false" hidden="false" ht="12.75" outlineLevel="0"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collapsed="false" customFormat="false" customHeight="false" hidden="false" ht="12.75" outlineLevel="0" r="90">
      <c r="A90" s="1"/>
      <c r="B90" s="1"/>
      <c r="C90" s="1"/>
      <c r="D90" s="1"/>
      <c r="E90" s="1"/>
      <c r="F90" s="1"/>
      <c r="G90" s="1"/>
      <c r="H90" s="1"/>
      <c r="I90" s="1" t="s">
        <v>86</v>
      </c>
      <c r="J90" s="1" t="s">
        <v>87</v>
      </c>
      <c r="K90" s="1" t="s">
        <v>22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collapsed="false" customFormat="false" customHeight="false" hidden="false" ht="12.75" outlineLevel="0" r="91">
      <c r="A91" s="0" t="s">
        <v>88</v>
      </c>
      <c r="B91" s="2" t="n">
        <f aca="false">7*27</f>
        <v>189</v>
      </c>
      <c r="C91" s="2" t="n">
        <f aca="false">2*27</f>
        <v>54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collapsed="false" customFormat="false" customHeight="false" hidden="false" ht="12.75" outlineLevel="0" r="92">
      <c r="B92" s="0" t="s">
        <v>89</v>
      </c>
      <c r="C92" s="0" t="s">
        <v>90</v>
      </c>
      <c r="D92" s="0" t="n">
        <v>189</v>
      </c>
      <c r="E92" s="0" t="s">
        <v>91</v>
      </c>
      <c r="F92" s="0" t="n">
        <v>243</v>
      </c>
      <c r="I92" s="2" t="n">
        <f aca="false">F92/64</f>
        <v>3.796875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collapsed="false" customFormat="false" customHeight="false" hidden="false" ht="12.75" outlineLevel="0" r="93">
      <c r="C93" s="0" t="s">
        <v>92</v>
      </c>
      <c r="D93" s="0" t="n">
        <v>54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collapsed="false" customFormat="false" customHeight="false" hidden="false" ht="12.75" outlineLevel="0" r="94">
      <c r="C94" s="0" t="s">
        <v>93</v>
      </c>
      <c r="D94" s="0" t="n">
        <v>180</v>
      </c>
      <c r="F94" s="0" t="n">
        <v>180</v>
      </c>
      <c r="G94" s="0" t="n">
        <v>0</v>
      </c>
      <c r="H94" s="0" t="n">
        <v>288</v>
      </c>
      <c r="I94" s="2" t="n">
        <f aca="false">F94/64</f>
        <v>2.8125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collapsed="false" customFormat="false" customHeight="false" hidden="false" ht="12.75" outlineLevel="0" r="95">
      <c r="C95" s="0" t="s">
        <v>67</v>
      </c>
      <c r="D95" s="0" t="n">
        <v>550</v>
      </c>
      <c r="G95" s="0" t="n">
        <v>550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collapsed="false" customFormat="false" customHeight="false" hidden="false" ht="12.75" outlineLevel="0" r="96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collapsed="false" customFormat="false" customHeight="false" hidden="false" ht="12.75" outlineLevel="0" r="97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collapsed="false" customFormat="false" customHeight="false" hidden="false" ht="12.75" outlineLevel="0" r="98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collapsed="false" customFormat="false" customHeight="false" hidden="false" ht="12.75" outlineLevel="0" r="99">
      <c r="B99" s="0" t="s">
        <v>94</v>
      </c>
      <c r="C99" s="0" t="s">
        <v>28</v>
      </c>
      <c r="D99" s="0" t="n">
        <v>288</v>
      </c>
      <c r="E99" s="0" t="s">
        <v>95</v>
      </c>
      <c r="F99" s="0" t="n">
        <v>288</v>
      </c>
      <c r="G99" s="0" t="n">
        <v>0</v>
      </c>
      <c r="H99" s="0" t="n">
        <v>288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collapsed="false" customFormat="false" customHeight="false" hidden="false" ht="12.75" outlineLevel="0" r="100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collapsed="false" customFormat="false" customHeight="false" hidden="false" ht="12.75" outlineLevel="0" r="101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collapsed="false" customFormat="false" customHeight="false" hidden="false" ht="12.75" outlineLevel="0" r="102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collapsed="false" customFormat="false" customHeight="false" hidden="false" ht="12.75" outlineLevel="0" r="103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collapsed="false" customFormat="false" customHeight="false" hidden="false" ht="12.75" outlineLevel="0" r="104">
      <c r="A104" s="0" t="s">
        <v>96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collapsed="false" customFormat="false" customHeight="false" hidden="false" ht="12.75" outlineLevel="0" r="105">
      <c r="B105" s="0" t="s">
        <v>89</v>
      </c>
      <c r="C105" s="0" t="s">
        <v>90</v>
      </c>
      <c r="D105" s="0" t="n">
        <v>189</v>
      </c>
      <c r="E105" s="0" t="s">
        <v>97</v>
      </c>
      <c r="F105" s="0" t="n">
        <v>243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collapsed="false" customFormat="false" customHeight="false" hidden="false" ht="12.75" outlineLevel="0" r="106">
      <c r="C106" s="0" t="s">
        <v>92</v>
      </c>
      <c r="D106" s="0" t="n">
        <v>54</v>
      </c>
    </row>
    <row collapsed="false" customFormat="false" customHeight="false" hidden="false" ht="12.75" outlineLevel="0" r="107">
      <c r="C107" s="0" t="s">
        <v>93</v>
      </c>
      <c r="D107" s="0" t="n">
        <v>180</v>
      </c>
      <c r="F107" s="0" t="n">
        <v>180</v>
      </c>
      <c r="H107" s="0" t="n">
        <v>180</v>
      </c>
    </row>
    <row collapsed="false" customFormat="false" customHeight="false" hidden="false" ht="12.75" outlineLevel="0" r="108">
      <c r="C108" s="0" t="s">
        <v>67</v>
      </c>
      <c r="D108" s="0" t="n">
        <v>550</v>
      </c>
      <c r="G108" s="0" t="n">
        <v>550</v>
      </c>
    </row>
    <row collapsed="false" customFormat="false" customHeight="false" hidden="false" ht="12.75" outlineLevel="0" r="114">
      <c r="B114" s="0" t="s">
        <v>98</v>
      </c>
    </row>
    <row collapsed="false" customFormat="false" customHeight="false" hidden="false" ht="12.75" outlineLevel="0" r="115">
      <c r="C115" s="0" t="s">
        <v>28</v>
      </c>
      <c r="D115" s="0" t="n">
        <v>288</v>
      </c>
      <c r="E115" s="0" t="s">
        <v>99</v>
      </c>
      <c r="F115" s="0" t="n">
        <v>288</v>
      </c>
      <c r="H115" s="0" t="n">
        <v>288</v>
      </c>
    </row>
    <row collapsed="false" customFormat="false" customHeight="false" hidden="false" ht="12.75" outlineLevel="0" r="122">
      <c r="A122" s="0" t="s">
        <v>100</v>
      </c>
    </row>
    <row collapsed="false" customFormat="false" customHeight="false" hidden="false" ht="12.75" outlineLevel="0" r="123">
      <c r="B123" s="0" t="s">
        <v>101</v>
      </c>
      <c r="C123" s="0" t="s">
        <v>90</v>
      </c>
      <c r="D123" s="0" t="n">
        <v>243</v>
      </c>
      <c r="E123" s="0" t="s">
        <v>102</v>
      </c>
      <c r="F123" s="0" t="n">
        <v>243</v>
      </c>
    </row>
    <row collapsed="false" customFormat="false" customHeight="false" hidden="false" ht="12.75" outlineLevel="0" r="124">
      <c r="C124" s="0" t="s">
        <v>103</v>
      </c>
    </row>
    <row collapsed="false" customFormat="false" customHeight="false" hidden="false" ht="12.75" outlineLevel="0" r="125">
      <c r="C125" s="0" t="s">
        <v>104</v>
      </c>
      <c r="D125" s="0" t="n">
        <v>180</v>
      </c>
      <c r="H125" s="0" t="n">
        <v>180</v>
      </c>
    </row>
    <row collapsed="false" customFormat="false" customHeight="false" hidden="false" ht="12.75" outlineLevel="0" r="126">
      <c r="C126" s="0" t="s">
        <v>67</v>
      </c>
      <c r="D126" s="0" t="n">
        <v>550</v>
      </c>
      <c r="G126" s="0" t="n">
        <v>550</v>
      </c>
    </row>
    <row collapsed="false" customFormat="false" customHeight="false" hidden="false" ht="12.75" outlineLevel="0" r="127">
      <c r="C127" s="0" t="s">
        <v>71</v>
      </c>
    </row>
    <row collapsed="false" customFormat="false" customHeight="false" hidden="false" ht="12.75" outlineLevel="0" r="129">
      <c r="B129" s="0" t="s">
        <v>105</v>
      </c>
      <c r="C129" s="0" t="s">
        <v>44</v>
      </c>
      <c r="D129" s="0" t="n">
        <v>101700</v>
      </c>
    </row>
    <row collapsed="false" customFormat="false" customHeight="false" hidden="false" ht="12.75" outlineLevel="0" r="130">
      <c r="C130" s="0" t="s">
        <v>106</v>
      </c>
      <c r="D130" s="0" t="n">
        <v>2000</v>
      </c>
    </row>
    <row collapsed="false" customFormat="false" customHeight="false" hidden="false" ht="12.75" outlineLevel="0" r="131">
      <c r="C131" s="0" t="s">
        <v>28</v>
      </c>
      <c r="D131" s="0" t="n">
        <v>288</v>
      </c>
      <c r="E131" s="0" t="s">
        <v>107</v>
      </c>
      <c r="F131" s="0" t="n">
        <v>288</v>
      </c>
      <c r="H131" s="0" t="n">
        <v>288</v>
      </c>
    </row>
    <row collapsed="false" customFormat="false" customHeight="false" hidden="false" ht="12.75" outlineLevel="0" r="133">
      <c r="A133" s="0" t="s">
        <v>108</v>
      </c>
      <c r="B133" s="0" t="s">
        <v>89</v>
      </c>
      <c r="C133" s="0" t="s">
        <v>67</v>
      </c>
      <c r="D133" s="0" t="n">
        <v>550</v>
      </c>
      <c r="E133" s="0" t="s">
        <v>109</v>
      </c>
      <c r="G133" s="0" t="n">
        <v>550</v>
      </c>
    </row>
    <row collapsed="false" customFormat="false" customHeight="false" hidden="false" ht="12.75" outlineLevel="0" r="134">
      <c r="C134" s="0" t="s">
        <v>110</v>
      </c>
      <c r="D134" s="0" t="n">
        <v>180</v>
      </c>
      <c r="F134" s="0" t="n">
        <v>180</v>
      </c>
      <c r="G134" s="0" t="n">
        <v>180</v>
      </c>
    </row>
    <row collapsed="false" customFormat="false" customHeight="false" hidden="false" ht="12.75" outlineLevel="0" r="135">
      <c r="C135" s="0" t="s">
        <v>90</v>
      </c>
      <c r="D135" s="0" t="n">
        <v>243</v>
      </c>
      <c r="F135" s="0" t="n">
        <v>243</v>
      </c>
    </row>
    <row collapsed="false" customFormat="false" customHeight="false" hidden="false" ht="12.75" outlineLevel="0" r="136">
      <c r="D136" s="2" t="n">
        <f aca="false">SUM(D133:D135)</f>
        <v>973</v>
      </c>
    </row>
    <row collapsed="false" customFormat="false" customHeight="false" hidden="false" ht="12.75" outlineLevel="0" r="137">
      <c r="C137" s="2" t="n">
        <f aca="false">7*17</f>
        <v>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8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B78:C78 A2"/>
    </sheetView>
  </sheetViews>
  <sheetFormatPr defaultRowHeight="12.75"/>
  <cols>
    <col collapsed="false" hidden="false" max="2" min="1" style="0" width="17.1326530612245"/>
    <col collapsed="false" hidden="false" max="3" min="3" style="0" width="21.4285714285714"/>
    <col collapsed="false" hidden="false" max="1025" min="4" style="0" width="17.1326530612245"/>
  </cols>
  <sheetData>
    <row collapsed="false" customFormat="false" customHeight="false" hidden="false" ht="12.75" outlineLevel="0" r="1">
      <c r="A1" s="0" t="s">
        <v>56</v>
      </c>
      <c r="B1" s="0" t="s">
        <v>1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143</v>
      </c>
      <c r="H1" s="0" t="s">
        <v>144</v>
      </c>
    </row>
    <row collapsed="false" customFormat="false" customHeight="false" hidden="false" ht="12.75" outlineLevel="0" r="2">
      <c r="A2" s="0" t="s">
        <v>13</v>
      </c>
      <c r="B2" s="0" t="n">
        <v>1520</v>
      </c>
      <c r="C2" s="0" t="s">
        <v>16</v>
      </c>
      <c r="D2" s="0" t="n">
        <v>1877</v>
      </c>
      <c r="E2" s="2" t="n">
        <f aca="false">B2/128</f>
        <v>11.875</v>
      </c>
      <c r="F2" s="0" t="n">
        <v>0</v>
      </c>
      <c r="H2" s="0" t="s">
        <v>145</v>
      </c>
      <c r="I2" s="2" t="n">
        <f aca="false">E2*2</f>
        <v>23.75</v>
      </c>
      <c r="J2" s="0" t="n">
        <v>2</v>
      </c>
      <c r="K2" s="0" t="n">
        <v>3</v>
      </c>
      <c r="L2" s="2" t="n">
        <f aca="false">E2*$K$2</f>
        <v>35.625</v>
      </c>
      <c r="M2" s="2" t="n">
        <f aca="false">L2/15</f>
        <v>2.375</v>
      </c>
    </row>
    <row collapsed="false" customFormat="false" customHeight="false" hidden="false" ht="12.75" outlineLevel="0" r="3">
      <c r="A3" s="0" t="s">
        <v>13</v>
      </c>
      <c r="B3" s="0" t="n">
        <v>1520</v>
      </c>
      <c r="C3" s="0" t="s">
        <v>146</v>
      </c>
      <c r="E3" s="2" t="n">
        <f aca="false">B3/8</f>
        <v>190</v>
      </c>
      <c r="F3" s="0" t="n">
        <v>0</v>
      </c>
      <c r="H3" s="0" t="s">
        <v>145</v>
      </c>
      <c r="I3" s="2" t="n">
        <f aca="false">E3*2</f>
        <v>380</v>
      </c>
      <c r="L3" s="0" t="n">
        <v>0</v>
      </c>
      <c r="M3" s="2" t="n">
        <f aca="false">L3/15</f>
        <v>0</v>
      </c>
    </row>
    <row collapsed="false" customFormat="false" customHeight="false" hidden="false" ht="12.75" outlineLevel="0" r="4">
      <c r="A4" s="0" t="s">
        <v>13</v>
      </c>
      <c r="B4" s="0" t="n">
        <v>1520</v>
      </c>
      <c r="C4" s="0" t="s">
        <v>14</v>
      </c>
      <c r="D4" s="0" t="n">
        <v>1881</v>
      </c>
      <c r="E4" s="2" t="n">
        <f aca="false">B4/96</f>
        <v>15.8333333333333</v>
      </c>
      <c r="F4" s="0" t="n">
        <v>0</v>
      </c>
      <c r="H4" s="0" t="s">
        <v>145</v>
      </c>
      <c r="I4" s="2" t="n">
        <f aca="false">E4*2</f>
        <v>31.6666666666667</v>
      </c>
      <c r="J4" s="0" t="n">
        <v>4</v>
      </c>
      <c r="L4" s="2" t="n">
        <f aca="false">E4*$K$2</f>
        <v>47.5</v>
      </c>
      <c r="M4" s="2" t="n">
        <f aca="false">L4/15</f>
        <v>3.16666666666667</v>
      </c>
    </row>
    <row collapsed="false" customFormat="false" customHeight="false" hidden="false" ht="12.75" outlineLevel="0" r="5">
      <c r="A5" s="0" t="s">
        <v>13</v>
      </c>
      <c r="B5" s="0" t="n">
        <v>1520</v>
      </c>
      <c r="C5" s="0" t="s">
        <v>147</v>
      </c>
      <c r="E5" s="0" t="n">
        <v>3</v>
      </c>
      <c r="F5" s="0" t="n">
        <v>0</v>
      </c>
      <c r="H5" s="0" t="s">
        <v>145</v>
      </c>
      <c r="I5" s="2" t="n">
        <f aca="false">E5*2</f>
        <v>6</v>
      </c>
      <c r="L5" s="2" t="n">
        <f aca="false">E5*$K$2</f>
        <v>9</v>
      </c>
      <c r="M5" s="2" t="n">
        <f aca="false">L5/15</f>
        <v>0.6</v>
      </c>
    </row>
    <row collapsed="false" customFormat="false" customHeight="false" hidden="false" ht="12.75" outlineLevel="0" r="6">
      <c r="A6" s="0" t="s">
        <v>13</v>
      </c>
      <c r="B6" s="0" t="n">
        <v>1520</v>
      </c>
      <c r="H6" s="0" t="s">
        <v>145</v>
      </c>
      <c r="I6" s="2" t="n">
        <f aca="false">E6*2</f>
        <v>0</v>
      </c>
      <c r="L6" s="2" t="n">
        <f aca="false">E6*$K$2</f>
        <v>0</v>
      </c>
      <c r="M6" s="2" t="n">
        <f aca="false">L6/15</f>
        <v>0</v>
      </c>
    </row>
    <row collapsed="false" customFormat="false" customHeight="false" hidden="false" ht="12.75" outlineLevel="0" r="7">
      <c r="I7" s="2" t="n">
        <f aca="false">E7*2</f>
        <v>0</v>
      </c>
      <c r="L7" s="2" t="n">
        <f aca="false">E7*$K$2</f>
        <v>0</v>
      </c>
      <c r="M7" s="2" t="n">
        <f aca="false">L7/15</f>
        <v>0</v>
      </c>
    </row>
    <row collapsed="false" customFormat="false" customHeight="false" hidden="false" ht="12.75" outlineLevel="0" r="8">
      <c r="I8" s="2" t="n">
        <f aca="false">E8*2</f>
        <v>0</v>
      </c>
      <c r="L8" s="2" t="n">
        <f aca="false">E8*$K$2</f>
        <v>0</v>
      </c>
      <c r="M8" s="2" t="n">
        <f aca="false">L8/15</f>
        <v>0</v>
      </c>
    </row>
    <row collapsed="false" customFormat="false" customHeight="false" hidden="false" ht="12.75" outlineLevel="0" r="9">
      <c r="A9" s="0" t="s">
        <v>15</v>
      </c>
      <c r="B9" s="0" t="n">
        <v>3328</v>
      </c>
      <c r="C9" s="0" t="s">
        <v>16</v>
      </c>
      <c r="D9" s="0" t="n">
        <v>1877</v>
      </c>
      <c r="E9" s="2" t="n">
        <f aca="false">B9/96</f>
        <v>34.6666666666667</v>
      </c>
      <c r="I9" s="2" t="n">
        <f aca="false">E9*2</f>
        <v>69.3333333333333</v>
      </c>
      <c r="J9" s="0" t="n">
        <v>8</v>
      </c>
      <c r="L9" s="2" t="n">
        <f aca="false">E9*$K$2</f>
        <v>104</v>
      </c>
      <c r="M9" s="2" t="n">
        <f aca="false">L9/15</f>
        <v>6.93333333333333</v>
      </c>
    </row>
    <row collapsed="false" customFormat="false" customHeight="false" hidden="false" ht="12.75" outlineLevel="0" r="10">
      <c r="C10" s="0" t="s">
        <v>14</v>
      </c>
      <c r="E10" s="0" t="n">
        <v>0</v>
      </c>
      <c r="I10" s="2" t="n">
        <f aca="false">E10*2</f>
        <v>0</v>
      </c>
      <c r="L10" s="2" t="n">
        <f aca="false">E10*$K$2</f>
        <v>0</v>
      </c>
      <c r="M10" s="2" t="n">
        <f aca="false">L10/15</f>
        <v>0</v>
      </c>
    </row>
    <row collapsed="false" customFormat="false" customHeight="false" hidden="false" ht="12.75" outlineLevel="0" r="11">
      <c r="E11" s="2" t="n">
        <f aca="false">E9/12</f>
        <v>2.88888888888889</v>
      </c>
      <c r="I11" s="2" t="n">
        <f aca="false">E11*2</f>
        <v>5.77777777777778</v>
      </c>
      <c r="L11" s="0" t="n">
        <v>0</v>
      </c>
      <c r="M11" s="2" t="n">
        <f aca="false">L11/15</f>
        <v>0</v>
      </c>
    </row>
    <row collapsed="false" customFormat="false" customHeight="false" hidden="false" ht="12.75" outlineLevel="0" r="12">
      <c r="I12" s="2" t="n">
        <f aca="false">E12*2</f>
        <v>0</v>
      </c>
      <c r="L12" s="2" t="n">
        <f aca="false">SUM(L2:L11)</f>
        <v>196.125</v>
      </c>
      <c r="M12" s="2" t="n">
        <f aca="false">SUM(M2:M10)</f>
        <v>13.075</v>
      </c>
    </row>
    <row collapsed="false" customFormat="false" customHeight="false" hidden="false" ht="12.75" outlineLevel="0" r="13">
      <c r="I13" s="2" t="n">
        <f aca="false">E13*2</f>
        <v>0</v>
      </c>
    </row>
    <row collapsed="false" customFormat="false" customHeight="false" hidden="false" ht="12.75" outlineLevel="0" r="14">
      <c r="I14" s="2" t="n">
        <f aca="false">E14*2</f>
        <v>0</v>
      </c>
    </row>
    <row collapsed="false" customFormat="false" customHeight="false" hidden="false" ht="12.75" outlineLevel="0" r="15">
      <c r="I15" s="2" t="n">
        <f aca="false">E15*2</f>
        <v>0</v>
      </c>
    </row>
    <row collapsed="false" customFormat="false" customHeight="false" hidden="false" ht="12.75" outlineLevel="0" r="16">
      <c r="A16" s="0" t="s">
        <v>28</v>
      </c>
      <c r="B16" s="0" t="n">
        <v>242</v>
      </c>
      <c r="C16" s="0" t="s">
        <v>150</v>
      </c>
      <c r="D16" s="0" t="s">
        <v>151</v>
      </c>
      <c r="E16" s="0" t="n">
        <v>1</v>
      </c>
      <c r="F16" s="0" t="n">
        <v>10000</v>
      </c>
      <c r="G16" s="2" t="n">
        <f aca="false">E16*F16</f>
        <v>10000</v>
      </c>
      <c r="I16" s="2" t="n">
        <f aca="false">E16*2</f>
        <v>2</v>
      </c>
    </row>
    <row collapsed="false" customFormat="false" customHeight="false" hidden="false" ht="12.75" outlineLevel="0" r="17">
      <c r="A17" s="0" t="s">
        <v>28</v>
      </c>
      <c r="B17" s="0" t="n">
        <v>242</v>
      </c>
      <c r="C17" s="0" t="s">
        <v>14</v>
      </c>
      <c r="D17" s="0" t="s">
        <v>152</v>
      </c>
      <c r="E17" s="2" t="n">
        <f aca="false">CEILING((B17/16),1,1)</f>
        <v>16</v>
      </c>
      <c r="F17" s="0" t="n">
        <v>4500</v>
      </c>
      <c r="G17" s="2" t="n">
        <f aca="false">E17*F17</f>
        <v>72000</v>
      </c>
    </row>
    <row collapsed="false" customFormat="false" customHeight="false" hidden="false" ht="12.75" outlineLevel="0" r="18">
      <c r="A18" s="0" t="s">
        <v>28</v>
      </c>
      <c r="B18" s="0" t="n">
        <v>242</v>
      </c>
      <c r="C18" s="0" t="s">
        <v>153</v>
      </c>
      <c r="E18" s="0" t="n">
        <v>1</v>
      </c>
      <c r="F18" s="0" t="n">
        <v>10000</v>
      </c>
      <c r="G18" s="2" t="n">
        <f aca="false">E18*F18</f>
        <v>10000</v>
      </c>
    </row>
    <row collapsed="false" customFormat="false" customHeight="false" hidden="false" ht="12.75" outlineLevel="0" r="19">
      <c r="A19" s="0" t="s">
        <v>28</v>
      </c>
      <c r="B19" s="0" t="n">
        <v>242</v>
      </c>
      <c r="C19" s="0" t="s">
        <v>16</v>
      </c>
      <c r="D19" s="0" t="n">
        <v>1190</v>
      </c>
      <c r="E19" s="0" t="n">
        <v>2</v>
      </c>
      <c r="F19" s="0" t="n">
        <v>10000</v>
      </c>
      <c r="G19" s="2" t="n">
        <f aca="false">E19*F19</f>
        <v>20000</v>
      </c>
    </row>
    <row collapsed="false" customFormat="false" customHeight="false" hidden="false" ht="12.75" outlineLevel="0" r="20">
      <c r="A20" s="0" t="s">
        <v>28</v>
      </c>
      <c r="B20" s="0" t="n">
        <v>242</v>
      </c>
      <c r="C20" s="0" t="s">
        <v>9</v>
      </c>
      <c r="E20" s="0" t="n">
        <v>2</v>
      </c>
      <c r="F20" s="0" t="n">
        <v>3000</v>
      </c>
      <c r="G20" s="2" t="n">
        <f aca="false">E20*F20</f>
        <v>6000</v>
      </c>
    </row>
    <row collapsed="false" customFormat="false" customHeight="false" hidden="false" ht="12.75" outlineLevel="0" r="21">
      <c r="A21" s="0" t="s">
        <v>28</v>
      </c>
      <c r="B21" s="0" t="n">
        <v>242</v>
      </c>
      <c r="C21" s="0" t="s">
        <v>154</v>
      </c>
      <c r="E21" s="0" t="n">
        <v>2</v>
      </c>
      <c r="F21" s="0" t="n">
        <v>3500</v>
      </c>
      <c r="G21" s="2" t="n">
        <f aca="false">E21*F21</f>
        <v>7000</v>
      </c>
    </row>
    <row collapsed="false" customFormat="false" customHeight="false" hidden="false" ht="12.75" outlineLevel="0" r="22">
      <c r="A22" s="0" t="s">
        <v>28</v>
      </c>
      <c r="B22" s="0" t="n">
        <v>242</v>
      </c>
      <c r="C22" s="0" t="s">
        <v>68</v>
      </c>
      <c r="E22" s="0" t="n">
        <v>2</v>
      </c>
      <c r="F22" s="0" t="n">
        <v>11500</v>
      </c>
      <c r="G22" s="2" t="n">
        <f aca="false">E22*F22</f>
        <v>23000</v>
      </c>
    </row>
    <row collapsed="false" customFormat="false" customHeight="false" hidden="false" ht="12.75" outlineLevel="0" r="23">
      <c r="G23" s="2" t="n">
        <f aca="false">SUM(G17:G22)</f>
        <v>138000</v>
      </c>
    </row>
    <row collapsed="false" customFormat="false" customHeight="false" hidden="false" ht="12.75" outlineLevel="0" r="24">
      <c r="A24" s="0" t="s">
        <v>155</v>
      </c>
      <c r="B24" s="0" t="n">
        <v>62500</v>
      </c>
    </row>
    <row collapsed="false" customFormat="false" customHeight="false" hidden="false" ht="12.75" outlineLevel="0" r="25">
      <c r="A25" s="0" t="s">
        <v>155</v>
      </c>
      <c r="B25" s="0" t="n">
        <v>27200</v>
      </c>
    </row>
    <row collapsed="false" customFormat="false" customHeight="false" hidden="false" ht="12.75" outlineLevel="0" r="26">
      <c r="A26" s="0" t="s">
        <v>155</v>
      </c>
      <c r="B26" s="0" t="n">
        <v>12000</v>
      </c>
      <c r="F26" s="2" t="n">
        <f aca="false">3700</f>
        <v>3700</v>
      </c>
      <c r="G26" s="2" t="n">
        <f aca="false">F26*1.4</f>
        <v>5180</v>
      </c>
    </row>
    <row collapsed="false" customFormat="false" customHeight="false" hidden="false" ht="12.75" outlineLevel="0" r="27">
      <c r="A27" s="0" t="s">
        <v>44</v>
      </c>
      <c r="B27" s="2" t="n">
        <f aca="false">SUM(B24:B26)</f>
        <v>101700</v>
      </c>
      <c r="C27" s="0" t="s">
        <v>156</v>
      </c>
      <c r="D27" s="0" t="s">
        <v>157</v>
      </c>
      <c r="E27" s="2" t="n">
        <f aca="false">CEILING(((B27/128)/4),1,1)</f>
        <v>199</v>
      </c>
      <c r="F27" s="0" t="n">
        <v>5000</v>
      </c>
      <c r="G27" s="2" t="n">
        <f aca="false">E27*F27</f>
        <v>995000</v>
      </c>
    </row>
    <row collapsed="false" customFormat="false" customHeight="false" hidden="false" ht="12.75" outlineLevel="0" r="28">
      <c r="A28" s="0" t="s">
        <v>44</v>
      </c>
      <c r="C28" s="0" t="s">
        <v>68</v>
      </c>
      <c r="E28" s="2" t="n">
        <f aca="false">CEILING((E27/16),1,1)</f>
        <v>13</v>
      </c>
      <c r="F28" s="0" t="n">
        <v>11500</v>
      </c>
      <c r="G28" s="2" t="n">
        <f aca="false">E28*F28</f>
        <v>149500</v>
      </c>
    </row>
    <row collapsed="false" customFormat="false" customHeight="false" hidden="false" ht="12.75" outlineLevel="0" r="29">
      <c r="C29" s="0" t="s">
        <v>8</v>
      </c>
      <c r="E29" s="2" t="n">
        <f aca="false">E28</f>
        <v>13</v>
      </c>
      <c r="F29" s="0" t="n">
        <v>3500</v>
      </c>
      <c r="G29" s="2" t="n">
        <f aca="false">E29*F29</f>
        <v>45500</v>
      </c>
    </row>
    <row collapsed="false" customFormat="false" customHeight="false" hidden="false" ht="12.75" outlineLevel="0" r="30">
      <c r="C30" s="0" t="s">
        <v>9</v>
      </c>
      <c r="E30" s="2" t="n">
        <f aca="false">E29</f>
        <v>13</v>
      </c>
      <c r="F30" s="0" t="n">
        <v>3000</v>
      </c>
      <c r="G30" s="2" t="n">
        <f aca="false">E30*F30</f>
        <v>39000</v>
      </c>
    </row>
    <row collapsed="false" customFormat="false" customHeight="false" hidden="false" ht="12.75" outlineLevel="0" r="32">
      <c r="G32" s="2" t="n">
        <f aca="false">SUM(G27:G30)</f>
        <v>1229000</v>
      </c>
    </row>
    <row collapsed="false" customFormat="false" customHeight="false" hidden="false" ht="12.75" outlineLevel="0" r="34">
      <c r="B34" s="2" t="n">
        <f aca="false">B27/2048</f>
        <v>49.658203125</v>
      </c>
      <c r="C34" s="2" t="n">
        <f aca="false">B34/21</f>
        <v>2.36467633928571</v>
      </c>
    </row>
    <row collapsed="false" customFormat="false" customHeight="false" hidden="false" ht="12.75" outlineLevel="0" r="38">
      <c r="A38" s="0" t="s">
        <v>106</v>
      </c>
    </row>
    <row collapsed="false" customFormat="false" customHeight="false" hidden="false" ht="12.75" outlineLevel="0" r="39">
      <c r="A39" s="0" t="s">
        <v>106</v>
      </c>
    </row>
    <row collapsed="false" customFormat="false" customHeight="false" hidden="false" ht="12.75" outlineLevel="0" r="40">
      <c r="A40" s="0" t="s">
        <v>106</v>
      </c>
    </row>
    <row collapsed="false" customFormat="false" customHeight="false" hidden="false" ht="12.75" outlineLevel="0" r="41">
      <c r="A41" s="0" t="s">
        <v>106</v>
      </c>
    </row>
    <row collapsed="false" customFormat="false" customHeight="false" hidden="false" ht="12.75" outlineLevel="0" r="44">
      <c r="A44" s="0" t="s">
        <v>153</v>
      </c>
      <c r="C44" s="0" t="s">
        <v>55</v>
      </c>
      <c r="H44" s="0" t="s">
        <v>158</v>
      </c>
    </row>
    <row collapsed="false" customFormat="false" customHeight="false" hidden="false" ht="12.75" outlineLevel="0" r="47">
      <c r="A47" s="0" t="s">
        <v>159</v>
      </c>
    </row>
    <row collapsed="false" customFormat="false" customHeight="false" hidden="false" ht="12.75" outlineLevel="0" r="48">
      <c r="A48" s="0" t="s">
        <v>160</v>
      </c>
    </row>
    <row collapsed="false" customFormat="false" customHeight="false" hidden="false" ht="12.75" outlineLevel="0" r="57">
      <c r="A57" s="0" t="s">
        <v>161</v>
      </c>
    </row>
    <row collapsed="false" customFormat="false" customHeight="false" hidden="false" ht="12.75" outlineLevel="0" r="58">
      <c r="A58" s="0" t="s">
        <v>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8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B78:C78 A2"/>
    </sheetView>
  </sheetViews>
  <sheetFormatPr defaultRowHeight="12.75"/>
  <cols>
    <col collapsed="false" hidden="false" max="2" min="1" style="0" width="17.1326530612245"/>
    <col collapsed="false" hidden="false" max="3" min="3" style="0" width="21.4285714285714"/>
    <col collapsed="false" hidden="false" max="1025" min="4" style="0" width="17.1326530612245"/>
  </cols>
  <sheetData>
    <row collapsed="false" customFormat="false" customHeight="false" hidden="false" ht="12.75" outlineLevel="0" r="1">
      <c r="A1" s="0" t="s">
        <v>56</v>
      </c>
      <c r="B1" s="0" t="s">
        <v>1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143</v>
      </c>
      <c r="H1" s="0" t="s">
        <v>144</v>
      </c>
    </row>
    <row collapsed="false" customFormat="false" customHeight="false" hidden="false" ht="12.75" outlineLevel="0" r="2">
      <c r="A2" s="0" t="s">
        <v>13</v>
      </c>
      <c r="B2" s="0" t="n">
        <v>1520</v>
      </c>
      <c r="C2" s="0" t="s">
        <v>16</v>
      </c>
      <c r="D2" s="0" t="n">
        <v>1877</v>
      </c>
      <c r="E2" s="2" t="n">
        <f aca="false">B2/128</f>
        <v>11.875</v>
      </c>
      <c r="F2" s="0" t="n">
        <v>0</v>
      </c>
      <c r="H2" s="0" t="s">
        <v>145</v>
      </c>
      <c r="I2" s="2" t="n">
        <f aca="false">E2*2</f>
        <v>23.75</v>
      </c>
      <c r="J2" s="0" t="n">
        <v>2</v>
      </c>
      <c r="K2" s="0" t="n">
        <v>3</v>
      </c>
      <c r="L2" s="2" t="n">
        <f aca="false">E2*$K$2</f>
        <v>35.625</v>
      </c>
      <c r="M2" s="2" t="n">
        <f aca="false">L2/23</f>
        <v>1.54891304347826</v>
      </c>
    </row>
    <row collapsed="false" customFormat="false" customHeight="false" hidden="false" ht="12.75" outlineLevel="0" r="3">
      <c r="A3" s="0" t="s">
        <v>13</v>
      </c>
      <c r="B3" s="0" t="n">
        <v>1520</v>
      </c>
      <c r="C3" s="0" t="s">
        <v>146</v>
      </c>
      <c r="E3" s="2" t="n">
        <f aca="false">B3/8</f>
        <v>190</v>
      </c>
      <c r="F3" s="0" t="n">
        <v>0</v>
      </c>
      <c r="H3" s="0" t="s">
        <v>145</v>
      </c>
      <c r="I3" s="2" t="n">
        <f aca="false">E3*2</f>
        <v>380</v>
      </c>
      <c r="L3" s="0" t="n">
        <v>0</v>
      </c>
      <c r="M3" s="2" t="n">
        <f aca="false">L3/23</f>
        <v>0</v>
      </c>
    </row>
    <row collapsed="false" customFormat="false" customHeight="false" hidden="false" ht="12.75" outlineLevel="0" r="4">
      <c r="A4" s="0" t="s">
        <v>13</v>
      </c>
      <c r="B4" s="0" t="n">
        <v>1520</v>
      </c>
      <c r="C4" s="0" t="s">
        <v>14</v>
      </c>
      <c r="D4" s="0" t="n">
        <v>1881</v>
      </c>
      <c r="E4" s="2" t="n">
        <f aca="false">B4/96</f>
        <v>15.8333333333333</v>
      </c>
      <c r="F4" s="0" t="n">
        <v>0</v>
      </c>
      <c r="H4" s="0" t="s">
        <v>145</v>
      </c>
      <c r="I4" s="2" t="n">
        <f aca="false">E4*2</f>
        <v>31.6666666666667</v>
      </c>
      <c r="J4" s="0" t="n">
        <v>4</v>
      </c>
      <c r="L4" s="2" t="n">
        <f aca="false">E4*$K$2</f>
        <v>47.5</v>
      </c>
      <c r="M4" s="2" t="n">
        <f aca="false">L4/23</f>
        <v>2.06521739130435</v>
      </c>
    </row>
    <row collapsed="false" customFormat="false" customHeight="false" hidden="false" ht="12.75" outlineLevel="0" r="5">
      <c r="A5" s="0" t="s">
        <v>13</v>
      </c>
      <c r="B5" s="0" t="n">
        <v>1520</v>
      </c>
      <c r="C5" s="0" t="s">
        <v>147</v>
      </c>
      <c r="E5" s="0" t="n">
        <v>3</v>
      </c>
      <c r="F5" s="0" t="n">
        <v>0</v>
      </c>
      <c r="H5" s="0" t="s">
        <v>145</v>
      </c>
      <c r="I5" s="2" t="n">
        <f aca="false">E5*2</f>
        <v>6</v>
      </c>
      <c r="L5" s="2" t="n">
        <f aca="false">E5*$K$2</f>
        <v>9</v>
      </c>
      <c r="M5" s="0" t="n">
        <v>0</v>
      </c>
    </row>
    <row collapsed="false" customFormat="false" customHeight="false" hidden="false" ht="12.75" outlineLevel="0" r="6">
      <c r="A6" s="0" t="s">
        <v>13</v>
      </c>
      <c r="B6" s="0" t="n">
        <v>1520</v>
      </c>
      <c r="H6" s="0" t="s">
        <v>145</v>
      </c>
      <c r="I6" s="2" t="n">
        <f aca="false">E6*2</f>
        <v>0</v>
      </c>
      <c r="L6" s="2" t="n">
        <f aca="false">E6*$K$2</f>
        <v>0</v>
      </c>
      <c r="M6" s="0" t="n">
        <v>0</v>
      </c>
    </row>
    <row collapsed="false" customFormat="false" customHeight="false" hidden="false" ht="12.75" outlineLevel="0" r="7">
      <c r="I7" s="2" t="n">
        <f aca="false">E7*2</f>
        <v>0</v>
      </c>
      <c r="L7" s="2" t="n">
        <f aca="false">E7*$K$2</f>
        <v>0</v>
      </c>
      <c r="M7" s="2" t="n">
        <f aca="false">L7/23</f>
        <v>0</v>
      </c>
    </row>
    <row collapsed="false" customFormat="false" customHeight="false" hidden="false" ht="12.75" outlineLevel="0" r="8">
      <c r="I8" s="2" t="n">
        <f aca="false">E8*2</f>
        <v>0</v>
      </c>
      <c r="L8" s="2" t="n">
        <f aca="false">E8*$K$2</f>
        <v>0</v>
      </c>
      <c r="M8" s="2" t="n">
        <f aca="false">L8/23</f>
        <v>0</v>
      </c>
    </row>
    <row collapsed="false" customFormat="false" customHeight="false" hidden="false" ht="12.75" outlineLevel="0" r="9">
      <c r="A9" s="0" t="s">
        <v>15</v>
      </c>
      <c r="B9" s="0" t="n">
        <v>3328</v>
      </c>
      <c r="C9" s="0" t="s">
        <v>16</v>
      </c>
      <c r="D9" s="0" t="n">
        <v>1877</v>
      </c>
      <c r="E9" s="2" t="n">
        <f aca="false">B9/96</f>
        <v>34.6666666666667</v>
      </c>
      <c r="I9" s="2" t="n">
        <f aca="false">E9*2</f>
        <v>69.3333333333333</v>
      </c>
      <c r="J9" s="0" t="n">
        <v>8</v>
      </c>
      <c r="L9" s="2" t="n">
        <f aca="false">E9*$K$2</f>
        <v>104</v>
      </c>
      <c r="M9" s="2" t="n">
        <f aca="false">L9/23</f>
        <v>4.52173913043478</v>
      </c>
    </row>
    <row collapsed="false" customFormat="false" customHeight="false" hidden="false" ht="12.75" outlineLevel="0" r="10">
      <c r="C10" s="0" t="s">
        <v>14</v>
      </c>
      <c r="E10" s="0" t="n">
        <v>0</v>
      </c>
      <c r="I10" s="2" t="n">
        <f aca="false">E10*2</f>
        <v>0</v>
      </c>
      <c r="L10" s="2" t="n">
        <f aca="false">E10*$K$2</f>
        <v>0</v>
      </c>
      <c r="M10" s="2" t="n">
        <f aca="false">L10/23</f>
        <v>0</v>
      </c>
    </row>
    <row collapsed="false" customFormat="false" customHeight="false" hidden="false" ht="12.75" outlineLevel="0" r="11">
      <c r="E11" s="2" t="n">
        <f aca="false">E9/12</f>
        <v>2.88888888888889</v>
      </c>
      <c r="I11" s="2" t="n">
        <f aca="false">E11*2</f>
        <v>5.77777777777778</v>
      </c>
      <c r="L11" s="0" t="n">
        <v>0</v>
      </c>
      <c r="M11" s="0" t="n">
        <v>0</v>
      </c>
    </row>
    <row collapsed="false" customFormat="false" customHeight="false" hidden="false" ht="12.75" outlineLevel="0" r="12">
      <c r="I12" s="2" t="n">
        <f aca="false">E12*2</f>
        <v>0</v>
      </c>
      <c r="L12" s="2" t="n">
        <f aca="false">SUM(L2:L11)</f>
        <v>196.125</v>
      </c>
      <c r="M12" s="2" t="n">
        <f aca="false">SUM(M2:M10)</f>
        <v>8.13586956521739</v>
      </c>
    </row>
    <row collapsed="false" customFormat="false" customHeight="false" hidden="false" ht="12.75" outlineLevel="0" r="13">
      <c r="I13" s="2" t="n">
        <f aca="false">E13*2</f>
        <v>0</v>
      </c>
    </row>
    <row collapsed="false" customFormat="false" customHeight="false" hidden="false" ht="12.75" outlineLevel="0" r="14">
      <c r="I14" s="2" t="n">
        <f aca="false">E14*2</f>
        <v>0</v>
      </c>
    </row>
    <row collapsed="false" customFormat="false" customHeight="false" hidden="false" ht="12.75" outlineLevel="0" r="15">
      <c r="I15" s="2" t="n">
        <f aca="false">E15*2</f>
        <v>0</v>
      </c>
    </row>
    <row collapsed="false" customFormat="false" customHeight="false" hidden="false" ht="12.75" outlineLevel="0" r="16">
      <c r="A16" s="0" t="s">
        <v>28</v>
      </c>
      <c r="B16" s="0" t="n">
        <v>242</v>
      </c>
      <c r="C16" s="0" t="s">
        <v>150</v>
      </c>
      <c r="D16" s="0" t="s">
        <v>151</v>
      </c>
      <c r="E16" s="0" t="n">
        <v>1</v>
      </c>
      <c r="F16" s="0" t="n">
        <v>10000</v>
      </c>
      <c r="G16" s="2" t="n">
        <f aca="false">E16*F16</f>
        <v>10000</v>
      </c>
      <c r="I16" s="2" t="n">
        <f aca="false">E16*2</f>
        <v>2</v>
      </c>
    </row>
    <row collapsed="false" customFormat="false" customHeight="false" hidden="false" ht="12.75" outlineLevel="0" r="17">
      <c r="A17" s="0" t="s">
        <v>28</v>
      </c>
      <c r="B17" s="0" t="n">
        <v>242</v>
      </c>
      <c r="C17" s="0" t="s">
        <v>14</v>
      </c>
      <c r="D17" s="0" t="s">
        <v>152</v>
      </c>
      <c r="E17" s="2" t="n">
        <f aca="false">CEILING((B17/16),1,1)</f>
        <v>16</v>
      </c>
      <c r="F17" s="0" t="n">
        <v>4500</v>
      </c>
      <c r="G17" s="2" t="n">
        <f aca="false">E17*F17</f>
        <v>72000</v>
      </c>
    </row>
    <row collapsed="false" customFormat="false" customHeight="false" hidden="false" ht="12.75" outlineLevel="0" r="18">
      <c r="A18" s="0" t="s">
        <v>28</v>
      </c>
      <c r="B18" s="0" t="n">
        <v>242</v>
      </c>
      <c r="C18" s="0" t="s">
        <v>153</v>
      </c>
      <c r="E18" s="0" t="n">
        <v>1</v>
      </c>
      <c r="F18" s="0" t="n">
        <v>10000</v>
      </c>
      <c r="G18" s="2" t="n">
        <f aca="false">E18*F18</f>
        <v>10000</v>
      </c>
    </row>
    <row collapsed="false" customFormat="false" customHeight="false" hidden="false" ht="12.75" outlineLevel="0" r="19">
      <c r="A19" s="0" t="s">
        <v>28</v>
      </c>
      <c r="B19" s="0" t="n">
        <v>242</v>
      </c>
      <c r="C19" s="0" t="s">
        <v>16</v>
      </c>
      <c r="D19" s="0" t="n">
        <v>1190</v>
      </c>
      <c r="E19" s="0" t="n">
        <v>2</v>
      </c>
      <c r="F19" s="0" t="n">
        <v>10000</v>
      </c>
      <c r="G19" s="2" t="n">
        <f aca="false">E19*F19</f>
        <v>20000</v>
      </c>
    </row>
    <row collapsed="false" customFormat="false" customHeight="false" hidden="false" ht="12.75" outlineLevel="0" r="20">
      <c r="A20" s="0" t="s">
        <v>28</v>
      </c>
      <c r="B20" s="0" t="n">
        <v>242</v>
      </c>
      <c r="C20" s="0" t="s">
        <v>9</v>
      </c>
      <c r="E20" s="0" t="n">
        <v>2</v>
      </c>
      <c r="F20" s="0" t="n">
        <v>3000</v>
      </c>
      <c r="G20" s="2" t="n">
        <f aca="false">E20*F20</f>
        <v>6000</v>
      </c>
    </row>
    <row collapsed="false" customFormat="false" customHeight="false" hidden="false" ht="12.75" outlineLevel="0" r="21">
      <c r="A21" s="0" t="s">
        <v>28</v>
      </c>
      <c r="B21" s="0" t="n">
        <v>242</v>
      </c>
      <c r="C21" s="0" t="s">
        <v>154</v>
      </c>
      <c r="E21" s="0" t="n">
        <v>2</v>
      </c>
      <c r="F21" s="0" t="n">
        <v>3500</v>
      </c>
      <c r="G21" s="2" t="n">
        <f aca="false">E21*F21</f>
        <v>7000</v>
      </c>
    </row>
    <row collapsed="false" customFormat="false" customHeight="false" hidden="false" ht="12.75" outlineLevel="0" r="22">
      <c r="A22" s="0" t="s">
        <v>28</v>
      </c>
      <c r="B22" s="0" t="n">
        <v>242</v>
      </c>
      <c r="C22" s="0" t="s">
        <v>68</v>
      </c>
      <c r="E22" s="0" t="n">
        <v>2</v>
      </c>
      <c r="F22" s="0" t="n">
        <v>11500</v>
      </c>
      <c r="G22" s="2" t="n">
        <f aca="false">E22*F22</f>
        <v>23000</v>
      </c>
    </row>
    <row collapsed="false" customFormat="false" customHeight="false" hidden="false" ht="12.75" outlineLevel="0" r="23">
      <c r="G23" s="2" t="n">
        <f aca="false">SUM(G17:G22)</f>
        <v>138000</v>
      </c>
    </row>
    <row collapsed="false" customFormat="false" customHeight="false" hidden="false" ht="12.75" outlineLevel="0" r="24">
      <c r="A24" s="0" t="s">
        <v>155</v>
      </c>
      <c r="B24" s="0" t="n">
        <v>62500</v>
      </c>
    </row>
    <row collapsed="false" customFormat="false" customHeight="false" hidden="false" ht="12.75" outlineLevel="0" r="25">
      <c r="A25" s="0" t="s">
        <v>155</v>
      </c>
      <c r="B25" s="0" t="n">
        <v>27200</v>
      </c>
    </row>
    <row collapsed="false" customFormat="false" customHeight="false" hidden="false" ht="12.75" outlineLevel="0" r="26">
      <c r="A26" s="0" t="s">
        <v>155</v>
      </c>
      <c r="B26" s="0" t="n">
        <v>12000</v>
      </c>
      <c r="F26" s="2" t="n">
        <f aca="false">3700</f>
        <v>3700</v>
      </c>
      <c r="G26" s="2" t="n">
        <f aca="false">F26*1.4</f>
        <v>5180</v>
      </c>
    </row>
    <row collapsed="false" customFormat="false" customHeight="false" hidden="false" ht="12.75" outlineLevel="0" r="27">
      <c r="A27" s="0" t="s">
        <v>44</v>
      </c>
      <c r="B27" s="2" t="n">
        <f aca="false">SUM(B24:B26)</f>
        <v>101700</v>
      </c>
      <c r="C27" s="0" t="s">
        <v>156</v>
      </c>
      <c r="D27" s="0" t="s">
        <v>157</v>
      </c>
      <c r="E27" s="2" t="n">
        <f aca="false">CEILING(((B27/128)/4),1,1)</f>
        <v>199</v>
      </c>
      <c r="F27" s="0" t="n">
        <v>5000</v>
      </c>
      <c r="G27" s="2" t="n">
        <f aca="false">E27*F27</f>
        <v>995000</v>
      </c>
      <c r="H27" s="2" t="n">
        <f aca="false">((B27*0.5)*4)*6000</f>
        <v>1220400000</v>
      </c>
      <c r="I27" s="2" t="n">
        <f aca="false">H27/1000000</f>
        <v>1220.4</v>
      </c>
    </row>
    <row collapsed="false" customFormat="false" customHeight="false" hidden="false" ht="12.75" outlineLevel="0" r="28">
      <c r="A28" s="0" t="s">
        <v>44</v>
      </c>
      <c r="C28" s="0" t="s">
        <v>68</v>
      </c>
      <c r="E28" s="2" t="n">
        <f aca="false">CEILING((E27/16),1,1)</f>
        <v>13</v>
      </c>
      <c r="F28" s="0" t="n">
        <v>11500</v>
      </c>
      <c r="G28" s="2" t="n">
        <f aca="false">E28*F28</f>
        <v>149500</v>
      </c>
    </row>
    <row collapsed="false" customFormat="false" customHeight="false" hidden="false" ht="12.75" outlineLevel="0" r="29">
      <c r="C29" s="0" t="s">
        <v>8</v>
      </c>
      <c r="E29" s="2" t="n">
        <f aca="false">E28</f>
        <v>13</v>
      </c>
      <c r="F29" s="0" t="n">
        <v>3500</v>
      </c>
      <c r="G29" s="2" t="n">
        <f aca="false">E29*F29</f>
        <v>45500</v>
      </c>
    </row>
    <row collapsed="false" customFormat="false" customHeight="false" hidden="false" ht="12.75" outlineLevel="0" r="30">
      <c r="C30" s="0" t="s">
        <v>9</v>
      </c>
      <c r="E30" s="2" t="n">
        <f aca="false">E29</f>
        <v>13</v>
      </c>
      <c r="F30" s="0" t="n">
        <v>3000</v>
      </c>
      <c r="G30" s="2" t="n">
        <f aca="false">E30*F30</f>
        <v>39000</v>
      </c>
    </row>
    <row collapsed="false" customFormat="false" customHeight="false" hidden="false" ht="12.75" outlineLevel="0" r="32">
      <c r="G32" s="2" t="n">
        <f aca="false">SUM(G27:G30)</f>
        <v>1229000</v>
      </c>
    </row>
    <row collapsed="false" customFormat="false" customHeight="false" hidden="false" ht="12.75" outlineLevel="0" r="34">
      <c r="B34" s="2" t="n">
        <f aca="false">B27/2048</f>
        <v>49.658203125</v>
      </c>
      <c r="C34" s="2" t="n">
        <f aca="false">B34/21</f>
        <v>2.36467633928571</v>
      </c>
    </row>
    <row collapsed="false" customFormat="false" customHeight="false" hidden="false" ht="12.75" outlineLevel="0" r="38">
      <c r="A38" s="0" t="s">
        <v>106</v>
      </c>
    </row>
    <row collapsed="false" customFormat="false" customHeight="false" hidden="false" ht="12.75" outlineLevel="0" r="39">
      <c r="A39" s="0" t="s">
        <v>106</v>
      </c>
    </row>
    <row collapsed="false" customFormat="false" customHeight="false" hidden="false" ht="12.75" outlineLevel="0" r="40">
      <c r="A40" s="0" t="s">
        <v>106</v>
      </c>
    </row>
    <row collapsed="false" customFormat="false" customHeight="false" hidden="false" ht="12.75" outlineLevel="0" r="41">
      <c r="A41" s="0" t="s">
        <v>106</v>
      </c>
    </row>
    <row collapsed="false" customFormat="false" customHeight="false" hidden="false" ht="12.75" outlineLevel="0" r="44">
      <c r="A44" s="0" t="s">
        <v>153</v>
      </c>
      <c r="C44" s="0" t="s">
        <v>55</v>
      </c>
      <c r="H44" s="0" t="s">
        <v>158</v>
      </c>
    </row>
    <row collapsed="false" customFormat="false" customHeight="false" hidden="false" ht="12.75" outlineLevel="0" r="47">
      <c r="A47" s="0" t="s">
        <v>159</v>
      </c>
    </row>
    <row collapsed="false" customFormat="false" customHeight="false" hidden="false" ht="12.75" outlineLevel="0" r="48">
      <c r="A48" s="0" t="s">
        <v>160</v>
      </c>
    </row>
    <row collapsed="false" customFormat="false" customHeight="false" hidden="false" ht="12.75" outlineLevel="0" r="57">
      <c r="A57" s="0" t="s">
        <v>161</v>
      </c>
    </row>
    <row collapsed="false" customFormat="false" customHeight="false" hidden="false" ht="12.75" outlineLevel="0" r="58">
      <c r="A58" s="0" t="s">
        <v>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8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B78:C78 A2"/>
    </sheetView>
  </sheetViews>
  <sheetFormatPr defaultRowHeight="12.75"/>
  <cols>
    <col collapsed="false" hidden="false" max="2" min="1" style="0" width="17.1326530612245"/>
    <col collapsed="false" hidden="false" max="3" min="3" style="0" width="21.4285714285714"/>
    <col collapsed="false" hidden="false" max="1025" min="4" style="0" width="17.1326530612245"/>
  </cols>
  <sheetData>
    <row collapsed="false" customFormat="false" customHeight="false" hidden="false" ht="12.75" outlineLevel="0" r="1">
      <c r="A1" s="0" t="s">
        <v>56</v>
      </c>
      <c r="B1" s="0" t="s">
        <v>1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143</v>
      </c>
      <c r="H1" s="0" t="s">
        <v>144</v>
      </c>
    </row>
    <row collapsed="false" customFormat="false" customHeight="false" hidden="false" ht="12.75" outlineLevel="0" r="2">
      <c r="A2" s="0" t="s">
        <v>13</v>
      </c>
      <c r="B2" s="0" t="n">
        <v>1520</v>
      </c>
      <c r="C2" s="0" t="s">
        <v>16</v>
      </c>
      <c r="D2" s="0" t="n">
        <v>1877</v>
      </c>
      <c r="E2" s="2" t="n">
        <f aca="false">B2/128</f>
        <v>11.875</v>
      </c>
      <c r="F2" s="0" t="n">
        <v>0</v>
      </c>
      <c r="H2" s="0" t="s">
        <v>145</v>
      </c>
    </row>
    <row collapsed="false" customFormat="false" customHeight="false" hidden="false" ht="12.75" outlineLevel="0" r="3">
      <c r="A3" s="0" t="s">
        <v>13</v>
      </c>
      <c r="B3" s="0" t="n">
        <v>1520</v>
      </c>
      <c r="C3" s="0" t="s">
        <v>146</v>
      </c>
      <c r="E3" s="2" t="n">
        <f aca="false">B3/8</f>
        <v>190</v>
      </c>
      <c r="F3" s="0" t="n">
        <v>0</v>
      </c>
      <c r="H3" s="0" t="s">
        <v>145</v>
      </c>
    </row>
    <row collapsed="false" customFormat="false" customHeight="false" hidden="false" ht="12.75" outlineLevel="0" r="4">
      <c r="A4" s="0" t="s">
        <v>13</v>
      </c>
      <c r="B4" s="0" t="n">
        <v>1520</v>
      </c>
      <c r="C4" s="0" t="s">
        <v>14</v>
      </c>
      <c r="D4" s="0" t="n">
        <v>1881</v>
      </c>
      <c r="E4" s="2" t="n">
        <f aca="false">B4/64</f>
        <v>23.75</v>
      </c>
      <c r="F4" s="0" t="n">
        <v>0</v>
      </c>
      <c r="H4" s="0" t="s">
        <v>145</v>
      </c>
    </row>
    <row collapsed="false" customFormat="false" customHeight="false" hidden="false" ht="12.75" outlineLevel="0" r="5">
      <c r="A5" s="0" t="s">
        <v>13</v>
      </c>
      <c r="B5" s="0" t="n">
        <v>1520</v>
      </c>
      <c r="C5" s="0" t="s">
        <v>147</v>
      </c>
      <c r="E5" s="0" t="n">
        <v>3</v>
      </c>
      <c r="F5" s="0" t="n">
        <v>0</v>
      </c>
      <c r="H5" s="0" t="s">
        <v>145</v>
      </c>
    </row>
    <row collapsed="false" customFormat="false" customHeight="false" hidden="false" ht="12.75" outlineLevel="0" r="6">
      <c r="A6" s="0" t="s">
        <v>13</v>
      </c>
      <c r="B6" s="0" t="n">
        <v>1520</v>
      </c>
      <c r="H6" s="0" t="s">
        <v>145</v>
      </c>
    </row>
    <row collapsed="false" customFormat="false" customHeight="false" hidden="false" ht="12.75" outlineLevel="0" r="10">
      <c r="A10" s="0" t="s">
        <v>15</v>
      </c>
      <c r="B10" s="0" t="n">
        <v>3328</v>
      </c>
      <c r="E10" s="2" t="n">
        <f aca="false">B10/96</f>
        <v>34.6666666666667</v>
      </c>
    </row>
    <row collapsed="false" customFormat="false" customHeight="false" hidden="false" ht="12.75" outlineLevel="0" r="11">
      <c r="E11" s="2" t="n">
        <f aca="false">E10/12</f>
        <v>2.88888888888889</v>
      </c>
    </row>
    <row collapsed="false" customFormat="false" customHeight="false" hidden="false" ht="12.75" outlineLevel="0" r="16">
      <c r="A16" s="0" t="s">
        <v>28</v>
      </c>
      <c r="B16" s="0" t="n">
        <v>242</v>
      </c>
      <c r="C16" s="0" t="s">
        <v>150</v>
      </c>
      <c r="D16" s="0" t="s">
        <v>151</v>
      </c>
      <c r="E16" s="0" t="n">
        <v>1</v>
      </c>
      <c r="F16" s="0" t="n">
        <v>10000</v>
      </c>
      <c r="G16" s="2" t="n">
        <f aca="false">E16*F16</f>
        <v>10000</v>
      </c>
    </row>
    <row collapsed="false" customFormat="false" customHeight="false" hidden="false" ht="12.75" outlineLevel="0" r="17">
      <c r="A17" s="0" t="s">
        <v>28</v>
      </c>
      <c r="B17" s="0" t="n">
        <v>242</v>
      </c>
      <c r="C17" s="0" t="s">
        <v>14</v>
      </c>
      <c r="D17" s="0" t="s">
        <v>152</v>
      </c>
      <c r="E17" s="2" t="n">
        <f aca="false">CEILING((B17/16),1,1)</f>
        <v>16</v>
      </c>
      <c r="F17" s="0" t="n">
        <v>4500</v>
      </c>
      <c r="G17" s="2" t="n">
        <f aca="false">E17*F17</f>
        <v>72000</v>
      </c>
    </row>
    <row collapsed="false" customFormat="false" customHeight="false" hidden="false" ht="12.75" outlineLevel="0" r="18">
      <c r="A18" s="0" t="s">
        <v>28</v>
      </c>
      <c r="B18" s="0" t="n">
        <v>242</v>
      </c>
      <c r="C18" s="0" t="s">
        <v>153</v>
      </c>
      <c r="E18" s="0" t="n">
        <v>1</v>
      </c>
      <c r="F18" s="0" t="n">
        <v>10000</v>
      </c>
      <c r="G18" s="2" t="n">
        <f aca="false">E18*F18</f>
        <v>10000</v>
      </c>
    </row>
    <row collapsed="false" customFormat="false" customHeight="false" hidden="false" ht="12.75" outlineLevel="0" r="19">
      <c r="A19" s="0" t="s">
        <v>28</v>
      </c>
      <c r="B19" s="0" t="n">
        <v>242</v>
      </c>
      <c r="C19" s="0" t="s">
        <v>16</v>
      </c>
      <c r="D19" s="0" t="n">
        <v>1190</v>
      </c>
      <c r="E19" s="0" t="n">
        <v>2</v>
      </c>
      <c r="F19" s="0" t="n">
        <v>10000</v>
      </c>
      <c r="G19" s="2" t="n">
        <f aca="false">E19*F19</f>
        <v>20000</v>
      </c>
    </row>
    <row collapsed="false" customFormat="false" customHeight="false" hidden="false" ht="12.75" outlineLevel="0" r="20">
      <c r="A20" s="0" t="s">
        <v>28</v>
      </c>
      <c r="B20" s="0" t="n">
        <v>242</v>
      </c>
      <c r="C20" s="0" t="s">
        <v>9</v>
      </c>
      <c r="E20" s="0" t="n">
        <v>2</v>
      </c>
      <c r="F20" s="0" t="n">
        <v>3000</v>
      </c>
      <c r="G20" s="2" t="n">
        <f aca="false">E20*F20</f>
        <v>6000</v>
      </c>
    </row>
    <row collapsed="false" customFormat="false" customHeight="false" hidden="false" ht="12.75" outlineLevel="0" r="21">
      <c r="A21" s="0" t="s">
        <v>28</v>
      </c>
      <c r="B21" s="0" t="n">
        <v>242</v>
      </c>
      <c r="C21" s="0" t="s">
        <v>154</v>
      </c>
      <c r="E21" s="0" t="n">
        <v>2</v>
      </c>
      <c r="F21" s="0" t="n">
        <v>3500</v>
      </c>
      <c r="G21" s="2" t="n">
        <f aca="false">E21*F21</f>
        <v>7000</v>
      </c>
    </row>
    <row collapsed="false" customFormat="false" customHeight="false" hidden="false" ht="12.75" outlineLevel="0" r="22">
      <c r="A22" s="0" t="s">
        <v>28</v>
      </c>
      <c r="B22" s="0" t="n">
        <v>242</v>
      </c>
      <c r="C22" s="0" t="s">
        <v>68</v>
      </c>
      <c r="E22" s="0" t="n">
        <v>2</v>
      </c>
      <c r="F22" s="0" t="n">
        <v>11500</v>
      </c>
      <c r="G22" s="2" t="n">
        <f aca="false">E22*F22</f>
        <v>23000</v>
      </c>
    </row>
    <row collapsed="false" customFormat="false" customHeight="false" hidden="false" ht="12.75" outlineLevel="0" r="23">
      <c r="G23" s="2" t="n">
        <f aca="false">SUM(G17:G22)</f>
        <v>138000</v>
      </c>
    </row>
    <row collapsed="false" customFormat="false" customHeight="false" hidden="false" ht="12.75" outlineLevel="0" r="24">
      <c r="A24" s="0" t="s">
        <v>155</v>
      </c>
      <c r="B24" s="0" t="n">
        <v>62500</v>
      </c>
    </row>
    <row collapsed="false" customFormat="false" customHeight="false" hidden="false" ht="12.75" outlineLevel="0" r="25">
      <c r="A25" s="0" t="s">
        <v>155</v>
      </c>
      <c r="B25" s="0" t="n">
        <v>27200</v>
      </c>
    </row>
    <row collapsed="false" customFormat="false" customHeight="false" hidden="false" ht="12.75" outlineLevel="0" r="26">
      <c r="A26" s="0" t="s">
        <v>155</v>
      </c>
      <c r="B26" s="0" t="n">
        <v>12000</v>
      </c>
      <c r="F26" s="2" t="n">
        <f aca="false">3700</f>
        <v>3700</v>
      </c>
      <c r="G26" s="2" t="n">
        <f aca="false">F26*1.4</f>
        <v>5180</v>
      </c>
    </row>
    <row collapsed="false" customFormat="false" customHeight="false" hidden="false" ht="12.75" outlineLevel="0" r="27">
      <c r="A27" s="0" t="s">
        <v>44</v>
      </c>
      <c r="B27" s="2" t="n">
        <f aca="false">SUM(B24:B26)</f>
        <v>101700</v>
      </c>
      <c r="C27" s="0" t="s">
        <v>156</v>
      </c>
      <c r="D27" s="0" t="s">
        <v>157</v>
      </c>
      <c r="E27" s="2" t="n">
        <f aca="false">CEILING(((B27/128)/4),1,1)</f>
        <v>199</v>
      </c>
      <c r="F27" s="0" t="n">
        <v>5000</v>
      </c>
      <c r="G27" s="2" t="n">
        <f aca="false">E27*F27</f>
        <v>995000</v>
      </c>
    </row>
    <row collapsed="false" customFormat="false" customHeight="false" hidden="false" ht="12.75" outlineLevel="0" r="28">
      <c r="A28" s="0" t="s">
        <v>44</v>
      </c>
      <c r="C28" s="0" t="s">
        <v>68</v>
      </c>
      <c r="E28" s="2" t="n">
        <f aca="false">CEILING((E27/16),1,1)</f>
        <v>13</v>
      </c>
      <c r="F28" s="0" t="n">
        <v>11500</v>
      </c>
      <c r="G28" s="2" t="n">
        <f aca="false">E28*F28</f>
        <v>149500</v>
      </c>
    </row>
    <row collapsed="false" customFormat="false" customHeight="false" hidden="false" ht="12.75" outlineLevel="0" r="29">
      <c r="C29" s="0" t="s">
        <v>8</v>
      </c>
      <c r="E29" s="2" t="n">
        <f aca="false">E28</f>
        <v>13</v>
      </c>
      <c r="F29" s="0" t="n">
        <v>3500</v>
      </c>
      <c r="G29" s="2" t="n">
        <f aca="false">E29*F29</f>
        <v>45500</v>
      </c>
    </row>
    <row collapsed="false" customFormat="false" customHeight="false" hidden="false" ht="12.75" outlineLevel="0" r="30">
      <c r="C30" s="0" t="s">
        <v>9</v>
      </c>
      <c r="E30" s="2" t="n">
        <f aca="false">E29</f>
        <v>13</v>
      </c>
      <c r="F30" s="0" t="n">
        <v>3000</v>
      </c>
      <c r="G30" s="2" t="n">
        <f aca="false">E30*F30</f>
        <v>39000</v>
      </c>
    </row>
    <row collapsed="false" customFormat="false" customHeight="false" hidden="false" ht="12.75" outlineLevel="0" r="32">
      <c r="G32" s="2" t="n">
        <f aca="false">SUM(G27:G30)</f>
        <v>1229000</v>
      </c>
    </row>
    <row collapsed="false" customFormat="false" customHeight="false" hidden="false" ht="12.75" outlineLevel="0" r="34">
      <c r="B34" s="2" t="n">
        <f aca="false">B27/2048</f>
        <v>49.658203125</v>
      </c>
      <c r="C34" s="2" t="n">
        <f aca="false">B34/21</f>
        <v>2.36467633928571</v>
      </c>
    </row>
    <row collapsed="false" customFormat="false" customHeight="false" hidden="false" ht="12.75" outlineLevel="0" r="38">
      <c r="A38" s="0" t="s">
        <v>106</v>
      </c>
    </row>
    <row collapsed="false" customFormat="false" customHeight="false" hidden="false" ht="12.75" outlineLevel="0" r="39">
      <c r="A39" s="0" t="s">
        <v>106</v>
      </c>
    </row>
    <row collapsed="false" customFormat="false" customHeight="false" hidden="false" ht="12.75" outlineLevel="0" r="40">
      <c r="A40" s="0" t="s">
        <v>106</v>
      </c>
    </row>
    <row collapsed="false" customFormat="false" customHeight="false" hidden="false" ht="12.75" outlineLevel="0" r="41">
      <c r="A41" s="0" t="s">
        <v>106</v>
      </c>
    </row>
    <row collapsed="false" customFormat="false" customHeight="false" hidden="false" ht="12.75" outlineLevel="0" r="44">
      <c r="A44" s="0" t="s">
        <v>153</v>
      </c>
      <c r="C44" s="0" t="s">
        <v>55</v>
      </c>
      <c r="H44" s="0" t="s">
        <v>158</v>
      </c>
    </row>
    <row collapsed="false" customFormat="false" customHeight="false" hidden="false" ht="12.75" outlineLevel="0" r="47">
      <c r="A47" s="0" t="s">
        <v>159</v>
      </c>
    </row>
    <row collapsed="false" customFormat="false" customHeight="false" hidden="false" ht="12.75" outlineLevel="0" r="48">
      <c r="A48" s="0" t="s">
        <v>160</v>
      </c>
    </row>
    <row collapsed="false" customFormat="false" customHeight="false" hidden="false" ht="12.75" outlineLevel="0" r="57">
      <c r="A57" s="0" t="s">
        <v>161</v>
      </c>
    </row>
    <row collapsed="false" customFormat="false" customHeight="false" hidden="false" ht="12.75" outlineLevel="0" r="58">
      <c r="A58" s="0" t="s">
        <v>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5536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>
    <row collapsed="false" customFormat="false" customHeight="true" hidden="false" ht="12.75" outlineLevel="0" r="1048576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5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>
    <row collapsed="false" customFormat="false" customHeight="false" hidden="false" ht="12.75" outlineLevel="0" r="3">
      <c r="B3" s="0" t="s">
        <v>187</v>
      </c>
      <c r="C3" s="0" t="s">
        <v>188</v>
      </c>
      <c r="D3" s="0" t="s">
        <v>189</v>
      </c>
      <c r="E3" s="0" t="s">
        <v>190</v>
      </c>
      <c r="F3" s="0" t="s">
        <v>191</v>
      </c>
    </row>
    <row collapsed="false" customFormat="false" customHeight="false" hidden="false" ht="12.75" outlineLevel="0" r="4">
      <c r="A4" s="0" t="n">
        <v>1877</v>
      </c>
      <c r="B4" s="0" t="n">
        <v>5</v>
      </c>
      <c r="C4" s="0" t="n">
        <v>4</v>
      </c>
      <c r="D4" s="0" t="n">
        <v>3</v>
      </c>
      <c r="E4" s="0" t="n">
        <v>0.1</v>
      </c>
      <c r="F4" s="0" t="n">
        <v>0.1</v>
      </c>
    </row>
    <row collapsed="false" customFormat="false" customHeight="false" hidden="false" ht="12.75" outlineLevel="0" r="5">
      <c r="A5" s="0" t="n">
        <v>1881</v>
      </c>
      <c r="B5" s="0" t="n">
        <v>5</v>
      </c>
      <c r="C5" s="0" t="n">
        <v>6</v>
      </c>
      <c r="D5" s="0" t="n">
        <v>2</v>
      </c>
      <c r="E5" s="0" t="n">
        <v>0.7</v>
      </c>
      <c r="F5" s="0" t="n">
        <v>0.1</v>
      </c>
    </row>
    <row collapsed="false" customFormat="false" customHeight="false" hidden="false" ht="12.75" outlineLevel="0" r="6">
      <c r="A6" s="0" t="s">
        <v>83</v>
      </c>
      <c r="B6" s="0" t="n">
        <v>4</v>
      </c>
      <c r="C6" s="0" t="n">
        <v>1.5</v>
      </c>
      <c r="D6" s="0" t="n">
        <v>0</v>
      </c>
    </row>
    <row collapsed="false" customFormat="false" customHeight="false" hidden="false" ht="12.75" outlineLevel="0" r="7">
      <c r="A7" s="0" t="s">
        <v>154</v>
      </c>
      <c r="B7" s="0" t="n">
        <v>8</v>
      </c>
      <c r="E7" s="0" t="n">
        <v>1</v>
      </c>
      <c r="F7" s="0" t="n">
        <v>1</v>
      </c>
    </row>
    <row collapsed="false" customFormat="false" customHeight="false" hidden="false" ht="12.75" outlineLevel="0" r="8">
      <c r="B8" s="0" t="s">
        <v>192</v>
      </c>
    </row>
    <row collapsed="false" customFormat="false" customHeight="false" hidden="false" ht="12.75" outlineLevel="0" r="9">
      <c r="B9" s="2" t="n">
        <f aca="false">B4*23</f>
        <v>115</v>
      </c>
      <c r="C9" s="2" t="n">
        <f aca="false">C4*23</f>
        <v>92</v>
      </c>
      <c r="D9" s="2" t="n">
        <f aca="false">D4*23</f>
        <v>69</v>
      </c>
      <c r="E9" s="2" t="n">
        <f aca="false">E4*23</f>
        <v>2.3</v>
      </c>
      <c r="F9" s="2" t="n">
        <f aca="false">F4*23</f>
        <v>2.3</v>
      </c>
    </row>
    <row collapsed="false" customFormat="false" customHeight="false" hidden="false" ht="12.75" outlineLevel="0" r="10">
      <c r="B10" s="2" t="n">
        <f aca="false">B5*23</f>
        <v>115</v>
      </c>
      <c r="C10" s="2" t="n">
        <f aca="false">C5*23</f>
        <v>138</v>
      </c>
      <c r="D10" s="2" t="n">
        <f aca="false">D5*23</f>
        <v>46</v>
      </c>
      <c r="E10" s="2" t="n">
        <f aca="false">E5*23</f>
        <v>16.1</v>
      </c>
      <c r="F10" s="2" t="n">
        <f aca="false">F5*23</f>
        <v>2.3</v>
      </c>
    </row>
    <row collapsed="false" customFormat="false" customHeight="false" hidden="false" ht="12.75" outlineLevel="0" r="11">
      <c r="A11" s="0" t="s">
        <v>193</v>
      </c>
      <c r="B11" s="0" t="n">
        <v>115</v>
      </c>
      <c r="C11" s="0" t="n">
        <v>230</v>
      </c>
      <c r="D11" s="0" t="n">
        <v>115</v>
      </c>
      <c r="E11" s="0" t="n">
        <v>20</v>
      </c>
      <c r="F11" s="0" t="n">
        <v>20</v>
      </c>
    </row>
    <row collapsed="false" customFormat="false" customHeight="false" hidden="false" ht="12.75" outlineLevel="0" r="12">
      <c r="B12" s="2" t="n">
        <f aca="false">B4*14</f>
        <v>70</v>
      </c>
      <c r="C12" s="2" t="n">
        <f aca="false">C4*14</f>
        <v>56</v>
      </c>
      <c r="D12" s="2" t="n">
        <f aca="false">D4*14</f>
        <v>42</v>
      </c>
      <c r="E12" s="2" t="n">
        <f aca="false">E4*14</f>
        <v>1.4</v>
      </c>
      <c r="F12" s="2" t="n">
        <f aca="false">F4*14</f>
        <v>1.4</v>
      </c>
    </row>
    <row collapsed="false" customFormat="false" customHeight="false" hidden="false" ht="12.75" outlineLevel="0" r="13">
      <c r="B13" s="2" t="n">
        <f aca="false">B5*14</f>
        <v>70</v>
      </c>
      <c r="C13" s="2" t="n">
        <f aca="false">C5*14</f>
        <v>84</v>
      </c>
      <c r="D13" s="2" t="n">
        <f aca="false">D5*14</f>
        <v>28</v>
      </c>
      <c r="E13" s="2" t="n">
        <f aca="false">E5*14</f>
        <v>9.8</v>
      </c>
      <c r="F13" s="2" t="n">
        <f aca="false">F5*14</f>
        <v>1.4</v>
      </c>
    </row>
    <row collapsed="false" customFormat="false" customHeight="false" hidden="false" ht="12.75" outlineLevel="0" r="16">
      <c r="B16" s="2" t="n">
        <f aca="false">((B11-B6)-B7)/B4</f>
        <v>20.6</v>
      </c>
      <c r="C16" s="2" t="n">
        <f aca="false">((C11-C6)-C7)/C4</f>
        <v>57.125</v>
      </c>
      <c r="D16" s="2" t="n">
        <f aca="false">((D11-D6)-D7)/D4</f>
        <v>38.3333333333333</v>
      </c>
      <c r="E16" s="2" t="n">
        <f aca="false">((E11-E6)-E7)/E4</f>
        <v>190</v>
      </c>
      <c r="F16" s="2" t="n">
        <f aca="false">((F11-F6)-F7)/F4</f>
        <v>190</v>
      </c>
    </row>
    <row collapsed="false" customFormat="false" customHeight="false" hidden="false" ht="12.75" outlineLevel="0" r="21">
      <c r="A21" s="0" t="s">
        <v>186</v>
      </c>
      <c r="B21" s="0" t="n">
        <v>115</v>
      </c>
      <c r="C21" s="0" t="n">
        <v>230</v>
      </c>
      <c r="D21" s="0" t="n">
        <v>115</v>
      </c>
      <c r="E21" s="0" t="n">
        <v>18</v>
      </c>
      <c r="F21" s="0" t="n">
        <v>18</v>
      </c>
    </row>
    <row collapsed="false" customFormat="false" customHeight="false" hidden="false" ht="12.75" outlineLevel="0" r="22">
      <c r="B22" s="2" t="n">
        <f aca="false">21*B4</f>
        <v>105</v>
      </c>
      <c r="C22" s="2" t="n">
        <f aca="false">21*C4</f>
        <v>84</v>
      </c>
      <c r="D22" s="2" t="n">
        <f aca="false">21*D4</f>
        <v>63</v>
      </c>
      <c r="E22" s="2" t="n">
        <f aca="false">21*E4</f>
        <v>2.1</v>
      </c>
      <c r="F22" s="2" t="n">
        <f aca="false">21*F4</f>
        <v>2.1</v>
      </c>
    </row>
    <row collapsed="false" customFormat="false" customHeight="false" hidden="false" ht="12.75" outlineLevel="0" r="23">
      <c r="B23" s="2" t="n">
        <f aca="false">(B22+B6)+B7</f>
        <v>117</v>
      </c>
      <c r="C23" s="2" t="n">
        <f aca="false">(C22+C6)+C7</f>
        <v>85.5</v>
      </c>
      <c r="D23" s="2" t="n">
        <f aca="false">(D22+D6)+D7</f>
        <v>63</v>
      </c>
      <c r="E23" s="2" t="n">
        <f aca="false">(E22+E6)+E7</f>
        <v>3.1</v>
      </c>
      <c r="F23" s="2" t="n">
        <f aca="false">(F22+F6)+F7</f>
        <v>3.1</v>
      </c>
      <c r="G23" s="2" t="n">
        <f aca="false">(G22+G6)+G7</f>
        <v>0</v>
      </c>
    </row>
    <row collapsed="false" customFormat="false" customHeight="false" hidden="false" ht="12.75" outlineLevel="0" r="27">
      <c r="A27" s="0" t="s">
        <v>194</v>
      </c>
    </row>
    <row collapsed="false" customFormat="false" customHeight="false" hidden="false" ht="12.75" outlineLevel="0" r="28">
      <c r="A28" s="0" t="n">
        <v>15</v>
      </c>
    </row>
    <row collapsed="false" customFormat="false" customHeight="false" hidden="false" ht="12.75" outlineLevel="0" r="29">
      <c r="B29" s="2" t="n">
        <f aca="false">($A$28*B4)+(3*(B6+B7))</f>
        <v>111</v>
      </c>
      <c r="C29" s="2" t="n">
        <f aca="false">($A$28*C4)+(3*(C6+C7))</f>
        <v>64.5</v>
      </c>
      <c r="D29" s="2" t="n">
        <f aca="false">($A$28*D4)+(3*(D6+D7))</f>
        <v>45</v>
      </c>
      <c r="E29" s="2" t="n">
        <f aca="false">($A$28*E4)+(3*(E6+E7))</f>
        <v>4.5</v>
      </c>
      <c r="F29" s="2" t="n">
        <f aca="false">($A$28*F4)+(3*(F6+F7))</f>
        <v>4.5</v>
      </c>
      <c r="G29" s="2" t="n">
        <f aca="false">((21*G4)+(4*G6))+(4*G7)</f>
        <v>0</v>
      </c>
    </row>
    <row collapsed="false" customFormat="false" customHeight="false" hidden="false" ht="12.75" outlineLevel="0" r="35">
      <c r="A35" s="0" t="s">
        <v>74</v>
      </c>
      <c r="B35" s="0" t="s">
        <v>195</v>
      </c>
      <c r="C35" s="0" t="s">
        <v>196</v>
      </c>
      <c r="D35" s="0" t="s">
        <v>197</v>
      </c>
      <c r="E35" s="0" t="s">
        <v>198</v>
      </c>
      <c r="F35" s="0" t="s">
        <v>199</v>
      </c>
      <c r="H35" s="0" t="n">
        <v>7500</v>
      </c>
      <c r="I35" s="0" t="s">
        <v>200</v>
      </c>
      <c r="J35" s="0" t="n">
        <v>19</v>
      </c>
    </row>
    <row collapsed="false" customFormat="false" customHeight="false" hidden="false" ht="12.75" outlineLevel="0" r="36">
      <c r="B36" s="0" t="n">
        <v>2.3</v>
      </c>
      <c r="C36" s="0" t="n">
        <v>6.2</v>
      </c>
      <c r="D36" s="0" t="n">
        <v>1.26</v>
      </c>
      <c r="E36" s="0" t="n">
        <v>1.79</v>
      </c>
      <c r="F36" s="0" t="n">
        <v>0.1</v>
      </c>
    </row>
    <row collapsed="false" customFormat="false" customHeight="false" hidden="false" ht="12.75" outlineLevel="0" r="37">
      <c r="B37" s="2" t="n">
        <f aca="false">16*B36</f>
        <v>36.8</v>
      </c>
      <c r="C37" s="2" t="n">
        <f aca="false">16*C36</f>
        <v>99.2</v>
      </c>
      <c r="D37" s="2" t="n">
        <f aca="false">16*D36</f>
        <v>20.16</v>
      </c>
      <c r="E37" s="2" t="n">
        <f aca="false">16*E36</f>
        <v>28.64</v>
      </c>
      <c r="F37" s="2" t="n">
        <f aca="false">16*F36</f>
        <v>1.6</v>
      </c>
    </row>
    <row collapsed="false" customFormat="false" customHeight="false" hidden="false" ht="12.75" outlineLevel="0" r="40">
      <c r="B40" s="0" t="n">
        <v>115</v>
      </c>
      <c r="C40" s="0" t="n">
        <v>115</v>
      </c>
      <c r="D40" s="0" t="n">
        <v>18</v>
      </c>
      <c r="E40" s="0" t="n">
        <v>18</v>
      </c>
      <c r="F40" s="0" t="n">
        <v>18</v>
      </c>
    </row>
    <row collapsed="false" customFormat="false" customHeight="false" hidden="false" ht="12.75" outlineLevel="0" r="41">
      <c r="C41" s="2" t="n">
        <f aca="false">C40/C36</f>
        <v>18.5483870967742</v>
      </c>
    </row>
    <row collapsed="false" customFormat="false" customHeight="false" hidden="false" ht="12.75" outlineLevel="0" r="45">
      <c r="A45" s="0" t="s">
        <v>201</v>
      </c>
      <c r="B45" s="2" t="n">
        <f aca="false">5*B9</f>
        <v>575</v>
      </c>
      <c r="C45" s="2" t="n">
        <f aca="false">-5.2*C11</f>
        <v>-1196</v>
      </c>
      <c r="D45" s="2" t="n">
        <f aca="false">2*D11</f>
        <v>230</v>
      </c>
      <c r="E45" s="2" t="n">
        <f aca="false">15*E21</f>
        <v>270</v>
      </c>
      <c r="F45" s="2" t="n">
        <f aca="false">F21*15</f>
        <v>270</v>
      </c>
    </row>
    <row collapsed="false" customFormat="false" customHeight="false" hidden="false" ht="12.75" outlineLevel="0" r="50">
      <c r="B50" s="2" t="n">
        <f aca="false">20*B4</f>
        <v>100</v>
      </c>
      <c r="C50" s="2" t="n">
        <f aca="false">20*C4</f>
        <v>80</v>
      </c>
      <c r="D50" s="2" t="n">
        <f aca="false">20*D4</f>
        <v>60</v>
      </c>
      <c r="E50" s="2" t="n">
        <f aca="false">20*E4</f>
        <v>2</v>
      </c>
      <c r="F50" s="2" t="n">
        <f aca="false">20*F4</f>
        <v>2</v>
      </c>
    </row>
    <row collapsed="false" customFormat="false" customHeight="false" hidden="false" ht="12.75" outlineLevel="0" r="51">
      <c r="B51" s="2" t="n">
        <f aca="false">7*B5</f>
        <v>35</v>
      </c>
      <c r="C51" s="2" t="n">
        <f aca="false">7*C5</f>
        <v>42</v>
      </c>
      <c r="D51" s="2" t="n">
        <f aca="false">7*D5</f>
        <v>14</v>
      </c>
      <c r="E51" s="2" t="n">
        <f aca="false">7*E5</f>
        <v>4.9</v>
      </c>
      <c r="F51" s="2" t="n">
        <f aca="false">7*F5</f>
        <v>0.7</v>
      </c>
    </row>
    <row collapsed="false" customFormat="false" customHeight="false" hidden="false" ht="12.75" outlineLevel="0" r="52">
      <c r="B52" s="2" t="n">
        <f aca="false">B6</f>
        <v>4</v>
      </c>
      <c r="C52" s="2" t="n">
        <f aca="false">C6</f>
        <v>1.5</v>
      </c>
    </row>
    <row collapsed="false" customFormat="false" customHeight="false" hidden="false" ht="12.75" outlineLevel="0" r="54">
      <c r="B54" s="2" t="n">
        <f aca="false">SUM(B50:B52)</f>
        <v>139</v>
      </c>
      <c r="C54" s="2" t="n">
        <f aca="false">SUM(C50:C52)</f>
        <v>123.5</v>
      </c>
      <c r="D54" s="2" t="n">
        <f aca="false">SUM(D50:D52)</f>
        <v>74</v>
      </c>
      <c r="E54" s="2" t="n">
        <f aca="false">SUM(E50:E52)</f>
        <v>6.9</v>
      </c>
      <c r="F54" s="2" t="n">
        <f aca="false">SUM(F50:F52)</f>
        <v>2.7</v>
      </c>
    </row>
    <row collapsed="false" customFormat="false" customHeight="false" hidden="false" ht="12.75" outlineLevel="0" r="55">
      <c r="B55" s="2" t="n">
        <f aca="false">B11</f>
        <v>115</v>
      </c>
      <c r="C55" s="2" t="n">
        <f aca="false">C11</f>
        <v>230</v>
      </c>
      <c r="D55" s="2" t="n">
        <f aca="false">D11</f>
        <v>115</v>
      </c>
      <c r="E55" s="2" t="n">
        <f aca="false">E11</f>
        <v>20</v>
      </c>
      <c r="F55" s="2" t="n">
        <f aca="false">F11</f>
        <v>20</v>
      </c>
    </row>
    <row collapsed="false" customFormat="false" customHeight="false" hidden="false" ht="12.75" outlineLevel="0" r="58">
      <c r="B58" s="2" t="e">
        <f aca="false">20*</f>
        <v>#N/A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9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B78:C78 A2"/>
    </sheetView>
  </sheetViews>
  <sheetFormatPr defaultRowHeight="12.75"/>
  <cols>
    <col collapsed="false" hidden="false" max="2" min="1" style="0" width="17.1326530612245"/>
    <col collapsed="false" hidden="false" max="3" min="3" style="0" width="21.4285714285714"/>
    <col collapsed="false" hidden="false" max="1025" min="4" style="0" width="17.1326530612245"/>
  </cols>
  <sheetData>
    <row collapsed="false" customFormat="false" customHeight="false" hidden="false" ht="12.75" outlineLevel="0" r="1">
      <c r="A1" s="0" t="s">
        <v>56</v>
      </c>
      <c r="B1" s="0" t="s">
        <v>1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143</v>
      </c>
      <c r="H1" s="0" t="s">
        <v>144</v>
      </c>
    </row>
    <row collapsed="false" customFormat="false" customHeight="false" hidden="false" ht="12.75" outlineLevel="0" r="2">
      <c r="A2" s="0" t="s">
        <v>13</v>
      </c>
      <c r="B2" s="0" t="n">
        <v>1520</v>
      </c>
      <c r="C2" s="0" t="s">
        <v>16</v>
      </c>
      <c r="D2" s="0" t="n">
        <v>1877</v>
      </c>
      <c r="E2" s="2" t="n">
        <f aca="false">B2/128</f>
        <v>11.875</v>
      </c>
      <c r="F2" s="0" t="n">
        <v>0</v>
      </c>
      <c r="H2" s="0" t="s">
        <v>145</v>
      </c>
      <c r="I2" s="2" t="n">
        <f aca="false">B2/16</f>
        <v>95</v>
      </c>
      <c r="J2" s="0" t="n">
        <v>4500</v>
      </c>
      <c r="K2" s="2" t="n">
        <f aca="false">I2*J2</f>
        <v>427500</v>
      </c>
    </row>
    <row collapsed="false" customFormat="false" customHeight="false" hidden="false" ht="12.75" outlineLevel="0" r="3">
      <c r="A3" s="0" t="s">
        <v>13</v>
      </c>
      <c r="B3" s="0" t="n">
        <v>1520</v>
      </c>
      <c r="C3" s="0" t="s">
        <v>146</v>
      </c>
      <c r="E3" s="2" t="n">
        <f aca="false">B3/8</f>
        <v>190</v>
      </c>
      <c r="F3" s="0" t="n">
        <v>0</v>
      </c>
      <c r="H3" s="0" t="s">
        <v>145</v>
      </c>
    </row>
    <row collapsed="false" customFormat="false" customHeight="false" hidden="false" ht="12.75" outlineLevel="0" r="4">
      <c r="A4" s="0" t="s">
        <v>13</v>
      </c>
      <c r="B4" s="0" t="n">
        <v>1520</v>
      </c>
      <c r="C4" s="0" t="s">
        <v>14</v>
      </c>
      <c r="D4" s="0" t="n">
        <v>1881</v>
      </c>
      <c r="E4" s="2" t="n">
        <f aca="false">B4/64</f>
        <v>23.75</v>
      </c>
      <c r="F4" s="0" t="n">
        <v>0</v>
      </c>
      <c r="H4" s="0" t="s">
        <v>145</v>
      </c>
    </row>
    <row collapsed="false" customFormat="false" customHeight="false" hidden="false" ht="12.75" outlineLevel="0" r="5">
      <c r="A5" s="0" t="s">
        <v>13</v>
      </c>
      <c r="B5" s="0" t="n">
        <v>1520</v>
      </c>
      <c r="C5" s="0" t="s">
        <v>147</v>
      </c>
      <c r="E5" s="0" t="n">
        <v>3</v>
      </c>
      <c r="F5" s="0" t="n">
        <v>0</v>
      </c>
      <c r="H5" s="0" t="s">
        <v>145</v>
      </c>
    </row>
    <row collapsed="false" customFormat="false" customHeight="false" hidden="false" ht="12.75" outlineLevel="0" r="6">
      <c r="A6" s="0" t="s">
        <v>13</v>
      </c>
      <c r="B6" s="0" t="n">
        <v>1520</v>
      </c>
      <c r="H6" s="0" t="s">
        <v>145</v>
      </c>
    </row>
    <row collapsed="false" customFormat="false" customHeight="false" hidden="false" ht="12.75" outlineLevel="0" r="16">
      <c r="A16" s="0" t="s">
        <v>28</v>
      </c>
      <c r="B16" s="0" t="n">
        <v>242</v>
      </c>
      <c r="C16" s="0" t="s">
        <v>150</v>
      </c>
      <c r="D16" s="0" t="s">
        <v>151</v>
      </c>
      <c r="E16" s="0" t="n">
        <v>1</v>
      </c>
      <c r="F16" s="0" t="n">
        <v>10000</v>
      </c>
      <c r="G16" s="2" t="n">
        <f aca="false">E16*F16</f>
        <v>10000</v>
      </c>
    </row>
    <row collapsed="false" customFormat="false" customHeight="false" hidden="false" ht="12.75" outlineLevel="0" r="17">
      <c r="A17" s="0" t="s">
        <v>28</v>
      </c>
      <c r="B17" s="0" t="n">
        <v>242</v>
      </c>
      <c r="C17" s="0" t="s">
        <v>14</v>
      </c>
      <c r="D17" s="0" t="s">
        <v>152</v>
      </c>
      <c r="E17" s="2" t="n">
        <f aca="false">CEILING((B17/16),1,1)</f>
        <v>16</v>
      </c>
      <c r="F17" s="0" t="n">
        <v>4500</v>
      </c>
      <c r="G17" s="2" t="n">
        <f aca="false">E17*F17</f>
        <v>72000</v>
      </c>
    </row>
    <row collapsed="false" customFormat="false" customHeight="false" hidden="false" ht="12.75" outlineLevel="0" r="18">
      <c r="A18" s="0" t="s">
        <v>28</v>
      </c>
      <c r="B18" s="0" t="n">
        <v>242</v>
      </c>
      <c r="C18" s="0" t="s">
        <v>153</v>
      </c>
      <c r="E18" s="0" t="n">
        <v>1</v>
      </c>
      <c r="F18" s="0" t="n">
        <v>10000</v>
      </c>
      <c r="G18" s="2" t="n">
        <f aca="false">E18*F18</f>
        <v>10000</v>
      </c>
    </row>
    <row collapsed="false" customFormat="false" customHeight="false" hidden="false" ht="12.75" outlineLevel="0" r="19">
      <c r="A19" s="0" t="s">
        <v>28</v>
      </c>
      <c r="B19" s="0" t="n">
        <v>242</v>
      </c>
      <c r="C19" s="0" t="s">
        <v>16</v>
      </c>
      <c r="D19" s="0" t="n">
        <v>1190</v>
      </c>
      <c r="E19" s="0" t="n">
        <v>2</v>
      </c>
      <c r="F19" s="0" t="n">
        <v>10000</v>
      </c>
      <c r="G19" s="2" t="n">
        <f aca="false">E19*F19</f>
        <v>20000</v>
      </c>
    </row>
    <row collapsed="false" customFormat="false" customHeight="false" hidden="false" ht="12.75" outlineLevel="0" r="20">
      <c r="A20" s="0" t="s">
        <v>28</v>
      </c>
      <c r="B20" s="0" t="n">
        <v>242</v>
      </c>
      <c r="C20" s="0" t="s">
        <v>202</v>
      </c>
      <c r="D20" s="0" t="n">
        <v>4413</v>
      </c>
      <c r="E20" s="2" t="n">
        <f aca="false">CEILING((B20/16),1,1)</f>
        <v>16</v>
      </c>
      <c r="F20" s="0" t="n">
        <v>150</v>
      </c>
      <c r="G20" s="2" t="n">
        <f aca="false">E20*F20</f>
        <v>2400</v>
      </c>
      <c r="H20" s="0" t="s">
        <v>203</v>
      </c>
    </row>
    <row collapsed="false" customFormat="false" customHeight="false" hidden="false" ht="12.75" outlineLevel="0" r="21">
      <c r="A21" s="0" t="s">
        <v>28</v>
      </c>
      <c r="B21" s="0" t="n">
        <v>242</v>
      </c>
      <c r="C21" s="0" t="s">
        <v>9</v>
      </c>
      <c r="E21" s="0" t="n">
        <v>2</v>
      </c>
      <c r="F21" s="0" t="n">
        <v>3000</v>
      </c>
      <c r="G21" s="2" t="n">
        <f aca="false">E21*F21</f>
        <v>6000</v>
      </c>
    </row>
    <row collapsed="false" customFormat="false" customHeight="false" hidden="false" ht="12.75" outlineLevel="0" r="22">
      <c r="A22" s="0" t="s">
        <v>28</v>
      </c>
      <c r="B22" s="0" t="n">
        <v>242</v>
      </c>
      <c r="C22" s="0" t="s">
        <v>154</v>
      </c>
      <c r="E22" s="0" t="n">
        <v>2</v>
      </c>
      <c r="F22" s="0" t="n">
        <v>3500</v>
      </c>
      <c r="G22" s="2" t="n">
        <f aca="false">E22*F22</f>
        <v>7000</v>
      </c>
    </row>
    <row collapsed="false" customFormat="false" customHeight="false" hidden="false" ht="12.75" outlineLevel="0" r="23">
      <c r="A23" s="0" t="s">
        <v>28</v>
      </c>
      <c r="B23" s="0" t="n">
        <v>242</v>
      </c>
      <c r="C23" s="0" t="s">
        <v>68</v>
      </c>
      <c r="E23" s="0" t="n">
        <v>2</v>
      </c>
      <c r="F23" s="0" t="n">
        <v>11500</v>
      </c>
      <c r="G23" s="2" t="n">
        <f aca="false">E23*F23</f>
        <v>23000</v>
      </c>
    </row>
    <row collapsed="false" customFormat="false" customHeight="false" hidden="false" ht="12.75" outlineLevel="0" r="24">
      <c r="G24" s="2" t="n">
        <f aca="false">SUM(G17:G23)</f>
        <v>140400</v>
      </c>
    </row>
    <row collapsed="false" customFormat="false" customHeight="false" hidden="false" ht="12.75" outlineLevel="0" r="25">
      <c r="A25" s="0" t="s">
        <v>155</v>
      </c>
      <c r="B25" s="0" t="n">
        <v>62500</v>
      </c>
    </row>
    <row collapsed="false" customFormat="false" customHeight="false" hidden="false" ht="12.75" outlineLevel="0" r="26">
      <c r="A26" s="0" t="s">
        <v>155</v>
      </c>
      <c r="B26" s="0" t="n">
        <v>27200</v>
      </c>
    </row>
    <row collapsed="false" customFormat="false" customHeight="false" hidden="false" ht="12.75" outlineLevel="0" r="27">
      <c r="A27" s="0" t="s">
        <v>155</v>
      </c>
      <c r="B27" s="0" t="n">
        <v>12000</v>
      </c>
    </row>
    <row collapsed="false" customFormat="false" customHeight="false" hidden="false" ht="12.75" outlineLevel="0" r="28">
      <c r="A28" s="0" t="s">
        <v>44</v>
      </c>
      <c r="B28" s="2" t="n">
        <f aca="false">SUM(B25:B27)</f>
        <v>101700</v>
      </c>
      <c r="C28" s="0" t="s">
        <v>156</v>
      </c>
      <c r="D28" s="0" t="s">
        <v>157</v>
      </c>
      <c r="E28" s="2" t="n">
        <f aca="false">CEILING(((B28/128)/4),1,1)</f>
        <v>199</v>
      </c>
      <c r="F28" s="0" t="n">
        <v>5000</v>
      </c>
      <c r="G28" s="2" t="n">
        <f aca="false">E28*F28</f>
        <v>995000</v>
      </c>
    </row>
    <row collapsed="false" customFormat="false" customHeight="false" hidden="false" ht="12.75" outlineLevel="0" r="29">
      <c r="A29" s="0" t="s">
        <v>44</v>
      </c>
      <c r="C29" s="0" t="s">
        <v>68</v>
      </c>
      <c r="E29" s="2" t="n">
        <f aca="false">CEILING((E28/16),1,1)</f>
        <v>13</v>
      </c>
      <c r="F29" s="0" t="n">
        <v>11500</v>
      </c>
      <c r="G29" s="2" t="n">
        <f aca="false">E29*F29</f>
        <v>149500</v>
      </c>
    </row>
    <row collapsed="false" customFormat="false" customHeight="false" hidden="false" ht="12.75" outlineLevel="0" r="30">
      <c r="C30" s="0" t="s">
        <v>8</v>
      </c>
      <c r="E30" s="2" t="n">
        <f aca="false">E29</f>
        <v>13</v>
      </c>
      <c r="F30" s="0" t="n">
        <v>3500</v>
      </c>
      <c r="G30" s="2" t="n">
        <f aca="false">E30*F30</f>
        <v>45500</v>
      </c>
    </row>
    <row collapsed="false" customFormat="false" customHeight="false" hidden="false" ht="12.75" outlineLevel="0" r="31">
      <c r="C31" s="0" t="s">
        <v>9</v>
      </c>
      <c r="E31" s="2" t="n">
        <f aca="false">E30</f>
        <v>13</v>
      </c>
      <c r="F31" s="0" t="n">
        <v>3000</v>
      </c>
      <c r="G31" s="2" t="n">
        <f aca="false">E31*F31</f>
        <v>39000</v>
      </c>
    </row>
    <row collapsed="false" customFormat="false" customHeight="false" hidden="false" ht="12.75" outlineLevel="0" r="39">
      <c r="A39" s="0" t="s">
        <v>106</v>
      </c>
    </row>
    <row collapsed="false" customFormat="false" customHeight="false" hidden="false" ht="12.75" outlineLevel="0" r="40">
      <c r="A40" s="0" t="s">
        <v>106</v>
      </c>
    </row>
    <row collapsed="false" customFormat="false" customHeight="false" hidden="false" ht="12.75" outlineLevel="0" r="41">
      <c r="A41" s="0" t="s">
        <v>106</v>
      </c>
    </row>
    <row collapsed="false" customFormat="false" customHeight="false" hidden="false" ht="12.75" outlineLevel="0" r="42">
      <c r="A42" s="0" t="s">
        <v>106</v>
      </c>
    </row>
    <row collapsed="false" customFormat="false" customHeight="false" hidden="false" ht="12.75" outlineLevel="0" r="45">
      <c r="A45" s="0" t="s">
        <v>153</v>
      </c>
      <c r="C45" s="0" t="s">
        <v>55</v>
      </c>
      <c r="H45" s="0" t="s">
        <v>158</v>
      </c>
    </row>
    <row collapsed="false" customFormat="false" customHeight="false" hidden="false" ht="12.75" outlineLevel="0" r="48">
      <c r="A48" s="0" t="s">
        <v>159</v>
      </c>
    </row>
    <row collapsed="false" customFormat="false" customHeight="false" hidden="false" ht="12.75" outlineLevel="0" r="49">
      <c r="A49" s="0" t="s">
        <v>160</v>
      </c>
    </row>
    <row collapsed="false" customFormat="false" customHeight="false" hidden="false" ht="12.75" outlineLevel="0" r="58">
      <c r="A58" s="0" t="s">
        <v>161</v>
      </c>
    </row>
    <row collapsed="false" customFormat="false" customHeight="false" hidden="false" ht="12.75" outlineLevel="0" r="59">
      <c r="A59" s="0" t="s">
        <v>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>
    <row collapsed="false" customFormat="false" customHeight="false" hidden="false" ht="12.75" outlineLevel="0" r="1">
      <c r="A1" s="0" t="s">
        <v>108</v>
      </c>
      <c r="C1" s="0" t="s">
        <v>88</v>
      </c>
      <c r="E1" s="0" t="s">
        <v>96</v>
      </c>
      <c r="G1" s="0" t="s">
        <v>129</v>
      </c>
      <c r="H1" s="0" t="s">
        <v>100</v>
      </c>
    </row>
    <row collapsed="false" customFormat="false" customHeight="false" hidden="false" ht="12.75" outlineLevel="0" r="7">
      <c r="A7" s="0" t="s">
        <v>204</v>
      </c>
      <c r="C7" s="0" t="s">
        <v>204</v>
      </c>
      <c r="E7" s="0" t="s">
        <v>204</v>
      </c>
      <c r="G7" s="0" t="s">
        <v>205</v>
      </c>
      <c r="H7" s="0" t="s">
        <v>204</v>
      </c>
    </row>
    <row collapsed="false" customFormat="false" customHeight="false" hidden="false" ht="12.75" outlineLevel="0" r="8">
      <c r="A8" s="0" t="s">
        <v>206</v>
      </c>
      <c r="C8" s="0" t="s">
        <v>206</v>
      </c>
      <c r="E8" s="0" t="s">
        <v>206</v>
      </c>
      <c r="H8" s="0" t="s">
        <v>206</v>
      </c>
    </row>
    <row collapsed="false" customFormat="false" customHeight="false" hidden="false" ht="12.75" outlineLevel="0" r="9">
      <c r="A9" s="0" t="s">
        <v>207</v>
      </c>
      <c r="C9" s="0" t="s">
        <v>207</v>
      </c>
      <c r="E9" s="0" t="s">
        <v>207</v>
      </c>
      <c r="H9" s="0" t="s">
        <v>207</v>
      </c>
    </row>
    <row collapsed="false" customFormat="false" customHeight="false" hidden="false" ht="12.75" outlineLevel="0" r="10">
      <c r="A10" s="0" t="s">
        <v>208</v>
      </c>
      <c r="C10" s="0" t="s">
        <v>208</v>
      </c>
      <c r="E10" s="0" t="s">
        <v>208</v>
      </c>
      <c r="H10" s="0" t="s">
        <v>208</v>
      </c>
    </row>
    <row collapsed="false" customFormat="false" customHeight="false" hidden="false" ht="12.75" outlineLevel="0" r="11">
      <c r="A11" s="0" t="s">
        <v>209</v>
      </c>
      <c r="C11" s="0" t="s">
        <v>209</v>
      </c>
      <c r="E11" s="0" t="s">
        <v>209</v>
      </c>
      <c r="H11" s="0" t="s">
        <v>209</v>
      </c>
    </row>
    <row collapsed="false" customFormat="false" customHeight="false" hidden="false" ht="12.75" outlineLevel="0" r="12">
      <c r="G12" s="0" t="s">
        <v>105</v>
      </c>
    </row>
    <row collapsed="false" customFormat="false" customHeight="false" hidden="false" ht="12.75" outlineLevel="0" r="13">
      <c r="C13" s="0" t="s">
        <v>28</v>
      </c>
      <c r="E13" s="0" t="s">
        <v>210</v>
      </c>
      <c r="G13" s="0" t="s">
        <v>28</v>
      </c>
      <c r="H13" s="0" t="s">
        <v>28</v>
      </c>
    </row>
    <row collapsed="false" customFormat="false" customHeight="false" hidden="false" ht="12.75" outlineLevel="0" r="14">
      <c r="H14" s="0" t="s">
        <v>106</v>
      </c>
    </row>
    <row collapsed="false" customFormat="false" customHeight="false" hidden="false" ht="12.75" outlineLevel="0" r="15">
      <c r="G15" s="0" t="s">
        <v>211</v>
      </c>
    </row>
    <row collapsed="false" customFormat="false" customHeight="false" hidden="false" ht="12.75" outlineLevel="0" r="17">
      <c r="C17" s="0" t="s">
        <v>15</v>
      </c>
      <c r="E17" s="0" t="s">
        <v>15</v>
      </c>
      <c r="G17" s="0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>
    <row collapsed="false" customFormat="false" customHeight="false" hidden="false" ht="12.75" outlineLevel="0" r="1">
      <c r="A1" s="0" t="s">
        <v>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025" min="1" style="0" width="17.1326530612245"/>
  </cols>
  <sheetData>
    <row collapsed="false" customFormat="false" customHeight="false" hidden="false" ht="12.75" outlineLevel="0" r="1">
      <c r="A1" s="0" t="s">
        <v>212</v>
      </c>
      <c r="B1" s="0" t="s">
        <v>58</v>
      </c>
      <c r="C1" s="0" t="s">
        <v>213</v>
      </c>
      <c r="D1" s="0" t="s">
        <v>214</v>
      </c>
      <c r="E1" s="0" t="s">
        <v>144</v>
      </c>
      <c r="F1" s="0" t="s">
        <v>215</v>
      </c>
    </row>
    <row collapsed="false" customFormat="false" customHeight="false" hidden="false" ht="12.75" outlineLevel="0" r="2">
      <c r="A2" s="0" t="s">
        <v>216</v>
      </c>
      <c r="B2" s="0" t="s">
        <v>217</v>
      </c>
      <c r="D2" s="0" t="n">
        <v>2956</v>
      </c>
      <c r="E2" s="0" t="s">
        <v>218</v>
      </c>
      <c r="F2" s="0" t="s">
        <v>219</v>
      </c>
      <c r="G2" s="2" t="n">
        <f aca="false">IF((E2="OK"),1,0)</f>
        <v>1</v>
      </c>
    </row>
    <row collapsed="false" customFormat="false" customHeight="false" hidden="false" ht="12.75" outlineLevel="0" r="3">
      <c r="A3" s="0" t="s">
        <v>220</v>
      </c>
      <c r="B3" s="0" t="s">
        <v>221</v>
      </c>
      <c r="D3" s="0" t="n">
        <v>2965</v>
      </c>
      <c r="E3" s="0" t="s">
        <v>218</v>
      </c>
      <c r="F3" s="0" t="s">
        <v>222</v>
      </c>
      <c r="G3" s="2" t="n">
        <f aca="false">IF((E3="OK"),1,0)</f>
        <v>1</v>
      </c>
    </row>
    <row collapsed="false" customFormat="false" customHeight="false" hidden="false" ht="12.75" outlineLevel="0" r="4">
      <c r="A4" s="0" t="s">
        <v>223</v>
      </c>
      <c r="B4" s="0" t="s">
        <v>217</v>
      </c>
      <c r="D4" s="0" t="n">
        <v>2964</v>
      </c>
      <c r="E4" s="0" t="s">
        <v>218</v>
      </c>
      <c r="F4" s="0" t="s">
        <v>222</v>
      </c>
      <c r="G4" s="2" t="n">
        <f aca="false">IF((E4="OK"),1,0)</f>
        <v>1</v>
      </c>
    </row>
    <row collapsed="false" customFormat="false" customHeight="false" hidden="false" ht="12.75" outlineLevel="0" r="5">
      <c r="A5" s="0" t="s">
        <v>224</v>
      </c>
      <c r="B5" s="0" t="s">
        <v>217</v>
      </c>
      <c r="D5" s="0" t="n">
        <v>2967</v>
      </c>
      <c r="E5" s="0" t="s">
        <v>218</v>
      </c>
      <c r="F5" s="0" t="s">
        <v>222</v>
      </c>
      <c r="G5" s="2" t="n">
        <f aca="false">IF((E5="OK"),1,0)</f>
        <v>1</v>
      </c>
    </row>
    <row collapsed="false" customFormat="false" customHeight="false" hidden="false" ht="12.75" outlineLevel="0" r="6">
      <c r="A6" s="0" t="s">
        <v>225</v>
      </c>
      <c r="B6" s="0" t="s">
        <v>217</v>
      </c>
      <c r="E6" s="0" t="s">
        <v>226</v>
      </c>
      <c r="F6" s="0" t="s">
        <v>222</v>
      </c>
      <c r="G6" s="2" t="n">
        <f aca="false">IF((E6="OK"),1,0)</f>
        <v>0</v>
      </c>
    </row>
    <row collapsed="false" customFormat="false" customHeight="false" hidden="false" ht="12.75" outlineLevel="0" r="7">
      <c r="A7" s="0" t="s">
        <v>227</v>
      </c>
      <c r="B7" s="0" t="s">
        <v>217</v>
      </c>
      <c r="E7" s="0" t="s">
        <v>218</v>
      </c>
      <c r="F7" s="0" t="s">
        <v>228</v>
      </c>
      <c r="G7" s="2" t="n">
        <f aca="false">IF((E7="OK"),1,0)</f>
        <v>1</v>
      </c>
    </row>
    <row collapsed="false" customFormat="false" customHeight="false" hidden="false" ht="12.75" outlineLevel="0" r="8">
      <c r="A8" s="0" t="s">
        <v>229</v>
      </c>
      <c r="B8" s="0" t="s">
        <v>217</v>
      </c>
      <c r="E8" s="0" t="s">
        <v>218</v>
      </c>
      <c r="F8" s="0" t="s">
        <v>228</v>
      </c>
      <c r="G8" s="2" t="n">
        <f aca="false">IF((E8="OK"),1,0)</f>
        <v>1</v>
      </c>
    </row>
    <row collapsed="false" customFormat="false" customHeight="false" hidden="false" ht="12.75" outlineLevel="0" r="9">
      <c r="A9" s="0" t="s">
        <v>230</v>
      </c>
      <c r="B9" s="0" t="s">
        <v>221</v>
      </c>
      <c r="E9" s="0" t="s">
        <v>218</v>
      </c>
      <c r="F9" s="0" t="s">
        <v>228</v>
      </c>
      <c r="G9" s="2" t="n">
        <f aca="false">IF((E9="OK"),1,0)</f>
        <v>1</v>
      </c>
    </row>
    <row collapsed="false" customFormat="false" customHeight="false" hidden="false" ht="12.75" outlineLevel="0" r="10">
      <c r="A10" s="0" t="s">
        <v>231</v>
      </c>
      <c r="B10" s="0" t="s">
        <v>221</v>
      </c>
      <c r="E10" s="0" t="s">
        <v>218</v>
      </c>
      <c r="F10" s="0" t="s">
        <v>232</v>
      </c>
      <c r="G10" s="2" t="n">
        <f aca="false">IF((E10="OK"),1,0)</f>
        <v>1</v>
      </c>
    </row>
    <row collapsed="false" customFormat="false" customHeight="false" hidden="false" ht="12.75" outlineLevel="0" r="11">
      <c r="A11" s="0" t="s">
        <v>233</v>
      </c>
      <c r="B11" s="0" t="s">
        <v>217</v>
      </c>
      <c r="E11" s="0" t="s">
        <v>218</v>
      </c>
      <c r="F11" s="0" t="s">
        <v>232</v>
      </c>
      <c r="G11" s="2" t="n">
        <f aca="false">IF((E11="OK"),1,0)</f>
        <v>1</v>
      </c>
    </row>
    <row collapsed="false" customFormat="false" customHeight="false" hidden="false" ht="12.75" outlineLevel="0" r="12">
      <c r="A12" s="0" t="s">
        <v>234</v>
      </c>
      <c r="B12" s="0" t="s">
        <v>217</v>
      </c>
      <c r="E12" s="0" t="s">
        <v>218</v>
      </c>
      <c r="F12" s="0" t="s">
        <v>232</v>
      </c>
      <c r="G12" s="2" t="n">
        <f aca="false">IF((E12="OK"),1,0)</f>
        <v>1</v>
      </c>
    </row>
    <row collapsed="false" customFormat="false" customHeight="false" hidden="false" ht="12.75" outlineLevel="0" r="13">
      <c r="A13" s="0" t="s">
        <v>235</v>
      </c>
      <c r="B13" s="0" t="s">
        <v>221</v>
      </c>
      <c r="D13" s="0" t="n">
        <v>2973</v>
      </c>
      <c r="E13" s="0" t="s">
        <v>218</v>
      </c>
      <c r="F13" s="0" t="s">
        <v>222</v>
      </c>
      <c r="G13" s="2" t="n">
        <f aca="false">IF((E13="OK"),1,0)</f>
        <v>1</v>
      </c>
    </row>
    <row collapsed="false" customFormat="false" customHeight="false" hidden="false" ht="12.75" outlineLevel="0" r="14">
      <c r="A14" s="0" t="s">
        <v>236</v>
      </c>
      <c r="B14" s="0" t="s">
        <v>217</v>
      </c>
      <c r="D14" s="0" t="n">
        <v>2968</v>
      </c>
      <c r="E14" s="0" t="s">
        <v>218</v>
      </c>
      <c r="F14" s="0" t="s">
        <v>222</v>
      </c>
      <c r="G14" s="2" t="n">
        <f aca="false">IF((E14="OK"),1,0)</f>
        <v>1</v>
      </c>
    </row>
    <row collapsed="false" customFormat="false" customHeight="false" hidden="false" ht="12.75" outlineLevel="0" r="15">
      <c r="A15" s="0" t="s">
        <v>237</v>
      </c>
      <c r="B15" s="0" t="s">
        <v>217</v>
      </c>
      <c r="C15" s="0" t="s">
        <v>238</v>
      </c>
      <c r="D15" s="0" t="n">
        <v>2969</v>
      </c>
      <c r="E15" s="0" t="s">
        <v>218</v>
      </c>
      <c r="F15" s="0" t="s">
        <v>222</v>
      </c>
      <c r="G15" s="2" t="n">
        <f aca="false">IF((E15="OK"),1,0)</f>
        <v>1</v>
      </c>
    </row>
    <row collapsed="false" customFormat="false" customHeight="false" hidden="false" ht="12.75" outlineLevel="0" r="16">
      <c r="A16" s="0" t="s">
        <v>239</v>
      </c>
      <c r="B16" s="0" t="s">
        <v>217</v>
      </c>
      <c r="C16" s="0" t="s">
        <v>238</v>
      </c>
      <c r="D16" s="0" t="n">
        <v>2970</v>
      </c>
      <c r="E16" s="0" t="s">
        <v>218</v>
      </c>
      <c r="F16" s="0" t="s">
        <v>222</v>
      </c>
      <c r="G16" s="2" t="n">
        <f aca="false">IF((E16="OK"),1,0)</f>
        <v>1</v>
      </c>
    </row>
    <row collapsed="false" customFormat="false" customHeight="false" hidden="false" ht="12.75" outlineLevel="0" r="17">
      <c r="A17" s="0" t="s">
        <v>240</v>
      </c>
      <c r="B17" s="0" t="s">
        <v>217</v>
      </c>
      <c r="C17" s="0" t="s">
        <v>238</v>
      </c>
      <c r="D17" s="0" t="n">
        <v>2971</v>
      </c>
      <c r="E17" s="0" t="s">
        <v>218</v>
      </c>
      <c r="F17" s="0" t="s">
        <v>222</v>
      </c>
      <c r="G17" s="2" t="n">
        <f aca="false">IF((E17="OK"),1,0)</f>
        <v>1</v>
      </c>
    </row>
    <row collapsed="false" customFormat="false" customHeight="false" hidden="false" ht="12.75" outlineLevel="0" r="18">
      <c r="A18" s="0" t="s">
        <v>241</v>
      </c>
      <c r="B18" s="0" t="s">
        <v>217</v>
      </c>
      <c r="C18" s="0" t="s">
        <v>238</v>
      </c>
      <c r="D18" s="0" t="n">
        <v>2972</v>
      </c>
      <c r="E18" s="0" t="s">
        <v>218</v>
      </c>
      <c r="F18" s="0" t="s">
        <v>222</v>
      </c>
      <c r="G18" s="2" t="n">
        <f aca="false">IF((E18="OK"),1,0)</f>
        <v>1</v>
      </c>
    </row>
    <row collapsed="false" customFormat="false" customHeight="false" hidden="false" ht="12.75" outlineLevel="0" r="19">
      <c r="A19" s="0" t="s">
        <v>242</v>
      </c>
      <c r="B19" s="0" t="s">
        <v>243</v>
      </c>
      <c r="E19" s="0" t="s">
        <v>218</v>
      </c>
      <c r="F19" s="0" t="s">
        <v>244</v>
      </c>
      <c r="G19" s="2" t="n">
        <f aca="false">IF((E19="OK"),1,0)</f>
        <v>1</v>
      </c>
    </row>
    <row collapsed="false" customFormat="false" customHeight="false" hidden="false" ht="12.75" outlineLevel="0" r="20">
      <c r="A20" s="0" t="s">
        <v>245</v>
      </c>
      <c r="B20" s="0" t="s">
        <v>221</v>
      </c>
      <c r="E20" s="0" t="s">
        <v>218</v>
      </c>
      <c r="F20" s="0" t="s">
        <v>244</v>
      </c>
      <c r="G20" s="2" t="n">
        <f aca="false">IF((E20="OK"),1,0)</f>
        <v>1</v>
      </c>
    </row>
    <row collapsed="false" customFormat="false" customHeight="false" hidden="false" ht="12.75" outlineLevel="0" r="21">
      <c r="G21" s="2" t="n">
        <f aca="false">SUM(G2:G20)</f>
        <v>18</v>
      </c>
    </row>
    <row collapsed="false" customFormat="false" customHeight="false" hidden="false" ht="12.75" outlineLevel="0" r="23">
      <c r="A23" s="0" t="s">
        <v>212</v>
      </c>
      <c r="B23" s="0" t="s">
        <v>58</v>
      </c>
      <c r="C23" s="0" t="s">
        <v>213</v>
      </c>
      <c r="D23" s="0" t="s">
        <v>214</v>
      </c>
      <c r="E23" s="0" t="s">
        <v>144</v>
      </c>
      <c r="F23" s="0" t="s">
        <v>215</v>
      </c>
    </row>
    <row collapsed="false" customFormat="false" customHeight="false" hidden="false" ht="12.75" outlineLevel="0" r="24">
      <c r="A24" s="0" t="s">
        <v>246</v>
      </c>
      <c r="B24" s="0" t="s">
        <v>247</v>
      </c>
      <c r="C24" s="0" t="n">
        <v>303</v>
      </c>
      <c r="D24" s="0" t="n">
        <v>2921</v>
      </c>
      <c r="E24" s="0" t="s">
        <v>218</v>
      </c>
      <c r="F24" s="0" t="s">
        <v>222</v>
      </c>
      <c r="G24" s="2" t="n">
        <f aca="false">IF((E24="OK"),1,0)</f>
        <v>1</v>
      </c>
    </row>
    <row collapsed="false" customFormat="false" customHeight="false" hidden="false" ht="12.75" outlineLevel="0" r="25">
      <c r="A25" s="0" t="s">
        <v>248</v>
      </c>
      <c r="B25" s="0" t="s">
        <v>249</v>
      </c>
      <c r="C25" s="0" t="n">
        <v>1977</v>
      </c>
      <c r="D25" s="0" t="n">
        <v>2923</v>
      </c>
      <c r="E25" s="0" t="s">
        <v>218</v>
      </c>
      <c r="F25" s="0" t="s">
        <v>222</v>
      </c>
      <c r="G25" s="2" t="n">
        <f aca="false">IF((E25="OK"),1,0)</f>
        <v>1</v>
      </c>
    </row>
    <row collapsed="false" customFormat="false" customHeight="false" hidden="false" ht="12.75" outlineLevel="0" r="26">
      <c r="A26" s="0" t="s">
        <v>250</v>
      </c>
      <c r="B26" s="0" t="s">
        <v>249</v>
      </c>
      <c r="C26" s="0" t="n">
        <v>1992</v>
      </c>
      <c r="E26" s="0" t="s">
        <v>218</v>
      </c>
      <c r="F26" s="0" t="s">
        <v>222</v>
      </c>
      <c r="G26" s="2" t="n">
        <f aca="false">IF((E26="OK"),1,0)</f>
        <v>1</v>
      </c>
    </row>
    <row collapsed="false" customFormat="false" customHeight="false" hidden="false" ht="12.75" outlineLevel="0" r="27">
      <c r="A27" s="0" t="s">
        <v>251</v>
      </c>
      <c r="B27" s="0" t="s">
        <v>252</v>
      </c>
      <c r="C27" s="0" t="n">
        <v>86134</v>
      </c>
      <c r="D27" s="0" t="n">
        <v>2893</v>
      </c>
      <c r="E27" s="0" t="s">
        <v>218</v>
      </c>
      <c r="F27" s="0" t="s">
        <v>222</v>
      </c>
      <c r="G27" s="2" t="n">
        <f aca="false">IF((E27="OK"),1,0)</f>
        <v>1</v>
      </c>
    </row>
    <row collapsed="false" customFormat="false" customHeight="false" hidden="false" ht="12.75" outlineLevel="0" r="28">
      <c r="A28" s="0" t="s">
        <v>253</v>
      </c>
      <c r="B28" s="0" t="s">
        <v>252</v>
      </c>
      <c r="C28" s="0" t="n">
        <v>86121</v>
      </c>
      <c r="D28" s="0" t="n">
        <v>2904</v>
      </c>
      <c r="E28" s="0" t="s">
        <v>218</v>
      </c>
      <c r="F28" s="0" t="s">
        <v>222</v>
      </c>
      <c r="G28" s="2" t="n">
        <f aca="false">IF((E28="OK"),1,0)</f>
        <v>1</v>
      </c>
    </row>
    <row collapsed="false" customFormat="false" customHeight="false" hidden="false" ht="12.75" outlineLevel="0" r="29">
      <c r="A29" s="0" t="s">
        <v>254</v>
      </c>
      <c r="B29" s="0" t="s">
        <v>252</v>
      </c>
      <c r="C29" s="0" t="n">
        <v>86154</v>
      </c>
      <c r="D29" s="0" t="n">
        <v>2905</v>
      </c>
      <c r="E29" s="0" t="s">
        <v>218</v>
      </c>
      <c r="F29" s="0" t="s">
        <v>222</v>
      </c>
      <c r="G29" s="2" t="n">
        <f aca="false">IF((E29="OK"),1,0)</f>
        <v>1</v>
      </c>
    </row>
    <row collapsed="false" customFormat="false" customHeight="false" hidden="false" ht="12.75" outlineLevel="0" r="30">
      <c r="A30" s="0" t="s">
        <v>255</v>
      </c>
      <c r="B30" s="0" t="s">
        <v>247</v>
      </c>
      <c r="C30" s="0" t="n">
        <v>320</v>
      </c>
      <c r="D30" s="0" t="n">
        <v>2920</v>
      </c>
      <c r="E30" s="0" t="s">
        <v>218</v>
      </c>
      <c r="F30" s="0" t="s">
        <v>222</v>
      </c>
      <c r="G30" s="2" t="n">
        <f aca="false">IF((E30="OK"),1,0)</f>
        <v>1</v>
      </c>
    </row>
    <row collapsed="false" customFormat="false" customHeight="false" hidden="false" ht="12.75" outlineLevel="0" r="31">
      <c r="A31" s="0" t="s">
        <v>256</v>
      </c>
      <c r="B31" s="0" t="s">
        <v>249</v>
      </c>
      <c r="C31" s="0" t="n">
        <v>1034</v>
      </c>
      <c r="E31" s="0" t="s">
        <v>218</v>
      </c>
      <c r="F31" s="0" t="s">
        <v>222</v>
      </c>
      <c r="G31" s="2" t="n">
        <f aca="false">IF((E31="OK"),1,0)</f>
        <v>1</v>
      </c>
    </row>
    <row collapsed="false" customFormat="false" customHeight="false" hidden="false" ht="12.75" outlineLevel="0" r="32">
      <c r="A32" s="0" t="s">
        <v>257</v>
      </c>
      <c r="B32" s="0" t="s">
        <v>252</v>
      </c>
      <c r="C32" s="0" t="n">
        <v>86140</v>
      </c>
      <c r="D32" s="0" t="n">
        <v>2894</v>
      </c>
      <c r="E32" s="0" t="s">
        <v>218</v>
      </c>
      <c r="F32" s="0" t="s">
        <v>222</v>
      </c>
      <c r="G32" s="2" t="n">
        <f aca="false">IF((E32="OK"),1,0)</f>
        <v>1</v>
      </c>
    </row>
    <row collapsed="false" customFormat="false" customHeight="false" hidden="false" ht="12.75" outlineLevel="0" r="33">
      <c r="A33" s="0" t="s">
        <v>258</v>
      </c>
      <c r="B33" s="0" t="s">
        <v>249</v>
      </c>
      <c r="C33" s="0" t="n">
        <v>2010</v>
      </c>
      <c r="E33" s="0" t="s">
        <v>218</v>
      </c>
      <c r="F33" s="0" t="s">
        <v>222</v>
      </c>
      <c r="G33" s="2" t="n">
        <f aca="false">IF((E33="OK"),1,0)</f>
        <v>1</v>
      </c>
    </row>
    <row collapsed="false" customFormat="false" customHeight="false" hidden="false" ht="12.75" outlineLevel="0" r="34">
      <c r="A34" s="0" t="s">
        <v>259</v>
      </c>
      <c r="B34" s="0" t="s">
        <v>249</v>
      </c>
      <c r="C34" s="0" t="n">
        <v>1931</v>
      </c>
      <c r="E34" s="0" t="s">
        <v>218</v>
      </c>
      <c r="F34" s="0" t="s">
        <v>244</v>
      </c>
      <c r="G34" s="2" t="n">
        <f aca="false">IF((E34="OK"),1,0)</f>
        <v>1</v>
      </c>
    </row>
    <row collapsed="false" customFormat="false" customHeight="false" hidden="false" ht="12.75" outlineLevel="0" r="35">
      <c r="A35" s="0" t="s">
        <v>260</v>
      </c>
      <c r="B35" s="0" t="s">
        <v>247</v>
      </c>
      <c r="C35" s="0" t="n">
        <v>314</v>
      </c>
      <c r="E35" s="0" t="s">
        <v>218</v>
      </c>
      <c r="F35" s="0" t="s">
        <v>244</v>
      </c>
      <c r="G35" s="2" t="n">
        <f aca="false">IF((E35="OK"),1,0)</f>
        <v>1</v>
      </c>
    </row>
    <row collapsed="false" customFormat="false" customHeight="false" hidden="false" ht="12.75" outlineLevel="0" r="36">
      <c r="A36" s="0" t="s">
        <v>261</v>
      </c>
      <c r="B36" s="0" t="s">
        <v>247</v>
      </c>
      <c r="C36" s="0" t="n">
        <v>167</v>
      </c>
      <c r="E36" s="0" t="s">
        <v>218</v>
      </c>
      <c r="F36" s="0" t="s">
        <v>228</v>
      </c>
      <c r="G36" s="2" t="n">
        <f aca="false">IF((E36="OK"),1,0)</f>
        <v>1</v>
      </c>
    </row>
    <row collapsed="false" customFormat="false" customHeight="false" hidden="false" ht="12.75" outlineLevel="0" r="37">
      <c r="A37" s="0" t="s">
        <v>262</v>
      </c>
      <c r="B37" s="0" t="s">
        <v>247</v>
      </c>
      <c r="C37" s="0" t="n">
        <v>309</v>
      </c>
      <c r="E37" s="0" t="s">
        <v>218</v>
      </c>
      <c r="F37" s="0" t="s">
        <v>228</v>
      </c>
      <c r="G37" s="2" t="n">
        <f aca="false">IF((E37="OK"),1,0)</f>
        <v>1</v>
      </c>
    </row>
    <row collapsed="false" customFormat="false" customHeight="false" hidden="false" ht="12.75" outlineLevel="0" r="38">
      <c r="A38" s="0" t="s">
        <v>263</v>
      </c>
      <c r="B38" s="0" t="s">
        <v>247</v>
      </c>
      <c r="C38" s="0" t="n">
        <v>299</v>
      </c>
      <c r="E38" s="0" t="s">
        <v>218</v>
      </c>
      <c r="F38" s="0" t="s">
        <v>228</v>
      </c>
      <c r="G38" s="2" t="n">
        <f aca="false">IF((E38="OK"),1,0)</f>
        <v>1</v>
      </c>
    </row>
    <row collapsed="false" customFormat="false" customHeight="false" hidden="false" ht="12.75" outlineLevel="0" r="39">
      <c r="A39" s="0" t="s">
        <v>264</v>
      </c>
      <c r="B39" s="0" t="s">
        <v>247</v>
      </c>
      <c r="C39" s="0" t="n">
        <v>316</v>
      </c>
      <c r="E39" s="0" t="s">
        <v>218</v>
      </c>
      <c r="F39" s="0" t="s">
        <v>232</v>
      </c>
      <c r="G39" s="2" t="n">
        <f aca="false">IF((E39="OK"),1,0)</f>
        <v>1</v>
      </c>
    </row>
    <row collapsed="false" customFormat="false" customHeight="false" hidden="false" ht="12.75" outlineLevel="0" r="40">
      <c r="A40" s="0" t="s">
        <v>265</v>
      </c>
      <c r="B40" s="0" t="s">
        <v>266</v>
      </c>
      <c r="C40" s="0" t="n">
        <v>1919</v>
      </c>
      <c r="E40" s="0" t="s">
        <v>218</v>
      </c>
      <c r="F40" s="0" t="s">
        <v>232</v>
      </c>
      <c r="G40" s="2" t="n">
        <f aca="false">IF((E40="OK"),1,0)</f>
        <v>1</v>
      </c>
    </row>
    <row collapsed="false" customFormat="false" customHeight="false" hidden="false" ht="12.75" outlineLevel="0" r="41">
      <c r="A41" s="0" t="s">
        <v>267</v>
      </c>
      <c r="B41" s="0" t="s">
        <v>247</v>
      </c>
      <c r="C41" s="0" t="n">
        <v>263</v>
      </c>
      <c r="E41" s="0" t="s">
        <v>218</v>
      </c>
      <c r="F41" s="0" t="s">
        <v>232</v>
      </c>
      <c r="G41" s="2" t="n">
        <f aca="false">IF((E41="OK"),1,0)</f>
        <v>1</v>
      </c>
    </row>
    <row collapsed="false" customFormat="false" customHeight="false" hidden="false" ht="12.75" outlineLevel="0" r="42">
      <c r="B42" s="0" t="s">
        <v>249</v>
      </c>
      <c r="C42" s="0" t="n">
        <v>1991</v>
      </c>
      <c r="E42" s="0" t="s">
        <v>268</v>
      </c>
      <c r="F42" s="0" t="s">
        <v>222</v>
      </c>
      <c r="G42" s="2" t="n">
        <f aca="false">IF((E42="OK"),1,0)</f>
        <v>0</v>
      </c>
    </row>
    <row collapsed="false" customFormat="false" customHeight="false" hidden="false" ht="12.75" outlineLevel="0" r="43">
      <c r="B43" s="0" t="s">
        <v>249</v>
      </c>
      <c r="C43" s="0" t="n">
        <v>1946</v>
      </c>
      <c r="E43" s="0" t="s">
        <v>268</v>
      </c>
      <c r="F43" s="0" t="s">
        <v>222</v>
      </c>
      <c r="G43" s="2" t="n">
        <f aca="false">IF((E43="OK"),1,0)</f>
        <v>0</v>
      </c>
    </row>
    <row collapsed="false" customFormat="false" customHeight="false" hidden="false" ht="12.75" outlineLevel="0" r="44">
      <c r="B44" s="0" t="s">
        <v>249</v>
      </c>
      <c r="C44" s="0" t="n">
        <v>1933</v>
      </c>
      <c r="E44" s="0" t="s">
        <v>268</v>
      </c>
      <c r="F44" s="0" t="s">
        <v>222</v>
      </c>
      <c r="G44" s="2" t="n">
        <f aca="false">IF((E44="OK"),1,0)</f>
        <v>0</v>
      </c>
    </row>
    <row collapsed="false" customFormat="false" customHeight="false" hidden="false" ht="12.75" outlineLevel="0" r="45">
      <c r="B45" s="0" t="s">
        <v>252</v>
      </c>
      <c r="C45" s="0" t="n">
        <v>86133</v>
      </c>
      <c r="D45" s="0" t="n">
        <v>2897</v>
      </c>
      <c r="E45" s="0" t="s">
        <v>268</v>
      </c>
      <c r="F45" s="0" t="s">
        <v>222</v>
      </c>
      <c r="G45" s="2" t="n">
        <f aca="false">IF((E45="OK"),1,0)</f>
        <v>0</v>
      </c>
    </row>
    <row collapsed="false" customFormat="false" customHeight="false" hidden="false" ht="12.75" outlineLevel="0" r="46">
      <c r="B46" s="0" t="s">
        <v>252</v>
      </c>
      <c r="C46" s="0" t="n">
        <v>86118</v>
      </c>
      <c r="D46" s="0" t="n">
        <v>2898</v>
      </c>
      <c r="E46" s="0" t="s">
        <v>268</v>
      </c>
      <c r="F46" s="0" t="s">
        <v>222</v>
      </c>
      <c r="G46" s="2" t="n">
        <f aca="false">IF((E46="OK"),1,0)</f>
        <v>0</v>
      </c>
    </row>
    <row collapsed="false" customFormat="false" customHeight="false" hidden="false" ht="12.75" outlineLevel="0" r="47">
      <c r="B47" s="0" t="s">
        <v>252</v>
      </c>
      <c r="C47" s="0" t="n">
        <v>86149</v>
      </c>
      <c r="D47" s="0" t="n">
        <v>2899</v>
      </c>
      <c r="E47" s="0" t="s">
        <v>268</v>
      </c>
      <c r="F47" s="0" t="s">
        <v>222</v>
      </c>
      <c r="G47" s="2" t="n">
        <f aca="false">IF((E47="OK"),1,0)</f>
        <v>0</v>
      </c>
    </row>
    <row collapsed="false" customFormat="false" customHeight="false" hidden="false" ht="12.75" outlineLevel="0" r="48">
      <c r="B48" s="0" t="s">
        <v>252</v>
      </c>
      <c r="C48" s="0" t="n">
        <v>86162</v>
      </c>
      <c r="D48" s="0" t="n">
        <v>2902</v>
      </c>
      <c r="E48" s="0" t="s">
        <v>268</v>
      </c>
      <c r="F48" s="0" t="s">
        <v>222</v>
      </c>
      <c r="G48" s="2" t="n">
        <f aca="false">IF((E48="OK"),1,0)</f>
        <v>0</v>
      </c>
    </row>
    <row collapsed="false" customFormat="false" customHeight="false" hidden="false" ht="12.75" outlineLevel="0" r="49">
      <c r="B49" s="0" t="s">
        <v>249</v>
      </c>
      <c r="C49" s="0" t="n">
        <v>2005</v>
      </c>
      <c r="D49" s="0" t="n">
        <v>2922</v>
      </c>
      <c r="E49" s="0" t="s">
        <v>268</v>
      </c>
      <c r="F49" s="0" t="s">
        <v>222</v>
      </c>
      <c r="G49" s="2" t="n">
        <f aca="false">IF((E49="OK"),1,0)</f>
        <v>0</v>
      </c>
    </row>
    <row collapsed="false" customFormat="false" customHeight="false" hidden="false" ht="12.75" outlineLevel="0" r="50">
      <c r="B50" s="0" t="s">
        <v>249</v>
      </c>
      <c r="C50" s="0" t="n">
        <v>1978</v>
      </c>
      <c r="D50" s="0" t="n">
        <v>2924</v>
      </c>
      <c r="E50" s="0" t="s">
        <v>268</v>
      </c>
      <c r="F50" s="0" t="s">
        <v>222</v>
      </c>
      <c r="G50" s="2" t="n">
        <f aca="false">IF((E50="OK"),1,0)</f>
        <v>0</v>
      </c>
    </row>
    <row collapsed="false" customFormat="false" customHeight="false" hidden="false" ht="12.75" outlineLevel="0" r="51">
      <c r="B51" s="0" t="s">
        <v>249</v>
      </c>
      <c r="C51" s="0" t="n">
        <v>1957</v>
      </c>
      <c r="D51" s="0" t="n">
        <v>2925</v>
      </c>
      <c r="E51" s="0" t="s">
        <v>268</v>
      </c>
      <c r="F51" s="0" t="s">
        <v>222</v>
      </c>
      <c r="G51" s="2" t="n">
        <f aca="false">IF((E51="OK"),1,0)</f>
        <v>0</v>
      </c>
    </row>
    <row collapsed="false" customFormat="false" customHeight="false" hidden="false" ht="12.75" outlineLevel="0" r="52">
      <c r="G52" s="2" t="n">
        <f aca="false">SUM(G24:G51)</f>
        <v>18</v>
      </c>
    </row>
    <row collapsed="false" customFormat="false" customHeight="false" hidden="false" ht="12.75" outlineLevel="0" r="53">
      <c r="G53" s="2" t="n">
        <f aca="false">IF((E53="OK"),1,0)</f>
        <v>0</v>
      </c>
    </row>
    <row collapsed="false" customFormat="false" customHeight="false" hidden="false" ht="12.75" outlineLevel="0" r="54">
      <c r="A54" s="0" t="s">
        <v>212</v>
      </c>
      <c r="B54" s="0" t="s">
        <v>58</v>
      </c>
      <c r="C54" s="0" t="s">
        <v>213</v>
      </c>
      <c r="D54" s="0" t="s">
        <v>214</v>
      </c>
      <c r="E54" s="0" t="s">
        <v>144</v>
      </c>
      <c r="F54" s="0" t="s">
        <v>215</v>
      </c>
      <c r="G54" s="2" t="n">
        <f aca="false">IF((E54="OK"),1,0)</f>
        <v>0</v>
      </c>
    </row>
    <row collapsed="false" customFormat="false" customHeight="false" hidden="false" ht="12.75" outlineLevel="0" r="55">
      <c r="A55" s="0" t="s">
        <v>269</v>
      </c>
      <c r="B55" s="0" t="s">
        <v>270</v>
      </c>
      <c r="C55" s="0" t="n">
        <v>4484</v>
      </c>
      <c r="E55" s="0" t="s">
        <v>218</v>
      </c>
      <c r="F55" s="0" t="s">
        <v>222</v>
      </c>
      <c r="G55" s="2" t="n">
        <f aca="false">IF((E55="OK"),1,0)</f>
        <v>1</v>
      </c>
    </row>
    <row collapsed="false" customFormat="false" customHeight="false" hidden="false" ht="12.75" outlineLevel="0" r="56">
      <c r="A56" s="0" t="s">
        <v>271</v>
      </c>
      <c r="B56" s="0" t="s">
        <v>272</v>
      </c>
      <c r="C56" s="0" t="n">
        <v>2003</v>
      </c>
      <c r="D56" s="0" t="n">
        <v>2928</v>
      </c>
      <c r="E56" s="0" t="s">
        <v>218</v>
      </c>
      <c r="F56" s="0" t="s">
        <v>222</v>
      </c>
      <c r="G56" s="2" t="n">
        <f aca="false">IF((E56="OK"),1,0)</f>
        <v>1</v>
      </c>
    </row>
    <row collapsed="false" customFormat="false" customHeight="false" hidden="false" ht="12.75" outlineLevel="0" r="57">
      <c r="A57" s="0" t="s">
        <v>273</v>
      </c>
      <c r="B57" s="0" t="s">
        <v>272</v>
      </c>
      <c r="C57" s="0" t="n">
        <v>2009</v>
      </c>
      <c r="D57" s="0" t="n">
        <v>2927</v>
      </c>
      <c r="E57" s="0" t="s">
        <v>218</v>
      </c>
      <c r="F57" s="0" t="s">
        <v>222</v>
      </c>
      <c r="G57" s="2" t="n">
        <f aca="false">IF((E57="OK"),1,0)</f>
        <v>1</v>
      </c>
    </row>
    <row collapsed="false" customFormat="false" customHeight="false" hidden="false" ht="12.75" outlineLevel="0" r="58">
      <c r="A58" s="0" t="s">
        <v>274</v>
      </c>
      <c r="B58" s="0" t="s">
        <v>275</v>
      </c>
      <c r="C58" s="0" t="n">
        <v>77</v>
      </c>
      <c r="D58" s="0" t="n">
        <v>2934</v>
      </c>
      <c r="E58" s="0" t="s">
        <v>218</v>
      </c>
      <c r="F58" s="0" t="s">
        <v>222</v>
      </c>
      <c r="G58" s="2" t="n">
        <f aca="false">IF((E58="OK"),1,0)</f>
        <v>1</v>
      </c>
    </row>
    <row collapsed="false" customFormat="false" customHeight="false" hidden="false" ht="12.75" outlineLevel="0" r="59">
      <c r="A59" s="0" t="s">
        <v>276</v>
      </c>
      <c r="B59" s="0" t="s">
        <v>272</v>
      </c>
      <c r="C59" s="0" t="n">
        <v>2033</v>
      </c>
      <c r="D59" s="0" t="n">
        <v>2931</v>
      </c>
      <c r="E59" s="0" t="s">
        <v>218</v>
      </c>
      <c r="F59" s="0" t="s">
        <v>222</v>
      </c>
      <c r="G59" s="2" t="n">
        <f aca="false">IF((E59="OK"),1,0)</f>
        <v>1</v>
      </c>
    </row>
    <row collapsed="false" customFormat="false" customHeight="false" hidden="false" ht="12.75" outlineLevel="0" r="60">
      <c r="A60" s="0" t="s">
        <v>277</v>
      </c>
      <c r="B60" s="0" t="s">
        <v>278</v>
      </c>
      <c r="C60" s="0" t="n">
        <v>264</v>
      </c>
      <c r="D60" s="0" t="n">
        <v>2932</v>
      </c>
      <c r="E60" s="0" t="s">
        <v>218</v>
      </c>
      <c r="F60" s="0" t="s">
        <v>222</v>
      </c>
      <c r="G60" s="2" t="n">
        <f aca="false">IF((E60="OK"),1,0)</f>
        <v>1</v>
      </c>
    </row>
    <row collapsed="false" customFormat="false" customHeight="false" hidden="false" ht="12.75" outlineLevel="0" r="61">
      <c r="A61" s="0" t="s">
        <v>279</v>
      </c>
      <c r="B61" s="0" t="s">
        <v>280</v>
      </c>
      <c r="C61" s="0" t="n">
        <v>86117</v>
      </c>
      <c r="D61" s="0" t="n">
        <v>2910</v>
      </c>
      <c r="E61" s="0" t="s">
        <v>218</v>
      </c>
      <c r="F61" s="0" t="s">
        <v>222</v>
      </c>
      <c r="G61" s="2" t="n">
        <f aca="false">IF((E61="OK"),1,0)</f>
        <v>1</v>
      </c>
    </row>
    <row collapsed="false" customFormat="false" customHeight="false" hidden="false" ht="12.75" outlineLevel="0" r="62">
      <c r="A62" s="0" t="s">
        <v>281</v>
      </c>
      <c r="B62" s="0" t="s">
        <v>280</v>
      </c>
      <c r="C62" s="0" t="n">
        <v>86134</v>
      </c>
      <c r="D62" s="0" t="n">
        <v>2911</v>
      </c>
      <c r="E62" s="0" t="s">
        <v>218</v>
      </c>
      <c r="F62" s="0" t="s">
        <v>222</v>
      </c>
      <c r="G62" s="2" t="n">
        <f aca="false">IF((E62="OK"),1,0)</f>
        <v>1</v>
      </c>
    </row>
    <row collapsed="false" customFormat="false" customHeight="false" hidden="false" ht="12.75" outlineLevel="0" r="63">
      <c r="A63" s="0" t="s">
        <v>282</v>
      </c>
      <c r="B63" s="0" t="s">
        <v>280</v>
      </c>
      <c r="C63" s="0" t="n">
        <v>86132</v>
      </c>
      <c r="D63" s="0" t="n">
        <v>2913</v>
      </c>
      <c r="E63" s="0" t="s">
        <v>218</v>
      </c>
      <c r="F63" s="0" t="s">
        <v>222</v>
      </c>
      <c r="G63" s="2" t="n">
        <f aca="false">IF((E63="OK"),1,0)</f>
        <v>1</v>
      </c>
    </row>
    <row collapsed="false" customFormat="false" customHeight="false" hidden="false" ht="12.75" outlineLevel="0" r="64">
      <c r="A64" s="0" t="s">
        <v>283</v>
      </c>
      <c r="B64" s="0" t="s">
        <v>280</v>
      </c>
      <c r="C64" s="0" t="n">
        <v>86107</v>
      </c>
      <c r="D64" s="0" t="n">
        <v>2195</v>
      </c>
      <c r="E64" s="0" t="s">
        <v>218</v>
      </c>
      <c r="F64" s="0" t="s">
        <v>222</v>
      </c>
      <c r="G64" s="2" t="n">
        <f aca="false">IF((E64="OK"),1,0)</f>
        <v>1</v>
      </c>
    </row>
    <row collapsed="false" customFormat="false" customHeight="false" hidden="false" ht="12.75" outlineLevel="0" r="65">
      <c r="A65" s="0" t="s">
        <v>284</v>
      </c>
      <c r="B65" s="0" t="s">
        <v>280</v>
      </c>
      <c r="C65" s="0" t="n">
        <v>86118</v>
      </c>
      <c r="D65" s="0" t="n">
        <v>2916</v>
      </c>
      <c r="E65" s="0" t="s">
        <v>218</v>
      </c>
      <c r="F65" s="0" t="s">
        <v>222</v>
      </c>
      <c r="G65" s="2" t="n">
        <f aca="false">IF((E65="OK"),1,0)</f>
        <v>1</v>
      </c>
    </row>
    <row collapsed="false" customFormat="false" customHeight="false" hidden="false" ht="12.75" outlineLevel="0" r="66">
      <c r="A66" s="0" t="s">
        <v>285</v>
      </c>
      <c r="B66" s="0" t="s">
        <v>286</v>
      </c>
      <c r="C66" s="0" t="n">
        <v>839</v>
      </c>
      <c r="E66" s="0" t="s">
        <v>218</v>
      </c>
      <c r="F66" s="0" t="s">
        <v>222</v>
      </c>
      <c r="G66" s="2" t="n">
        <f aca="false">IF((E66="OK"),1,0)</f>
        <v>1</v>
      </c>
    </row>
    <row collapsed="false" customFormat="false" customHeight="false" hidden="false" ht="12.75" outlineLevel="0" r="67">
      <c r="A67" s="0" t="s">
        <v>287</v>
      </c>
      <c r="B67" s="0" t="s">
        <v>272</v>
      </c>
      <c r="C67" s="0" t="n">
        <v>1972</v>
      </c>
      <c r="E67" s="0" t="s">
        <v>218</v>
      </c>
      <c r="F67" s="0" t="s">
        <v>222</v>
      </c>
      <c r="G67" s="2" t="n">
        <f aca="false">IF((E67="OK"),1,0)</f>
        <v>1</v>
      </c>
    </row>
    <row collapsed="false" customFormat="false" customHeight="false" hidden="false" ht="12.75" outlineLevel="0" r="68">
      <c r="A68" s="0" t="s">
        <v>288</v>
      </c>
      <c r="B68" s="0" t="s">
        <v>272</v>
      </c>
      <c r="C68" s="0" t="n">
        <v>1981</v>
      </c>
      <c r="E68" s="0" t="s">
        <v>218</v>
      </c>
      <c r="F68" s="0" t="s">
        <v>222</v>
      </c>
      <c r="G68" s="2" t="n">
        <f aca="false">IF((E68="OK"),1,0)</f>
        <v>0</v>
      </c>
    </row>
    <row collapsed="false" customFormat="false" customHeight="false" hidden="false" ht="12.75" outlineLevel="0" r="69">
      <c r="A69" s="0" t="s">
        <v>289</v>
      </c>
      <c r="B69" s="0" t="s">
        <v>272</v>
      </c>
      <c r="C69" s="0" t="n">
        <v>1951</v>
      </c>
      <c r="E69" s="0" t="s">
        <v>218</v>
      </c>
      <c r="F69" s="0" t="s">
        <v>244</v>
      </c>
      <c r="G69" s="2" t="n">
        <f aca="false">IF((E69="OK"),1,0)</f>
        <v>1</v>
      </c>
    </row>
    <row collapsed="false" customFormat="false" customHeight="false" hidden="false" ht="12.75" outlineLevel="0" r="70">
      <c r="A70" s="0" t="s">
        <v>290</v>
      </c>
      <c r="B70" s="0" t="s">
        <v>278</v>
      </c>
      <c r="C70" s="0" t="n">
        <v>313</v>
      </c>
      <c r="E70" s="0" t="s">
        <v>218</v>
      </c>
      <c r="F70" s="0" t="s">
        <v>244</v>
      </c>
      <c r="G70" s="2" t="n">
        <f aca="false">IF((E70="OK"),1,0)</f>
        <v>1</v>
      </c>
    </row>
    <row collapsed="false" customFormat="false" customHeight="false" hidden="false" ht="12.75" outlineLevel="0" r="71">
      <c r="A71" s="0" t="s">
        <v>291</v>
      </c>
      <c r="B71" s="0" t="s">
        <v>278</v>
      </c>
      <c r="C71" s="0" t="n">
        <v>176</v>
      </c>
      <c r="E71" s="0" t="s">
        <v>218</v>
      </c>
      <c r="F71" s="0" t="s">
        <v>228</v>
      </c>
      <c r="G71" s="2" t="n">
        <f aca="false">IF((E71="OK"),1,0)</f>
        <v>1</v>
      </c>
    </row>
    <row collapsed="false" customFormat="false" customHeight="false" hidden="false" ht="12.75" outlineLevel="0" r="72">
      <c r="A72" s="0" t="s">
        <v>292</v>
      </c>
      <c r="B72" s="0" t="s">
        <v>275</v>
      </c>
      <c r="C72" s="0" t="n">
        <v>69</v>
      </c>
      <c r="E72" s="0" t="s">
        <v>218</v>
      </c>
      <c r="F72" s="0" t="s">
        <v>228</v>
      </c>
      <c r="G72" s="2" t="n">
        <f aca="false">IF((E72="OK"),1,0)</f>
        <v>1</v>
      </c>
    </row>
    <row collapsed="false" customFormat="false" customHeight="false" hidden="false" ht="12.75" outlineLevel="0" r="73">
      <c r="A73" s="0" t="s">
        <v>293</v>
      </c>
      <c r="B73" s="0" t="s">
        <v>272</v>
      </c>
      <c r="C73" s="0" t="n">
        <v>1986</v>
      </c>
      <c r="E73" s="0" t="s">
        <v>218</v>
      </c>
      <c r="F73" s="0" t="s">
        <v>228</v>
      </c>
      <c r="G73" s="2" t="n">
        <f aca="false">IF((E73="OK"),1,0)</f>
        <v>1</v>
      </c>
    </row>
    <row collapsed="false" customFormat="false" customHeight="false" hidden="false" ht="12.75" outlineLevel="0" r="74">
      <c r="A74" s="0" t="s">
        <v>294</v>
      </c>
      <c r="B74" s="0" t="s">
        <v>272</v>
      </c>
      <c r="C74" s="0" t="n">
        <v>1948</v>
      </c>
      <c r="E74" s="0" t="s">
        <v>218</v>
      </c>
      <c r="F74" s="0" t="s">
        <v>232</v>
      </c>
      <c r="G74" s="2" t="n">
        <f aca="false">IF((E74="OK"),1,0)</f>
        <v>1</v>
      </c>
    </row>
    <row collapsed="false" customFormat="false" customHeight="false" hidden="false" ht="12.75" outlineLevel="0" r="75">
      <c r="A75" s="0" t="s">
        <v>295</v>
      </c>
      <c r="B75" s="0" t="s">
        <v>278</v>
      </c>
      <c r="C75" s="0" t="n">
        <v>272</v>
      </c>
      <c r="E75" s="0" t="s">
        <v>218</v>
      </c>
      <c r="F75" s="0" t="s">
        <v>232</v>
      </c>
      <c r="G75" s="2" t="n">
        <f aca="false">IF((E75="OK"),1,0)</f>
        <v>1</v>
      </c>
    </row>
    <row collapsed="false" customFormat="false" customHeight="false" hidden="false" ht="12.75" outlineLevel="0" r="76">
      <c r="A76" s="0" t="s">
        <v>296</v>
      </c>
      <c r="B76" s="0" t="s">
        <v>278</v>
      </c>
      <c r="C76" s="0" t="n">
        <v>266</v>
      </c>
      <c r="E76" s="0" t="s">
        <v>218</v>
      </c>
      <c r="F76" s="0" t="s">
        <v>232</v>
      </c>
      <c r="G76" s="2" t="n">
        <f aca="false">IF((E76="OK"),1,0)</f>
        <v>1</v>
      </c>
    </row>
    <row collapsed="false" customFormat="false" customHeight="false" hidden="false" ht="12.75" outlineLevel="0" r="77">
      <c r="B77" s="0" t="s">
        <v>272</v>
      </c>
      <c r="C77" s="0" t="n">
        <v>9439</v>
      </c>
      <c r="E77" s="0" t="s">
        <v>268</v>
      </c>
      <c r="F77" s="0" t="s">
        <v>222</v>
      </c>
      <c r="G77" s="2" t="n">
        <f aca="false">IF((E77="OK"),1,0)</f>
        <v>0</v>
      </c>
    </row>
    <row collapsed="false" customFormat="false" customHeight="false" hidden="false" ht="12.75" outlineLevel="0" r="78">
      <c r="B78" s="0" t="s">
        <v>280</v>
      </c>
      <c r="C78" s="0" t="n">
        <v>86163</v>
      </c>
      <c r="D78" s="0" t="n">
        <v>2914</v>
      </c>
      <c r="E78" s="0" t="s">
        <v>268</v>
      </c>
      <c r="F78" s="0" t="s">
        <v>222</v>
      </c>
      <c r="G78" s="2" t="n">
        <f aca="false">IF((E78="OK"),1,0)</f>
        <v>0</v>
      </c>
    </row>
    <row collapsed="false" customFormat="false" customHeight="false" hidden="false" ht="12.75" outlineLevel="0" r="79">
      <c r="B79" s="0" t="s">
        <v>280</v>
      </c>
      <c r="C79" s="0" t="n">
        <v>86169</v>
      </c>
      <c r="D79" s="0" t="n">
        <v>2912</v>
      </c>
      <c r="E79" s="0" t="s">
        <v>268</v>
      </c>
      <c r="F79" s="0" t="s">
        <v>222</v>
      </c>
      <c r="G79" s="2" t="n">
        <f aca="false">IF((E79="OK"),1,0)</f>
        <v>0</v>
      </c>
    </row>
    <row collapsed="false" customFormat="false" customHeight="false" hidden="false" ht="12.75" outlineLevel="0" r="80">
      <c r="B80" s="0" t="s">
        <v>272</v>
      </c>
      <c r="C80" s="0" t="n">
        <v>2010</v>
      </c>
      <c r="D80" s="0" t="n">
        <v>2929</v>
      </c>
      <c r="E80" s="0" t="s">
        <v>268</v>
      </c>
      <c r="F80" s="0" t="s">
        <v>222</v>
      </c>
      <c r="G80" s="2" t="n">
        <f aca="false">IF((E80="OK"),1,0)</f>
        <v>0</v>
      </c>
    </row>
    <row collapsed="false" customFormat="false" customHeight="false" hidden="false" ht="12.75" outlineLevel="0" r="81">
      <c r="B81" s="0" t="s">
        <v>278</v>
      </c>
      <c r="C81" s="0" t="n">
        <v>317</v>
      </c>
      <c r="D81" s="0" t="n">
        <v>2933</v>
      </c>
      <c r="E81" s="0" t="s">
        <v>268</v>
      </c>
      <c r="F81" s="0" t="s">
        <v>222</v>
      </c>
      <c r="G81" s="2" t="n">
        <f aca="false">IF((E81="OK"),1,0)</f>
        <v>0</v>
      </c>
    </row>
    <row collapsed="false" customFormat="false" customHeight="false" hidden="false" ht="12.75" outlineLevel="0" r="82">
      <c r="G82" s="2" t="n">
        <f aca="false">SUM(G55:G81)</f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" min="1" style="0" width="17.1326530612245"/>
    <col collapsed="false" hidden="false" max="2" min="2" style="0" width="23.1377551020408"/>
    <col collapsed="false" hidden="false" max="3" min="3" style="0" width="4.42857142857143"/>
    <col collapsed="false" hidden="false" max="4" min="4" style="0" width="10.8622448979592"/>
    <col collapsed="false" hidden="false" max="5" min="5" style="0" width="9.5765306122449"/>
    <col collapsed="false" hidden="false" max="6" min="6" style="0" width="11.4285714285714"/>
    <col collapsed="false" hidden="false" max="7" min="7" style="0" width="7.56632653061225"/>
    <col collapsed="false" hidden="false" max="8" min="8" style="0" width="9.43367346938776"/>
    <col collapsed="false" hidden="false" max="9" min="9" style="0" width="9.13265306122449"/>
    <col collapsed="false" hidden="false" max="1025" min="10" style="0" width="17.1326530612245"/>
  </cols>
  <sheetData>
    <row collapsed="false" customFormat="false" customHeight="false" hidden="false" ht="12.75" outlineLevel="0" r="1">
      <c r="A1" s="4"/>
      <c r="B1" s="5"/>
      <c r="C1" s="6" t="s">
        <v>111</v>
      </c>
      <c r="D1" s="6" t="s">
        <v>21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7" t="s">
        <v>117</v>
      </c>
    </row>
    <row collapsed="false" customFormat="false" customHeight="false" hidden="false" ht="12.75" outlineLevel="0" r="2">
      <c r="A2" s="6" t="s">
        <v>118</v>
      </c>
      <c r="B2" s="6" t="s">
        <v>119</v>
      </c>
      <c r="C2" s="6" t="n">
        <v>120</v>
      </c>
      <c r="D2" s="6" t="n">
        <v>250</v>
      </c>
      <c r="E2" s="6" t="n">
        <f aca="false">(C2*3600)*24</f>
        <v>10368000</v>
      </c>
      <c r="F2" s="6" t="n">
        <f aca="false">(D2*E2)/1000000</f>
        <v>2592</v>
      </c>
      <c r="G2" s="6" t="n">
        <f aca="false">F2*2</f>
        <v>5184</v>
      </c>
      <c r="H2" s="6" t="n">
        <f aca="false">(G2/1.5)*75</f>
        <v>259200</v>
      </c>
      <c r="I2" s="6" t="n">
        <f aca="false">(G2/2.5)*75</f>
        <v>155520</v>
      </c>
      <c r="J2" s="7" t="n">
        <f aca="false">F2/2.5</f>
        <v>1036.8</v>
      </c>
    </row>
    <row collapsed="false" customFormat="false" customHeight="false" hidden="false" ht="12.75" outlineLevel="0" r="3">
      <c r="A3" s="6" t="s">
        <v>120</v>
      </c>
      <c r="B3" s="6" t="s">
        <v>121</v>
      </c>
      <c r="C3" s="6" t="n">
        <v>60</v>
      </c>
      <c r="D3" s="6" t="n">
        <v>250</v>
      </c>
      <c r="E3" s="6" t="n">
        <f aca="false">(C3*3600)*24</f>
        <v>5184000</v>
      </c>
      <c r="F3" s="6" t="n">
        <f aca="false">(D3*E3)/1000000</f>
        <v>1296</v>
      </c>
      <c r="G3" s="6" t="n">
        <f aca="false">F3*2</f>
        <v>2592</v>
      </c>
      <c r="H3" s="6" t="n">
        <f aca="false">(G3/1.5)*75</f>
        <v>129600</v>
      </c>
      <c r="I3" s="6" t="n">
        <f aca="false">(G3/2.5)*75</f>
        <v>77760</v>
      </c>
      <c r="J3" s="7" t="n">
        <f aca="false">F3/2.5</f>
        <v>518.4</v>
      </c>
    </row>
    <row collapsed="false" customFormat="false" customHeight="false" hidden="false" ht="12.75" outlineLevel="0" r="4">
      <c r="A4" s="6" t="s">
        <v>122</v>
      </c>
      <c r="B4" s="6" t="s">
        <v>123</v>
      </c>
      <c r="C4" s="6" t="n">
        <v>90</v>
      </c>
      <c r="D4" s="6" t="n">
        <v>250</v>
      </c>
      <c r="E4" s="6" t="n">
        <f aca="false">(C4*3600)*24</f>
        <v>7776000</v>
      </c>
      <c r="F4" s="6" t="n">
        <f aca="false">(D4*E4)/1000000</f>
        <v>1944</v>
      </c>
      <c r="G4" s="6" t="n">
        <f aca="false">F4*2</f>
        <v>3888</v>
      </c>
      <c r="H4" s="6" t="n">
        <f aca="false">(G4/1.5)*75</f>
        <v>194400</v>
      </c>
      <c r="I4" s="6" t="n">
        <f aca="false">(G4/2.5)*75</f>
        <v>116640</v>
      </c>
      <c r="J4" s="7" t="n">
        <f aca="false">F4/2.5</f>
        <v>777.6</v>
      </c>
    </row>
    <row collapsed="false" customFormat="false" customHeight="false" hidden="false" ht="12.75" outlineLevel="0" r="5">
      <c r="A5" s="6" t="s">
        <v>124</v>
      </c>
      <c r="B5" s="6" t="s">
        <v>125</v>
      </c>
      <c r="C5" s="6" t="n">
        <v>35</v>
      </c>
      <c r="D5" s="6" t="n">
        <v>250</v>
      </c>
      <c r="E5" s="6" t="n">
        <f aca="false">(C5*3600)*24</f>
        <v>3024000</v>
      </c>
      <c r="F5" s="6" t="n">
        <f aca="false">(D5*E5)/1000000</f>
        <v>756</v>
      </c>
      <c r="G5" s="6" t="n">
        <f aca="false">F5*2</f>
        <v>1512</v>
      </c>
      <c r="H5" s="6" t="n">
        <f aca="false">(G5/1.5)*75</f>
        <v>75600</v>
      </c>
      <c r="I5" s="6" t="n">
        <f aca="false">(G5/2.5)*75</f>
        <v>45360</v>
      </c>
      <c r="J5" s="7" t="n">
        <f aca="false">F5/2.5</f>
        <v>302.4</v>
      </c>
    </row>
    <row collapsed="false" customFormat="false" customHeight="false" hidden="false" ht="12.75" outlineLevel="0" r="6">
      <c r="A6" s="6" t="s">
        <v>126</v>
      </c>
      <c r="B6" s="6" t="s">
        <v>127</v>
      </c>
      <c r="C6" s="6" t="n">
        <v>169</v>
      </c>
      <c r="D6" s="6" t="n">
        <v>250</v>
      </c>
      <c r="E6" s="6" t="n">
        <f aca="false">(C6*3600)*24</f>
        <v>14601600</v>
      </c>
      <c r="F6" s="6" t="n">
        <f aca="false">(D6*E6)/1000000</f>
        <v>3650.4</v>
      </c>
      <c r="G6" s="6" t="n">
        <f aca="false">F6*2</f>
        <v>7300.8</v>
      </c>
      <c r="H6" s="6" t="n">
        <f aca="false">(G6/1.5)*75</f>
        <v>365040</v>
      </c>
      <c r="I6" s="6" t="n">
        <f aca="false">(G6/2.5)*75</f>
        <v>219024</v>
      </c>
      <c r="J6" s="7" t="n">
        <f aca="false">F6/2.5</f>
        <v>1460.16</v>
      </c>
    </row>
    <row collapsed="false" customFormat="false" customHeight="false" hidden="false" ht="12.75" outlineLevel="0" r="7">
      <c r="A7" s="6" t="s">
        <v>128</v>
      </c>
      <c r="B7" s="6" t="s">
        <v>129</v>
      </c>
      <c r="C7" s="6" t="n">
        <v>45</v>
      </c>
      <c r="D7" s="6" t="n">
        <v>250</v>
      </c>
      <c r="E7" s="6" t="n">
        <f aca="false">(C7*3600)*24</f>
        <v>3888000</v>
      </c>
      <c r="F7" s="6" t="n">
        <f aca="false">(D7*E7)/1000000</f>
        <v>972</v>
      </c>
      <c r="G7" s="6" t="n">
        <f aca="false">F7*2</f>
        <v>1944</v>
      </c>
      <c r="H7" s="6" t="n">
        <f aca="false">(G7/1.5)*75</f>
        <v>97200</v>
      </c>
      <c r="I7" s="6" t="n">
        <f aca="false">(G7/2.5)*75</f>
        <v>58320</v>
      </c>
      <c r="J7" s="7" t="n">
        <f aca="false">F7/2.5</f>
        <v>388.8</v>
      </c>
    </row>
    <row collapsed="false" customFormat="false" customHeight="false" hidden="false" ht="12.75" outlineLevel="0" r="8">
      <c r="A8" s="6" t="s">
        <v>130</v>
      </c>
      <c r="B8" s="6" t="s">
        <v>88</v>
      </c>
      <c r="C8" s="6" t="n">
        <v>50</v>
      </c>
      <c r="D8" s="6" t="n">
        <v>250</v>
      </c>
      <c r="E8" s="6" t="n">
        <f aca="false">(C8*3600)*24</f>
        <v>4320000</v>
      </c>
      <c r="F8" s="6" t="n">
        <f aca="false">(D8*E8)/1000000</f>
        <v>1080</v>
      </c>
      <c r="G8" s="6" t="n">
        <f aca="false">F8*2</f>
        <v>2160</v>
      </c>
      <c r="H8" s="6" t="n">
        <f aca="false">(G8/1.5)*75</f>
        <v>108000</v>
      </c>
      <c r="I8" s="6" t="n">
        <f aca="false">(G8/2.5)*75</f>
        <v>64800</v>
      </c>
      <c r="J8" s="7" t="n">
        <f aca="false">F8/2.5</f>
        <v>432</v>
      </c>
    </row>
    <row collapsed="false" customFormat="false" customHeight="false" hidden="false" ht="12.75" outlineLevel="0" r="9">
      <c r="A9" s="6" t="s">
        <v>131</v>
      </c>
      <c r="B9" s="6" t="s">
        <v>96</v>
      </c>
      <c r="C9" s="6" t="n">
        <v>25</v>
      </c>
      <c r="D9" s="6" t="n">
        <v>250</v>
      </c>
      <c r="E9" s="6" t="n">
        <f aca="false">(C9*3600)*24</f>
        <v>2160000</v>
      </c>
      <c r="F9" s="6" t="n">
        <f aca="false">(D9*E9)/1000000</f>
        <v>540</v>
      </c>
      <c r="G9" s="6" t="n">
        <f aca="false">F9*2</f>
        <v>1080</v>
      </c>
      <c r="H9" s="6" t="n">
        <f aca="false">(G9/1.5)*75</f>
        <v>54000</v>
      </c>
      <c r="I9" s="6" t="n">
        <f aca="false">(G9/2.5)*75</f>
        <v>32400</v>
      </c>
      <c r="J9" s="7" t="n">
        <f aca="false">F9/2.5</f>
        <v>216</v>
      </c>
    </row>
    <row collapsed="false" customFormat="false" customHeight="false" hidden="false" ht="12.75" outlineLevel="0" r="10">
      <c r="A10" s="6" t="s">
        <v>132</v>
      </c>
      <c r="B10" s="6" t="s">
        <v>100</v>
      </c>
      <c r="C10" s="6" t="n">
        <v>64</v>
      </c>
      <c r="D10" s="6" t="n">
        <v>250</v>
      </c>
      <c r="E10" s="6" t="n">
        <f aca="false">(C10*3600)*24</f>
        <v>5529600</v>
      </c>
      <c r="F10" s="6" t="n">
        <f aca="false">(D10*E10)/1000000</f>
        <v>1382.4</v>
      </c>
      <c r="G10" s="8" t="n">
        <f aca="false">F10*2</f>
        <v>2764.8</v>
      </c>
      <c r="H10" s="8" t="n">
        <f aca="false">(G10/1.5)*75</f>
        <v>138240</v>
      </c>
      <c r="I10" s="8" t="n">
        <f aca="false">(G10/2.5)*75</f>
        <v>82944</v>
      </c>
      <c r="J10" s="7" t="n">
        <f aca="false">F10/2.5</f>
        <v>552.96</v>
      </c>
    </row>
    <row collapsed="false" customFormat="false" customHeight="false" hidden="false" ht="12.75" outlineLevel="0" r="11">
      <c r="A11" s="6"/>
      <c r="B11" s="6"/>
      <c r="C11" s="6"/>
      <c r="D11" s="6"/>
      <c r="E11" s="6"/>
      <c r="F11" s="6"/>
      <c r="G11" s="9"/>
      <c r="H11" s="9"/>
      <c r="I11" s="9"/>
      <c r="J11" s="7"/>
    </row>
    <row collapsed="false" customFormat="false" customHeight="false" hidden="false" ht="12.75" outlineLevel="0" r="12">
      <c r="A12" s="6"/>
      <c r="B12" s="6"/>
      <c r="C12" s="6"/>
      <c r="D12" s="6"/>
      <c r="E12" s="6"/>
      <c r="F12" s="6"/>
      <c r="G12" s="9"/>
      <c r="H12" s="9"/>
      <c r="I12" s="9"/>
      <c r="J12" s="7"/>
    </row>
    <row collapsed="false" customFormat="false" customHeight="false" hidden="false" ht="12.75" outlineLevel="0" r="13">
      <c r="A13" s="6"/>
      <c r="B13" s="6"/>
      <c r="C13" s="6"/>
      <c r="D13" s="6"/>
      <c r="E13" s="6"/>
      <c r="F13" s="6"/>
      <c r="G13" s="9"/>
      <c r="H13" s="9" t="n">
        <f aca="false">SUM(H7:H10)</f>
        <v>397440</v>
      </c>
      <c r="I13" s="9" t="n">
        <f aca="false">SUM(I7:I10)</f>
        <v>238464</v>
      </c>
      <c r="J13" s="7"/>
    </row>
    <row collapsed="false" customFormat="false" customHeight="false" hidden="false" ht="12.75" outlineLevel="0" r="14">
      <c r="A14" s="6"/>
      <c r="B14" s="6"/>
      <c r="C14" s="6"/>
      <c r="D14" s="6"/>
      <c r="E14" s="6"/>
      <c r="F14" s="6"/>
      <c r="G14" s="10"/>
      <c r="H14" s="9"/>
      <c r="I14" s="9"/>
      <c r="J14" s="7"/>
    </row>
    <row collapsed="false" customFormat="false" customHeight="false" hidden="false" ht="12.75" outlineLevel="0" r="15">
      <c r="A15" s="6"/>
      <c r="B15" s="6" t="s">
        <v>71</v>
      </c>
      <c r="C15" s="6" t="n">
        <f aca="false">#ref!</f>
        <v>0</v>
      </c>
      <c r="D15" s="6"/>
      <c r="E15" s="6" t="n">
        <f aca="false">#ref!</f>
        <v>0</v>
      </c>
      <c r="F15" s="6" t="n">
        <f aca="false">#ref!</f>
        <v>0</v>
      </c>
      <c r="G15" s="11" t="n">
        <f aca="false">2*F15</f>
        <v>0</v>
      </c>
      <c r="H15" s="1" t="n">
        <f aca="false">#ref!</f>
        <v>0</v>
      </c>
      <c r="I15" s="12" t="n">
        <f aca="false">#ref!</f>
        <v>0</v>
      </c>
      <c r="J15" s="7" t="n">
        <v>4096</v>
      </c>
    </row>
    <row collapsed="false" customFormat="false" customHeight="false" hidden="false" ht="12.75" outlineLevel="0" r="16">
      <c r="A16" s="6" t="s">
        <v>133</v>
      </c>
      <c r="B16" s="6" t="s">
        <v>134</v>
      </c>
      <c r="C16" s="6"/>
      <c r="D16" s="6" t="s">
        <v>135</v>
      </c>
      <c r="E16" s="11"/>
      <c r="F16" s="13"/>
      <c r="G16" s="1" t="s">
        <v>136</v>
      </c>
      <c r="H16" s="1" t="n">
        <f aca="false">H15/B17</f>
        <v>0</v>
      </c>
      <c r="I16" s="1" t="n">
        <f aca="false">I15/B17</f>
        <v>0</v>
      </c>
    </row>
    <row collapsed="false" customFormat="false" customHeight="false" hidden="false" ht="12.75" outlineLevel="0" r="17">
      <c r="A17" s="6" t="n">
        <f aca="false">C17*2</f>
        <v>948</v>
      </c>
      <c r="B17" s="14" t="n">
        <f aca="false">A17/365</f>
        <v>2.5972602739726</v>
      </c>
      <c r="C17" s="6" t="n">
        <f aca="false">SUM(C2:C6)</f>
        <v>474</v>
      </c>
      <c r="D17" s="6" t="n">
        <f aca="false">(C17*24)*3600</f>
        <v>40953600</v>
      </c>
      <c r="E17" s="15"/>
      <c r="F17" s="1"/>
    </row>
    <row collapsed="false" customFormat="false" customHeight="false" hidden="false" ht="12.75" outlineLevel="0" r="18">
      <c r="A18" s="13"/>
      <c r="B18" s="13"/>
      <c r="C18" s="13"/>
      <c r="D18" s="13"/>
      <c r="E18" s="1"/>
      <c r="F18" s="1"/>
    </row>
    <row collapsed="false" customFormat="false" customHeight="false" hidden="false" ht="12.75" outlineLevel="0" r="19">
      <c r="A19" s="1"/>
      <c r="B19" s="1"/>
      <c r="C19" s="1"/>
      <c r="D19" s="1"/>
      <c r="E19" s="1"/>
      <c r="F19" s="1"/>
      <c r="J19" s="2" t="n">
        <f aca="false">(75*J15)*2</f>
        <v>614400</v>
      </c>
    </row>
    <row collapsed="false" customFormat="false" customHeight="false" hidden="false" ht="12.75" outlineLevel="0" r="25">
      <c r="B25" s="0" t="s">
        <v>137</v>
      </c>
      <c r="D25" s="0" t="s">
        <v>138</v>
      </c>
    </row>
    <row collapsed="false" customFormat="false" customHeight="false" hidden="false" ht="12.75" outlineLevel="0" r="26">
      <c r="B26" s="0" t="n">
        <v>500</v>
      </c>
      <c r="D26" s="2" t="n">
        <f aca="false">D17*$B$26</f>
        <v>20476800000</v>
      </c>
    </row>
    <row collapsed="false" customFormat="false" customHeight="false" hidden="false" ht="12.75" outlineLevel="0" r="27">
      <c r="D27" s="0" t="s">
        <v>139</v>
      </c>
    </row>
    <row collapsed="false" customFormat="false" customHeight="false" hidden="false" ht="12.75" outlineLevel="0" r="28">
      <c r="D28" s="2" t="n">
        <f aca="false">D26/1000000</f>
        <v>20476.8</v>
      </c>
    </row>
    <row collapsed="false" customFormat="false" customHeight="false" hidden="false" ht="12.75" outlineLevel="0" r="30">
      <c r="D30" s="0" t="s">
        <v>140</v>
      </c>
    </row>
    <row collapsed="false" customFormat="false" customHeight="false" hidden="false" ht="12.75" outlineLevel="0" r="31">
      <c r="B31" s="0" t="s">
        <v>141</v>
      </c>
      <c r="D31" s="2" t="n">
        <f aca="false">D28/B32</f>
        <v>8190.72</v>
      </c>
    </row>
    <row collapsed="false" customFormat="false" customHeight="false" hidden="false" ht="12.75" outlineLevel="0" r="32">
      <c r="B32" s="0" t="n">
        <v>2.5</v>
      </c>
      <c r="D32" s="0" t="s">
        <v>142</v>
      </c>
    </row>
    <row collapsed="false" customFormat="false" customHeight="false" hidden="false" ht="12.75" outlineLevel="0" r="33">
      <c r="D33" s="2" t="n">
        <f aca="false">D31*75</f>
        <v>614304</v>
      </c>
    </row>
    <row collapsed="false" customFormat="false" customHeight="false" hidden="false" ht="12.75" outlineLevel="0" r="55">
      <c r="C55" s="0" t="s">
        <v>114</v>
      </c>
    </row>
    <row collapsed="false" customFormat="false" customHeight="false" hidden="false" ht="12.75" outlineLevel="0" r="56">
      <c r="C56" s="2" t="n">
        <f aca="false">D33*2</f>
        <v>1228608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" min="1" style="0" width="14.0051020408163"/>
    <col collapsed="false" hidden="false" max="2" min="2" style="0" width="9.5765306122449"/>
    <col collapsed="false" hidden="false" max="3" min="3" style="0" width="8"/>
    <col collapsed="false" hidden="false" max="4" min="4" style="0" width="7.29081632653061"/>
    <col collapsed="false" hidden="false" max="5" min="5" style="0" width="11.7091836734694"/>
    <col collapsed="false" hidden="false" max="6" min="6" style="0" width="12.2908163265306"/>
    <col collapsed="false" hidden="false" max="7" min="7" style="0" width="10"/>
    <col collapsed="false" hidden="false" max="8" min="8" style="0" width="11.4285714285714"/>
    <col collapsed="false" hidden="false" max="9" min="9" style="0" width="11.2959183673469"/>
    <col collapsed="false" hidden="false" max="10" min="10" style="0" width="12.5714285714286"/>
    <col collapsed="false" hidden="false" max="11" min="11" style="0" width="10"/>
    <col collapsed="false" hidden="false" max="1025" min="12" style="0" width="17.1326530612245"/>
  </cols>
  <sheetData>
    <row collapsed="false" customFormat="false" customHeight="false" hidden="false" ht="12.75" outlineLevel="0" r="1">
      <c r="A1" s="1" t="s">
        <v>56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  <c r="G1" s="1"/>
      <c r="H1" s="1"/>
      <c r="I1" s="1" t="s">
        <v>61</v>
      </c>
      <c r="J1" s="1" t="s">
        <v>62</v>
      </c>
      <c r="K1" s="1" t="s">
        <v>32</v>
      </c>
      <c r="L1" s="3" t="s">
        <v>63</v>
      </c>
      <c r="M1" s="1" t="s">
        <v>64</v>
      </c>
      <c r="N1" s="1" t="s">
        <v>65</v>
      </c>
      <c r="O1" s="1" t="s">
        <v>66</v>
      </c>
      <c r="P1" s="1" t="n">
        <v>2000</v>
      </c>
      <c r="Q1" s="1"/>
      <c r="R1" s="1"/>
      <c r="S1" s="1"/>
      <c r="T1" s="1"/>
      <c r="U1" s="1"/>
      <c r="V1" s="1"/>
    </row>
    <row collapsed="false" customFormat="false" customHeight="false" hidden="false" ht="12.75" outlineLevel="0" r="2">
      <c r="A2" s="1" t="s">
        <v>13</v>
      </c>
      <c r="B2" s="1" t="n">
        <f aca="false">$P$1</f>
        <v>2000</v>
      </c>
      <c r="C2" s="1" t="s">
        <v>14</v>
      </c>
      <c r="D2" s="1"/>
      <c r="E2" s="1" t="n">
        <f aca="false">CEILING((B2/16),1,1)</f>
        <v>125</v>
      </c>
      <c r="F2" s="1" t="n">
        <v>4500</v>
      </c>
      <c r="G2" s="1"/>
      <c r="H2" s="1"/>
      <c r="I2" s="1" t="n">
        <f aca="false">E2*F2</f>
        <v>562500</v>
      </c>
      <c r="J2" s="1" t="n">
        <f aca="false">I2</f>
        <v>562500</v>
      </c>
      <c r="K2" s="1" t="n">
        <f aca="false">E2</f>
        <v>125</v>
      </c>
      <c r="L2" s="3" t="n">
        <f aca="false">K2*F2</f>
        <v>562500</v>
      </c>
      <c r="M2" s="1" t="n">
        <f aca="false">L2</f>
        <v>562500</v>
      </c>
      <c r="N2" s="1"/>
      <c r="O2" s="1"/>
      <c r="P2" s="1"/>
      <c r="Q2" s="1"/>
      <c r="R2" s="1"/>
      <c r="S2" s="1"/>
      <c r="T2" s="1"/>
      <c r="U2" s="1"/>
      <c r="V2" s="1"/>
    </row>
    <row collapsed="false" customFormat="false" customHeight="false" hidden="false" ht="12.75" outlineLevel="0"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1"/>
      <c r="N3" s="1"/>
      <c r="O3" s="1"/>
      <c r="P3" s="1"/>
      <c r="Q3" s="1"/>
      <c r="R3" s="1"/>
      <c r="S3" s="1"/>
      <c r="T3" s="1"/>
      <c r="U3" s="1"/>
      <c r="V3" s="1"/>
    </row>
    <row collapsed="false" customFormat="false" customHeight="false" hidden="false" ht="12.75" outlineLevel="0" r="4">
      <c r="A4" s="1" t="s">
        <v>15</v>
      </c>
      <c r="B4" s="1" t="n">
        <v>3700</v>
      </c>
      <c r="C4" s="1" t="s">
        <v>14</v>
      </c>
      <c r="D4" s="1"/>
      <c r="E4" s="1" t="n">
        <f aca="false">CEILING((B4/16),1,1)</f>
        <v>232</v>
      </c>
      <c r="F4" s="1" t="n">
        <v>4500</v>
      </c>
      <c r="G4" s="1"/>
      <c r="H4" s="1"/>
      <c r="I4" s="1" t="n">
        <f aca="false">E4*F4</f>
        <v>1044000</v>
      </c>
      <c r="J4" s="1" t="n">
        <f aca="false">I4</f>
        <v>1044000</v>
      </c>
      <c r="K4" s="1" t="n">
        <v>0</v>
      </c>
      <c r="L4" s="3" t="n">
        <f aca="false">K4*F4</f>
        <v>0</v>
      </c>
      <c r="M4" s="1"/>
      <c r="N4" s="1"/>
      <c r="O4" s="1"/>
      <c r="P4" s="1"/>
      <c r="Q4" s="1"/>
      <c r="R4" s="1"/>
      <c r="S4" s="1"/>
      <c r="T4" s="1"/>
      <c r="U4" s="1"/>
      <c r="V4" s="1"/>
    </row>
    <row collapsed="false" customFormat="false" customHeight="false" hidden="false" ht="12.75" outlineLevel="0" r="5">
      <c r="A5" s="1"/>
      <c r="B5" s="1"/>
      <c r="C5" s="1" t="s">
        <v>16</v>
      </c>
      <c r="D5" s="1"/>
      <c r="E5" s="1" t="n">
        <f aca="false">CEILING((((B2+B4)+B7)/128),1,1)</f>
        <v>45</v>
      </c>
      <c r="F5" s="1" t="n">
        <v>10000</v>
      </c>
      <c r="G5" s="1"/>
      <c r="H5" s="1"/>
      <c r="I5" s="1" t="n">
        <f aca="false">E5*F5</f>
        <v>450000</v>
      </c>
      <c r="J5" s="1" t="n">
        <v>0</v>
      </c>
      <c r="K5" s="1" t="n">
        <f aca="false">E5</f>
        <v>45</v>
      </c>
      <c r="L5" s="3" t="n">
        <f aca="false">K5*F5</f>
        <v>450000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collapsed="false" customFormat="false" customHeight="false" hidden="false" ht="12.75" outlineLevel="0" r="6">
      <c r="A6" s="1"/>
      <c r="B6" s="1"/>
      <c r="C6" s="1" t="n">
        <f aca="false">B4/128</f>
        <v>28.90625</v>
      </c>
      <c r="D6" s="1"/>
      <c r="E6" s="1" t="n">
        <f aca="false">CEILING((B6/16),1,1)</f>
        <v>0</v>
      </c>
      <c r="F6" s="1"/>
      <c r="G6" s="1"/>
      <c r="H6" s="1"/>
      <c r="I6" s="1" t="n">
        <f aca="false">E6*F6</f>
        <v>0</v>
      </c>
      <c r="J6" s="1" t="n">
        <f aca="false">I6</f>
        <v>0</v>
      </c>
      <c r="K6" s="1" t="n">
        <f aca="false">E6</f>
        <v>0</v>
      </c>
      <c r="L6" s="3" t="n">
        <f aca="false">K6*F6</f>
        <v>0</v>
      </c>
      <c r="M6" s="1"/>
      <c r="N6" s="1"/>
      <c r="O6" s="1"/>
      <c r="P6" s="1"/>
      <c r="Q6" s="1"/>
      <c r="R6" s="1"/>
      <c r="S6" s="1"/>
      <c r="T6" s="1"/>
      <c r="U6" s="1"/>
      <c r="V6" s="1"/>
    </row>
    <row collapsed="false" customFormat="false" customHeight="false" hidden="false" ht="12.75" outlineLevel="0" r="7">
      <c r="A7" s="1" t="s">
        <v>67</v>
      </c>
      <c r="B7" s="1" t="n">
        <v>0</v>
      </c>
      <c r="C7" s="1" t="s">
        <v>14</v>
      </c>
      <c r="D7" s="1"/>
      <c r="E7" s="1" t="n">
        <f aca="false">CEILING((B7/16),1,1)</f>
        <v>0</v>
      </c>
      <c r="F7" s="1" t="n">
        <v>4500</v>
      </c>
      <c r="G7" s="1"/>
      <c r="H7" s="1"/>
      <c r="I7" s="1" t="n">
        <f aca="false">E7*F7</f>
        <v>0</v>
      </c>
      <c r="J7" s="1" t="n">
        <f aca="false">I7</f>
        <v>0</v>
      </c>
      <c r="K7" s="1" t="n">
        <v>0</v>
      </c>
      <c r="L7" s="3" t="n">
        <f aca="false">K7*F7</f>
        <v>0</v>
      </c>
      <c r="M7" s="1"/>
      <c r="N7" s="1"/>
      <c r="O7" s="1"/>
      <c r="P7" s="1"/>
      <c r="Q7" s="1"/>
      <c r="R7" s="1"/>
      <c r="S7" s="1"/>
      <c r="T7" s="1"/>
      <c r="U7" s="1"/>
      <c r="V7" s="1"/>
    </row>
    <row collapsed="false" customFormat="false" customHeight="false" hidden="false" ht="12.75" outlineLevel="0" r="8">
      <c r="A8" s="1"/>
      <c r="B8" s="1"/>
      <c r="C8" s="1" t="s">
        <v>16</v>
      </c>
      <c r="D8" s="1"/>
      <c r="E8" s="1" t="n">
        <f aca="false">CEILING((B7/128),1,1)</f>
        <v>0</v>
      </c>
      <c r="F8" s="1" t="n">
        <v>10000</v>
      </c>
      <c r="G8" s="1"/>
      <c r="H8" s="1"/>
      <c r="I8" s="1" t="n">
        <f aca="false">E8*F8</f>
        <v>0</v>
      </c>
      <c r="J8" s="1" t="n">
        <v>0</v>
      </c>
      <c r="K8" s="1" t="n">
        <f aca="false">E8</f>
        <v>0</v>
      </c>
      <c r="L8" s="3" t="n">
        <f aca="false">K8*F8</f>
        <v>0</v>
      </c>
      <c r="M8" s="1"/>
      <c r="N8" s="1"/>
      <c r="O8" s="1"/>
      <c r="P8" s="1"/>
      <c r="Q8" s="1"/>
      <c r="R8" s="1"/>
      <c r="S8" s="1"/>
      <c r="T8" s="1"/>
      <c r="U8" s="1"/>
      <c r="V8" s="1"/>
    </row>
    <row collapsed="false" customFormat="false" customHeight="false" hidden="false" ht="12.75" outlineLevel="0" r="9">
      <c r="A9" s="1"/>
      <c r="B9" s="1"/>
      <c r="C9" s="1" t="s">
        <v>68</v>
      </c>
      <c r="D9" s="1"/>
      <c r="E9" s="1" t="n">
        <f aca="false">CEILING((((E2+E4)+E7)/16),1,1)</f>
        <v>23</v>
      </c>
      <c r="F9" s="1" t="n">
        <v>15000</v>
      </c>
      <c r="G9" s="1"/>
      <c r="H9" s="1"/>
      <c r="I9" s="1" t="n">
        <f aca="false">E9*F9</f>
        <v>345000</v>
      </c>
      <c r="J9" s="1" t="n">
        <f aca="false">I9</f>
        <v>345000</v>
      </c>
      <c r="K9" s="1" t="n">
        <f aca="false">CEILING((K2/16),1,1)</f>
        <v>8</v>
      </c>
      <c r="L9" s="3" t="n">
        <f aca="false">K9*F9</f>
        <v>120000</v>
      </c>
      <c r="M9" s="1" t="n">
        <f aca="false">L9</f>
        <v>120000</v>
      </c>
      <c r="N9" s="1"/>
      <c r="O9" s="1"/>
      <c r="P9" s="1"/>
      <c r="Q9" s="1"/>
      <c r="R9" s="1"/>
      <c r="S9" s="1"/>
      <c r="T9" s="1"/>
      <c r="U9" s="1"/>
      <c r="V9" s="1"/>
    </row>
    <row collapsed="false" customFormat="false" customHeight="false" hidden="false" ht="12.75" outlineLevel="0" r="10">
      <c r="A10" s="1"/>
      <c r="B10" s="1"/>
      <c r="C10" s="1" t="s">
        <v>69</v>
      </c>
      <c r="D10" s="1"/>
      <c r="E10" s="1" t="n">
        <f aca="false">CEILING(($E$5/19),1,1)</f>
        <v>3</v>
      </c>
      <c r="F10" s="1" t="n">
        <v>11000</v>
      </c>
      <c r="G10" s="1"/>
      <c r="H10" s="1"/>
      <c r="I10" s="1" t="n">
        <f aca="false">E10*F10</f>
        <v>33000</v>
      </c>
      <c r="J10" s="1" t="n">
        <v>33000</v>
      </c>
      <c r="K10" s="1" t="n">
        <f aca="false">E10</f>
        <v>3</v>
      </c>
      <c r="L10" s="3" t="n">
        <f aca="false">K10*F10</f>
        <v>33000</v>
      </c>
      <c r="M10" s="1" t="n">
        <f aca="false">L10</f>
        <v>33000</v>
      </c>
      <c r="N10" s="1"/>
      <c r="O10" s="1"/>
      <c r="P10" s="1"/>
      <c r="Q10" s="1"/>
      <c r="R10" s="1"/>
      <c r="S10" s="1"/>
      <c r="T10" s="1"/>
      <c r="U10" s="1"/>
      <c r="V10" s="1"/>
    </row>
    <row collapsed="false" customFormat="false" customHeight="false" hidden="false" ht="12.75" outlineLevel="0" r="11">
      <c r="A11" s="1"/>
      <c r="B11" s="1"/>
      <c r="C11" s="1" t="s">
        <v>8</v>
      </c>
      <c r="D11" s="1"/>
      <c r="E11" s="1" t="n">
        <f aca="false">E9+E10</f>
        <v>26</v>
      </c>
      <c r="F11" s="1" t="n">
        <v>3400</v>
      </c>
      <c r="G11" s="1"/>
      <c r="H11" s="1"/>
      <c r="I11" s="1" t="n">
        <f aca="false">E11*F11</f>
        <v>88400</v>
      </c>
      <c r="J11" s="1" t="n">
        <f aca="false">I11</f>
        <v>88400</v>
      </c>
      <c r="K11" s="1" t="n">
        <f aca="false">K9+K10</f>
        <v>11</v>
      </c>
      <c r="L11" s="3" t="n">
        <f aca="false">K11*F11</f>
        <v>37400</v>
      </c>
      <c r="M11" s="1" t="n">
        <f aca="false">L11</f>
        <v>37400</v>
      </c>
      <c r="N11" s="1"/>
      <c r="O11" s="1"/>
      <c r="P11" s="1"/>
      <c r="Q11" s="1"/>
      <c r="R11" s="1"/>
      <c r="S11" s="1"/>
      <c r="T11" s="1"/>
      <c r="U11" s="1"/>
      <c r="V11" s="1"/>
    </row>
    <row collapsed="false" customFormat="false" customHeight="false" hidden="false" ht="12.75" outlineLevel="0" r="12">
      <c r="A12" s="1"/>
      <c r="B12" s="1"/>
      <c r="C12" s="1" t="s">
        <v>9</v>
      </c>
      <c r="D12" s="1"/>
      <c r="E12" s="1" t="n">
        <f aca="false">E11</f>
        <v>26</v>
      </c>
      <c r="F12" s="1" t="n">
        <v>2000</v>
      </c>
      <c r="G12" s="1"/>
      <c r="H12" s="1"/>
      <c r="I12" s="1" t="n">
        <f aca="false">E12*F12</f>
        <v>52000</v>
      </c>
      <c r="J12" s="1" t="n">
        <f aca="false">I12</f>
        <v>52000</v>
      </c>
      <c r="K12" s="1" t="n">
        <f aca="false">K11</f>
        <v>11</v>
      </c>
      <c r="L12" s="3" t="n">
        <f aca="false">K12*F12</f>
        <v>22000</v>
      </c>
      <c r="M12" s="1" t="n">
        <f aca="false">L12</f>
        <v>22000</v>
      </c>
      <c r="N12" s="1"/>
      <c r="O12" s="1"/>
      <c r="P12" s="1"/>
      <c r="Q12" s="1"/>
      <c r="R12" s="1"/>
      <c r="S12" s="1"/>
      <c r="T12" s="1"/>
      <c r="U12" s="1"/>
      <c r="V12" s="1"/>
    </row>
    <row collapsed="false" customFormat="false" customHeight="false" hidden="false" ht="12.75" outlineLevel="0" r="13">
      <c r="A13" s="1"/>
      <c r="B13" s="1"/>
      <c r="C13" s="1" t="s">
        <v>41</v>
      </c>
      <c r="D13" s="1"/>
      <c r="E13" s="1" t="n">
        <f aca="false">E9</f>
        <v>23</v>
      </c>
      <c r="F13" s="1" t="n">
        <v>2000</v>
      </c>
      <c r="G13" s="1"/>
      <c r="H13" s="1"/>
      <c r="I13" s="1" t="n">
        <f aca="false">E13*F13</f>
        <v>46000</v>
      </c>
      <c r="J13" s="1" t="n">
        <f aca="false">I13</f>
        <v>46000</v>
      </c>
      <c r="K13" s="1" t="n">
        <f aca="false">K9</f>
        <v>8</v>
      </c>
      <c r="L13" s="3" t="n">
        <f aca="false">K13*F13</f>
        <v>16000</v>
      </c>
      <c r="M13" s="1" t="n">
        <f aca="false">L13</f>
        <v>16000</v>
      </c>
      <c r="N13" s="1"/>
      <c r="O13" s="1" t="s">
        <v>70</v>
      </c>
      <c r="P13" s="1"/>
      <c r="Q13" s="1"/>
      <c r="R13" s="1"/>
      <c r="S13" s="1"/>
      <c r="T13" s="1"/>
      <c r="U13" s="1"/>
      <c r="V13" s="1"/>
    </row>
    <row collapsed="false" customFormat="false" customHeight="false" hidden="false" ht="12.75" outlineLevel="0" r="14">
      <c r="A14" s="1"/>
      <c r="B14" s="1"/>
      <c r="C14" s="1" t="s">
        <v>39</v>
      </c>
      <c r="D14" s="1"/>
      <c r="E14" s="1" t="n">
        <f aca="false">CEILING(($E$5/19),1,1)</f>
        <v>3</v>
      </c>
      <c r="F14" s="1" t="n">
        <v>4500</v>
      </c>
      <c r="G14" s="1"/>
      <c r="H14" s="1"/>
      <c r="I14" s="1" t="n">
        <f aca="false">E14*F14</f>
        <v>13500</v>
      </c>
      <c r="J14" s="1" t="n">
        <f aca="false">I14</f>
        <v>13500</v>
      </c>
      <c r="K14" s="1" t="n">
        <f aca="false">K9</f>
        <v>8</v>
      </c>
      <c r="L14" s="3" t="n">
        <f aca="false">K14*F14</f>
        <v>36000</v>
      </c>
      <c r="M14" s="1" t="n">
        <f aca="false">L14</f>
        <v>36000</v>
      </c>
      <c r="N14" s="1"/>
      <c r="O14" s="1"/>
      <c r="P14" s="1"/>
      <c r="Q14" s="1"/>
      <c r="R14" s="1"/>
      <c r="S14" s="1"/>
      <c r="T14" s="1"/>
      <c r="U14" s="1"/>
      <c r="V14" s="1"/>
    </row>
    <row collapsed="false" customFormat="false" customHeight="false" hidden="false" ht="12.75" outlineLevel="0"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"/>
      <c r="N15" s="1"/>
      <c r="O15" s="1" t="n">
        <v>177</v>
      </c>
      <c r="P15" s="1" t="n">
        <v>1877</v>
      </c>
      <c r="Q15" s="1"/>
      <c r="R15" s="1"/>
      <c r="S15" s="1"/>
      <c r="T15" s="1"/>
      <c r="U15" s="1"/>
      <c r="V15" s="1"/>
    </row>
    <row collapsed="false" customFormat="false" customHeight="false" hidden="false" ht="12.75" outlineLevel="0"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M16" s="1"/>
      <c r="N16" s="1"/>
      <c r="O16" s="1" t="n">
        <v>52</v>
      </c>
      <c r="P16" s="1" t="n">
        <v>1881</v>
      </c>
      <c r="Q16" s="1"/>
      <c r="R16" s="1"/>
      <c r="S16" s="1"/>
      <c r="T16" s="1"/>
      <c r="U16" s="1"/>
      <c r="V16" s="1"/>
    </row>
    <row collapsed="false" customFormat="false" customHeight="false" hidden="false" ht="12.75" outlineLevel="0" r="17">
      <c r="A17" s="1"/>
      <c r="B17" s="1"/>
      <c r="C17" s="1"/>
      <c r="D17" s="1"/>
      <c r="E17" s="1" t="s">
        <v>71</v>
      </c>
      <c r="F17" s="1"/>
      <c r="G17" s="1"/>
      <c r="H17" s="1"/>
      <c r="I17" s="1" t="n">
        <f aca="false">SUM(I2:I14)</f>
        <v>2634400</v>
      </c>
      <c r="J17" s="1" t="n">
        <f aca="false">SUM(J2:J14)</f>
        <v>2184400</v>
      </c>
      <c r="K17" s="1"/>
      <c r="L17" s="3" t="n">
        <f aca="false">SUM(L2:L14)</f>
        <v>1276900</v>
      </c>
      <c r="M17" s="1" t="n">
        <f aca="false">SUM(M2:M14)</f>
        <v>826900</v>
      </c>
      <c r="N17" s="1"/>
      <c r="O17" s="1" t="n">
        <v>13</v>
      </c>
      <c r="P17" s="1" t="s">
        <v>72</v>
      </c>
      <c r="Q17" s="1"/>
      <c r="R17" s="1"/>
      <c r="S17" s="1"/>
      <c r="T17" s="1"/>
      <c r="U17" s="1"/>
      <c r="V17" s="1"/>
    </row>
    <row collapsed="false" customFormat="false" customHeight="false" hidden="false" ht="12.75" outlineLevel="0"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 t="n">
        <f aca="false">M17-(120*F2)</f>
        <v>286900</v>
      </c>
      <c r="N18" s="1"/>
      <c r="O18" s="1"/>
      <c r="P18" s="1"/>
      <c r="Q18" s="1"/>
      <c r="R18" s="1"/>
      <c r="S18" s="1"/>
      <c r="T18" s="1"/>
      <c r="U18" s="1"/>
      <c r="V18" s="1"/>
    </row>
    <row collapsed="false" customFormat="false" customHeight="false" hidden="false" ht="12.75" outlineLevel="0" r="19">
      <c r="A19" s="1" t="s">
        <v>73</v>
      </c>
      <c r="B19" s="1" t="s">
        <v>1</v>
      </c>
      <c r="C19" s="1"/>
      <c r="D19" s="1" t="s">
        <v>2</v>
      </c>
      <c r="E19" s="1" t="s">
        <v>3</v>
      </c>
      <c r="F19" s="1" t="s">
        <v>4</v>
      </c>
      <c r="G19" s="1" t="s">
        <v>74</v>
      </c>
      <c r="H19" s="1" t="s">
        <v>75</v>
      </c>
      <c r="I19" s="1" t="s">
        <v>6</v>
      </c>
      <c r="J19" s="1" t="s">
        <v>7</v>
      </c>
      <c r="K19" s="1" t="s">
        <v>8</v>
      </c>
      <c r="L19" s="1" t="s">
        <v>9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collapsed="false" customFormat="false" customHeight="false" hidden="false" ht="12.75" outlineLevel="0" r="20">
      <c r="A20" s="1" t="s">
        <v>13</v>
      </c>
      <c r="B20" s="1" t="n">
        <f aca="false">$P$1</f>
        <v>2000</v>
      </c>
      <c r="C20" s="1" t="s">
        <v>14</v>
      </c>
      <c r="D20" s="1" t="n">
        <f aca="false">B20*3</f>
        <v>6000</v>
      </c>
      <c r="E20" s="1"/>
      <c r="F20" s="1" t="n">
        <f aca="false">D20/64</f>
        <v>93.75</v>
      </c>
      <c r="G20" s="1"/>
      <c r="H20" s="1"/>
      <c r="I20" s="1" t="n">
        <f aca="false">F20/23</f>
        <v>4.07608695652174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collapsed="false" customFormat="false" customHeight="false" hidden="false" ht="12.75" outlineLevel="0" r="21">
      <c r="A21" s="1"/>
      <c r="B21" s="1"/>
      <c r="C21" s="1"/>
      <c r="D21" s="1" t="n">
        <f aca="false">D20-(90*64)</f>
        <v>240</v>
      </c>
      <c r="E21" s="1" t="n">
        <f aca="false">D21/96</f>
        <v>2.5</v>
      </c>
      <c r="F21" s="1"/>
      <c r="G21" s="1" t="n">
        <f aca="false">D21/32</f>
        <v>7.5</v>
      </c>
      <c r="H21" s="1" t="n">
        <f aca="false">G21/20</f>
        <v>0.375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collapsed="false" customFormat="false" customHeight="false" hidden="false" ht="12.75" outlineLevel="0" r="22">
      <c r="A22" s="1" t="s">
        <v>15</v>
      </c>
      <c r="B22" s="1" t="n">
        <v>3700</v>
      </c>
      <c r="C22" s="1" t="s">
        <v>16</v>
      </c>
      <c r="D22" s="1" t="n">
        <f aca="false">B22*3</f>
        <v>11100</v>
      </c>
      <c r="E22" s="1" t="n">
        <f aca="false">D22/96</f>
        <v>115.625</v>
      </c>
      <c r="F22" s="1"/>
      <c r="G22" s="1"/>
      <c r="H22" s="1"/>
      <c r="I22" s="1" t="n">
        <f aca="false">E22/23</f>
        <v>5.02717391304348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collapsed="false" customFormat="false" customHeight="false" hidden="false" ht="12.75" outlineLevel="0" r="23">
      <c r="A23" s="1"/>
      <c r="B23" s="1"/>
      <c r="C23" s="1"/>
      <c r="D23" s="1" t="n">
        <f aca="false">B23*3</f>
        <v>0</v>
      </c>
      <c r="E23" s="1"/>
      <c r="F23" s="1"/>
      <c r="G23" s="1"/>
      <c r="H23" s="1"/>
      <c r="I23" s="1" t="n">
        <f aca="false">E23/23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collapsed="false" customFormat="false" customHeight="false" hidden="false" ht="12.75" outlineLevel="0" r="24">
      <c r="A24" s="1"/>
      <c r="B24" s="1"/>
      <c r="C24" s="1"/>
      <c r="D24" s="1" t="n">
        <f aca="false">B24*3</f>
        <v>0</v>
      </c>
      <c r="E24" s="1"/>
      <c r="F24" s="1"/>
      <c r="G24" s="1"/>
      <c r="H24" s="1"/>
      <c r="I24" s="1" t="n">
        <f aca="false">E24/23</f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collapsed="false" customFormat="false" customHeight="false" hidden="false" ht="12.75" outlineLevel="0" r="25">
      <c r="A25" s="1" t="s">
        <v>67</v>
      </c>
      <c r="B25" s="1" t="n">
        <v>0</v>
      </c>
      <c r="C25" s="1" t="s">
        <v>16</v>
      </c>
      <c r="D25" s="1" t="n">
        <f aca="false">B25*3</f>
        <v>0</v>
      </c>
      <c r="E25" s="1" t="n">
        <f aca="false">D25/96</f>
        <v>0</v>
      </c>
      <c r="F25" s="1"/>
      <c r="G25" s="1"/>
      <c r="H25" s="1"/>
      <c r="I25" s="1" t="n">
        <f aca="false">E25/23</f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collapsed="false" customFormat="false" customHeight="false" hidden="false" ht="12.75" outlineLevel="0"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collapsed="false" customFormat="false" customHeight="false" hidden="false" ht="12.75" outlineLevel="0" r="27">
      <c r="A27" s="1"/>
      <c r="B27" s="1"/>
      <c r="C27" s="1"/>
      <c r="D27" s="1"/>
      <c r="E27" s="1"/>
      <c r="F27" s="1"/>
      <c r="G27" s="1"/>
      <c r="H27" s="1"/>
      <c r="I27" s="1" t="n">
        <f aca="false">CEILING(SUM(I20:I25),1,1)</f>
        <v>10</v>
      </c>
      <c r="J27" s="1" t="n">
        <f aca="false">I27</f>
        <v>10</v>
      </c>
      <c r="K27" s="1" t="n">
        <f aca="false">J27</f>
        <v>10</v>
      </c>
      <c r="L27" s="1" t="n">
        <f aca="false">K27</f>
        <v>10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collapsed="false" customFormat="false" customHeight="false" hidden="false" ht="12.75" outlineLevel="0"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collapsed="false" customFormat="false" customHeight="false" hidden="false" ht="12.75" outlineLevel="0" r="29">
      <c r="A29" s="1" t="s">
        <v>0</v>
      </c>
      <c r="B29" s="1" t="s">
        <v>1</v>
      </c>
      <c r="C29" s="1"/>
      <c r="D29" s="1" t="s">
        <v>2</v>
      </c>
      <c r="E29" s="1" t="s">
        <v>3</v>
      </c>
      <c r="F29" s="1" t="s">
        <v>4</v>
      </c>
      <c r="G29" s="1"/>
      <c r="H29" s="1"/>
      <c r="I29" s="1" t="s">
        <v>6</v>
      </c>
      <c r="J29" s="1" t="s">
        <v>7</v>
      </c>
      <c r="K29" s="1" t="s">
        <v>8</v>
      </c>
      <c r="L29" s="1" t="s">
        <v>9</v>
      </c>
      <c r="M29" s="1" t="s">
        <v>12</v>
      </c>
      <c r="N29" s="1"/>
      <c r="O29" s="1"/>
      <c r="P29" s="1"/>
      <c r="Q29" s="1"/>
      <c r="R29" s="1"/>
      <c r="S29" s="1"/>
      <c r="T29" s="1"/>
      <c r="U29" s="1"/>
      <c r="V29" s="1"/>
    </row>
    <row collapsed="false" customFormat="false" customHeight="false" hidden="false" ht="12.75" outlineLevel="0" r="30">
      <c r="A30" s="1" t="s">
        <v>13</v>
      </c>
      <c r="B30" s="1" t="n">
        <f aca="false">$P$1</f>
        <v>2000</v>
      </c>
      <c r="C30" s="1" t="s">
        <v>14</v>
      </c>
      <c r="D30" s="1" t="n">
        <f aca="false">B30*3</f>
        <v>6000</v>
      </c>
      <c r="E30" s="1"/>
      <c r="F30" s="1" t="n">
        <f aca="false">D30/64</f>
        <v>93.75</v>
      </c>
      <c r="G30" s="1"/>
      <c r="H30" s="1"/>
      <c r="I30" s="1" t="n">
        <f aca="false">F30/23</f>
        <v>4.07608695652174</v>
      </c>
      <c r="J30" s="1"/>
      <c r="K30" s="1"/>
      <c r="L30" s="1"/>
      <c r="M30" s="1" t="n">
        <f aca="false">F30/15</f>
        <v>6.25</v>
      </c>
      <c r="N30" s="1"/>
      <c r="O30" s="1"/>
      <c r="P30" s="1"/>
      <c r="Q30" s="1"/>
      <c r="R30" s="1"/>
      <c r="S30" s="1"/>
      <c r="T30" s="1"/>
      <c r="U30" s="1"/>
      <c r="V30" s="1"/>
    </row>
    <row collapsed="false" customFormat="false" customHeight="false" hidden="false" ht="12.75" outlineLevel="0" r="31">
      <c r="A31" s="1"/>
      <c r="B31" s="1"/>
      <c r="C31" s="1"/>
      <c r="D31" s="1"/>
      <c r="E31" s="1"/>
      <c r="F31" s="1" t="n">
        <v>0</v>
      </c>
      <c r="G31" s="1"/>
      <c r="H31" s="1"/>
      <c r="I31" s="1" t="n">
        <f aca="false">F31/23</f>
        <v>0</v>
      </c>
      <c r="J31" s="1"/>
      <c r="K31" s="1"/>
      <c r="L31" s="1"/>
      <c r="M31" s="1" t="n">
        <f aca="false">F31/15</f>
        <v>0</v>
      </c>
      <c r="N31" s="1"/>
      <c r="O31" s="1"/>
      <c r="P31" s="1"/>
      <c r="Q31" s="1"/>
      <c r="R31" s="1"/>
      <c r="S31" s="1"/>
      <c r="T31" s="1"/>
      <c r="U31" s="1"/>
      <c r="V31" s="1"/>
    </row>
    <row collapsed="false" customFormat="false" customHeight="false" hidden="false" ht="12.75" outlineLevel="0" r="32">
      <c r="A32" s="1" t="s">
        <v>15</v>
      </c>
      <c r="B32" s="1" t="n">
        <v>3700</v>
      </c>
      <c r="C32" s="1" t="s">
        <v>16</v>
      </c>
      <c r="D32" s="1" t="n">
        <f aca="false">B32*3</f>
        <v>11100</v>
      </c>
      <c r="E32" s="1" t="n">
        <f aca="false">D32/96</f>
        <v>115.625</v>
      </c>
      <c r="F32" s="1"/>
      <c r="G32" s="1"/>
      <c r="H32" s="1"/>
      <c r="I32" s="1" t="n">
        <f aca="false">E32/23</f>
        <v>5.02717391304348</v>
      </c>
      <c r="J32" s="1"/>
      <c r="K32" s="1"/>
      <c r="L32" s="1"/>
      <c r="M32" s="1" t="n">
        <f aca="false">F32/15</f>
        <v>0</v>
      </c>
      <c r="N32" s="1"/>
      <c r="O32" s="1"/>
      <c r="P32" s="1"/>
      <c r="Q32" s="1"/>
      <c r="R32" s="1"/>
      <c r="S32" s="1"/>
      <c r="T32" s="1"/>
      <c r="U32" s="1"/>
      <c r="V32" s="1"/>
    </row>
    <row collapsed="false" customFormat="false" customHeight="false" hidden="false" ht="12.75" outlineLevel="0" r="33">
      <c r="A33" s="1"/>
      <c r="B33" s="1"/>
      <c r="C33" s="1" t="s">
        <v>14</v>
      </c>
      <c r="D33" s="1" t="n">
        <v>11000</v>
      </c>
      <c r="E33" s="1"/>
      <c r="F33" s="1" t="n">
        <f aca="false">D32/64</f>
        <v>173.4375</v>
      </c>
      <c r="G33" s="1"/>
      <c r="H33" s="1"/>
      <c r="I33" s="1" t="n">
        <f aca="false">F33/23</f>
        <v>7.54076086956522</v>
      </c>
      <c r="J33" s="1"/>
      <c r="K33" s="1"/>
      <c r="L33" s="1"/>
      <c r="M33" s="1" t="n">
        <f aca="false">F33/15</f>
        <v>11.5625</v>
      </c>
      <c r="N33" s="1"/>
      <c r="O33" s="1"/>
      <c r="P33" s="1"/>
      <c r="Q33" s="1"/>
      <c r="R33" s="1"/>
      <c r="S33" s="1"/>
      <c r="T33" s="1"/>
      <c r="U33" s="1"/>
      <c r="V33" s="1"/>
    </row>
    <row collapsed="false" customFormat="false" customHeight="false" hidden="false" ht="12.75" outlineLevel="0" r="34">
      <c r="A34" s="1"/>
      <c r="B34" s="1"/>
      <c r="C34" s="1"/>
      <c r="D34" s="1" t="n">
        <f aca="false">B34*3</f>
        <v>0</v>
      </c>
      <c r="E34" s="1"/>
      <c r="F34" s="1"/>
      <c r="G34" s="1"/>
      <c r="H34" s="1"/>
      <c r="I34" s="1" t="n">
        <f aca="false">E34/23</f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collapsed="false" customFormat="false" customHeight="false" hidden="false" ht="12.75" outlineLevel="0"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collapsed="false" customFormat="false" customHeight="false" hidden="false" ht="12.75" outlineLevel="0" r="36">
      <c r="A36" s="1" t="s">
        <v>67</v>
      </c>
      <c r="B36" s="1" t="n">
        <v>0</v>
      </c>
      <c r="C36" s="1" t="s">
        <v>16</v>
      </c>
      <c r="D36" s="1" t="n">
        <f aca="false">B36*3</f>
        <v>0</v>
      </c>
      <c r="E36" s="1" t="n">
        <f aca="false">D36/96</f>
        <v>0</v>
      </c>
      <c r="F36" s="1"/>
      <c r="G36" s="1"/>
      <c r="H36" s="1"/>
      <c r="I36" s="1" t="n">
        <f aca="false">E36/23</f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collapsed="false" customFormat="false" customHeight="false" hidden="false" ht="12.75" outlineLevel="0" r="37">
      <c r="A37" s="1"/>
      <c r="B37" s="1"/>
      <c r="C37" s="1" t="s">
        <v>14</v>
      </c>
      <c r="D37" s="1"/>
      <c r="E37" s="1"/>
      <c r="F37" s="1" t="n">
        <f aca="false">D36/64</f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collapsed="false" customFormat="false" customHeight="false" hidden="false" ht="12.75" outlineLevel="0" r="38">
      <c r="A38" s="1"/>
      <c r="B38" s="1"/>
      <c r="C38" s="1"/>
      <c r="D38" s="1"/>
      <c r="E38" s="1"/>
      <c r="F38" s="1" t="n">
        <f aca="false">SUM(F30:F37)</f>
        <v>267.1875</v>
      </c>
      <c r="G38" s="1"/>
      <c r="H38" s="1"/>
      <c r="I38" s="1" t="n">
        <f aca="false">CEILING(SUM(I30:I36),1,1)</f>
        <v>17</v>
      </c>
      <c r="J38" s="1" t="n">
        <f aca="false">I38</f>
        <v>17</v>
      </c>
      <c r="K38" s="1" t="n">
        <f aca="false">J38</f>
        <v>17</v>
      </c>
      <c r="L38" s="1" t="n">
        <f aca="false">K38</f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collapsed="false" customFormat="false" customHeight="false" hidden="false" ht="12.75" outlineLevel="0"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collapsed="false" customFormat="false" customHeight="false" hidden="false" ht="12.75" outlineLevel="0" r="40">
      <c r="A40" s="1"/>
      <c r="B40" s="1"/>
      <c r="C40" s="1"/>
      <c r="D40" s="1"/>
      <c r="E40" s="1"/>
      <c r="F40" s="1"/>
      <c r="G40" s="1" t="s">
        <v>76</v>
      </c>
      <c r="H40" s="1" t="n">
        <f aca="false">H21*I54</f>
        <v>507.5625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collapsed="false" customFormat="false" customHeight="false" hidden="false" ht="12.75" outlineLevel="0"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collapsed="false" customFormat="false" customHeight="false" hidden="false" ht="12.75" outlineLevel="0"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collapsed="false" customFormat="false" customHeight="false" hidden="false" ht="12.75" outlineLevel="0" r="43">
      <c r="A43" s="1" t="s">
        <v>77</v>
      </c>
      <c r="B43" s="1" t="s">
        <v>1</v>
      </c>
      <c r="C43" s="1"/>
      <c r="D43" s="1" t="s">
        <v>2</v>
      </c>
      <c r="E43" s="1" t="s">
        <v>3</v>
      </c>
      <c r="F43" s="1" t="s">
        <v>74</v>
      </c>
      <c r="G43" s="1" t="s">
        <v>22</v>
      </c>
      <c r="H43" s="1"/>
      <c r="I43" s="1" t="s">
        <v>78</v>
      </c>
      <c r="J43" s="1"/>
      <c r="K43" s="1" t="s">
        <v>6</v>
      </c>
      <c r="L43" s="1" t="s">
        <v>7</v>
      </c>
      <c r="M43" s="1" t="s">
        <v>8</v>
      </c>
      <c r="N43" s="1" t="s">
        <v>9</v>
      </c>
      <c r="O43" s="1"/>
      <c r="P43" s="1"/>
      <c r="Q43" s="1"/>
      <c r="R43" s="1"/>
      <c r="S43" s="1"/>
      <c r="T43" s="1"/>
      <c r="U43" s="1"/>
      <c r="V43" s="1"/>
    </row>
    <row collapsed="false" customFormat="false" customHeight="false" hidden="false" ht="12.75" outlineLevel="0" r="44">
      <c r="A44" s="1" t="s">
        <v>13</v>
      </c>
      <c r="B44" s="1" t="n">
        <f aca="false">$P$1</f>
        <v>2000</v>
      </c>
      <c r="C44" s="1" t="s">
        <v>16</v>
      </c>
      <c r="D44" s="1" t="n">
        <f aca="false">B44*3</f>
        <v>6000</v>
      </c>
      <c r="E44" s="1" t="n">
        <f aca="false">D44/96</f>
        <v>62.5</v>
      </c>
      <c r="F44" s="1" t="n">
        <f aca="false">D44/32</f>
        <v>187.5</v>
      </c>
      <c r="G44" s="1"/>
      <c r="H44" s="1"/>
      <c r="I44" s="1" t="n">
        <f aca="false">F44/20</f>
        <v>9.375</v>
      </c>
      <c r="J44" s="1"/>
      <c r="K44" s="1" t="n">
        <f aca="false">E44/23</f>
        <v>2.71739130434783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collapsed="false" customFormat="false" customHeight="false" hidden="false" ht="12.75" outlineLevel="0" r="45">
      <c r="A45" s="1"/>
      <c r="B45" s="1"/>
      <c r="C45" s="1"/>
      <c r="D45" s="1"/>
      <c r="E45" s="1" t="n">
        <f aca="false">D45/96</f>
        <v>0</v>
      </c>
      <c r="F45" s="1" t="n">
        <f aca="false">D45/32</f>
        <v>0</v>
      </c>
      <c r="G45" s="1"/>
      <c r="H45" s="1"/>
      <c r="I45" s="1" t="n">
        <f aca="false">F45/22</f>
        <v>0</v>
      </c>
      <c r="J45" s="1"/>
      <c r="K45" s="1" t="n">
        <f aca="false">E45/23</f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collapsed="false" customFormat="false" customHeight="false" hidden="false" ht="12.75" outlineLevel="0" r="46">
      <c r="A46" s="1" t="s">
        <v>15</v>
      </c>
      <c r="B46" s="1" t="n">
        <v>3700</v>
      </c>
      <c r="C46" s="1" t="s">
        <v>16</v>
      </c>
      <c r="D46" s="1" t="n">
        <f aca="false">B46*3</f>
        <v>11100</v>
      </c>
      <c r="E46" s="1" t="n">
        <f aca="false">D46/96</f>
        <v>115.625</v>
      </c>
      <c r="F46" s="1" t="n">
        <v>0</v>
      </c>
      <c r="G46" s="1"/>
      <c r="H46" s="1"/>
      <c r="I46" s="1" t="n">
        <f aca="false">F46/22</f>
        <v>0</v>
      </c>
      <c r="J46" s="1"/>
      <c r="K46" s="1" t="n">
        <f aca="false">E46/23</f>
        <v>5.02717391304348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collapsed="false" customFormat="false" customHeight="false" hidden="false" ht="12.75" outlineLevel="0" r="47">
      <c r="A47" s="1"/>
      <c r="B47" s="1"/>
      <c r="C47" s="1" t="s">
        <v>16</v>
      </c>
      <c r="D47" s="1" t="n">
        <v>0</v>
      </c>
      <c r="E47" s="1" t="n">
        <f aca="false">D47/96</f>
        <v>0</v>
      </c>
      <c r="F47" s="1" t="n">
        <f aca="false">D47/32</f>
        <v>0</v>
      </c>
      <c r="G47" s="1"/>
      <c r="H47" s="1"/>
      <c r="I47" s="1" t="n">
        <f aca="false">F47/22</f>
        <v>0</v>
      </c>
      <c r="J47" s="1"/>
      <c r="K47" s="1" t="n">
        <f aca="false">E47/23</f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collapsed="false" customFormat="false" customHeight="false" hidden="false" ht="12.75" outlineLevel="0" r="48">
      <c r="A48" s="1"/>
      <c r="B48" s="1"/>
      <c r="C48" s="1"/>
      <c r="D48" s="1" t="n">
        <f aca="false">B48*3</f>
        <v>0</v>
      </c>
      <c r="E48" s="1"/>
      <c r="F48" s="1" t="n">
        <f aca="false">D48/32</f>
        <v>0</v>
      </c>
      <c r="G48" s="1"/>
      <c r="H48" s="1"/>
      <c r="I48" s="1" t="n">
        <f aca="false">F48/22</f>
        <v>0</v>
      </c>
      <c r="J48" s="1"/>
      <c r="K48" s="1" t="n">
        <f aca="false">E48/23</f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collapsed="false" customFormat="false" customHeight="false" hidden="false" ht="12.75" outlineLevel="0" r="49">
      <c r="A49" s="1"/>
      <c r="B49" s="1"/>
      <c r="C49" s="1"/>
      <c r="D49" s="1"/>
      <c r="E49" s="1"/>
      <c r="F49" s="1" t="n">
        <f aca="false">D49/32</f>
        <v>0</v>
      </c>
      <c r="G49" s="1"/>
      <c r="H49" s="1"/>
      <c r="I49" s="1" t="n">
        <f aca="false">F49/22</f>
        <v>0</v>
      </c>
      <c r="J49" s="1"/>
      <c r="K49" s="1" t="n">
        <f aca="false">E49/23</f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collapsed="false" customFormat="false" customHeight="false" hidden="false" ht="12.75" outlineLevel="0" r="50">
      <c r="A50" s="1" t="s">
        <v>67</v>
      </c>
      <c r="B50" s="1" t="n">
        <v>0</v>
      </c>
      <c r="C50" s="1" t="s">
        <v>16</v>
      </c>
      <c r="D50" s="1" t="n">
        <f aca="false">B50*3</f>
        <v>0</v>
      </c>
      <c r="E50" s="1" t="n">
        <f aca="false">D50/96</f>
        <v>0</v>
      </c>
      <c r="F50" s="1" t="n">
        <v>0</v>
      </c>
      <c r="G50" s="1"/>
      <c r="H50" s="1"/>
      <c r="I50" s="1" t="n">
        <f aca="false">F50/22</f>
        <v>0</v>
      </c>
      <c r="J50" s="1"/>
      <c r="K50" s="1" t="n">
        <f aca="false">E50/23</f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collapsed="false" customFormat="false" customHeight="false" hidden="false" ht="12.75" outlineLevel="0" r="51">
      <c r="A51" s="1"/>
      <c r="B51" s="1"/>
      <c r="C51" s="1" t="s">
        <v>16</v>
      </c>
      <c r="D51" s="1" t="n">
        <v>0</v>
      </c>
      <c r="E51" s="1" t="n">
        <f aca="false">D51/96</f>
        <v>0</v>
      </c>
      <c r="F51" s="1" t="n">
        <f aca="false">D51/32</f>
        <v>0</v>
      </c>
      <c r="G51" s="1"/>
      <c r="H51" s="1"/>
      <c r="I51" s="1" t="n">
        <f aca="false">F51/22</f>
        <v>0</v>
      </c>
      <c r="J51" s="1"/>
      <c r="K51" s="1" t="n">
        <f aca="false">E51/23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collapsed="false" customFormat="false" customHeight="false" hidden="false" ht="12.75" outlineLevel="0" r="52">
      <c r="A52" s="1"/>
      <c r="B52" s="1"/>
      <c r="C52" s="1"/>
      <c r="D52" s="1" t="n">
        <f aca="false">SUM(D44:D51)</f>
        <v>17100</v>
      </c>
      <c r="E52" s="1" t="n">
        <f aca="false">SUM(E44:E51)</f>
        <v>178.125</v>
      </c>
      <c r="F52" s="1" t="n">
        <f aca="false">SUM(F44:F51)</f>
        <v>187.5</v>
      </c>
      <c r="G52" s="1"/>
      <c r="H52" s="1"/>
      <c r="I52" s="1" t="n">
        <f aca="false">SUM(I44:I51)</f>
        <v>9.375</v>
      </c>
      <c r="J52" s="1"/>
      <c r="K52" s="1" t="n">
        <f aca="false">CEILING(SUM(K44:K50),1,1)</f>
        <v>8</v>
      </c>
      <c r="L52" s="1" t="n">
        <v>9</v>
      </c>
      <c r="M52" s="1" t="n">
        <v>9</v>
      </c>
      <c r="N52" s="1" t="n">
        <v>9</v>
      </c>
      <c r="O52" s="1"/>
      <c r="P52" s="1"/>
      <c r="Q52" s="1"/>
      <c r="R52" s="1"/>
      <c r="S52" s="1"/>
      <c r="T52" s="1"/>
      <c r="U52" s="1"/>
      <c r="V52" s="1"/>
    </row>
    <row collapsed="false" customFormat="false" customHeight="false" hidden="false" ht="12.75" outlineLevel="0"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collapsed="false" customFormat="false" customHeight="false" hidden="false" ht="12.75" outlineLevel="0" r="54">
      <c r="A54" s="1"/>
      <c r="B54" s="1"/>
      <c r="C54" s="1"/>
      <c r="D54" s="1"/>
      <c r="E54" s="1"/>
      <c r="F54" s="1"/>
      <c r="G54" s="1"/>
      <c r="H54" s="1"/>
      <c r="I54" s="1" t="n">
        <f aca="false">630.7+722.8</f>
        <v>1353.5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collapsed="false" customFormat="false" customHeight="false" hidden="false" ht="12.75" outlineLevel="0"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collapsed="false" customFormat="false" customHeight="false" hidden="false" ht="12.75" outlineLevel="0"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collapsed="false" customFormat="false" customHeight="false" hidden="false" ht="12.75" outlineLevel="0"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collapsed="false" customFormat="false" customHeight="false" hidden="false" ht="12.75" outlineLevel="0"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collapsed="false" customFormat="false" customHeight="false" hidden="false" ht="12.75" outlineLevel="0" r="59">
      <c r="A59" s="1"/>
      <c r="B59" s="1"/>
      <c r="C59" s="1"/>
      <c r="D59" s="1"/>
      <c r="E59" s="1"/>
      <c r="F59" s="1"/>
      <c r="G59" s="1"/>
      <c r="H59" s="1" t="s">
        <v>76</v>
      </c>
      <c r="I59" s="1" t="n">
        <f aca="false">I52*I54</f>
        <v>12689.0625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collapsed="false" customFormat="false" customHeight="false" hidden="false" ht="12.75" outlineLevel="0"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collapsed="false" customFormat="false" customHeight="false" hidden="false" ht="12.75" outlineLevel="0" r="61">
      <c r="A61" s="1" t="s">
        <v>77</v>
      </c>
      <c r="B61" s="1" t="s">
        <v>1</v>
      </c>
      <c r="C61" s="1"/>
      <c r="D61" s="1" t="s">
        <v>2</v>
      </c>
      <c r="E61" s="1" t="s">
        <v>3</v>
      </c>
      <c r="F61" s="1" t="s">
        <v>74</v>
      </c>
      <c r="G61" s="1"/>
      <c r="H61" s="1"/>
      <c r="I61" s="1" t="s">
        <v>78</v>
      </c>
      <c r="J61" s="1"/>
      <c r="K61" s="1" t="s">
        <v>6</v>
      </c>
      <c r="L61" s="1" t="s">
        <v>7</v>
      </c>
      <c r="M61" s="1" t="s">
        <v>8</v>
      </c>
      <c r="N61" s="1" t="s">
        <v>9</v>
      </c>
      <c r="O61" s="1"/>
      <c r="P61" s="1"/>
      <c r="Q61" s="1"/>
      <c r="R61" s="1"/>
      <c r="S61" s="1"/>
      <c r="T61" s="1"/>
      <c r="U61" s="1"/>
      <c r="V61" s="1"/>
    </row>
    <row collapsed="false" customFormat="false" customHeight="false" hidden="false" ht="12.75" outlineLevel="0" r="62">
      <c r="A62" s="1" t="s">
        <v>13</v>
      </c>
      <c r="B62" s="1" t="n">
        <f aca="false">$P$1</f>
        <v>2000</v>
      </c>
      <c r="C62" s="1" t="s">
        <v>16</v>
      </c>
      <c r="D62" s="1" t="n">
        <f aca="false">B62*3</f>
        <v>6000</v>
      </c>
      <c r="E62" s="1" t="n">
        <f aca="false">D62/96</f>
        <v>62.5</v>
      </c>
      <c r="F62" s="1" t="n">
        <f aca="false">D62/32</f>
        <v>187.5</v>
      </c>
      <c r="G62" s="1"/>
      <c r="H62" s="1"/>
      <c r="I62" s="1" t="n">
        <f aca="false">F62/20</f>
        <v>9.375</v>
      </c>
      <c r="J62" s="1"/>
      <c r="K62" s="1" t="n">
        <f aca="false">E62/23</f>
        <v>2.71739130434783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collapsed="false" customFormat="false" customHeight="false" hidden="false" ht="12.75" outlineLevel="0" r="63">
      <c r="A63" s="1"/>
      <c r="B63" s="1"/>
      <c r="C63" s="1"/>
      <c r="D63" s="1"/>
      <c r="E63" s="1" t="n">
        <f aca="false">D63/96</f>
        <v>0</v>
      </c>
      <c r="F63" s="1" t="n">
        <f aca="false">D63/32</f>
        <v>0</v>
      </c>
      <c r="G63" s="1"/>
      <c r="H63" s="1"/>
      <c r="I63" s="1" t="n">
        <f aca="false">F63/20</f>
        <v>0</v>
      </c>
      <c r="J63" s="1"/>
      <c r="K63" s="1" t="n">
        <f aca="false">E63/23</f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collapsed="false" customFormat="false" customHeight="false" hidden="false" ht="12.75" outlineLevel="0" r="64">
      <c r="A64" s="1" t="s">
        <v>15</v>
      </c>
      <c r="B64" s="1" t="n">
        <v>3700</v>
      </c>
      <c r="C64" s="1" t="s">
        <v>16</v>
      </c>
      <c r="D64" s="1" t="n">
        <f aca="false">B64*3</f>
        <v>11100</v>
      </c>
      <c r="E64" s="1" t="n">
        <f aca="false">D64/96</f>
        <v>115.625</v>
      </c>
      <c r="F64" s="1" t="n">
        <v>0</v>
      </c>
      <c r="G64" s="1"/>
      <c r="H64" s="1"/>
      <c r="I64" s="1" t="n">
        <f aca="false">F64/20</f>
        <v>0</v>
      </c>
      <c r="J64" s="1"/>
      <c r="K64" s="1" t="n">
        <f aca="false">E64/23</f>
        <v>5.02717391304348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collapsed="false" customFormat="false" customHeight="false" hidden="false" ht="12.75" outlineLevel="0" r="65">
      <c r="A65" s="1"/>
      <c r="B65" s="1"/>
      <c r="C65" s="1" t="s">
        <v>16</v>
      </c>
      <c r="D65" s="1" t="n">
        <v>0</v>
      </c>
      <c r="E65" s="1" t="n">
        <f aca="false">D65/96</f>
        <v>0</v>
      </c>
      <c r="F65" s="1" t="n">
        <f aca="false">D65/32</f>
        <v>0</v>
      </c>
      <c r="G65" s="1"/>
      <c r="H65" s="1"/>
      <c r="I65" s="1" t="n">
        <f aca="false">F65/20</f>
        <v>0</v>
      </c>
      <c r="J65" s="1"/>
      <c r="K65" s="1" t="n">
        <f aca="false">E65/23</f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collapsed="false" customFormat="false" customHeight="false" hidden="false" ht="12.75" outlineLevel="0" r="66">
      <c r="A66" s="1"/>
      <c r="B66" s="1"/>
      <c r="C66" s="1"/>
      <c r="D66" s="1" t="n">
        <f aca="false">B66*3</f>
        <v>0</v>
      </c>
      <c r="E66" s="1"/>
      <c r="F66" s="1" t="n">
        <f aca="false">D66/32</f>
        <v>0</v>
      </c>
      <c r="G66" s="1"/>
      <c r="H66" s="1"/>
      <c r="I66" s="1" t="n">
        <f aca="false">F66/20</f>
        <v>0</v>
      </c>
      <c r="J66" s="1"/>
      <c r="K66" s="1" t="n">
        <f aca="false">E66/23</f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collapsed="false" customFormat="false" customHeight="false" hidden="false" ht="12.75" outlineLevel="0" r="67">
      <c r="A67" s="1"/>
      <c r="B67" s="1"/>
      <c r="C67" s="1"/>
      <c r="D67" s="1"/>
      <c r="E67" s="1"/>
      <c r="F67" s="1" t="n">
        <f aca="false">D67/32</f>
        <v>0</v>
      </c>
      <c r="G67" s="1"/>
      <c r="H67" s="1"/>
      <c r="I67" s="1" t="n">
        <f aca="false">F67/20</f>
        <v>0</v>
      </c>
      <c r="J67" s="1"/>
      <c r="K67" s="1" t="n">
        <f aca="false">E67/23</f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collapsed="false" customFormat="false" customHeight="false" hidden="false" ht="12.75" outlineLevel="0" r="68">
      <c r="A68" s="1" t="s">
        <v>67</v>
      </c>
      <c r="B68" s="1" t="n">
        <v>0</v>
      </c>
      <c r="C68" s="1" t="s">
        <v>16</v>
      </c>
      <c r="D68" s="1" t="n">
        <f aca="false">B68*3</f>
        <v>0</v>
      </c>
      <c r="E68" s="1" t="n">
        <f aca="false">D68/96</f>
        <v>0</v>
      </c>
      <c r="F68" s="1" t="n">
        <v>0</v>
      </c>
      <c r="G68" s="1"/>
      <c r="H68" s="1"/>
      <c r="I68" s="1" t="n">
        <f aca="false">F68/20</f>
        <v>0</v>
      </c>
      <c r="J68" s="1"/>
      <c r="K68" s="1" t="n">
        <f aca="false">E68/23</f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collapsed="false" customFormat="false" customHeight="false" hidden="false" ht="12.75" outlineLevel="0" r="69">
      <c r="A69" s="1"/>
      <c r="B69" s="1"/>
      <c r="C69" s="1" t="s">
        <v>16</v>
      </c>
      <c r="D69" s="1" t="n">
        <v>0</v>
      </c>
      <c r="E69" s="1" t="n">
        <f aca="false">D69/96</f>
        <v>0</v>
      </c>
      <c r="F69" s="1" t="n">
        <f aca="false">D69/32</f>
        <v>0</v>
      </c>
      <c r="G69" s="1"/>
      <c r="H69" s="1"/>
      <c r="I69" s="1" t="n">
        <f aca="false">F69/20</f>
        <v>0</v>
      </c>
      <c r="J69" s="1"/>
      <c r="K69" s="1" t="n">
        <f aca="false">E69/23</f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collapsed="false" customFormat="false" customHeight="false" hidden="false" ht="12.75" outlineLevel="0" r="70">
      <c r="A70" s="1"/>
      <c r="B70" s="1"/>
      <c r="C70" s="1"/>
      <c r="D70" s="1" t="n">
        <f aca="false">SUM(D62:D69)</f>
        <v>17100</v>
      </c>
      <c r="E70" s="1" t="n">
        <f aca="false">SUM(E62:E69)</f>
        <v>178.125</v>
      </c>
      <c r="F70" s="1" t="n">
        <f aca="false">SUM(F62:F69)</f>
        <v>187.5</v>
      </c>
      <c r="G70" s="1"/>
      <c r="H70" s="1"/>
      <c r="I70" s="1" t="n">
        <f aca="false">SUM(I62:I69)</f>
        <v>9.375</v>
      </c>
      <c r="J70" s="1"/>
      <c r="K70" s="1" t="n">
        <f aca="false">CEILING(SUM(K62:K68),1,1)</f>
        <v>8</v>
      </c>
      <c r="L70" s="1" t="n">
        <v>9</v>
      </c>
      <c r="M70" s="1" t="n">
        <v>9</v>
      </c>
      <c r="N70" s="1" t="n">
        <v>9</v>
      </c>
      <c r="O70" s="1"/>
      <c r="P70" s="1"/>
      <c r="Q70" s="1"/>
      <c r="R70" s="1"/>
      <c r="S70" s="1"/>
      <c r="T70" s="1"/>
      <c r="U70" s="1"/>
      <c r="V70" s="1"/>
    </row>
    <row collapsed="false" customFormat="false" customHeight="false" hidden="false" ht="12.75" outlineLevel="0"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collapsed="false" customFormat="false" customHeight="false" hidden="false" ht="12.75" outlineLevel="0" r="72">
      <c r="A72" s="1"/>
      <c r="B72" s="1"/>
      <c r="C72" s="1"/>
      <c r="D72" s="1"/>
      <c r="E72" s="1"/>
      <c r="F72" s="1"/>
      <c r="G72" s="1"/>
      <c r="H72" s="1" t="s">
        <v>76</v>
      </c>
      <c r="I72" s="1" t="n">
        <f aca="false">630.7+722.8</f>
        <v>1353.5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collapsed="false" customFormat="false" customHeight="false" hidden="false" ht="12.75" outlineLevel="0"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collapsed="false" customFormat="false" customHeight="false" hidden="false" ht="12.75" outlineLevel="0" r="74">
      <c r="A74" s="1"/>
      <c r="B74" s="1"/>
      <c r="C74" s="1"/>
      <c r="D74" s="1"/>
      <c r="E74" s="1"/>
      <c r="F74" s="1"/>
      <c r="G74" s="1"/>
      <c r="H74" s="1"/>
      <c r="I74" s="1" t="n">
        <f aca="false">I70*I72</f>
        <v>12689.0625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collapsed="false" customFormat="false" customHeight="false" hidden="false" ht="12.75" outlineLevel="0"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collapsed="false" customFormat="false" customHeight="false" hidden="false" ht="12.75" outlineLevel="0" r="76">
      <c r="A76" s="1" t="s">
        <v>79</v>
      </c>
      <c r="B76" s="1"/>
      <c r="C76" s="1"/>
      <c r="D76" s="1"/>
      <c r="E76" s="1"/>
      <c r="F76" s="1"/>
      <c r="G76" s="1"/>
      <c r="H76" s="1" t="s">
        <v>80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collapsed="false" customFormat="false" customHeight="false" hidden="false" ht="12.75" outlineLevel="0" r="77">
      <c r="A77" s="1"/>
      <c r="B77" s="1" t="s">
        <v>81</v>
      </c>
      <c r="C77" s="1"/>
      <c r="D77" s="1"/>
      <c r="E77" s="1"/>
      <c r="F77" s="1"/>
      <c r="G77" s="1"/>
      <c r="H77" s="1" t="s">
        <v>8</v>
      </c>
      <c r="I77" s="1" t="n">
        <v>11</v>
      </c>
      <c r="J77" s="1" t="n">
        <v>3400</v>
      </c>
      <c r="K77" s="1" t="n">
        <f aca="false">I77*J77</f>
        <v>37400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collapsed="false" customFormat="false" customHeight="false" hidden="false" ht="12.75" outlineLevel="0" r="78">
      <c r="A78" s="1"/>
      <c r="B78" s="1" t="s">
        <v>8</v>
      </c>
      <c r="C78" s="1" t="n">
        <v>10</v>
      </c>
      <c r="D78" s="1" t="n">
        <v>3400</v>
      </c>
      <c r="E78" s="1" t="n">
        <f aca="false">C78*D78</f>
        <v>34000</v>
      </c>
      <c r="F78" s="1"/>
      <c r="G78" s="1"/>
      <c r="H78" s="1" t="s">
        <v>9</v>
      </c>
      <c r="I78" s="1" t="n">
        <v>11</v>
      </c>
      <c r="J78" s="1" t="n">
        <v>2000</v>
      </c>
      <c r="K78" s="1" t="n">
        <f aca="false">I78*J78</f>
        <v>22000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collapsed="false" customFormat="false" customHeight="false" hidden="false" ht="12.75" outlineLevel="0" r="79">
      <c r="A79" s="1"/>
      <c r="B79" s="1" t="s">
        <v>9</v>
      </c>
      <c r="C79" s="1" t="n">
        <v>10</v>
      </c>
      <c r="D79" s="1" t="n">
        <v>2000</v>
      </c>
      <c r="E79" s="1" t="n">
        <f aca="false">C79*D79</f>
        <v>20000</v>
      </c>
      <c r="F79" s="1"/>
      <c r="G79" s="1"/>
      <c r="H79" s="1" t="s">
        <v>82</v>
      </c>
      <c r="I79" s="1" t="n">
        <v>0</v>
      </c>
      <c r="J79" s="1" t="n">
        <v>1500</v>
      </c>
      <c r="K79" s="1" t="n">
        <f aca="false">I79*J79</f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collapsed="false" customFormat="false" customHeight="false" hidden="false" ht="12.75" outlineLevel="0" r="80">
      <c r="A80" s="1"/>
      <c r="B80" s="1" t="s">
        <v>82</v>
      </c>
      <c r="C80" s="1" t="n">
        <v>10</v>
      </c>
      <c r="D80" s="1" t="n">
        <v>1500</v>
      </c>
      <c r="E80" s="1" t="n">
        <f aca="false">C80*D80</f>
        <v>15000</v>
      </c>
      <c r="F80" s="1"/>
      <c r="G80" s="1"/>
      <c r="H80" s="1" t="s">
        <v>80</v>
      </c>
      <c r="I80" s="1" t="n">
        <v>0</v>
      </c>
      <c r="J80" s="1" t="n">
        <v>10315</v>
      </c>
      <c r="K80" s="1" t="n">
        <f aca="false">I80*J80</f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collapsed="false" customFormat="false" customHeight="false" hidden="false" ht="12.75" outlineLevel="0" r="81">
      <c r="A81" s="1"/>
      <c r="B81" s="1" t="s">
        <v>80</v>
      </c>
      <c r="C81" s="1" t="n">
        <v>10</v>
      </c>
      <c r="D81" s="1" t="n">
        <v>10315</v>
      </c>
      <c r="E81" s="1" t="n">
        <f aca="false">C81*D81</f>
        <v>103150</v>
      </c>
      <c r="F81" s="1"/>
      <c r="G81" s="1"/>
      <c r="H81" s="1" t="s">
        <v>83</v>
      </c>
      <c r="I81" s="1" t="n">
        <v>0</v>
      </c>
      <c r="J81" s="1" t="n">
        <v>9000</v>
      </c>
      <c r="K81" s="1" t="n">
        <f aca="false">I81*J81</f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collapsed="false" customFormat="false" customHeight="false" hidden="false" ht="12.75" outlineLevel="0" r="82">
      <c r="A82" s="1"/>
      <c r="B82" s="1" t="s">
        <v>83</v>
      </c>
      <c r="C82" s="1" t="n">
        <v>10</v>
      </c>
      <c r="D82" s="1" t="n">
        <v>9000</v>
      </c>
      <c r="E82" s="1" t="n">
        <f aca="false">C82*D82</f>
        <v>90000</v>
      </c>
      <c r="F82" s="1"/>
      <c r="G82" s="1"/>
      <c r="H82" s="1" t="s">
        <v>84</v>
      </c>
      <c r="I82" s="1" t="n">
        <v>0</v>
      </c>
      <c r="J82" s="1" t="n">
        <v>1650</v>
      </c>
      <c r="K82" s="1" t="n">
        <f aca="false">I82*J82</f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collapsed="false" customFormat="false" customHeight="false" hidden="false" ht="12.75" outlineLevel="0" r="83">
      <c r="A83" s="1"/>
      <c r="B83" s="1"/>
      <c r="C83" s="1"/>
      <c r="D83" s="1"/>
      <c r="E83" s="1"/>
      <c r="F83" s="1"/>
      <c r="G83" s="1"/>
      <c r="H83" s="1"/>
      <c r="I83" s="1"/>
      <c r="J83" s="1" t="s">
        <v>71</v>
      </c>
      <c r="K83" s="1" t="n">
        <f aca="false">SUM(K77:K82)</f>
        <v>59400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collapsed="false" customFormat="false" customHeight="false" hidden="false" ht="12.75" outlineLevel="0" r="84">
      <c r="A84" s="1"/>
      <c r="B84" s="1"/>
      <c r="C84" s="1"/>
      <c r="D84" s="1" t="s">
        <v>71</v>
      </c>
      <c r="E84" s="1" t="n">
        <f aca="false">SUM(E78:E82)</f>
        <v>262150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collapsed="false" customFormat="false" customHeight="false" hidden="false" ht="12.75" outlineLevel="0"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collapsed="false" customFormat="false" customHeight="false" hidden="false" ht="12.75" outlineLevel="0" r="86">
      <c r="A86" s="1" t="s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collapsed="false" customFormat="false" customHeight="false" hidden="false" ht="12.75" outlineLevel="0"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collapsed="false" customFormat="false" customHeight="false" hidden="false" ht="12.75" outlineLevel="0" r="88">
      <c r="A88" s="1"/>
      <c r="B88" s="1"/>
      <c r="C88" s="1" t="n">
        <f aca="false">(1/200000)*1000000</f>
        <v>5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collapsed="false" customFormat="false" customHeight="false" hidden="false" ht="12.75" outlineLevel="0"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collapsed="false" customFormat="false" customHeight="false" hidden="false" ht="12.75" outlineLevel="0" r="90">
      <c r="A90" s="1"/>
      <c r="B90" s="1"/>
      <c r="C90" s="1"/>
      <c r="D90" s="1"/>
      <c r="E90" s="1"/>
      <c r="F90" s="1"/>
      <c r="G90" s="1"/>
      <c r="H90" s="1"/>
      <c r="I90" s="1" t="s">
        <v>86</v>
      </c>
      <c r="J90" s="1" t="s">
        <v>87</v>
      </c>
      <c r="K90" s="1" t="s">
        <v>22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collapsed="false" customFormat="false" customHeight="false" hidden="false" ht="12.75" outlineLevel="0" r="91">
      <c r="A91" s="0" t="s">
        <v>88</v>
      </c>
      <c r="B91" s="2" t="n">
        <f aca="false">7*27</f>
        <v>189</v>
      </c>
      <c r="C91" s="2" t="n">
        <f aca="false">2*27</f>
        <v>54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collapsed="false" customFormat="false" customHeight="false" hidden="false" ht="12.75" outlineLevel="0" r="92">
      <c r="B92" s="0" t="s">
        <v>89</v>
      </c>
      <c r="C92" s="0" t="s">
        <v>90</v>
      </c>
      <c r="D92" s="0" t="n">
        <v>189</v>
      </c>
      <c r="E92" s="0" t="s">
        <v>91</v>
      </c>
      <c r="F92" s="0" t="n">
        <v>243</v>
      </c>
      <c r="I92" s="2" t="n">
        <f aca="false">F92/64</f>
        <v>3.796875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collapsed="false" customFormat="false" customHeight="false" hidden="false" ht="12.75" outlineLevel="0" r="93">
      <c r="C93" s="0" t="s">
        <v>92</v>
      </c>
      <c r="D93" s="0" t="n">
        <v>54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collapsed="false" customFormat="false" customHeight="false" hidden="false" ht="12.75" outlineLevel="0" r="94">
      <c r="C94" s="0" t="s">
        <v>93</v>
      </c>
      <c r="D94" s="0" t="n">
        <v>180</v>
      </c>
      <c r="F94" s="0" t="n">
        <v>180</v>
      </c>
      <c r="G94" s="0" t="n">
        <v>0</v>
      </c>
      <c r="H94" s="0" t="n">
        <v>288</v>
      </c>
      <c r="I94" s="2" t="n">
        <f aca="false">F94/64</f>
        <v>2.8125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collapsed="false" customFormat="false" customHeight="false" hidden="false" ht="12.75" outlineLevel="0" r="95">
      <c r="C95" s="0" t="s">
        <v>67</v>
      </c>
      <c r="D95" s="0" t="n">
        <v>550</v>
      </c>
      <c r="G95" s="0" t="n">
        <v>550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collapsed="false" customFormat="false" customHeight="false" hidden="false" ht="12.75" outlineLevel="0" r="96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collapsed="false" customFormat="false" customHeight="false" hidden="false" ht="12.75" outlineLevel="0" r="97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collapsed="false" customFormat="false" customHeight="false" hidden="false" ht="12.75" outlineLevel="0" r="98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collapsed="false" customFormat="false" customHeight="false" hidden="false" ht="12.75" outlineLevel="0" r="99">
      <c r="B99" s="0" t="s">
        <v>94</v>
      </c>
      <c r="C99" s="0" t="s">
        <v>28</v>
      </c>
      <c r="D99" s="0" t="n">
        <v>288</v>
      </c>
      <c r="E99" s="0" t="s">
        <v>95</v>
      </c>
      <c r="F99" s="0" t="n">
        <v>288</v>
      </c>
      <c r="G99" s="0" t="n">
        <v>0</v>
      </c>
      <c r="H99" s="0" t="n">
        <v>288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collapsed="false" customFormat="false" customHeight="false" hidden="false" ht="12.75" outlineLevel="0" r="100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collapsed="false" customFormat="false" customHeight="false" hidden="false" ht="12.75" outlineLevel="0" r="101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collapsed="false" customFormat="false" customHeight="false" hidden="false" ht="12.75" outlineLevel="0" r="102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collapsed="false" customFormat="false" customHeight="false" hidden="false" ht="12.75" outlineLevel="0" r="103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collapsed="false" customFormat="false" customHeight="false" hidden="false" ht="12.75" outlineLevel="0" r="104">
      <c r="A104" s="0" t="s">
        <v>96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collapsed="false" customFormat="false" customHeight="false" hidden="false" ht="12.75" outlineLevel="0" r="105">
      <c r="B105" s="0" t="s">
        <v>89</v>
      </c>
      <c r="C105" s="0" t="s">
        <v>90</v>
      </c>
      <c r="D105" s="0" t="n">
        <v>189</v>
      </c>
      <c r="E105" s="0" t="s">
        <v>97</v>
      </c>
      <c r="F105" s="0" t="n">
        <v>243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collapsed="false" customFormat="false" customHeight="false" hidden="false" ht="12.75" outlineLevel="0" r="106">
      <c r="C106" s="0" t="s">
        <v>92</v>
      </c>
      <c r="D106" s="0" t="n">
        <v>54</v>
      </c>
    </row>
    <row collapsed="false" customFormat="false" customHeight="false" hidden="false" ht="12.75" outlineLevel="0" r="107">
      <c r="C107" s="0" t="s">
        <v>93</v>
      </c>
      <c r="D107" s="0" t="n">
        <v>180</v>
      </c>
      <c r="F107" s="0" t="n">
        <v>180</v>
      </c>
      <c r="H107" s="0" t="n">
        <v>180</v>
      </c>
    </row>
    <row collapsed="false" customFormat="false" customHeight="false" hidden="false" ht="12.75" outlineLevel="0" r="108">
      <c r="C108" s="0" t="s">
        <v>67</v>
      </c>
      <c r="D108" s="0" t="n">
        <v>550</v>
      </c>
      <c r="G108" s="0" t="n">
        <v>550</v>
      </c>
    </row>
    <row collapsed="false" customFormat="false" customHeight="false" hidden="false" ht="12.75" outlineLevel="0" r="114">
      <c r="B114" s="0" t="s">
        <v>98</v>
      </c>
    </row>
    <row collapsed="false" customFormat="false" customHeight="false" hidden="false" ht="12.75" outlineLevel="0" r="115">
      <c r="C115" s="0" t="s">
        <v>28</v>
      </c>
      <c r="D115" s="0" t="n">
        <v>288</v>
      </c>
      <c r="E115" s="0" t="s">
        <v>99</v>
      </c>
      <c r="F115" s="0" t="n">
        <v>288</v>
      </c>
      <c r="H115" s="0" t="n">
        <v>288</v>
      </c>
    </row>
    <row collapsed="false" customFormat="false" customHeight="false" hidden="false" ht="12.75" outlineLevel="0" r="122">
      <c r="A122" s="0" t="s">
        <v>100</v>
      </c>
    </row>
    <row collapsed="false" customFormat="false" customHeight="false" hidden="false" ht="12.75" outlineLevel="0" r="123">
      <c r="B123" s="0" t="s">
        <v>101</v>
      </c>
      <c r="C123" s="0" t="s">
        <v>90</v>
      </c>
      <c r="D123" s="0" t="n">
        <v>243</v>
      </c>
      <c r="E123" s="0" t="s">
        <v>102</v>
      </c>
      <c r="F123" s="0" t="n">
        <v>243</v>
      </c>
    </row>
    <row collapsed="false" customFormat="false" customHeight="false" hidden="false" ht="12.75" outlineLevel="0" r="124">
      <c r="C124" s="0" t="s">
        <v>103</v>
      </c>
    </row>
    <row collapsed="false" customFormat="false" customHeight="false" hidden="false" ht="12.75" outlineLevel="0" r="125">
      <c r="C125" s="0" t="s">
        <v>104</v>
      </c>
      <c r="D125" s="0" t="n">
        <v>180</v>
      </c>
      <c r="H125" s="0" t="n">
        <v>180</v>
      </c>
    </row>
    <row collapsed="false" customFormat="false" customHeight="false" hidden="false" ht="12.75" outlineLevel="0" r="126">
      <c r="C126" s="0" t="s">
        <v>67</v>
      </c>
      <c r="D126" s="0" t="n">
        <v>550</v>
      </c>
      <c r="G126" s="0" t="n">
        <v>550</v>
      </c>
    </row>
    <row collapsed="false" customFormat="false" customHeight="false" hidden="false" ht="12.75" outlineLevel="0" r="127">
      <c r="C127" s="0" t="s">
        <v>71</v>
      </c>
    </row>
    <row collapsed="false" customFormat="false" customHeight="false" hidden="false" ht="12.75" outlineLevel="0" r="129">
      <c r="B129" s="0" t="s">
        <v>105</v>
      </c>
      <c r="C129" s="0" t="s">
        <v>44</v>
      </c>
      <c r="D129" s="0" t="n">
        <v>101700</v>
      </c>
    </row>
    <row collapsed="false" customFormat="false" customHeight="false" hidden="false" ht="12.75" outlineLevel="0" r="130">
      <c r="C130" s="0" t="s">
        <v>106</v>
      </c>
      <c r="D130" s="0" t="n">
        <v>2000</v>
      </c>
    </row>
    <row collapsed="false" customFormat="false" customHeight="false" hidden="false" ht="12.75" outlineLevel="0" r="131">
      <c r="C131" s="0" t="s">
        <v>28</v>
      </c>
      <c r="D131" s="0" t="n">
        <v>288</v>
      </c>
      <c r="E131" s="0" t="s">
        <v>107</v>
      </c>
      <c r="F131" s="0" t="n">
        <v>288</v>
      </c>
      <c r="H131" s="0" t="n">
        <v>288</v>
      </c>
    </row>
    <row collapsed="false" customFormat="false" customHeight="false" hidden="false" ht="12.75" outlineLevel="0" r="133">
      <c r="A133" s="0" t="s">
        <v>108</v>
      </c>
      <c r="B133" s="0" t="s">
        <v>89</v>
      </c>
      <c r="C133" s="0" t="s">
        <v>67</v>
      </c>
      <c r="D133" s="0" t="n">
        <v>550</v>
      </c>
      <c r="E133" s="0" t="s">
        <v>109</v>
      </c>
      <c r="G133" s="0" t="n">
        <v>550</v>
      </c>
    </row>
    <row collapsed="false" customFormat="false" customHeight="false" hidden="false" ht="12.75" outlineLevel="0" r="134">
      <c r="C134" s="0" t="s">
        <v>110</v>
      </c>
      <c r="D134" s="0" t="n">
        <v>180</v>
      </c>
      <c r="F134" s="0" t="n">
        <v>180</v>
      </c>
      <c r="G134" s="0" t="n">
        <v>180</v>
      </c>
    </row>
    <row collapsed="false" customFormat="false" customHeight="false" hidden="false" ht="12.75" outlineLevel="0" r="135">
      <c r="C135" s="0" t="s">
        <v>90</v>
      </c>
      <c r="D135" s="0" t="n">
        <v>243</v>
      </c>
      <c r="F135" s="0" t="n">
        <v>243</v>
      </c>
    </row>
    <row collapsed="false" customFormat="false" customHeight="false" hidden="false" ht="12.75" outlineLevel="0" r="136">
      <c r="D136" s="2" t="n">
        <f aca="false">SUM(D133:D135)</f>
        <v>973</v>
      </c>
    </row>
    <row collapsed="false" customFormat="false" customHeight="false" hidden="false" ht="12.75" outlineLevel="0" r="137">
      <c r="C137" s="2" t="n">
        <f aca="false">7*17</f>
        <v>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" min="1" style="0" width="14.0051020408163"/>
    <col collapsed="false" hidden="false" max="2" min="2" style="0" width="9.5765306122449"/>
    <col collapsed="false" hidden="false" max="3" min="3" style="0" width="8"/>
    <col collapsed="false" hidden="false" max="4" min="4" style="0" width="7.29081632653061"/>
    <col collapsed="false" hidden="false" max="5" min="5" style="0" width="11.7091836734694"/>
    <col collapsed="false" hidden="false" max="6" min="6" style="0" width="12.2908163265306"/>
    <col collapsed="false" hidden="false" max="7" min="7" style="0" width="10"/>
    <col collapsed="false" hidden="false" max="8" min="8" style="0" width="11.4285714285714"/>
    <col collapsed="false" hidden="false" max="9" min="9" style="0" width="11.2959183673469"/>
    <col collapsed="false" hidden="false" max="10" min="10" style="0" width="12.5714285714286"/>
    <col collapsed="false" hidden="false" max="11" min="11" style="0" width="10"/>
    <col collapsed="false" hidden="false" max="1025" min="12" style="0" width="17.1326530612245"/>
  </cols>
  <sheetData>
    <row collapsed="false" customFormat="false" customHeight="false" hidden="false" ht="12.75" outlineLevel="0" r="1">
      <c r="A1" s="1" t="s">
        <v>56</v>
      </c>
      <c r="B1" s="1" t="s">
        <v>1</v>
      </c>
      <c r="C1" s="1" t="s">
        <v>57</v>
      </c>
      <c r="D1" s="1" t="s">
        <v>58</v>
      </c>
      <c r="E1" s="1" t="s">
        <v>59</v>
      </c>
      <c r="F1" s="1" t="s">
        <v>60</v>
      </c>
      <c r="G1" s="1"/>
      <c r="H1" s="1"/>
      <c r="I1" s="1" t="s">
        <v>61</v>
      </c>
      <c r="J1" s="1" t="s">
        <v>62</v>
      </c>
      <c r="K1" s="1" t="s">
        <v>32</v>
      </c>
      <c r="L1" s="3" t="s">
        <v>63</v>
      </c>
      <c r="M1" s="1" t="s">
        <v>64</v>
      </c>
      <c r="N1" s="1" t="s">
        <v>65</v>
      </c>
      <c r="O1" s="1" t="s">
        <v>66</v>
      </c>
      <c r="P1" s="1" t="n">
        <v>2000</v>
      </c>
      <c r="Q1" s="1"/>
      <c r="R1" s="1"/>
      <c r="S1" s="1"/>
      <c r="T1" s="1"/>
      <c r="U1" s="1"/>
      <c r="V1" s="1"/>
    </row>
    <row collapsed="false" customFormat="false" customHeight="false" hidden="false" ht="12.75" outlineLevel="0" r="2">
      <c r="A2" s="1" t="s">
        <v>13</v>
      </c>
      <c r="B2" s="1" t="n">
        <f aca="false">$P$1</f>
        <v>2000</v>
      </c>
      <c r="C2" s="1" t="s">
        <v>14</v>
      </c>
      <c r="D2" s="1"/>
      <c r="E2" s="1" t="n">
        <f aca="false">CEILING((B2/16),1,1)</f>
        <v>125</v>
      </c>
      <c r="F2" s="1" t="n">
        <v>4500</v>
      </c>
      <c r="G2" s="1"/>
      <c r="H2" s="1"/>
      <c r="I2" s="1" t="n">
        <f aca="false">E2*F2</f>
        <v>562500</v>
      </c>
      <c r="J2" s="1" t="n">
        <f aca="false">I2</f>
        <v>562500</v>
      </c>
      <c r="K2" s="1" t="n">
        <f aca="false">E2</f>
        <v>125</v>
      </c>
      <c r="L2" s="3" t="n">
        <f aca="false">K2*F2</f>
        <v>562500</v>
      </c>
      <c r="M2" s="1" t="n">
        <f aca="false">L2</f>
        <v>562500</v>
      </c>
      <c r="N2" s="1"/>
      <c r="O2" s="1"/>
      <c r="P2" s="1"/>
      <c r="Q2" s="1"/>
      <c r="R2" s="1"/>
      <c r="S2" s="1"/>
      <c r="T2" s="1"/>
      <c r="U2" s="1"/>
      <c r="V2" s="1"/>
    </row>
    <row collapsed="false" customFormat="false" customHeight="false" hidden="false" ht="12.75" outlineLevel="0"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"/>
      <c r="M3" s="1"/>
      <c r="N3" s="1"/>
      <c r="O3" s="1"/>
      <c r="P3" s="1"/>
      <c r="Q3" s="1"/>
      <c r="R3" s="1"/>
      <c r="S3" s="1"/>
      <c r="T3" s="1"/>
      <c r="U3" s="1"/>
      <c r="V3" s="1"/>
    </row>
    <row collapsed="false" customFormat="false" customHeight="false" hidden="false" ht="12.75" outlineLevel="0" r="4">
      <c r="A4" s="1" t="s">
        <v>15</v>
      </c>
      <c r="B4" s="1" t="n">
        <v>3700</v>
      </c>
      <c r="C4" s="1" t="s">
        <v>14</v>
      </c>
      <c r="D4" s="1"/>
      <c r="E4" s="1" t="n">
        <f aca="false">CEILING((B4/16),1,1)</f>
        <v>232</v>
      </c>
      <c r="F4" s="1" t="n">
        <v>4500</v>
      </c>
      <c r="G4" s="1"/>
      <c r="H4" s="1"/>
      <c r="I4" s="1" t="n">
        <f aca="false">E4*F4</f>
        <v>1044000</v>
      </c>
      <c r="J4" s="1" t="n">
        <f aca="false">I4</f>
        <v>1044000</v>
      </c>
      <c r="K4" s="1" t="n">
        <v>0</v>
      </c>
      <c r="L4" s="3" t="n">
        <f aca="false">K4*F4</f>
        <v>0</v>
      </c>
      <c r="M4" s="1"/>
      <c r="N4" s="1"/>
      <c r="O4" s="1"/>
      <c r="P4" s="1"/>
      <c r="Q4" s="1"/>
      <c r="R4" s="1"/>
      <c r="S4" s="1"/>
      <c r="T4" s="1"/>
      <c r="U4" s="1"/>
      <c r="V4" s="1"/>
    </row>
    <row collapsed="false" customFormat="false" customHeight="false" hidden="false" ht="12.75" outlineLevel="0" r="5">
      <c r="A5" s="1"/>
      <c r="B5" s="1"/>
      <c r="C5" s="1" t="s">
        <v>16</v>
      </c>
      <c r="D5" s="1"/>
      <c r="E5" s="1" t="n">
        <f aca="false">CEILING((((B2+B4)+B7)/128),1,1)</f>
        <v>45</v>
      </c>
      <c r="F5" s="1" t="n">
        <v>10000</v>
      </c>
      <c r="G5" s="1"/>
      <c r="H5" s="1"/>
      <c r="I5" s="1" t="n">
        <f aca="false">E5*F5</f>
        <v>450000</v>
      </c>
      <c r="J5" s="1" t="n">
        <v>0</v>
      </c>
      <c r="K5" s="1" t="n">
        <f aca="false">E5</f>
        <v>45</v>
      </c>
      <c r="L5" s="3" t="n">
        <f aca="false">K5*F5</f>
        <v>450000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collapsed="false" customFormat="false" customHeight="false" hidden="false" ht="12.75" outlineLevel="0" r="6">
      <c r="A6" s="1"/>
      <c r="B6" s="1"/>
      <c r="C6" s="1" t="n">
        <f aca="false">B4/128</f>
        <v>28.90625</v>
      </c>
      <c r="D6" s="1"/>
      <c r="E6" s="1" t="n">
        <f aca="false">CEILING((B6/16),1,1)</f>
        <v>0</v>
      </c>
      <c r="F6" s="1"/>
      <c r="G6" s="1"/>
      <c r="H6" s="1"/>
      <c r="I6" s="1" t="n">
        <f aca="false">E6*F6</f>
        <v>0</v>
      </c>
      <c r="J6" s="1" t="n">
        <f aca="false">I6</f>
        <v>0</v>
      </c>
      <c r="K6" s="1" t="n">
        <f aca="false">E6</f>
        <v>0</v>
      </c>
      <c r="L6" s="3" t="n">
        <f aca="false">K6*F6</f>
        <v>0</v>
      </c>
      <c r="M6" s="1"/>
      <c r="N6" s="1"/>
      <c r="O6" s="1"/>
      <c r="P6" s="1"/>
      <c r="Q6" s="1"/>
      <c r="R6" s="1"/>
      <c r="S6" s="1"/>
      <c r="T6" s="1"/>
      <c r="U6" s="1"/>
      <c r="V6" s="1"/>
    </row>
    <row collapsed="false" customFormat="false" customHeight="false" hidden="false" ht="12.75" outlineLevel="0" r="7">
      <c r="A7" s="1" t="s">
        <v>67</v>
      </c>
      <c r="B7" s="1" t="n">
        <v>0</v>
      </c>
      <c r="C7" s="1" t="s">
        <v>14</v>
      </c>
      <c r="D7" s="1"/>
      <c r="E7" s="1" t="n">
        <f aca="false">CEILING((B7/16),1,1)</f>
        <v>0</v>
      </c>
      <c r="F7" s="1" t="n">
        <v>4500</v>
      </c>
      <c r="G7" s="1"/>
      <c r="H7" s="1"/>
      <c r="I7" s="1" t="n">
        <f aca="false">E7*F7</f>
        <v>0</v>
      </c>
      <c r="J7" s="1" t="n">
        <f aca="false">I7</f>
        <v>0</v>
      </c>
      <c r="K7" s="1" t="n">
        <v>0</v>
      </c>
      <c r="L7" s="3" t="n">
        <f aca="false">K7*F7</f>
        <v>0</v>
      </c>
      <c r="M7" s="1"/>
      <c r="N7" s="1"/>
      <c r="O7" s="1"/>
      <c r="P7" s="1"/>
      <c r="Q7" s="1"/>
      <c r="R7" s="1"/>
      <c r="S7" s="1"/>
      <c r="T7" s="1"/>
      <c r="U7" s="1"/>
      <c r="V7" s="1"/>
    </row>
    <row collapsed="false" customFormat="false" customHeight="false" hidden="false" ht="12.75" outlineLevel="0" r="8">
      <c r="A8" s="1"/>
      <c r="B8" s="1"/>
      <c r="C8" s="1" t="s">
        <v>16</v>
      </c>
      <c r="D8" s="1"/>
      <c r="E8" s="1" t="n">
        <f aca="false">CEILING((B7/128),1,1)</f>
        <v>0</v>
      </c>
      <c r="F8" s="1" t="n">
        <v>10000</v>
      </c>
      <c r="G8" s="1"/>
      <c r="H8" s="1"/>
      <c r="I8" s="1" t="n">
        <f aca="false">E8*F8</f>
        <v>0</v>
      </c>
      <c r="J8" s="1" t="n">
        <v>0</v>
      </c>
      <c r="K8" s="1" t="n">
        <f aca="false">E8</f>
        <v>0</v>
      </c>
      <c r="L8" s="3" t="n">
        <f aca="false">K8*F8</f>
        <v>0</v>
      </c>
      <c r="M8" s="1"/>
      <c r="N8" s="1"/>
      <c r="O8" s="1"/>
      <c r="P8" s="1"/>
      <c r="Q8" s="1"/>
      <c r="R8" s="1"/>
      <c r="S8" s="1"/>
      <c r="T8" s="1"/>
      <c r="U8" s="1"/>
      <c r="V8" s="1"/>
    </row>
    <row collapsed="false" customFormat="false" customHeight="false" hidden="false" ht="12.75" outlineLevel="0" r="9">
      <c r="A9" s="1"/>
      <c r="B9" s="1"/>
      <c r="C9" s="1" t="s">
        <v>68</v>
      </c>
      <c r="D9" s="1"/>
      <c r="E9" s="1" t="n">
        <f aca="false">CEILING((((E2+E4)+E7)/16),1,1)</f>
        <v>23</v>
      </c>
      <c r="F9" s="1" t="n">
        <v>15000</v>
      </c>
      <c r="G9" s="1"/>
      <c r="H9" s="1"/>
      <c r="I9" s="1" t="n">
        <f aca="false">E9*F9</f>
        <v>345000</v>
      </c>
      <c r="J9" s="1" t="n">
        <f aca="false">I9</f>
        <v>345000</v>
      </c>
      <c r="K9" s="1" t="n">
        <f aca="false">CEILING((K2/16),1,1)</f>
        <v>8</v>
      </c>
      <c r="L9" s="3" t="n">
        <f aca="false">K9*F9</f>
        <v>120000</v>
      </c>
      <c r="M9" s="1" t="n">
        <f aca="false">L9</f>
        <v>120000</v>
      </c>
      <c r="N9" s="1"/>
      <c r="O9" s="1"/>
      <c r="P9" s="1"/>
      <c r="Q9" s="1"/>
      <c r="R9" s="1"/>
      <c r="S9" s="1"/>
      <c r="T9" s="1"/>
      <c r="U9" s="1"/>
      <c r="V9" s="1"/>
    </row>
    <row collapsed="false" customFormat="false" customHeight="false" hidden="false" ht="12.75" outlineLevel="0" r="10">
      <c r="A10" s="1"/>
      <c r="B10" s="1"/>
      <c r="C10" s="1" t="s">
        <v>69</v>
      </c>
      <c r="D10" s="1"/>
      <c r="E10" s="1" t="n">
        <f aca="false">CEILING(($E$5/19),1,1)</f>
        <v>3</v>
      </c>
      <c r="F10" s="1" t="n">
        <v>11000</v>
      </c>
      <c r="G10" s="1"/>
      <c r="H10" s="1"/>
      <c r="I10" s="1" t="n">
        <f aca="false">E10*F10</f>
        <v>33000</v>
      </c>
      <c r="J10" s="1" t="n">
        <v>33000</v>
      </c>
      <c r="K10" s="1" t="n">
        <f aca="false">E10</f>
        <v>3</v>
      </c>
      <c r="L10" s="3" t="n">
        <f aca="false">K10*F10</f>
        <v>33000</v>
      </c>
      <c r="M10" s="1" t="n">
        <f aca="false">L10</f>
        <v>33000</v>
      </c>
      <c r="N10" s="1"/>
      <c r="O10" s="1"/>
      <c r="P10" s="1"/>
      <c r="Q10" s="1"/>
      <c r="R10" s="1"/>
      <c r="S10" s="1"/>
      <c r="T10" s="1"/>
      <c r="U10" s="1"/>
      <c r="V10" s="1"/>
    </row>
    <row collapsed="false" customFormat="false" customHeight="false" hidden="false" ht="12.75" outlineLevel="0" r="11">
      <c r="A11" s="1"/>
      <c r="B11" s="1"/>
      <c r="C11" s="1" t="s">
        <v>8</v>
      </c>
      <c r="D11" s="1"/>
      <c r="E11" s="1" t="n">
        <f aca="false">E9+E10</f>
        <v>26</v>
      </c>
      <c r="F11" s="1" t="n">
        <v>3400</v>
      </c>
      <c r="G11" s="1"/>
      <c r="H11" s="1"/>
      <c r="I11" s="1" t="n">
        <f aca="false">E11*F11</f>
        <v>88400</v>
      </c>
      <c r="J11" s="1" t="n">
        <f aca="false">I11</f>
        <v>88400</v>
      </c>
      <c r="K11" s="1" t="n">
        <f aca="false">K9+K10</f>
        <v>11</v>
      </c>
      <c r="L11" s="3" t="n">
        <f aca="false">K11*F11</f>
        <v>37400</v>
      </c>
      <c r="M11" s="1" t="n">
        <f aca="false">L11</f>
        <v>37400</v>
      </c>
      <c r="N11" s="1"/>
      <c r="O11" s="1"/>
      <c r="P11" s="1"/>
      <c r="Q11" s="1"/>
      <c r="R11" s="1"/>
      <c r="S11" s="1"/>
      <c r="T11" s="1"/>
      <c r="U11" s="1"/>
      <c r="V11" s="1"/>
    </row>
    <row collapsed="false" customFormat="false" customHeight="false" hidden="false" ht="12.75" outlineLevel="0" r="12">
      <c r="A12" s="1"/>
      <c r="B12" s="1"/>
      <c r="C12" s="1" t="s">
        <v>9</v>
      </c>
      <c r="D12" s="1"/>
      <c r="E12" s="1" t="n">
        <f aca="false">E11</f>
        <v>26</v>
      </c>
      <c r="F12" s="1" t="n">
        <v>2000</v>
      </c>
      <c r="G12" s="1"/>
      <c r="H12" s="1"/>
      <c r="I12" s="1" t="n">
        <f aca="false">E12*F12</f>
        <v>52000</v>
      </c>
      <c r="J12" s="1" t="n">
        <f aca="false">I12</f>
        <v>52000</v>
      </c>
      <c r="K12" s="1" t="n">
        <f aca="false">K11</f>
        <v>11</v>
      </c>
      <c r="L12" s="3" t="n">
        <f aca="false">K12*F12</f>
        <v>22000</v>
      </c>
      <c r="M12" s="1" t="n">
        <f aca="false">L12</f>
        <v>22000</v>
      </c>
      <c r="N12" s="1"/>
      <c r="O12" s="1"/>
      <c r="P12" s="1"/>
      <c r="Q12" s="1"/>
      <c r="R12" s="1"/>
      <c r="S12" s="1"/>
      <c r="T12" s="1"/>
      <c r="U12" s="1"/>
      <c r="V12" s="1"/>
    </row>
    <row collapsed="false" customFormat="false" customHeight="false" hidden="false" ht="12.75" outlineLevel="0" r="13">
      <c r="A13" s="1"/>
      <c r="B13" s="1"/>
      <c r="C13" s="1" t="s">
        <v>41</v>
      </c>
      <c r="D13" s="1"/>
      <c r="E13" s="1" t="n">
        <f aca="false">E9</f>
        <v>23</v>
      </c>
      <c r="F13" s="1" t="n">
        <v>2000</v>
      </c>
      <c r="G13" s="1"/>
      <c r="H13" s="1"/>
      <c r="I13" s="1" t="n">
        <f aca="false">E13*F13</f>
        <v>46000</v>
      </c>
      <c r="J13" s="1" t="n">
        <f aca="false">I13</f>
        <v>46000</v>
      </c>
      <c r="K13" s="1" t="n">
        <f aca="false">K9</f>
        <v>8</v>
      </c>
      <c r="L13" s="3" t="n">
        <f aca="false">K13*F13</f>
        <v>16000</v>
      </c>
      <c r="M13" s="1" t="n">
        <f aca="false">L13</f>
        <v>16000</v>
      </c>
      <c r="N13" s="1"/>
      <c r="O13" s="1" t="s">
        <v>70</v>
      </c>
      <c r="P13" s="1"/>
      <c r="Q13" s="1"/>
      <c r="R13" s="1"/>
      <c r="S13" s="1"/>
      <c r="T13" s="1"/>
      <c r="U13" s="1"/>
      <c r="V13" s="1"/>
    </row>
    <row collapsed="false" customFormat="false" customHeight="false" hidden="false" ht="12.75" outlineLevel="0" r="14">
      <c r="A14" s="1"/>
      <c r="B14" s="1"/>
      <c r="C14" s="1" t="s">
        <v>39</v>
      </c>
      <c r="D14" s="1"/>
      <c r="E14" s="1" t="n">
        <f aca="false">CEILING(($E$5/19),1,1)</f>
        <v>3</v>
      </c>
      <c r="F14" s="1" t="n">
        <v>4500</v>
      </c>
      <c r="G14" s="1"/>
      <c r="H14" s="1"/>
      <c r="I14" s="1" t="n">
        <f aca="false">E14*F14</f>
        <v>13500</v>
      </c>
      <c r="J14" s="1" t="n">
        <f aca="false">I14</f>
        <v>13500</v>
      </c>
      <c r="K14" s="1" t="n">
        <f aca="false">K9</f>
        <v>8</v>
      </c>
      <c r="L14" s="3" t="n">
        <f aca="false">K14*F14</f>
        <v>36000</v>
      </c>
      <c r="M14" s="1" t="n">
        <f aca="false">L14</f>
        <v>36000</v>
      </c>
      <c r="N14" s="1"/>
      <c r="O14" s="1"/>
      <c r="P14" s="1"/>
      <c r="Q14" s="1"/>
      <c r="R14" s="1"/>
      <c r="S14" s="1"/>
      <c r="T14" s="1"/>
      <c r="U14" s="1"/>
      <c r="V14" s="1"/>
    </row>
    <row collapsed="false" customFormat="false" customHeight="false" hidden="false" ht="12.75" outlineLevel="0"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"/>
      <c r="N15" s="1"/>
      <c r="O15" s="1" t="n">
        <v>177</v>
      </c>
      <c r="P15" s="1" t="n">
        <v>1877</v>
      </c>
      <c r="Q15" s="1"/>
      <c r="R15" s="1"/>
      <c r="S15" s="1"/>
      <c r="T15" s="1"/>
      <c r="U15" s="1"/>
      <c r="V15" s="1"/>
    </row>
    <row collapsed="false" customFormat="false" customHeight="false" hidden="false" ht="12.75" outlineLevel="0"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M16" s="1"/>
      <c r="N16" s="1"/>
      <c r="O16" s="1" t="n">
        <v>52</v>
      </c>
      <c r="P16" s="1" t="n">
        <v>1881</v>
      </c>
      <c r="Q16" s="1"/>
      <c r="R16" s="1"/>
      <c r="S16" s="1"/>
      <c r="T16" s="1"/>
      <c r="U16" s="1"/>
      <c r="V16" s="1"/>
    </row>
    <row collapsed="false" customFormat="false" customHeight="false" hidden="false" ht="12.75" outlineLevel="0" r="17">
      <c r="A17" s="1"/>
      <c r="B17" s="1"/>
      <c r="C17" s="1"/>
      <c r="D17" s="1"/>
      <c r="E17" s="1" t="s">
        <v>71</v>
      </c>
      <c r="F17" s="1"/>
      <c r="G17" s="1"/>
      <c r="H17" s="1"/>
      <c r="I17" s="1" t="n">
        <f aca="false">SUM(I2:I14)</f>
        <v>2634400</v>
      </c>
      <c r="J17" s="1" t="n">
        <f aca="false">SUM(J2:J14)</f>
        <v>2184400</v>
      </c>
      <c r="K17" s="1"/>
      <c r="L17" s="3" t="n">
        <f aca="false">SUM(L2:L14)</f>
        <v>1276900</v>
      </c>
      <c r="M17" s="1" t="n">
        <f aca="false">SUM(M2:M14)</f>
        <v>826900</v>
      </c>
      <c r="N17" s="1"/>
      <c r="O17" s="1" t="n">
        <v>13</v>
      </c>
      <c r="P17" s="1" t="s">
        <v>72</v>
      </c>
      <c r="Q17" s="1"/>
      <c r="R17" s="1"/>
      <c r="S17" s="1"/>
      <c r="T17" s="1"/>
      <c r="U17" s="1"/>
      <c r="V17" s="1"/>
    </row>
    <row collapsed="false" customFormat="false" customHeight="false" hidden="false" ht="12.75" outlineLevel="0"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 t="n">
        <f aca="false">M17-(120*F2)</f>
        <v>286900</v>
      </c>
      <c r="N18" s="1"/>
      <c r="O18" s="1"/>
      <c r="P18" s="1"/>
      <c r="Q18" s="1"/>
      <c r="R18" s="1"/>
      <c r="S18" s="1"/>
      <c r="T18" s="1"/>
      <c r="U18" s="1"/>
      <c r="V18" s="1"/>
    </row>
    <row collapsed="false" customFormat="false" customHeight="false" hidden="false" ht="12.75" outlineLevel="0" r="19">
      <c r="A19" s="1" t="s">
        <v>73</v>
      </c>
      <c r="B19" s="1" t="s">
        <v>1</v>
      </c>
      <c r="C19" s="1"/>
      <c r="D19" s="1" t="s">
        <v>2</v>
      </c>
      <c r="E19" s="1" t="s">
        <v>3</v>
      </c>
      <c r="F19" s="1" t="s">
        <v>4</v>
      </c>
      <c r="G19" s="1" t="s">
        <v>74</v>
      </c>
      <c r="H19" s="1" t="s">
        <v>75</v>
      </c>
      <c r="I19" s="1" t="s">
        <v>6</v>
      </c>
      <c r="J19" s="1" t="s">
        <v>7</v>
      </c>
      <c r="K19" s="1" t="s">
        <v>8</v>
      </c>
      <c r="L19" s="1" t="s">
        <v>9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collapsed="false" customFormat="false" customHeight="false" hidden="false" ht="12.75" outlineLevel="0" r="20">
      <c r="A20" s="1" t="s">
        <v>13</v>
      </c>
      <c r="B20" s="1" t="n">
        <f aca="false">$P$1</f>
        <v>2000</v>
      </c>
      <c r="C20" s="1" t="s">
        <v>14</v>
      </c>
      <c r="D20" s="1" t="n">
        <f aca="false">B20*3</f>
        <v>6000</v>
      </c>
      <c r="E20" s="1"/>
      <c r="F20" s="1" t="n">
        <f aca="false">D20/64</f>
        <v>93.75</v>
      </c>
      <c r="G20" s="1"/>
      <c r="H20" s="1"/>
      <c r="I20" s="1" t="n">
        <f aca="false">F20/23</f>
        <v>4.07608695652174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collapsed="false" customFormat="false" customHeight="false" hidden="false" ht="12.75" outlineLevel="0" r="21">
      <c r="A21" s="1"/>
      <c r="B21" s="1"/>
      <c r="C21" s="1"/>
      <c r="D21" s="1" t="n">
        <f aca="false">D20-(90*64)</f>
        <v>240</v>
      </c>
      <c r="E21" s="1" t="n">
        <f aca="false">D21/96</f>
        <v>2.5</v>
      </c>
      <c r="F21" s="1"/>
      <c r="G21" s="1" t="n">
        <f aca="false">D21/32</f>
        <v>7.5</v>
      </c>
      <c r="H21" s="1" t="n">
        <f aca="false">G21/20</f>
        <v>0.375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collapsed="false" customFormat="false" customHeight="false" hidden="false" ht="12.75" outlineLevel="0" r="22">
      <c r="A22" s="1" t="s">
        <v>15</v>
      </c>
      <c r="B22" s="1" t="n">
        <v>3700</v>
      </c>
      <c r="C22" s="1" t="s">
        <v>16</v>
      </c>
      <c r="D22" s="1" t="n">
        <f aca="false">B22*3</f>
        <v>11100</v>
      </c>
      <c r="E22" s="1" t="n">
        <f aca="false">D22/96</f>
        <v>115.625</v>
      </c>
      <c r="F22" s="1"/>
      <c r="G22" s="1"/>
      <c r="H22" s="1"/>
      <c r="I22" s="1" t="n">
        <f aca="false">E22/23</f>
        <v>5.02717391304348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collapsed="false" customFormat="false" customHeight="false" hidden="false" ht="12.75" outlineLevel="0" r="23">
      <c r="A23" s="1"/>
      <c r="B23" s="1"/>
      <c r="C23" s="1"/>
      <c r="D23" s="1" t="n">
        <f aca="false">B23*3</f>
        <v>0</v>
      </c>
      <c r="E23" s="1"/>
      <c r="F23" s="1"/>
      <c r="G23" s="1"/>
      <c r="H23" s="1"/>
      <c r="I23" s="1" t="n">
        <f aca="false">E23/23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collapsed="false" customFormat="false" customHeight="false" hidden="false" ht="12.75" outlineLevel="0" r="24">
      <c r="A24" s="1"/>
      <c r="B24" s="1"/>
      <c r="C24" s="1"/>
      <c r="D24" s="1" t="n">
        <f aca="false">B24*3</f>
        <v>0</v>
      </c>
      <c r="E24" s="1"/>
      <c r="F24" s="1"/>
      <c r="G24" s="1"/>
      <c r="H24" s="1"/>
      <c r="I24" s="1" t="n">
        <f aca="false">E24/23</f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collapsed="false" customFormat="false" customHeight="false" hidden="false" ht="12.75" outlineLevel="0" r="25">
      <c r="A25" s="1" t="s">
        <v>67</v>
      </c>
      <c r="B25" s="1" t="n">
        <v>0</v>
      </c>
      <c r="C25" s="1" t="s">
        <v>16</v>
      </c>
      <c r="D25" s="1" t="n">
        <f aca="false">B25*3</f>
        <v>0</v>
      </c>
      <c r="E25" s="1" t="n">
        <f aca="false">D25/96</f>
        <v>0</v>
      </c>
      <c r="F25" s="1"/>
      <c r="G25" s="1"/>
      <c r="H25" s="1"/>
      <c r="I25" s="1" t="n">
        <f aca="false">E25/23</f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collapsed="false" customFormat="false" customHeight="false" hidden="false" ht="12.75" outlineLevel="0"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collapsed="false" customFormat="false" customHeight="false" hidden="false" ht="12.75" outlineLevel="0" r="27">
      <c r="A27" s="1"/>
      <c r="B27" s="1"/>
      <c r="C27" s="1"/>
      <c r="D27" s="1"/>
      <c r="E27" s="1"/>
      <c r="F27" s="1"/>
      <c r="G27" s="1"/>
      <c r="H27" s="1"/>
      <c r="I27" s="1" t="n">
        <f aca="false">CEILING(SUM(I20:I25),1,1)</f>
        <v>10</v>
      </c>
      <c r="J27" s="1" t="n">
        <f aca="false">I27</f>
        <v>10</v>
      </c>
      <c r="K27" s="1" t="n">
        <f aca="false">J27</f>
        <v>10</v>
      </c>
      <c r="L27" s="1" t="n">
        <f aca="false">K27</f>
        <v>10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collapsed="false" customFormat="false" customHeight="false" hidden="false" ht="12.75" outlineLevel="0"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collapsed="false" customFormat="false" customHeight="false" hidden="false" ht="12.75" outlineLevel="0" r="29">
      <c r="A29" s="1" t="s">
        <v>0</v>
      </c>
      <c r="B29" s="1" t="s">
        <v>1</v>
      </c>
      <c r="C29" s="1"/>
      <c r="D29" s="1" t="s">
        <v>2</v>
      </c>
      <c r="E29" s="1" t="s">
        <v>3</v>
      </c>
      <c r="F29" s="1" t="s">
        <v>4</v>
      </c>
      <c r="G29" s="1"/>
      <c r="H29" s="1"/>
      <c r="I29" s="1" t="s">
        <v>6</v>
      </c>
      <c r="J29" s="1" t="s">
        <v>7</v>
      </c>
      <c r="K29" s="1" t="s">
        <v>8</v>
      </c>
      <c r="L29" s="1" t="s">
        <v>9</v>
      </c>
      <c r="M29" s="1" t="s">
        <v>12</v>
      </c>
      <c r="N29" s="1"/>
      <c r="O29" s="1"/>
      <c r="P29" s="1"/>
      <c r="Q29" s="1"/>
      <c r="R29" s="1"/>
      <c r="S29" s="1"/>
      <c r="T29" s="1"/>
      <c r="U29" s="1"/>
      <c r="V29" s="1"/>
    </row>
    <row collapsed="false" customFormat="false" customHeight="false" hidden="false" ht="12.75" outlineLevel="0" r="30">
      <c r="A30" s="1" t="s">
        <v>13</v>
      </c>
      <c r="B30" s="1" t="n">
        <f aca="false">$P$1</f>
        <v>2000</v>
      </c>
      <c r="C30" s="1" t="s">
        <v>14</v>
      </c>
      <c r="D30" s="1" t="n">
        <f aca="false">B30*3</f>
        <v>6000</v>
      </c>
      <c r="E30" s="1"/>
      <c r="F30" s="1" t="n">
        <f aca="false">D30/64</f>
        <v>93.75</v>
      </c>
      <c r="G30" s="1"/>
      <c r="H30" s="1"/>
      <c r="I30" s="1" t="n">
        <f aca="false">F30/23</f>
        <v>4.07608695652174</v>
      </c>
      <c r="J30" s="1"/>
      <c r="K30" s="1"/>
      <c r="L30" s="1"/>
      <c r="M30" s="1" t="n">
        <f aca="false">F30/15</f>
        <v>6.25</v>
      </c>
      <c r="N30" s="1"/>
      <c r="O30" s="1"/>
      <c r="P30" s="1"/>
      <c r="Q30" s="1"/>
      <c r="R30" s="1"/>
      <c r="S30" s="1"/>
      <c r="T30" s="1"/>
      <c r="U30" s="1"/>
      <c r="V30" s="1"/>
    </row>
    <row collapsed="false" customFormat="false" customHeight="false" hidden="false" ht="12.75" outlineLevel="0" r="31">
      <c r="A31" s="1"/>
      <c r="B31" s="1"/>
      <c r="C31" s="1"/>
      <c r="D31" s="1"/>
      <c r="E31" s="1"/>
      <c r="F31" s="1" t="n">
        <v>0</v>
      </c>
      <c r="G31" s="1"/>
      <c r="H31" s="1"/>
      <c r="I31" s="1" t="n">
        <f aca="false">F31/23</f>
        <v>0</v>
      </c>
      <c r="J31" s="1"/>
      <c r="K31" s="1"/>
      <c r="L31" s="1"/>
      <c r="M31" s="1" t="n">
        <f aca="false">F31/15</f>
        <v>0</v>
      </c>
      <c r="N31" s="1"/>
      <c r="O31" s="1"/>
      <c r="P31" s="1"/>
      <c r="Q31" s="1"/>
      <c r="R31" s="1"/>
      <c r="S31" s="1"/>
      <c r="T31" s="1"/>
      <c r="U31" s="1"/>
      <c r="V31" s="1"/>
    </row>
    <row collapsed="false" customFormat="false" customHeight="false" hidden="false" ht="12.75" outlineLevel="0" r="32">
      <c r="A32" s="1" t="s">
        <v>15</v>
      </c>
      <c r="B32" s="1" t="n">
        <v>3700</v>
      </c>
      <c r="C32" s="1" t="s">
        <v>16</v>
      </c>
      <c r="D32" s="1" t="n">
        <f aca="false">B32*3</f>
        <v>11100</v>
      </c>
      <c r="E32" s="1" t="n">
        <f aca="false">D32/96</f>
        <v>115.625</v>
      </c>
      <c r="F32" s="1"/>
      <c r="G32" s="1"/>
      <c r="H32" s="1"/>
      <c r="I32" s="1" t="n">
        <f aca="false">E32/23</f>
        <v>5.02717391304348</v>
      </c>
      <c r="J32" s="1"/>
      <c r="K32" s="1"/>
      <c r="L32" s="1"/>
      <c r="M32" s="1" t="n">
        <f aca="false">F32/15</f>
        <v>0</v>
      </c>
      <c r="N32" s="1"/>
      <c r="O32" s="1"/>
      <c r="P32" s="1"/>
      <c r="Q32" s="1"/>
      <c r="R32" s="1"/>
      <c r="S32" s="1"/>
      <c r="T32" s="1"/>
      <c r="U32" s="1"/>
      <c r="V32" s="1"/>
    </row>
    <row collapsed="false" customFormat="false" customHeight="false" hidden="false" ht="12.75" outlineLevel="0" r="33">
      <c r="A33" s="1"/>
      <c r="B33" s="1"/>
      <c r="C33" s="1" t="s">
        <v>14</v>
      </c>
      <c r="D33" s="1" t="n">
        <v>11000</v>
      </c>
      <c r="E33" s="1"/>
      <c r="F33" s="1" t="n">
        <f aca="false">D32/64</f>
        <v>173.4375</v>
      </c>
      <c r="G33" s="1"/>
      <c r="H33" s="1"/>
      <c r="I33" s="1" t="n">
        <f aca="false">F33/23</f>
        <v>7.54076086956522</v>
      </c>
      <c r="J33" s="1"/>
      <c r="K33" s="1"/>
      <c r="L33" s="1"/>
      <c r="M33" s="1" t="n">
        <f aca="false">F33/15</f>
        <v>11.5625</v>
      </c>
      <c r="N33" s="1"/>
      <c r="O33" s="1"/>
      <c r="P33" s="1"/>
      <c r="Q33" s="1"/>
      <c r="R33" s="1"/>
      <c r="S33" s="1"/>
      <c r="T33" s="1"/>
      <c r="U33" s="1"/>
      <c r="V33" s="1"/>
    </row>
    <row collapsed="false" customFormat="false" customHeight="false" hidden="false" ht="12.75" outlineLevel="0" r="34">
      <c r="A34" s="1"/>
      <c r="B34" s="1"/>
      <c r="C34" s="1"/>
      <c r="D34" s="1" t="n">
        <f aca="false">B34*3</f>
        <v>0</v>
      </c>
      <c r="E34" s="1"/>
      <c r="F34" s="1"/>
      <c r="G34" s="1"/>
      <c r="H34" s="1"/>
      <c r="I34" s="1" t="n">
        <f aca="false">E34/23</f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collapsed="false" customFormat="false" customHeight="false" hidden="false" ht="12.75" outlineLevel="0"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collapsed="false" customFormat="false" customHeight="false" hidden="false" ht="12.75" outlineLevel="0" r="36">
      <c r="A36" s="1" t="s">
        <v>67</v>
      </c>
      <c r="B36" s="1" t="n">
        <v>0</v>
      </c>
      <c r="C36" s="1" t="s">
        <v>16</v>
      </c>
      <c r="D36" s="1" t="n">
        <f aca="false">B36*3</f>
        <v>0</v>
      </c>
      <c r="E36" s="1" t="n">
        <f aca="false">D36/96</f>
        <v>0</v>
      </c>
      <c r="F36" s="1"/>
      <c r="G36" s="1"/>
      <c r="H36" s="1"/>
      <c r="I36" s="1" t="n">
        <f aca="false">E36/23</f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collapsed="false" customFormat="false" customHeight="false" hidden="false" ht="12.75" outlineLevel="0" r="37">
      <c r="A37" s="1"/>
      <c r="B37" s="1"/>
      <c r="C37" s="1" t="s">
        <v>14</v>
      </c>
      <c r="D37" s="1"/>
      <c r="E37" s="1"/>
      <c r="F37" s="1" t="n">
        <f aca="false">D36/64</f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collapsed="false" customFormat="false" customHeight="false" hidden="false" ht="12.75" outlineLevel="0" r="38">
      <c r="A38" s="1"/>
      <c r="B38" s="1"/>
      <c r="C38" s="1"/>
      <c r="D38" s="1"/>
      <c r="E38" s="1"/>
      <c r="F38" s="1" t="n">
        <f aca="false">SUM(F30:F37)</f>
        <v>267.1875</v>
      </c>
      <c r="G38" s="1"/>
      <c r="H38" s="1"/>
      <c r="I38" s="1" t="n">
        <f aca="false">CEILING(SUM(I30:I36),1,1)</f>
        <v>17</v>
      </c>
      <c r="J38" s="1" t="n">
        <f aca="false">I38</f>
        <v>17</v>
      </c>
      <c r="K38" s="1" t="n">
        <f aca="false">J38</f>
        <v>17</v>
      </c>
      <c r="L38" s="1" t="n">
        <f aca="false">K38</f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collapsed="false" customFormat="false" customHeight="false" hidden="false" ht="12.75" outlineLevel="0"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collapsed="false" customFormat="false" customHeight="false" hidden="false" ht="12.75" outlineLevel="0" r="40">
      <c r="A40" s="1"/>
      <c r="B40" s="1"/>
      <c r="C40" s="1"/>
      <c r="D40" s="1"/>
      <c r="E40" s="1"/>
      <c r="F40" s="1"/>
      <c r="G40" s="1" t="s">
        <v>76</v>
      </c>
      <c r="H40" s="1" t="n">
        <f aca="false">H21*I54</f>
        <v>507.5625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collapsed="false" customFormat="false" customHeight="false" hidden="false" ht="12.75" outlineLevel="0"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collapsed="false" customFormat="false" customHeight="false" hidden="false" ht="12.75" outlineLevel="0"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collapsed="false" customFormat="false" customHeight="false" hidden="false" ht="12.75" outlineLevel="0" r="43">
      <c r="A43" s="1" t="s">
        <v>77</v>
      </c>
      <c r="B43" s="1" t="s">
        <v>1</v>
      </c>
      <c r="C43" s="1"/>
      <c r="D43" s="1" t="s">
        <v>2</v>
      </c>
      <c r="E43" s="1" t="s">
        <v>3</v>
      </c>
      <c r="F43" s="1" t="s">
        <v>74</v>
      </c>
      <c r="G43" s="1" t="s">
        <v>22</v>
      </c>
      <c r="H43" s="1"/>
      <c r="I43" s="1" t="s">
        <v>78</v>
      </c>
      <c r="J43" s="1"/>
      <c r="K43" s="1" t="s">
        <v>6</v>
      </c>
      <c r="L43" s="1" t="s">
        <v>7</v>
      </c>
      <c r="M43" s="1" t="s">
        <v>8</v>
      </c>
      <c r="N43" s="1" t="s">
        <v>9</v>
      </c>
      <c r="O43" s="1"/>
      <c r="P43" s="1"/>
      <c r="Q43" s="1"/>
      <c r="R43" s="1"/>
      <c r="S43" s="1"/>
      <c r="T43" s="1"/>
      <c r="U43" s="1"/>
      <c r="V43" s="1"/>
    </row>
    <row collapsed="false" customFormat="false" customHeight="false" hidden="false" ht="12.75" outlineLevel="0" r="44">
      <c r="A44" s="1" t="s">
        <v>13</v>
      </c>
      <c r="B44" s="1" t="n">
        <f aca="false">$P$1</f>
        <v>2000</v>
      </c>
      <c r="C44" s="1" t="s">
        <v>16</v>
      </c>
      <c r="D44" s="1" t="n">
        <f aca="false">B44*3</f>
        <v>6000</v>
      </c>
      <c r="E44" s="1" t="n">
        <f aca="false">D44/96</f>
        <v>62.5</v>
      </c>
      <c r="F44" s="1" t="n">
        <f aca="false">D44/32</f>
        <v>187.5</v>
      </c>
      <c r="G44" s="1"/>
      <c r="H44" s="1"/>
      <c r="I44" s="1" t="n">
        <f aca="false">F44/20</f>
        <v>9.375</v>
      </c>
      <c r="J44" s="1"/>
      <c r="K44" s="1" t="n">
        <f aca="false">E44/23</f>
        <v>2.71739130434783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collapsed="false" customFormat="false" customHeight="false" hidden="false" ht="12.75" outlineLevel="0" r="45">
      <c r="A45" s="1"/>
      <c r="B45" s="1"/>
      <c r="C45" s="1"/>
      <c r="D45" s="1"/>
      <c r="E45" s="1" t="n">
        <f aca="false">D45/96</f>
        <v>0</v>
      </c>
      <c r="F45" s="1" t="n">
        <f aca="false">D45/32</f>
        <v>0</v>
      </c>
      <c r="G45" s="1"/>
      <c r="H45" s="1"/>
      <c r="I45" s="1" t="n">
        <f aca="false">F45/22</f>
        <v>0</v>
      </c>
      <c r="J45" s="1"/>
      <c r="K45" s="1" t="n">
        <f aca="false">E45/23</f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collapsed="false" customFormat="false" customHeight="false" hidden="false" ht="12.75" outlineLevel="0" r="46">
      <c r="A46" s="1" t="s">
        <v>15</v>
      </c>
      <c r="B46" s="1" t="n">
        <v>3700</v>
      </c>
      <c r="C46" s="1" t="s">
        <v>16</v>
      </c>
      <c r="D46" s="1" t="n">
        <f aca="false">B46*3</f>
        <v>11100</v>
      </c>
      <c r="E46" s="1" t="n">
        <f aca="false">D46/96</f>
        <v>115.625</v>
      </c>
      <c r="F46" s="1" t="n">
        <v>0</v>
      </c>
      <c r="G46" s="1"/>
      <c r="H46" s="1"/>
      <c r="I46" s="1" t="n">
        <f aca="false">F46/22</f>
        <v>0</v>
      </c>
      <c r="J46" s="1"/>
      <c r="K46" s="1" t="n">
        <f aca="false">E46/23</f>
        <v>5.02717391304348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collapsed="false" customFormat="false" customHeight="false" hidden="false" ht="12.75" outlineLevel="0" r="47">
      <c r="A47" s="1"/>
      <c r="B47" s="1"/>
      <c r="C47" s="1" t="s">
        <v>16</v>
      </c>
      <c r="D47" s="1" t="n">
        <v>0</v>
      </c>
      <c r="E47" s="1" t="n">
        <f aca="false">D47/96</f>
        <v>0</v>
      </c>
      <c r="F47" s="1" t="n">
        <f aca="false">D47/32</f>
        <v>0</v>
      </c>
      <c r="G47" s="1"/>
      <c r="H47" s="1"/>
      <c r="I47" s="1" t="n">
        <f aca="false">F47/22</f>
        <v>0</v>
      </c>
      <c r="J47" s="1"/>
      <c r="K47" s="1" t="n">
        <f aca="false">E47/23</f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collapsed="false" customFormat="false" customHeight="false" hidden="false" ht="12.75" outlineLevel="0" r="48">
      <c r="A48" s="1"/>
      <c r="B48" s="1"/>
      <c r="C48" s="1"/>
      <c r="D48" s="1" t="n">
        <f aca="false">B48*3</f>
        <v>0</v>
      </c>
      <c r="E48" s="1"/>
      <c r="F48" s="1" t="n">
        <f aca="false">D48/32</f>
        <v>0</v>
      </c>
      <c r="G48" s="1"/>
      <c r="H48" s="1"/>
      <c r="I48" s="1" t="n">
        <f aca="false">F48/22</f>
        <v>0</v>
      </c>
      <c r="J48" s="1"/>
      <c r="K48" s="1" t="n">
        <f aca="false">E48/23</f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collapsed="false" customFormat="false" customHeight="false" hidden="false" ht="12.75" outlineLevel="0" r="49">
      <c r="A49" s="1"/>
      <c r="B49" s="1"/>
      <c r="C49" s="1"/>
      <c r="D49" s="1"/>
      <c r="E49" s="1"/>
      <c r="F49" s="1" t="n">
        <f aca="false">D49/32</f>
        <v>0</v>
      </c>
      <c r="G49" s="1"/>
      <c r="H49" s="1"/>
      <c r="I49" s="1" t="n">
        <f aca="false">F49/22</f>
        <v>0</v>
      </c>
      <c r="J49" s="1"/>
      <c r="K49" s="1" t="n">
        <f aca="false">E49/23</f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collapsed="false" customFormat="false" customHeight="false" hidden="false" ht="12.75" outlineLevel="0" r="50">
      <c r="A50" s="1" t="s">
        <v>67</v>
      </c>
      <c r="B50" s="1" t="n">
        <v>0</v>
      </c>
      <c r="C50" s="1" t="s">
        <v>16</v>
      </c>
      <c r="D50" s="1" t="n">
        <f aca="false">B50*3</f>
        <v>0</v>
      </c>
      <c r="E50" s="1" t="n">
        <f aca="false">D50/96</f>
        <v>0</v>
      </c>
      <c r="F50" s="1" t="n">
        <v>0</v>
      </c>
      <c r="G50" s="1"/>
      <c r="H50" s="1"/>
      <c r="I50" s="1" t="n">
        <f aca="false">F50/22</f>
        <v>0</v>
      </c>
      <c r="J50" s="1"/>
      <c r="K50" s="1" t="n">
        <f aca="false">E50/23</f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collapsed="false" customFormat="false" customHeight="false" hidden="false" ht="12.75" outlineLevel="0" r="51">
      <c r="A51" s="1"/>
      <c r="B51" s="1"/>
      <c r="C51" s="1" t="s">
        <v>16</v>
      </c>
      <c r="D51" s="1" t="n">
        <v>0</v>
      </c>
      <c r="E51" s="1" t="n">
        <f aca="false">D51/96</f>
        <v>0</v>
      </c>
      <c r="F51" s="1" t="n">
        <f aca="false">D51/32</f>
        <v>0</v>
      </c>
      <c r="G51" s="1"/>
      <c r="H51" s="1"/>
      <c r="I51" s="1" t="n">
        <f aca="false">F51/22</f>
        <v>0</v>
      </c>
      <c r="J51" s="1"/>
      <c r="K51" s="1" t="n">
        <f aca="false">E51/23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collapsed="false" customFormat="false" customHeight="false" hidden="false" ht="12.75" outlineLevel="0" r="52">
      <c r="A52" s="1"/>
      <c r="B52" s="1"/>
      <c r="C52" s="1"/>
      <c r="D52" s="1" t="n">
        <f aca="false">SUM(D44:D51)</f>
        <v>17100</v>
      </c>
      <c r="E52" s="1" t="n">
        <f aca="false">SUM(E44:E51)</f>
        <v>178.125</v>
      </c>
      <c r="F52" s="1" t="n">
        <f aca="false">SUM(F44:F51)</f>
        <v>187.5</v>
      </c>
      <c r="G52" s="1"/>
      <c r="H52" s="1"/>
      <c r="I52" s="1" t="n">
        <f aca="false">SUM(I44:I51)</f>
        <v>9.375</v>
      </c>
      <c r="J52" s="1"/>
      <c r="K52" s="1" t="n">
        <f aca="false">CEILING(SUM(K44:K50),1,1)</f>
        <v>8</v>
      </c>
      <c r="L52" s="1" t="n">
        <v>9</v>
      </c>
      <c r="M52" s="1" t="n">
        <v>9</v>
      </c>
      <c r="N52" s="1" t="n">
        <v>9</v>
      </c>
      <c r="O52" s="1"/>
      <c r="P52" s="1"/>
      <c r="Q52" s="1"/>
      <c r="R52" s="1"/>
      <c r="S52" s="1"/>
      <c r="T52" s="1"/>
      <c r="U52" s="1"/>
      <c r="V52" s="1"/>
    </row>
    <row collapsed="false" customFormat="false" customHeight="false" hidden="false" ht="12.75" outlineLevel="0"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collapsed="false" customFormat="false" customHeight="false" hidden="false" ht="12.75" outlineLevel="0" r="54">
      <c r="A54" s="1"/>
      <c r="B54" s="1"/>
      <c r="C54" s="1"/>
      <c r="D54" s="1"/>
      <c r="E54" s="1"/>
      <c r="F54" s="1"/>
      <c r="G54" s="1"/>
      <c r="H54" s="1"/>
      <c r="I54" s="1" t="n">
        <f aca="false">630.7+722.8</f>
        <v>1353.5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collapsed="false" customFormat="false" customHeight="false" hidden="false" ht="12.75" outlineLevel="0"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collapsed="false" customFormat="false" customHeight="false" hidden="false" ht="12.75" outlineLevel="0"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collapsed="false" customFormat="false" customHeight="false" hidden="false" ht="12.75" outlineLevel="0"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collapsed="false" customFormat="false" customHeight="false" hidden="false" ht="12.75" outlineLevel="0"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collapsed="false" customFormat="false" customHeight="false" hidden="false" ht="12.75" outlineLevel="0" r="59">
      <c r="A59" s="1"/>
      <c r="B59" s="1"/>
      <c r="C59" s="1"/>
      <c r="D59" s="1"/>
      <c r="E59" s="1"/>
      <c r="F59" s="1"/>
      <c r="G59" s="1"/>
      <c r="H59" s="1" t="s">
        <v>76</v>
      </c>
      <c r="I59" s="1" t="n">
        <f aca="false">I52*I54</f>
        <v>12689.0625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collapsed="false" customFormat="false" customHeight="false" hidden="false" ht="12.75" outlineLevel="0"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collapsed="false" customFormat="false" customHeight="false" hidden="false" ht="12.75" outlineLevel="0" r="61">
      <c r="A61" s="1" t="s">
        <v>77</v>
      </c>
      <c r="B61" s="1" t="s">
        <v>1</v>
      </c>
      <c r="C61" s="1"/>
      <c r="D61" s="1" t="s">
        <v>2</v>
      </c>
      <c r="E61" s="1" t="s">
        <v>3</v>
      </c>
      <c r="F61" s="1" t="s">
        <v>74</v>
      </c>
      <c r="G61" s="1"/>
      <c r="H61" s="1"/>
      <c r="I61" s="1" t="s">
        <v>78</v>
      </c>
      <c r="J61" s="1"/>
      <c r="K61" s="1" t="s">
        <v>6</v>
      </c>
      <c r="L61" s="1" t="s">
        <v>7</v>
      </c>
      <c r="M61" s="1" t="s">
        <v>8</v>
      </c>
      <c r="N61" s="1" t="s">
        <v>9</v>
      </c>
      <c r="O61" s="1"/>
      <c r="P61" s="1"/>
      <c r="Q61" s="1"/>
      <c r="R61" s="1"/>
      <c r="S61" s="1"/>
      <c r="T61" s="1"/>
      <c r="U61" s="1"/>
      <c r="V61" s="1"/>
    </row>
    <row collapsed="false" customFormat="false" customHeight="false" hidden="false" ht="12.75" outlineLevel="0" r="62">
      <c r="A62" s="1" t="s">
        <v>13</v>
      </c>
      <c r="B62" s="1" t="n">
        <f aca="false">$P$1</f>
        <v>2000</v>
      </c>
      <c r="C62" s="1" t="s">
        <v>16</v>
      </c>
      <c r="D62" s="1" t="n">
        <f aca="false">B62*3</f>
        <v>6000</v>
      </c>
      <c r="E62" s="1" t="n">
        <f aca="false">D62/96</f>
        <v>62.5</v>
      </c>
      <c r="F62" s="1" t="n">
        <f aca="false">D62/32</f>
        <v>187.5</v>
      </c>
      <c r="G62" s="1"/>
      <c r="H62" s="1"/>
      <c r="I62" s="1" t="n">
        <f aca="false">F62/20</f>
        <v>9.375</v>
      </c>
      <c r="J62" s="1"/>
      <c r="K62" s="1" t="n">
        <f aca="false">E62/23</f>
        <v>2.71739130434783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collapsed="false" customFormat="false" customHeight="false" hidden="false" ht="12.75" outlineLevel="0" r="63">
      <c r="A63" s="1"/>
      <c r="B63" s="1"/>
      <c r="C63" s="1"/>
      <c r="D63" s="1"/>
      <c r="E63" s="1" t="n">
        <f aca="false">D63/96</f>
        <v>0</v>
      </c>
      <c r="F63" s="1" t="n">
        <f aca="false">D63/32</f>
        <v>0</v>
      </c>
      <c r="G63" s="1"/>
      <c r="H63" s="1"/>
      <c r="I63" s="1" t="n">
        <f aca="false">F63/20</f>
        <v>0</v>
      </c>
      <c r="J63" s="1"/>
      <c r="K63" s="1" t="n">
        <f aca="false">E63/23</f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collapsed="false" customFormat="false" customHeight="false" hidden="false" ht="12.75" outlineLevel="0" r="64">
      <c r="A64" s="1" t="s">
        <v>15</v>
      </c>
      <c r="B64" s="1" t="n">
        <v>3700</v>
      </c>
      <c r="C64" s="1" t="s">
        <v>16</v>
      </c>
      <c r="D64" s="1" t="n">
        <f aca="false">B64*3</f>
        <v>11100</v>
      </c>
      <c r="E64" s="1" t="n">
        <f aca="false">D64/96</f>
        <v>115.625</v>
      </c>
      <c r="F64" s="1" t="n">
        <v>0</v>
      </c>
      <c r="G64" s="1"/>
      <c r="H64" s="1"/>
      <c r="I64" s="1" t="n">
        <f aca="false">F64/20</f>
        <v>0</v>
      </c>
      <c r="J64" s="1"/>
      <c r="K64" s="1" t="n">
        <f aca="false">E64/23</f>
        <v>5.02717391304348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collapsed="false" customFormat="false" customHeight="false" hidden="false" ht="12.75" outlineLevel="0" r="65">
      <c r="A65" s="1"/>
      <c r="B65" s="1"/>
      <c r="C65" s="1" t="s">
        <v>16</v>
      </c>
      <c r="D65" s="1" t="n">
        <v>0</v>
      </c>
      <c r="E65" s="1" t="n">
        <f aca="false">D65/96</f>
        <v>0</v>
      </c>
      <c r="F65" s="1" t="n">
        <f aca="false">D65/32</f>
        <v>0</v>
      </c>
      <c r="G65" s="1"/>
      <c r="H65" s="1"/>
      <c r="I65" s="1" t="n">
        <f aca="false">F65/20</f>
        <v>0</v>
      </c>
      <c r="J65" s="1"/>
      <c r="K65" s="1" t="n">
        <f aca="false">E65/23</f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collapsed="false" customFormat="false" customHeight="false" hidden="false" ht="12.75" outlineLevel="0" r="66">
      <c r="A66" s="1"/>
      <c r="B66" s="1"/>
      <c r="C66" s="1"/>
      <c r="D66" s="1" t="n">
        <f aca="false">B66*3</f>
        <v>0</v>
      </c>
      <c r="E66" s="1"/>
      <c r="F66" s="1" t="n">
        <f aca="false">D66/32</f>
        <v>0</v>
      </c>
      <c r="G66" s="1"/>
      <c r="H66" s="1"/>
      <c r="I66" s="1" t="n">
        <f aca="false">F66/20</f>
        <v>0</v>
      </c>
      <c r="J66" s="1"/>
      <c r="K66" s="1" t="n">
        <f aca="false">E66/23</f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collapsed="false" customFormat="false" customHeight="false" hidden="false" ht="12.75" outlineLevel="0" r="67">
      <c r="A67" s="1"/>
      <c r="B67" s="1"/>
      <c r="C67" s="1"/>
      <c r="D67" s="1"/>
      <c r="E67" s="1"/>
      <c r="F67" s="1" t="n">
        <f aca="false">D67/32</f>
        <v>0</v>
      </c>
      <c r="G67" s="1"/>
      <c r="H67" s="1"/>
      <c r="I67" s="1" t="n">
        <f aca="false">F67/20</f>
        <v>0</v>
      </c>
      <c r="J67" s="1"/>
      <c r="K67" s="1" t="n">
        <f aca="false">E67/23</f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collapsed="false" customFormat="false" customHeight="false" hidden="false" ht="12.75" outlineLevel="0" r="68">
      <c r="A68" s="1" t="s">
        <v>67</v>
      </c>
      <c r="B68" s="1" t="n">
        <v>0</v>
      </c>
      <c r="C68" s="1" t="s">
        <v>16</v>
      </c>
      <c r="D68" s="1" t="n">
        <f aca="false">B68*3</f>
        <v>0</v>
      </c>
      <c r="E68" s="1" t="n">
        <f aca="false">D68/96</f>
        <v>0</v>
      </c>
      <c r="F68" s="1" t="n">
        <v>0</v>
      </c>
      <c r="G68" s="1"/>
      <c r="H68" s="1"/>
      <c r="I68" s="1" t="n">
        <f aca="false">F68/20</f>
        <v>0</v>
      </c>
      <c r="J68" s="1"/>
      <c r="K68" s="1" t="n">
        <f aca="false">E68/23</f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collapsed="false" customFormat="false" customHeight="false" hidden="false" ht="12.75" outlineLevel="0" r="69">
      <c r="A69" s="1"/>
      <c r="B69" s="1"/>
      <c r="C69" s="1" t="s">
        <v>16</v>
      </c>
      <c r="D69" s="1" t="n">
        <v>0</v>
      </c>
      <c r="E69" s="1" t="n">
        <f aca="false">D69/96</f>
        <v>0</v>
      </c>
      <c r="F69" s="1" t="n">
        <f aca="false">D69/32</f>
        <v>0</v>
      </c>
      <c r="G69" s="1"/>
      <c r="H69" s="1"/>
      <c r="I69" s="1" t="n">
        <f aca="false">F69/20</f>
        <v>0</v>
      </c>
      <c r="J69" s="1"/>
      <c r="K69" s="1" t="n">
        <f aca="false">E69/23</f>
        <v>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collapsed="false" customFormat="false" customHeight="false" hidden="false" ht="12.75" outlineLevel="0" r="70">
      <c r="A70" s="1"/>
      <c r="B70" s="1"/>
      <c r="C70" s="1"/>
      <c r="D70" s="1" t="n">
        <f aca="false">SUM(D62:D69)</f>
        <v>17100</v>
      </c>
      <c r="E70" s="1" t="n">
        <f aca="false">SUM(E62:E69)</f>
        <v>178.125</v>
      </c>
      <c r="F70" s="1" t="n">
        <f aca="false">SUM(F62:F69)</f>
        <v>187.5</v>
      </c>
      <c r="G70" s="1"/>
      <c r="H70" s="1"/>
      <c r="I70" s="1" t="n">
        <f aca="false">SUM(I62:I69)</f>
        <v>9.375</v>
      </c>
      <c r="J70" s="1"/>
      <c r="K70" s="1" t="n">
        <f aca="false">CEILING(SUM(K62:K68),1,1)</f>
        <v>8</v>
      </c>
      <c r="L70" s="1" t="n">
        <v>9</v>
      </c>
      <c r="M70" s="1" t="n">
        <v>9</v>
      </c>
      <c r="N70" s="1" t="n">
        <v>9</v>
      </c>
      <c r="O70" s="1"/>
      <c r="P70" s="1"/>
      <c r="Q70" s="1"/>
      <c r="R70" s="1"/>
      <c r="S70" s="1"/>
      <c r="T70" s="1"/>
      <c r="U70" s="1"/>
      <c r="V70" s="1"/>
    </row>
    <row collapsed="false" customFormat="false" customHeight="false" hidden="false" ht="12.75" outlineLevel="0"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collapsed="false" customFormat="false" customHeight="false" hidden="false" ht="12.75" outlineLevel="0" r="72">
      <c r="A72" s="1"/>
      <c r="B72" s="1"/>
      <c r="C72" s="1"/>
      <c r="D72" s="1"/>
      <c r="E72" s="1"/>
      <c r="F72" s="1"/>
      <c r="G72" s="1"/>
      <c r="H72" s="1" t="s">
        <v>76</v>
      </c>
      <c r="I72" s="1" t="n">
        <f aca="false">630.7+722.8</f>
        <v>1353.5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collapsed="false" customFormat="false" customHeight="false" hidden="false" ht="12.75" outlineLevel="0"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collapsed="false" customFormat="false" customHeight="false" hidden="false" ht="12.75" outlineLevel="0" r="74">
      <c r="A74" s="1"/>
      <c r="B74" s="1"/>
      <c r="C74" s="1"/>
      <c r="D74" s="1"/>
      <c r="E74" s="1"/>
      <c r="F74" s="1"/>
      <c r="G74" s="1"/>
      <c r="H74" s="1"/>
      <c r="I74" s="1" t="n">
        <f aca="false">I70*I72</f>
        <v>12689.0625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collapsed="false" customFormat="false" customHeight="false" hidden="false" ht="12.75" outlineLevel="0"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collapsed="false" customFormat="false" customHeight="false" hidden="false" ht="12.75" outlineLevel="0" r="76">
      <c r="A76" s="1" t="s">
        <v>79</v>
      </c>
      <c r="B76" s="1"/>
      <c r="C76" s="1"/>
      <c r="D76" s="1"/>
      <c r="E76" s="1"/>
      <c r="F76" s="1"/>
      <c r="G76" s="1"/>
      <c r="H76" s="1" t="s">
        <v>80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collapsed="false" customFormat="false" customHeight="false" hidden="false" ht="12.75" outlineLevel="0" r="77">
      <c r="A77" s="1"/>
      <c r="B77" s="1" t="s">
        <v>81</v>
      </c>
      <c r="C77" s="1"/>
      <c r="D77" s="1"/>
      <c r="E77" s="1"/>
      <c r="F77" s="1"/>
      <c r="G77" s="1"/>
      <c r="H77" s="1" t="s">
        <v>8</v>
      </c>
      <c r="I77" s="1" t="n">
        <v>11</v>
      </c>
      <c r="J77" s="1" t="n">
        <v>3400</v>
      </c>
      <c r="K77" s="1" t="n">
        <f aca="false">I77*J77</f>
        <v>37400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collapsed="false" customFormat="false" customHeight="false" hidden="false" ht="12.75" outlineLevel="0" r="78">
      <c r="A78" s="1"/>
      <c r="B78" s="1" t="s">
        <v>8</v>
      </c>
      <c r="C78" s="1" t="n">
        <v>10</v>
      </c>
      <c r="D78" s="1" t="n">
        <v>3400</v>
      </c>
      <c r="E78" s="1" t="n">
        <f aca="false">C78*D78</f>
        <v>34000</v>
      </c>
      <c r="F78" s="1"/>
      <c r="G78" s="1"/>
      <c r="H78" s="1" t="s">
        <v>9</v>
      </c>
      <c r="I78" s="1" t="n">
        <v>11</v>
      </c>
      <c r="J78" s="1" t="n">
        <v>2000</v>
      </c>
      <c r="K78" s="1" t="n">
        <f aca="false">I78*J78</f>
        <v>22000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collapsed="false" customFormat="false" customHeight="false" hidden="false" ht="12.75" outlineLevel="0" r="79">
      <c r="A79" s="1"/>
      <c r="B79" s="1" t="s">
        <v>9</v>
      </c>
      <c r="C79" s="1" t="n">
        <v>10</v>
      </c>
      <c r="D79" s="1" t="n">
        <v>2000</v>
      </c>
      <c r="E79" s="1" t="n">
        <f aca="false">C79*D79</f>
        <v>20000</v>
      </c>
      <c r="F79" s="1"/>
      <c r="G79" s="1"/>
      <c r="H79" s="1" t="s">
        <v>82</v>
      </c>
      <c r="I79" s="1" t="n">
        <v>0</v>
      </c>
      <c r="J79" s="1" t="n">
        <v>1500</v>
      </c>
      <c r="K79" s="1" t="n">
        <f aca="false">I79*J79</f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collapsed="false" customFormat="false" customHeight="false" hidden="false" ht="12.75" outlineLevel="0" r="80">
      <c r="A80" s="1"/>
      <c r="B80" s="1" t="s">
        <v>82</v>
      </c>
      <c r="C80" s="1" t="n">
        <v>10</v>
      </c>
      <c r="D80" s="1" t="n">
        <v>1500</v>
      </c>
      <c r="E80" s="1" t="n">
        <f aca="false">C80*D80</f>
        <v>15000</v>
      </c>
      <c r="F80" s="1"/>
      <c r="G80" s="1"/>
      <c r="H80" s="1" t="s">
        <v>80</v>
      </c>
      <c r="I80" s="1" t="n">
        <v>0</v>
      </c>
      <c r="J80" s="1" t="n">
        <v>10315</v>
      </c>
      <c r="K80" s="1" t="n">
        <f aca="false">I80*J80</f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collapsed="false" customFormat="false" customHeight="false" hidden="false" ht="12.75" outlineLevel="0" r="81">
      <c r="A81" s="1"/>
      <c r="B81" s="1" t="s">
        <v>80</v>
      </c>
      <c r="C81" s="1" t="n">
        <v>10</v>
      </c>
      <c r="D81" s="1" t="n">
        <v>10315</v>
      </c>
      <c r="E81" s="1" t="n">
        <f aca="false">C81*D81</f>
        <v>103150</v>
      </c>
      <c r="F81" s="1"/>
      <c r="G81" s="1"/>
      <c r="H81" s="1" t="s">
        <v>83</v>
      </c>
      <c r="I81" s="1" t="n">
        <v>0</v>
      </c>
      <c r="J81" s="1" t="n">
        <v>9000</v>
      </c>
      <c r="K81" s="1" t="n">
        <f aca="false">I81*J81</f>
        <v>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collapsed="false" customFormat="false" customHeight="false" hidden="false" ht="12.75" outlineLevel="0" r="82">
      <c r="A82" s="1"/>
      <c r="B82" s="1" t="s">
        <v>83</v>
      </c>
      <c r="C82" s="1" t="n">
        <v>10</v>
      </c>
      <c r="D82" s="1" t="n">
        <v>9000</v>
      </c>
      <c r="E82" s="1" t="n">
        <f aca="false">C82*D82</f>
        <v>90000</v>
      </c>
      <c r="F82" s="1"/>
      <c r="G82" s="1"/>
      <c r="H82" s="1" t="s">
        <v>84</v>
      </c>
      <c r="I82" s="1" t="n">
        <v>0</v>
      </c>
      <c r="J82" s="1" t="n">
        <v>1650</v>
      </c>
      <c r="K82" s="1" t="n">
        <f aca="false">I82*J82</f>
        <v>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collapsed="false" customFormat="false" customHeight="false" hidden="false" ht="12.75" outlineLevel="0" r="83">
      <c r="A83" s="1"/>
      <c r="B83" s="1"/>
      <c r="C83" s="1"/>
      <c r="D83" s="1"/>
      <c r="E83" s="1"/>
      <c r="F83" s="1"/>
      <c r="G83" s="1"/>
      <c r="H83" s="1"/>
      <c r="I83" s="1"/>
      <c r="J83" s="1" t="s">
        <v>71</v>
      </c>
      <c r="K83" s="1" t="n">
        <f aca="false">SUM(K77:K82)</f>
        <v>59400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collapsed="false" customFormat="false" customHeight="false" hidden="false" ht="12.75" outlineLevel="0" r="84">
      <c r="A84" s="1"/>
      <c r="B84" s="1"/>
      <c r="C84" s="1"/>
      <c r="D84" s="1" t="s">
        <v>71</v>
      </c>
      <c r="E84" s="1" t="n">
        <f aca="false">SUM(E78:E82)</f>
        <v>262150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collapsed="false" customFormat="false" customHeight="false" hidden="false" ht="12.75" outlineLevel="0"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collapsed="false" customFormat="false" customHeight="false" hidden="false" ht="12.75" outlineLevel="0" r="86">
      <c r="A86" s="1" t="s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collapsed="false" customFormat="false" customHeight="false" hidden="false" ht="12.75" outlineLevel="0"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collapsed="false" customFormat="false" customHeight="false" hidden="false" ht="12.75" outlineLevel="0" r="88">
      <c r="A88" s="1"/>
      <c r="B88" s="1"/>
      <c r="C88" s="1" t="n">
        <f aca="false">(1/200000)*1000000</f>
        <v>5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collapsed="false" customFormat="false" customHeight="false" hidden="false" ht="12.75" outlineLevel="0"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collapsed="false" customFormat="false" customHeight="false" hidden="false" ht="12.75" outlineLevel="0" r="90">
      <c r="A90" s="1"/>
      <c r="B90" s="1"/>
      <c r="C90" s="1"/>
      <c r="D90" s="1"/>
      <c r="E90" s="1"/>
      <c r="F90" s="1"/>
      <c r="G90" s="1"/>
      <c r="H90" s="1"/>
      <c r="I90" s="1" t="s">
        <v>86</v>
      </c>
      <c r="J90" s="1" t="s">
        <v>87</v>
      </c>
      <c r="K90" s="1" t="s">
        <v>22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collapsed="false" customFormat="false" customHeight="false" hidden="false" ht="12.75" outlineLevel="0" r="91">
      <c r="A91" s="0" t="s">
        <v>88</v>
      </c>
      <c r="B91" s="2" t="n">
        <f aca="false">7*27</f>
        <v>189</v>
      </c>
      <c r="C91" s="2" t="n">
        <f aca="false">2*27</f>
        <v>54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collapsed="false" customFormat="false" customHeight="false" hidden="false" ht="12.75" outlineLevel="0" r="92">
      <c r="B92" s="0" t="s">
        <v>89</v>
      </c>
      <c r="C92" s="0" t="s">
        <v>90</v>
      </c>
      <c r="D92" s="0" t="n">
        <v>189</v>
      </c>
      <c r="E92" s="0" t="s">
        <v>91</v>
      </c>
      <c r="F92" s="0" t="n">
        <v>243</v>
      </c>
      <c r="I92" s="2" t="n">
        <f aca="false">F92/64</f>
        <v>3.796875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collapsed="false" customFormat="false" customHeight="false" hidden="false" ht="12.75" outlineLevel="0" r="93">
      <c r="C93" s="0" t="s">
        <v>92</v>
      </c>
      <c r="D93" s="0" t="n">
        <v>54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collapsed="false" customFormat="false" customHeight="false" hidden="false" ht="12.75" outlineLevel="0" r="94">
      <c r="C94" s="0" t="s">
        <v>93</v>
      </c>
      <c r="D94" s="0" t="n">
        <v>180</v>
      </c>
      <c r="F94" s="0" t="n">
        <v>180</v>
      </c>
      <c r="G94" s="0" t="n">
        <v>0</v>
      </c>
      <c r="H94" s="0" t="n">
        <v>288</v>
      </c>
      <c r="I94" s="2" t="n">
        <f aca="false">F94/64</f>
        <v>2.8125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collapsed="false" customFormat="false" customHeight="false" hidden="false" ht="12.75" outlineLevel="0" r="95">
      <c r="C95" s="0" t="s">
        <v>67</v>
      </c>
      <c r="D95" s="0" t="n">
        <v>550</v>
      </c>
      <c r="G95" s="0" t="n">
        <v>550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collapsed="false" customFormat="false" customHeight="false" hidden="false" ht="12.75" outlineLevel="0" r="96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collapsed="false" customFormat="false" customHeight="false" hidden="false" ht="12.75" outlineLevel="0" r="97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collapsed="false" customFormat="false" customHeight="false" hidden="false" ht="12.75" outlineLevel="0" r="98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collapsed="false" customFormat="false" customHeight="false" hidden="false" ht="12.75" outlineLevel="0" r="99">
      <c r="B99" s="0" t="s">
        <v>94</v>
      </c>
      <c r="C99" s="0" t="s">
        <v>28</v>
      </c>
      <c r="D99" s="0" t="n">
        <v>288</v>
      </c>
      <c r="E99" s="0" t="s">
        <v>95</v>
      </c>
      <c r="F99" s="0" t="n">
        <v>288</v>
      </c>
      <c r="G99" s="0" t="n">
        <v>0</v>
      </c>
      <c r="H99" s="0" t="n">
        <v>288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collapsed="false" customFormat="false" customHeight="false" hidden="false" ht="12.75" outlineLevel="0" r="100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collapsed="false" customFormat="false" customHeight="false" hidden="false" ht="12.75" outlineLevel="0" r="101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collapsed="false" customFormat="false" customHeight="false" hidden="false" ht="12.75" outlineLevel="0" r="102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collapsed="false" customFormat="false" customHeight="false" hidden="false" ht="12.75" outlineLevel="0" r="103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collapsed="false" customFormat="false" customHeight="false" hidden="false" ht="12.75" outlineLevel="0" r="104">
      <c r="A104" s="0" t="s">
        <v>96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collapsed="false" customFormat="false" customHeight="false" hidden="false" ht="12.75" outlineLevel="0" r="105">
      <c r="B105" s="0" t="s">
        <v>89</v>
      </c>
      <c r="C105" s="0" t="s">
        <v>90</v>
      </c>
      <c r="D105" s="0" t="n">
        <v>189</v>
      </c>
      <c r="E105" s="0" t="s">
        <v>97</v>
      </c>
      <c r="F105" s="0" t="n">
        <v>243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collapsed="false" customFormat="false" customHeight="false" hidden="false" ht="12.75" outlineLevel="0" r="106">
      <c r="C106" s="0" t="s">
        <v>92</v>
      </c>
      <c r="D106" s="0" t="n">
        <v>54</v>
      </c>
    </row>
    <row collapsed="false" customFormat="false" customHeight="false" hidden="false" ht="12.75" outlineLevel="0" r="107">
      <c r="C107" s="0" t="s">
        <v>93</v>
      </c>
      <c r="D107" s="0" t="n">
        <v>180</v>
      </c>
      <c r="F107" s="0" t="n">
        <v>180</v>
      </c>
      <c r="H107" s="0" t="n">
        <v>180</v>
      </c>
    </row>
    <row collapsed="false" customFormat="false" customHeight="false" hidden="false" ht="12.75" outlineLevel="0" r="108">
      <c r="C108" s="0" t="s">
        <v>67</v>
      </c>
      <c r="D108" s="0" t="n">
        <v>550</v>
      </c>
      <c r="G108" s="0" t="n">
        <v>550</v>
      </c>
    </row>
    <row collapsed="false" customFormat="false" customHeight="false" hidden="false" ht="12.75" outlineLevel="0" r="114">
      <c r="B114" s="0" t="s">
        <v>98</v>
      </c>
    </row>
    <row collapsed="false" customFormat="false" customHeight="false" hidden="false" ht="12.75" outlineLevel="0" r="115">
      <c r="C115" s="0" t="s">
        <v>28</v>
      </c>
      <c r="D115" s="0" t="n">
        <v>288</v>
      </c>
      <c r="E115" s="0" t="s">
        <v>99</v>
      </c>
      <c r="F115" s="0" t="n">
        <v>288</v>
      </c>
      <c r="H115" s="0" t="n">
        <v>288</v>
      </c>
    </row>
    <row collapsed="false" customFormat="false" customHeight="false" hidden="false" ht="12.75" outlineLevel="0" r="122">
      <c r="A122" s="0" t="s">
        <v>100</v>
      </c>
    </row>
    <row collapsed="false" customFormat="false" customHeight="false" hidden="false" ht="12.75" outlineLevel="0" r="123">
      <c r="B123" s="0" t="s">
        <v>101</v>
      </c>
      <c r="C123" s="0" t="s">
        <v>90</v>
      </c>
      <c r="D123" s="0" t="n">
        <v>243</v>
      </c>
      <c r="E123" s="0" t="s">
        <v>102</v>
      </c>
      <c r="F123" s="0" t="n">
        <v>243</v>
      </c>
    </row>
    <row collapsed="false" customFormat="false" customHeight="false" hidden="false" ht="12.75" outlineLevel="0" r="124">
      <c r="C124" s="0" t="s">
        <v>103</v>
      </c>
    </row>
    <row collapsed="false" customFormat="false" customHeight="false" hidden="false" ht="12.75" outlineLevel="0" r="125">
      <c r="C125" s="0" t="s">
        <v>104</v>
      </c>
      <c r="D125" s="0" t="n">
        <v>180</v>
      </c>
      <c r="H125" s="0" t="n">
        <v>180</v>
      </c>
    </row>
    <row collapsed="false" customFormat="false" customHeight="false" hidden="false" ht="12.75" outlineLevel="0" r="126">
      <c r="C126" s="0" t="s">
        <v>67</v>
      </c>
      <c r="D126" s="0" t="n">
        <v>550</v>
      </c>
      <c r="G126" s="0" t="n">
        <v>550</v>
      </c>
    </row>
    <row collapsed="false" customFormat="false" customHeight="false" hidden="false" ht="12.75" outlineLevel="0" r="127">
      <c r="C127" s="0" t="s">
        <v>71</v>
      </c>
    </row>
    <row collapsed="false" customFormat="false" customHeight="false" hidden="false" ht="12.75" outlineLevel="0" r="129">
      <c r="B129" s="0" t="s">
        <v>105</v>
      </c>
      <c r="C129" s="0" t="s">
        <v>44</v>
      </c>
      <c r="D129" s="0" t="n">
        <v>101700</v>
      </c>
    </row>
    <row collapsed="false" customFormat="false" customHeight="false" hidden="false" ht="12.75" outlineLevel="0" r="130">
      <c r="C130" s="0" t="s">
        <v>106</v>
      </c>
      <c r="D130" s="0" t="n">
        <v>2000</v>
      </c>
    </row>
    <row collapsed="false" customFormat="false" customHeight="false" hidden="false" ht="12.75" outlineLevel="0" r="131">
      <c r="C131" s="0" t="s">
        <v>28</v>
      </c>
      <c r="D131" s="0" t="n">
        <v>288</v>
      </c>
      <c r="E131" s="0" t="s">
        <v>107</v>
      </c>
      <c r="F131" s="0" t="n">
        <v>288</v>
      </c>
      <c r="H131" s="0" t="n">
        <v>288</v>
      </c>
    </row>
    <row collapsed="false" customFormat="false" customHeight="false" hidden="false" ht="12.75" outlineLevel="0" r="133">
      <c r="A133" s="0" t="s">
        <v>108</v>
      </c>
      <c r="B133" s="0" t="s">
        <v>89</v>
      </c>
      <c r="C133" s="0" t="s">
        <v>67</v>
      </c>
      <c r="D133" s="0" t="n">
        <v>550</v>
      </c>
      <c r="E133" s="0" t="s">
        <v>109</v>
      </c>
      <c r="G133" s="0" t="n">
        <v>550</v>
      </c>
    </row>
    <row collapsed="false" customFormat="false" customHeight="false" hidden="false" ht="12.75" outlineLevel="0" r="134">
      <c r="C134" s="0" t="s">
        <v>110</v>
      </c>
      <c r="D134" s="0" t="n">
        <v>180</v>
      </c>
      <c r="F134" s="0" t="n">
        <v>180</v>
      </c>
      <c r="G134" s="0" t="n">
        <v>180</v>
      </c>
    </row>
    <row collapsed="false" customFormat="false" customHeight="false" hidden="false" ht="12.75" outlineLevel="0" r="135">
      <c r="C135" s="0" t="s">
        <v>90</v>
      </c>
      <c r="D135" s="0" t="n">
        <v>243</v>
      </c>
      <c r="F135" s="0" t="n">
        <v>243</v>
      </c>
    </row>
    <row collapsed="false" customFormat="false" customHeight="false" hidden="false" ht="12.75" outlineLevel="0" r="136">
      <c r="D136" s="2" t="n">
        <f aca="false">SUM(D133:D135)</f>
        <v>973</v>
      </c>
    </row>
    <row collapsed="false" customFormat="false" customHeight="false" hidden="false" ht="12.75" outlineLevel="0" r="137">
      <c r="C137" s="2" t="n">
        <f aca="false">7*17</f>
        <v>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B78:C78 A2"/>
    </sheetView>
  </sheetViews>
  <sheetFormatPr defaultRowHeight="12.75"/>
  <cols>
    <col collapsed="false" hidden="false" max="2" min="1" style="0" width="17.1326530612245"/>
    <col collapsed="false" hidden="false" max="3" min="3" style="0" width="21.4285714285714"/>
    <col collapsed="false" hidden="false" max="1025" min="4" style="0" width="17.1326530612245"/>
  </cols>
  <sheetData>
    <row collapsed="false" customFormat="false" customHeight="false" hidden="false" ht="12.75" outlineLevel="0" r="1">
      <c r="A1" s="0" t="s">
        <v>56</v>
      </c>
      <c r="B1" s="0" t="s">
        <v>1</v>
      </c>
      <c r="C1" s="0" t="s">
        <v>57</v>
      </c>
      <c r="D1" s="0" t="s">
        <v>58</v>
      </c>
      <c r="E1" s="0" t="s">
        <v>59</v>
      </c>
      <c r="F1" s="0" t="s">
        <v>22</v>
      </c>
      <c r="G1" s="0" t="s">
        <v>60</v>
      </c>
      <c r="H1" s="0" t="s">
        <v>143</v>
      </c>
      <c r="I1" s="0" t="s">
        <v>144</v>
      </c>
      <c r="J1" s="0" t="s">
        <v>114</v>
      </c>
      <c r="K1" s="0" t="s">
        <v>22</v>
      </c>
      <c r="M1" s="0" t="s">
        <v>2</v>
      </c>
      <c r="N1" s="0" t="s">
        <v>22</v>
      </c>
    </row>
    <row collapsed="false" customFormat="false" customHeight="false" hidden="false" ht="12.75" outlineLevel="0" r="2">
      <c r="A2" s="0" t="s">
        <v>13</v>
      </c>
      <c r="B2" s="0" t="n">
        <v>1736</v>
      </c>
      <c r="C2" s="0" t="s">
        <v>16</v>
      </c>
      <c r="D2" s="0" t="n">
        <v>1877</v>
      </c>
      <c r="E2" s="2" t="n">
        <f aca="false">B2/96</f>
        <v>18.0833333333333</v>
      </c>
      <c r="F2" s="2" t="n">
        <f aca="false">CEILING((E2/23),1,1)</f>
        <v>1</v>
      </c>
      <c r="G2" s="0" t="n">
        <v>0</v>
      </c>
      <c r="I2" s="0" t="s">
        <v>145</v>
      </c>
      <c r="J2" s="2" t="n">
        <f aca="false">E2*2</f>
        <v>36.1666666666667</v>
      </c>
      <c r="K2" s="0" t="n">
        <v>2</v>
      </c>
      <c r="L2" s="0" t="n">
        <v>3</v>
      </c>
      <c r="M2" s="2" t="n">
        <f aca="false">E2*$L$2</f>
        <v>54.25</v>
      </c>
      <c r="N2" s="2" t="n">
        <f aca="false">M2/15</f>
        <v>3.61666666666667</v>
      </c>
    </row>
    <row collapsed="false" customFormat="false" customHeight="false" hidden="false" ht="12.75" outlineLevel="0" r="3">
      <c r="A3" s="0" t="s">
        <v>13</v>
      </c>
      <c r="B3" s="0" t="n">
        <v>1736</v>
      </c>
      <c r="C3" s="0" t="s">
        <v>146</v>
      </c>
      <c r="E3" s="2" t="n">
        <f aca="false">B3/8</f>
        <v>217</v>
      </c>
      <c r="F3" s="2" t="n">
        <f aca="false">CEILING((E3/23),1,1)</f>
        <v>10</v>
      </c>
      <c r="G3" s="0" t="n">
        <v>0</v>
      </c>
      <c r="I3" s="0" t="s">
        <v>145</v>
      </c>
      <c r="J3" s="2" t="n">
        <f aca="false">E3*2</f>
        <v>434</v>
      </c>
      <c r="M3" s="0" t="n">
        <v>0</v>
      </c>
      <c r="N3" s="2" t="n">
        <f aca="false">M3/15</f>
        <v>0</v>
      </c>
    </row>
    <row collapsed="false" customFormat="false" customHeight="false" hidden="false" ht="12.75" outlineLevel="0" r="4">
      <c r="A4" s="0" t="s">
        <v>13</v>
      </c>
      <c r="B4" s="0" t="n">
        <v>1736</v>
      </c>
      <c r="C4" s="0" t="s">
        <v>14</v>
      </c>
      <c r="D4" s="0" t="n">
        <v>1881</v>
      </c>
      <c r="E4" s="2" t="n">
        <f aca="false">B4/64</f>
        <v>27.125</v>
      </c>
      <c r="F4" s="2" t="n">
        <f aca="false">CEILING((E4/23),1,1)</f>
        <v>2</v>
      </c>
      <c r="G4" s="0" t="n">
        <v>0</v>
      </c>
      <c r="I4" s="0" t="s">
        <v>145</v>
      </c>
      <c r="J4" s="2" t="n">
        <f aca="false">E4*2</f>
        <v>54.25</v>
      </c>
      <c r="K4" s="0" t="n">
        <v>4</v>
      </c>
      <c r="M4" s="2" t="n">
        <f aca="false">E4*$L$2</f>
        <v>81.375</v>
      </c>
      <c r="N4" s="2" t="n">
        <f aca="false">M4/15</f>
        <v>5.425</v>
      </c>
    </row>
    <row collapsed="false" customFormat="false" customHeight="false" hidden="false" ht="12.75" outlineLevel="0" r="5">
      <c r="A5" s="0" t="s">
        <v>13</v>
      </c>
      <c r="B5" s="0" t="n">
        <v>1736</v>
      </c>
      <c r="C5" s="0" t="s">
        <v>147</v>
      </c>
      <c r="E5" s="0" t="n">
        <v>3</v>
      </c>
      <c r="F5" s="2" t="n">
        <f aca="false">CEILING((E5/23),1,1)</f>
        <v>1</v>
      </c>
      <c r="G5" s="0" t="n">
        <v>0</v>
      </c>
      <c r="I5" s="0" t="s">
        <v>145</v>
      </c>
      <c r="J5" s="2" t="n">
        <f aca="false">E5*2</f>
        <v>6</v>
      </c>
      <c r="M5" s="2" t="n">
        <f aca="false">E5*$L$2</f>
        <v>9</v>
      </c>
      <c r="N5" s="2" t="n">
        <f aca="false">M5/15</f>
        <v>0.6</v>
      </c>
    </row>
    <row collapsed="false" customFormat="false" customHeight="false" hidden="false" ht="12.75" outlineLevel="0" r="6">
      <c r="A6" s="0" t="s">
        <v>13</v>
      </c>
      <c r="B6" s="0" t="n">
        <v>1736</v>
      </c>
      <c r="I6" s="0" t="s">
        <v>145</v>
      </c>
      <c r="J6" s="2" t="n">
        <f aca="false">E6*2</f>
        <v>0</v>
      </c>
      <c r="M6" s="2" t="n">
        <f aca="false">E6*$L$2</f>
        <v>0</v>
      </c>
      <c r="N6" s="2" t="n">
        <f aca="false">M6/15</f>
        <v>0</v>
      </c>
    </row>
    <row collapsed="false" customFormat="false" customHeight="false" hidden="false" ht="12.75" outlineLevel="0" r="7">
      <c r="J7" s="2" t="n">
        <f aca="false">E7*2</f>
        <v>0</v>
      </c>
      <c r="M7" s="2" t="n">
        <f aca="false">E7*$L$2</f>
        <v>0</v>
      </c>
      <c r="N7" s="2" t="n">
        <f aca="false">M7/15</f>
        <v>0</v>
      </c>
    </row>
    <row collapsed="false" customFormat="false" customHeight="false" hidden="false" ht="12.75" outlineLevel="0" r="8">
      <c r="J8" s="2" t="n">
        <f aca="false">E8*2</f>
        <v>0</v>
      </c>
      <c r="M8" s="2" t="n">
        <f aca="false">E8*$L$2</f>
        <v>0</v>
      </c>
      <c r="N8" s="2" t="n">
        <f aca="false">M8/15</f>
        <v>0</v>
      </c>
    </row>
    <row collapsed="false" customFormat="false" customHeight="false" hidden="false" ht="12.75" outlineLevel="0" r="9">
      <c r="A9" s="0" t="s">
        <v>15</v>
      </c>
      <c r="B9" s="0" t="n">
        <v>2750</v>
      </c>
      <c r="C9" s="0" t="s">
        <v>16</v>
      </c>
      <c r="D9" s="0" t="n">
        <v>1877</v>
      </c>
      <c r="E9" s="2" t="n">
        <f aca="false">B9/96</f>
        <v>28.6458333333333</v>
      </c>
      <c r="G9" s="2" t="n">
        <f aca="false">B6+B9</f>
        <v>4486</v>
      </c>
      <c r="J9" s="2" t="n">
        <f aca="false">E9*2</f>
        <v>57.2916666666667</v>
      </c>
      <c r="K9" s="0" t="n">
        <v>8</v>
      </c>
      <c r="M9" s="2" t="n">
        <f aca="false">E9*$L$2</f>
        <v>85.9375</v>
      </c>
      <c r="N9" s="2" t="n">
        <f aca="false">M9/15</f>
        <v>5.72916666666667</v>
      </c>
    </row>
    <row collapsed="false" customFormat="false" customHeight="false" hidden="false" ht="12.75" outlineLevel="0" r="10">
      <c r="C10" s="0" t="s">
        <v>14</v>
      </c>
      <c r="D10" s="0" t="n">
        <v>1881</v>
      </c>
      <c r="E10" s="2" t="n">
        <f aca="false">(A12*B9)/64</f>
        <v>0</v>
      </c>
      <c r="J10" s="2" t="n">
        <f aca="false">E10*2</f>
        <v>0</v>
      </c>
      <c r="M10" s="2" t="n">
        <f aca="false">E10*$L$2</f>
        <v>0</v>
      </c>
      <c r="N10" s="2" t="n">
        <f aca="false">M10/15</f>
        <v>0</v>
      </c>
    </row>
    <row collapsed="false" customFormat="false" customHeight="false" hidden="false" ht="12.75" outlineLevel="0" r="11">
      <c r="E11" s="2" t="n">
        <f aca="false">E9/12</f>
        <v>2.38715277777778</v>
      </c>
      <c r="J11" s="2" t="n">
        <f aca="false">E11*2</f>
        <v>4.77430555555556</v>
      </c>
      <c r="M11" s="0" t="n">
        <v>0</v>
      </c>
      <c r="N11" s="2" t="n">
        <f aca="false">M11/15</f>
        <v>0</v>
      </c>
    </row>
    <row collapsed="false" customFormat="false" customHeight="false" hidden="false" ht="12.75" outlineLevel="0" r="12">
      <c r="A12" s="0" t="n">
        <v>0</v>
      </c>
      <c r="J12" s="2" t="n">
        <f aca="false">SUM(J2,J4,J9)</f>
        <v>147.708333333333</v>
      </c>
      <c r="M12" s="2" t="n">
        <f aca="false">SUM(M2:M11)</f>
        <v>230.5625</v>
      </c>
      <c r="N12" s="2" t="n">
        <f aca="false">SUM(N2:N11)</f>
        <v>15.3708333333333</v>
      </c>
      <c r="O12" s="0" t="s">
        <v>22</v>
      </c>
      <c r="P12" s="2" t="n">
        <f aca="false">CEILING(N12,1,1)</f>
        <v>16</v>
      </c>
    </row>
    <row collapsed="false" customFormat="false" customHeight="false" hidden="false" ht="12.75" outlineLevel="0" r="13">
      <c r="J13" s="2" t="n">
        <f aca="false">E13*2</f>
        <v>0</v>
      </c>
      <c r="O13" s="0" t="s">
        <v>83</v>
      </c>
      <c r="P13" s="0" t="n">
        <v>16</v>
      </c>
      <c r="Q13" s="0" t="n">
        <v>9000</v>
      </c>
      <c r="R13" s="2" t="n">
        <f aca="false">Q13*P13</f>
        <v>144000</v>
      </c>
    </row>
    <row collapsed="false" customFormat="false" customHeight="false" hidden="false" ht="12.75" outlineLevel="0" r="14">
      <c r="A14" s="0" t="s">
        <v>148</v>
      </c>
      <c r="B14" s="2" t="n">
        <f aca="false">14*24</f>
        <v>336</v>
      </c>
      <c r="J14" s="2" t="n">
        <f aca="false">E14*2</f>
        <v>0</v>
      </c>
      <c r="O14" s="0" t="s">
        <v>8</v>
      </c>
      <c r="P14" s="0" t="n">
        <v>16</v>
      </c>
      <c r="Q14" s="0" t="n">
        <v>4000</v>
      </c>
      <c r="R14" s="2" t="n">
        <f aca="false">Q14*P14</f>
        <v>64000</v>
      </c>
    </row>
    <row collapsed="false" customFormat="false" customHeight="false" hidden="false" ht="12.75" outlineLevel="0" r="15">
      <c r="J15" s="2" t="n">
        <f aca="false">E15*2</f>
        <v>0</v>
      </c>
      <c r="O15" s="0" t="s">
        <v>149</v>
      </c>
      <c r="P15" s="0" t="n">
        <v>16</v>
      </c>
      <c r="Q15" s="0" t="n">
        <v>10000</v>
      </c>
      <c r="R15" s="2" t="n">
        <f aca="false">Q15*P15</f>
        <v>160000</v>
      </c>
    </row>
    <row collapsed="false" customFormat="false" customHeight="false" hidden="false" ht="12.75" outlineLevel="0" r="16">
      <c r="A16" s="0" t="s">
        <v>28</v>
      </c>
      <c r="B16" s="0" t="n">
        <v>242</v>
      </c>
      <c r="C16" s="0" t="s">
        <v>150</v>
      </c>
      <c r="D16" s="0" t="s">
        <v>151</v>
      </c>
      <c r="E16" s="0" t="n">
        <v>1</v>
      </c>
      <c r="G16" s="0" t="n">
        <v>10000</v>
      </c>
      <c r="H16" s="2" t="n">
        <f aca="false">E16*G16</f>
        <v>10000</v>
      </c>
      <c r="J16" s="2" t="n">
        <f aca="false">E16*2</f>
        <v>2</v>
      </c>
      <c r="R16" s="2" t="n">
        <f aca="false">SUM(R13:R15)</f>
        <v>368000</v>
      </c>
    </row>
    <row collapsed="false" customFormat="false" customHeight="false" hidden="false" ht="12.75" outlineLevel="0" r="17">
      <c r="A17" s="0" t="s">
        <v>28</v>
      </c>
      <c r="B17" s="0" t="n">
        <v>242</v>
      </c>
      <c r="C17" s="0" t="s">
        <v>14</v>
      </c>
      <c r="D17" s="0" t="s">
        <v>152</v>
      </c>
      <c r="E17" s="2" t="n">
        <f aca="false">CEILING((B17/16),1,1)</f>
        <v>16</v>
      </c>
      <c r="G17" s="0" t="n">
        <v>4500</v>
      </c>
      <c r="H17" s="2" t="n">
        <f aca="false">E17*G17</f>
        <v>72000</v>
      </c>
      <c r="P17" s="0" t="n">
        <v>16</v>
      </c>
    </row>
    <row collapsed="false" customFormat="false" customHeight="false" hidden="false" ht="12.75" outlineLevel="0" r="18">
      <c r="A18" s="0" t="s">
        <v>28</v>
      </c>
      <c r="B18" s="0" t="n">
        <v>242</v>
      </c>
      <c r="C18" s="0" t="s">
        <v>153</v>
      </c>
      <c r="E18" s="0" t="n">
        <v>1</v>
      </c>
      <c r="G18" s="0" t="n">
        <v>10000</v>
      </c>
      <c r="H18" s="2" t="n">
        <f aca="false">E18*G18</f>
        <v>10000</v>
      </c>
    </row>
    <row collapsed="false" customFormat="false" customHeight="false" hidden="false" ht="12.75" outlineLevel="0" r="19">
      <c r="A19" s="0" t="s">
        <v>28</v>
      </c>
      <c r="B19" s="0" t="n">
        <v>242</v>
      </c>
      <c r="C19" s="0" t="s">
        <v>16</v>
      </c>
      <c r="D19" s="0" t="n">
        <v>1190</v>
      </c>
      <c r="E19" s="0" t="n">
        <v>2</v>
      </c>
      <c r="G19" s="0" t="n">
        <v>10000</v>
      </c>
      <c r="H19" s="2" t="n">
        <f aca="false">E19*G19</f>
        <v>20000</v>
      </c>
    </row>
    <row collapsed="false" customFormat="false" customHeight="false" hidden="false" ht="12.75" outlineLevel="0" r="20">
      <c r="A20" s="0" t="s">
        <v>28</v>
      </c>
      <c r="B20" s="0" t="n">
        <v>242</v>
      </c>
      <c r="C20" s="0" t="s">
        <v>9</v>
      </c>
      <c r="E20" s="0" t="n">
        <v>2</v>
      </c>
      <c r="G20" s="0" t="n">
        <v>3000</v>
      </c>
      <c r="H20" s="2" t="n">
        <f aca="false">E20*G20</f>
        <v>6000</v>
      </c>
    </row>
    <row collapsed="false" customFormat="false" customHeight="false" hidden="false" ht="12.75" outlineLevel="0" r="21">
      <c r="A21" s="0" t="s">
        <v>28</v>
      </c>
      <c r="B21" s="0" t="n">
        <v>242</v>
      </c>
      <c r="C21" s="0" t="s">
        <v>154</v>
      </c>
      <c r="E21" s="0" t="n">
        <v>2</v>
      </c>
      <c r="G21" s="0" t="n">
        <v>3500</v>
      </c>
      <c r="H21" s="2" t="n">
        <f aca="false">E21*G21</f>
        <v>7000</v>
      </c>
    </row>
    <row collapsed="false" customFormat="false" customHeight="false" hidden="false" ht="12.75" outlineLevel="0" r="22">
      <c r="A22" s="0" t="s">
        <v>28</v>
      </c>
      <c r="B22" s="0" t="n">
        <v>242</v>
      </c>
      <c r="C22" s="0" t="s">
        <v>68</v>
      </c>
      <c r="E22" s="0" t="n">
        <v>2</v>
      </c>
      <c r="G22" s="0" t="n">
        <v>11500</v>
      </c>
      <c r="H22" s="2" t="n">
        <f aca="false">E22*G22</f>
        <v>23000</v>
      </c>
    </row>
    <row collapsed="false" customFormat="false" customHeight="false" hidden="false" ht="12.75" outlineLevel="0" r="23">
      <c r="H23" s="2" t="n">
        <f aca="false">SUM(H17:H22)</f>
        <v>138000</v>
      </c>
    </row>
    <row collapsed="false" customFormat="false" customHeight="false" hidden="false" ht="12.75" outlineLevel="0" r="24">
      <c r="A24" s="0" t="s">
        <v>155</v>
      </c>
      <c r="B24" s="0" t="n">
        <v>62500</v>
      </c>
    </row>
    <row collapsed="false" customFormat="false" customHeight="false" hidden="false" ht="12.75" outlineLevel="0" r="25">
      <c r="A25" s="0" t="s">
        <v>155</v>
      </c>
      <c r="B25" s="0" t="n">
        <v>27200</v>
      </c>
    </row>
    <row collapsed="false" customFormat="false" customHeight="false" hidden="false" ht="12.75" outlineLevel="0" r="26">
      <c r="A26" s="0" t="s">
        <v>155</v>
      </c>
      <c r="B26" s="0" t="n">
        <v>12000</v>
      </c>
      <c r="G26" s="2" t="n">
        <f aca="false">3700</f>
        <v>3700</v>
      </c>
      <c r="H26" s="2" t="n">
        <f aca="false">G26*1.4</f>
        <v>5180</v>
      </c>
    </row>
    <row collapsed="false" customFormat="false" customHeight="false" hidden="false" ht="12.75" outlineLevel="0" r="27">
      <c r="A27" s="0" t="s">
        <v>44</v>
      </c>
      <c r="B27" s="2" t="n">
        <f aca="false">SUM(B24:B26)</f>
        <v>101700</v>
      </c>
      <c r="C27" s="0" t="s">
        <v>156</v>
      </c>
      <c r="D27" s="0" t="s">
        <v>157</v>
      </c>
      <c r="E27" s="2" t="n">
        <f aca="false">CEILING(((B27/128)/8),1,1)</f>
        <v>100</v>
      </c>
      <c r="G27" s="0" t="n">
        <v>5000</v>
      </c>
      <c r="H27" s="2" t="n">
        <f aca="false">E27*G27</f>
        <v>500000</v>
      </c>
    </row>
    <row collapsed="false" customFormat="false" customHeight="false" hidden="false" ht="12.75" outlineLevel="0" r="28">
      <c r="A28" s="0" t="s">
        <v>44</v>
      </c>
      <c r="C28" s="0" t="s">
        <v>68</v>
      </c>
      <c r="E28" s="2" t="n">
        <f aca="false">CEILING((E27/16),1,1)</f>
        <v>7</v>
      </c>
      <c r="G28" s="0" t="n">
        <v>11500</v>
      </c>
      <c r="H28" s="2" t="n">
        <f aca="false">E28*G28</f>
        <v>80500</v>
      </c>
    </row>
    <row collapsed="false" customFormat="false" customHeight="false" hidden="false" ht="12.75" outlineLevel="0" r="29">
      <c r="C29" s="0" t="s">
        <v>8</v>
      </c>
      <c r="E29" s="2" t="n">
        <f aca="false">E28</f>
        <v>7</v>
      </c>
      <c r="G29" s="0" t="n">
        <v>3500</v>
      </c>
      <c r="H29" s="2" t="n">
        <f aca="false">E29*G29</f>
        <v>24500</v>
      </c>
    </row>
    <row collapsed="false" customFormat="false" customHeight="false" hidden="false" ht="12.75" outlineLevel="0" r="30">
      <c r="C30" s="0" t="s">
        <v>9</v>
      </c>
      <c r="E30" s="2" t="n">
        <f aca="false">E29</f>
        <v>7</v>
      </c>
      <c r="G30" s="0" t="n">
        <v>3000</v>
      </c>
      <c r="H30" s="2" t="n">
        <f aca="false">E30*G30</f>
        <v>21000</v>
      </c>
    </row>
    <row collapsed="false" customFormat="false" customHeight="false" hidden="false" ht="12.75" outlineLevel="0" r="32">
      <c r="H32" s="2" t="n">
        <f aca="false">SUM(H27:H30)</f>
        <v>626000</v>
      </c>
    </row>
    <row collapsed="false" customFormat="false" customHeight="false" hidden="false" ht="12.75" outlineLevel="0" r="34">
      <c r="B34" s="2" t="n">
        <f aca="false">B27/2048</f>
        <v>49.658203125</v>
      </c>
      <c r="C34" s="2" t="n">
        <f aca="false">B34/21</f>
        <v>2.36467633928571</v>
      </c>
    </row>
    <row collapsed="false" customFormat="false" customHeight="false" hidden="false" ht="12.75" outlineLevel="0" r="35">
      <c r="L35" s="2" t="n">
        <f aca="false">50/0.454</f>
        <v>110.132158590308</v>
      </c>
    </row>
    <row collapsed="false" customFormat="false" customHeight="false" hidden="false" ht="12.75" outlineLevel="0" r="38">
      <c r="A38" s="0" t="s">
        <v>106</v>
      </c>
    </row>
    <row collapsed="false" customFormat="false" customHeight="false" hidden="false" ht="12.75" outlineLevel="0" r="39">
      <c r="A39" s="0" t="s">
        <v>106</v>
      </c>
      <c r="K39" s="0" t="n">
        <v>770</v>
      </c>
      <c r="L39" s="0" t="n">
        <v>850</v>
      </c>
      <c r="M39" s="0" t="n">
        <v>550</v>
      </c>
    </row>
    <row collapsed="false" customFormat="false" customHeight="false" hidden="false" ht="12.75" outlineLevel="0" r="40">
      <c r="A40" s="0" t="s">
        <v>106</v>
      </c>
      <c r="K40" s="2" t="n">
        <f aca="false">K39/25.4</f>
        <v>30.3149606299213</v>
      </c>
      <c r="L40" s="2" t="n">
        <f aca="false">L39/25.4</f>
        <v>33.4645669291339</v>
      </c>
      <c r="M40" s="2" t="n">
        <f aca="false">M39/25.4</f>
        <v>21.6535433070866</v>
      </c>
    </row>
    <row collapsed="false" customFormat="false" customHeight="false" hidden="false" ht="12.75" outlineLevel="0" r="41">
      <c r="A41" s="0" t="s">
        <v>106</v>
      </c>
    </row>
    <row collapsed="false" customFormat="false" customHeight="false" hidden="false" ht="12.75" outlineLevel="0" r="44">
      <c r="A44" s="0" t="s">
        <v>153</v>
      </c>
      <c r="C44" s="0" t="s">
        <v>55</v>
      </c>
      <c r="I44" s="0" t="s">
        <v>158</v>
      </c>
    </row>
    <row collapsed="false" customFormat="false" customHeight="false" hidden="false" ht="12.75" outlineLevel="0" r="47">
      <c r="A47" s="0" t="s">
        <v>159</v>
      </c>
    </row>
    <row collapsed="false" customFormat="false" customHeight="false" hidden="false" ht="12.75" outlineLevel="0" r="48">
      <c r="A48" s="0" t="s">
        <v>160</v>
      </c>
    </row>
    <row collapsed="false" customFormat="false" customHeight="false" hidden="false" ht="12.75" outlineLevel="0" r="57">
      <c r="A57" s="0" t="s">
        <v>161</v>
      </c>
    </row>
    <row collapsed="false" customFormat="false" customHeight="false" hidden="false" ht="12.75" outlineLevel="0" r="58">
      <c r="A58" s="0" t="s">
        <v>162</v>
      </c>
    </row>
    <row collapsed="false" customFormat="false" customHeight="false" hidden="false" ht="12.75" outlineLevel="0" r="65">
      <c r="A65" s="0" t="s">
        <v>163</v>
      </c>
      <c r="B65" s="0" t="n">
        <v>1038</v>
      </c>
    </row>
    <row collapsed="false" customFormat="false" customHeight="false" hidden="false" ht="12.75" outlineLevel="0" r="66">
      <c r="A66" s="0" t="s">
        <v>80</v>
      </c>
      <c r="B66" s="0" t="n">
        <v>6567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B78:C78 A2"/>
    </sheetView>
  </sheetViews>
  <sheetFormatPr defaultRowHeight="12.75"/>
  <cols>
    <col collapsed="false" hidden="false" max="2" min="1" style="0" width="17.1326530612245"/>
    <col collapsed="false" hidden="false" max="3" min="3" style="0" width="21.4285714285714"/>
    <col collapsed="false" hidden="false" max="1025" min="4" style="0" width="17.1326530612245"/>
  </cols>
  <sheetData>
    <row collapsed="false" customFormat="false" customHeight="false" hidden="false" ht="12.75" outlineLevel="0" r="1">
      <c r="A1" s="0" t="s">
        <v>56</v>
      </c>
      <c r="B1" s="0" t="s">
        <v>1</v>
      </c>
      <c r="C1" s="0" t="s">
        <v>57</v>
      </c>
      <c r="D1" s="0" t="s">
        <v>58</v>
      </c>
      <c r="E1" s="0" t="s">
        <v>59</v>
      </c>
      <c r="F1" s="0" t="s">
        <v>22</v>
      </c>
      <c r="G1" s="0" t="s">
        <v>60</v>
      </c>
      <c r="H1" s="0" t="s">
        <v>143</v>
      </c>
      <c r="I1" s="0" t="s">
        <v>144</v>
      </c>
      <c r="J1" s="0" t="s">
        <v>114</v>
      </c>
      <c r="K1" s="0" t="s">
        <v>22</v>
      </c>
      <c r="M1" s="0" t="s">
        <v>2</v>
      </c>
      <c r="N1" s="0" t="s">
        <v>22</v>
      </c>
    </row>
    <row collapsed="false" customFormat="false" customHeight="false" hidden="false" ht="12.75" outlineLevel="0" r="2">
      <c r="A2" s="0" t="s">
        <v>13</v>
      </c>
      <c r="B2" s="0" t="n">
        <v>1736</v>
      </c>
      <c r="C2" s="0" t="s">
        <v>16</v>
      </c>
      <c r="D2" s="0" t="n">
        <v>1877</v>
      </c>
      <c r="E2" s="2" t="n">
        <f aca="false">B2/128</f>
        <v>13.5625</v>
      </c>
      <c r="F2" s="2" t="n">
        <f aca="false">CEILING((E2/23),1,1)</f>
        <v>1</v>
      </c>
      <c r="G2" s="0" t="n">
        <v>0</v>
      </c>
      <c r="I2" s="0" t="s">
        <v>145</v>
      </c>
      <c r="J2" s="2" t="n">
        <f aca="false">E2*2</f>
        <v>27.125</v>
      </c>
      <c r="K2" s="0" t="n">
        <v>2</v>
      </c>
      <c r="L2" s="0" t="n">
        <v>3</v>
      </c>
      <c r="M2" s="2" t="n">
        <f aca="false">E2*$L$2</f>
        <v>40.6875</v>
      </c>
      <c r="N2" s="2" t="n">
        <f aca="false">M2/15</f>
        <v>2.7125</v>
      </c>
    </row>
    <row collapsed="false" customFormat="false" customHeight="false" hidden="false" ht="12.75" outlineLevel="0" r="3">
      <c r="A3" s="0" t="s">
        <v>13</v>
      </c>
      <c r="B3" s="0" t="n">
        <v>1736</v>
      </c>
      <c r="C3" s="0" t="s">
        <v>146</v>
      </c>
      <c r="E3" s="2" t="n">
        <f aca="false">B3/8</f>
        <v>217</v>
      </c>
      <c r="F3" s="2" t="n">
        <f aca="false">CEILING((E3/23),1,1)</f>
        <v>10</v>
      </c>
      <c r="G3" s="0" t="n">
        <v>0</v>
      </c>
      <c r="I3" s="0" t="s">
        <v>145</v>
      </c>
      <c r="J3" s="2" t="n">
        <f aca="false">E3*2</f>
        <v>434</v>
      </c>
      <c r="M3" s="0" t="n">
        <v>0</v>
      </c>
      <c r="N3" s="2" t="n">
        <f aca="false">M3/15</f>
        <v>0</v>
      </c>
    </row>
    <row collapsed="false" customFormat="false" customHeight="false" hidden="false" ht="12.75" outlineLevel="0" r="4">
      <c r="A4" s="0" t="s">
        <v>13</v>
      </c>
      <c r="B4" s="0" t="n">
        <v>1736</v>
      </c>
      <c r="C4" s="0" t="s">
        <v>14</v>
      </c>
      <c r="D4" s="0" t="n">
        <v>1881</v>
      </c>
      <c r="E4" s="0" t="n">
        <v>0</v>
      </c>
      <c r="F4" s="2" t="n">
        <f aca="false">CEILING((E4/23),1,1)</f>
        <v>0</v>
      </c>
      <c r="G4" s="0" t="n">
        <v>0</v>
      </c>
      <c r="I4" s="0" t="s">
        <v>145</v>
      </c>
      <c r="J4" s="2" t="n">
        <f aca="false">E4*2</f>
        <v>0</v>
      </c>
      <c r="K4" s="0" t="n">
        <v>4</v>
      </c>
      <c r="M4" s="2" t="n">
        <f aca="false">E4*$L$2</f>
        <v>0</v>
      </c>
      <c r="N4" s="2" t="n">
        <f aca="false">M4/15</f>
        <v>0</v>
      </c>
    </row>
    <row collapsed="false" customFormat="false" customHeight="false" hidden="false" ht="12.75" outlineLevel="0" r="5">
      <c r="A5" s="0" t="s">
        <v>13</v>
      </c>
      <c r="B5" s="0" t="n">
        <v>1736</v>
      </c>
      <c r="C5" s="0" t="s">
        <v>147</v>
      </c>
      <c r="E5" s="0" t="n">
        <v>3</v>
      </c>
      <c r="F5" s="2" t="n">
        <f aca="false">CEILING((E5/23),1,1)</f>
        <v>1</v>
      </c>
      <c r="G5" s="0" t="n">
        <v>0</v>
      </c>
      <c r="I5" s="0" t="s">
        <v>145</v>
      </c>
      <c r="J5" s="2" t="n">
        <f aca="false">E5*2</f>
        <v>6</v>
      </c>
      <c r="M5" s="2" t="n">
        <f aca="false">E5*$L$2</f>
        <v>9</v>
      </c>
      <c r="N5" s="2" t="n">
        <f aca="false">M5/15</f>
        <v>0.6</v>
      </c>
    </row>
    <row collapsed="false" customFormat="false" customHeight="false" hidden="false" ht="12.75" outlineLevel="0" r="6">
      <c r="A6" s="0" t="s">
        <v>13</v>
      </c>
      <c r="B6" s="0" t="n">
        <v>1736</v>
      </c>
      <c r="C6" s="0" t="s">
        <v>74</v>
      </c>
      <c r="E6" s="2" t="n">
        <f aca="false">B6/64</f>
        <v>27.125</v>
      </c>
      <c r="I6" s="0" t="s">
        <v>145</v>
      </c>
      <c r="J6" s="2" t="n">
        <f aca="false">E6*2</f>
        <v>54.25</v>
      </c>
      <c r="M6" s="2" t="n">
        <f aca="false">E6*$L$2</f>
        <v>81.375</v>
      </c>
      <c r="N6" s="2" t="n">
        <f aca="false">M6/15</f>
        <v>5.425</v>
      </c>
    </row>
    <row collapsed="false" customFormat="false" customHeight="false" hidden="false" ht="12.75" outlineLevel="0" r="7">
      <c r="J7" s="2" t="n">
        <f aca="false">E7*2</f>
        <v>0</v>
      </c>
      <c r="M7" s="2" t="n">
        <f aca="false">E7*$L$2</f>
        <v>0</v>
      </c>
      <c r="N7" s="2" t="n">
        <f aca="false">M7/15</f>
        <v>0</v>
      </c>
    </row>
    <row collapsed="false" customFormat="false" customHeight="false" hidden="false" ht="12.75" outlineLevel="0" r="8">
      <c r="J8" s="2" t="n">
        <f aca="false">E8*2</f>
        <v>0</v>
      </c>
      <c r="M8" s="2" t="n">
        <f aca="false">E8*$L$2</f>
        <v>0</v>
      </c>
      <c r="N8" s="2" t="n">
        <f aca="false">M8/15</f>
        <v>0</v>
      </c>
    </row>
    <row collapsed="false" customFormat="false" customHeight="false" hidden="false" ht="12.75" outlineLevel="0" r="9">
      <c r="A9" s="0" t="s">
        <v>15</v>
      </c>
      <c r="B9" s="0" t="n">
        <v>3328</v>
      </c>
      <c r="C9" s="0" t="s">
        <v>16</v>
      </c>
      <c r="D9" s="0" t="n">
        <v>1877</v>
      </c>
      <c r="E9" s="2" t="n">
        <f aca="false">B9/96</f>
        <v>34.6666666666667</v>
      </c>
      <c r="J9" s="2" t="n">
        <f aca="false">E9*2</f>
        <v>69.3333333333333</v>
      </c>
      <c r="K9" s="0" t="n">
        <v>8</v>
      </c>
      <c r="M9" s="2" t="n">
        <f aca="false">E9*$L$2</f>
        <v>104</v>
      </c>
      <c r="N9" s="2" t="n">
        <f aca="false">M9/15</f>
        <v>6.93333333333333</v>
      </c>
    </row>
    <row collapsed="false" customFormat="false" customHeight="false" hidden="false" ht="12.75" outlineLevel="0" r="10">
      <c r="C10" s="0" t="s">
        <v>74</v>
      </c>
      <c r="D10" s="0" t="n">
        <v>1881</v>
      </c>
      <c r="E10" s="2" t="n">
        <f aca="false">B9/64</f>
        <v>52</v>
      </c>
      <c r="J10" s="2" t="n">
        <f aca="false">E10*2</f>
        <v>104</v>
      </c>
      <c r="M10" s="2" t="n">
        <f aca="false">E10*$L$2</f>
        <v>156</v>
      </c>
      <c r="N10" s="2" t="n">
        <f aca="false">M10/15</f>
        <v>10.4</v>
      </c>
    </row>
    <row collapsed="false" customFormat="false" customHeight="false" hidden="false" ht="12.75" outlineLevel="0" r="11">
      <c r="E11" s="2" t="n">
        <f aca="false">E9/12</f>
        <v>2.88888888888889</v>
      </c>
      <c r="J11" s="2" t="n">
        <f aca="false">E11*2</f>
        <v>5.77777777777778</v>
      </c>
      <c r="M11" s="0" t="n">
        <v>0</v>
      </c>
      <c r="N11" s="2" t="n">
        <f aca="false">M11/15</f>
        <v>0</v>
      </c>
    </row>
    <row collapsed="false" customFormat="false" customHeight="false" hidden="false" ht="12.75" outlineLevel="0" r="12">
      <c r="A12" s="0" t="n">
        <v>0</v>
      </c>
      <c r="J12" s="2" t="n">
        <f aca="false">E12*2</f>
        <v>0</v>
      </c>
      <c r="M12" s="2" t="n">
        <f aca="false">SUM(M2:M11)</f>
        <v>391.0625</v>
      </c>
      <c r="N12" s="2" t="n">
        <f aca="false">SUM(N2:N11)</f>
        <v>26.0708333333333</v>
      </c>
      <c r="O12" s="0" t="s">
        <v>22</v>
      </c>
      <c r="P12" s="2" t="n">
        <f aca="false">CEILING(N12,1,1)</f>
        <v>27</v>
      </c>
    </row>
    <row collapsed="false" customFormat="false" customHeight="false" hidden="false" ht="12.75" outlineLevel="0" r="13">
      <c r="J13" s="2" t="n">
        <f aca="false">E13*2</f>
        <v>0</v>
      </c>
      <c r="O13" s="0" t="s">
        <v>83</v>
      </c>
      <c r="P13" s="0" t="n">
        <v>16</v>
      </c>
      <c r="Q13" s="0" t="n">
        <v>9000</v>
      </c>
      <c r="R13" s="2" t="n">
        <f aca="false">Q13*P13</f>
        <v>144000</v>
      </c>
    </row>
    <row collapsed="false" customFormat="false" customHeight="false" hidden="false" ht="12.75" outlineLevel="0" r="14">
      <c r="J14" s="2" t="n">
        <f aca="false">E14*2</f>
        <v>0</v>
      </c>
      <c r="O14" s="0" t="s">
        <v>8</v>
      </c>
      <c r="P14" s="0" t="n">
        <v>16</v>
      </c>
      <c r="Q14" s="0" t="n">
        <v>4000</v>
      </c>
      <c r="R14" s="2" t="n">
        <f aca="false">Q14*P14</f>
        <v>64000</v>
      </c>
    </row>
    <row collapsed="false" customFormat="false" customHeight="false" hidden="false" ht="12.75" outlineLevel="0" r="15">
      <c r="J15" s="2" t="n">
        <f aca="false">E15*2</f>
        <v>0</v>
      </c>
    </row>
    <row collapsed="false" customFormat="false" customHeight="false" hidden="false" ht="12.75" outlineLevel="0" r="16">
      <c r="A16" s="0" t="s">
        <v>28</v>
      </c>
      <c r="B16" s="0" t="n">
        <v>242</v>
      </c>
      <c r="C16" s="0" t="s">
        <v>150</v>
      </c>
      <c r="D16" s="0" t="s">
        <v>151</v>
      </c>
      <c r="E16" s="0" t="n">
        <v>1</v>
      </c>
      <c r="G16" s="0" t="n">
        <v>10000</v>
      </c>
      <c r="H16" s="2" t="n">
        <f aca="false">E16*G16</f>
        <v>10000</v>
      </c>
      <c r="J16" s="2" t="n">
        <f aca="false">E16*2</f>
        <v>2</v>
      </c>
      <c r="R16" s="2" t="n">
        <f aca="false">SUM(R13:R14)</f>
        <v>208000</v>
      </c>
    </row>
    <row collapsed="false" customFormat="false" customHeight="false" hidden="false" ht="12.75" outlineLevel="0" r="17">
      <c r="A17" s="0" t="s">
        <v>28</v>
      </c>
      <c r="B17" s="0" t="n">
        <v>242</v>
      </c>
      <c r="C17" s="0" t="s">
        <v>14</v>
      </c>
      <c r="D17" s="0" t="s">
        <v>152</v>
      </c>
      <c r="E17" s="2" t="n">
        <f aca="false">CEILING((B17/16),1,1)</f>
        <v>16</v>
      </c>
      <c r="G17" s="0" t="n">
        <v>4500</v>
      </c>
      <c r="H17" s="2" t="n">
        <f aca="false">E17*G17</f>
        <v>72000</v>
      </c>
      <c r="P17" s="0" t="n">
        <v>16</v>
      </c>
    </row>
    <row collapsed="false" customFormat="false" customHeight="false" hidden="false" ht="12.75" outlineLevel="0" r="18">
      <c r="A18" s="0" t="s">
        <v>28</v>
      </c>
      <c r="B18" s="0" t="n">
        <v>242</v>
      </c>
      <c r="C18" s="0" t="s">
        <v>153</v>
      </c>
      <c r="E18" s="0" t="n">
        <v>1</v>
      </c>
      <c r="G18" s="0" t="n">
        <v>10000</v>
      </c>
      <c r="H18" s="2" t="n">
        <f aca="false">E18*G18</f>
        <v>10000</v>
      </c>
    </row>
    <row collapsed="false" customFormat="false" customHeight="false" hidden="false" ht="12.75" outlineLevel="0" r="19">
      <c r="A19" s="0" t="s">
        <v>28</v>
      </c>
      <c r="B19" s="0" t="n">
        <v>242</v>
      </c>
      <c r="C19" s="0" t="s">
        <v>16</v>
      </c>
      <c r="D19" s="0" t="n">
        <v>1190</v>
      </c>
      <c r="E19" s="0" t="n">
        <v>2</v>
      </c>
      <c r="G19" s="0" t="n">
        <v>10000</v>
      </c>
      <c r="H19" s="2" t="n">
        <f aca="false">E19*G19</f>
        <v>20000</v>
      </c>
    </row>
    <row collapsed="false" customFormat="false" customHeight="false" hidden="false" ht="12.75" outlineLevel="0" r="20">
      <c r="A20" s="0" t="s">
        <v>28</v>
      </c>
      <c r="B20" s="0" t="n">
        <v>242</v>
      </c>
      <c r="C20" s="0" t="s">
        <v>9</v>
      </c>
      <c r="E20" s="0" t="n">
        <v>2</v>
      </c>
      <c r="G20" s="0" t="n">
        <v>3000</v>
      </c>
      <c r="H20" s="2" t="n">
        <f aca="false">E20*G20</f>
        <v>6000</v>
      </c>
    </row>
    <row collapsed="false" customFormat="false" customHeight="false" hidden="false" ht="12.75" outlineLevel="0" r="21">
      <c r="A21" s="0" t="s">
        <v>28</v>
      </c>
      <c r="B21" s="0" t="n">
        <v>242</v>
      </c>
      <c r="C21" s="0" t="s">
        <v>154</v>
      </c>
      <c r="E21" s="0" t="n">
        <v>2</v>
      </c>
      <c r="G21" s="0" t="n">
        <v>3500</v>
      </c>
      <c r="H21" s="2" t="n">
        <f aca="false">E21*G21</f>
        <v>7000</v>
      </c>
    </row>
    <row collapsed="false" customFormat="false" customHeight="false" hidden="false" ht="12.75" outlineLevel="0" r="22">
      <c r="A22" s="0" t="s">
        <v>28</v>
      </c>
      <c r="B22" s="0" t="n">
        <v>242</v>
      </c>
      <c r="C22" s="0" t="s">
        <v>68</v>
      </c>
      <c r="E22" s="0" t="n">
        <v>2</v>
      </c>
      <c r="G22" s="0" t="n">
        <v>11500</v>
      </c>
      <c r="H22" s="2" t="n">
        <f aca="false">E22*G22</f>
        <v>23000</v>
      </c>
    </row>
    <row collapsed="false" customFormat="false" customHeight="false" hidden="false" ht="12.75" outlineLevel="0" r="23">
      <c r="H23" s="2" t="n">
        <f aca="false">SUM(H17:H22)</f>
        <v>138000</v>
      </c>
    </row>
    <row collapsed="false" customFormat="false" customHeight="false" hidden="false" ht="12.75" outlineLevel="0" r="24">
      <c r="A24" s="0" t="s">
        <v>155</v>
      </c>
      <c r="B24" s="0" t="n">
        <v>62500</v>
      </c>
    </row>
    <row collapsed="false" customFormat="false" customHeight="false" hidden="false" ht="12.75" outlineLevel="0" r="25">
      <c r="A25" s="0" t="s">
        <v>155</v>
      </c>
      <c r="B25" s="0" t="n">
        <v>27200</v>
      </c>
    </row>
    <row collapsed="false" customFormat="false" customHeight="false" hidden="false" ht="12.75" outlineLevel="0" r="26">
      <c r="A26" s="0" t="s">
        <v>155</v>
      </c>
      <c r="B26" s="0" t="n">
        <v>12000</v>
      </c>
      <c r="G26" s="2" t="n">
        <f aca="false">3700</f>
        <v>3700</v>
      </c>
      <c r="H26" s="2" t="n">
        <f aca="false">G26*1.4</f>
        <v>5180</v>
      </c>
    </row>
    <row collapsed="false" customFormat="false" customHeight="false" hidden="false" ht="12.75" outlineLevel="0" r="27">
      <c r="A27" s="0" t="s">
        <v>44</v>
      </c>
      <c r="B27" s="2" t="n">
        <f aca="false">SUM(B24:B26)</f>
        <v>101700</v>
      </c>
      <c r="C27" s="0" t="s">
        <v>156</v>
      </c>
      <c r="D27" s="0" t="s">
        <v>157</v>
      </c>
      <c r="E27" s="2" t="n">
        <f aca="false">CEILING(((B27/128)/4),1,1)</f>
        <v>199</v>
      </c>
      <c r="G27" s="0" t="n">
        <v>5000</v>
      </c>
      <c r="H27" s="2" t="n">
        <f aca="false">E27*G27</f>
        <v>995000</v>
      </c>
    </row>
    <row collapsed="false" customFormat="false" customHeight="false" hidden="false" ht="12.75" outlineLevel="0" r="28">
      <c r="A28" s="0" t="s">
        <v>44</v>
      </c>
      <c r="C28" s="0" t="s">
        <v>68</v>
      </c>
      <c r="E28" s="2" t="n">
        <f aca="false">CEILING((E27/16),1,1)</f>
        <v>13</v>
      </c>
      <c r="G28" s="0" t="n">
        <v>11500</v>
      </c>
      <c r="H28" s="2" t="n">
        <f aca="false">E28*G28</f>
        <v>149500</v>
      </c>
    </row>
    <row collapsed="false" customFormat="false" customHeight="false" hidden="false" ht="12.75" outlineLevel="0" r="29">
      <c r="C29" s="0" t="s">
        <v>8</v>
      </c>
      <c r="E29" s="2" t="n">
        <f aca="false">E28</f>
        <v>13</v>
      </c>
      <c r="G29" s="0" t="n">
        <v>3500</v>
      </c>
      <c r="H29" s="2" t="n">
        <f aca="false">E29*G29</f>
        <v>45500</v>
      </c>
    </row>
    <row collapsed="false" customFormat="false" customHeight="false" hidden="false" ht="12.75" outlineLevel="0" r="30">
      <c r="C30" s="0" t="s">
        <v>9</v>
      </c>
      <c r="E30" s="2" t="n">
        <f aca="false">E29</f>
        <v>13</v>
      </c>
      <c r="G30" s="0" t="n">
        <v>3000</v>
      </c>
      <c r="H30" s="2" t="n">
        <f aca="false">E30*G30</f>
        <v>39000</v>
      </c>
    </row>
    <row collapsed="false" customFormat="false" customHeight="false" hidden="false" ht="12.75" outlineLevel="0" r="32">
      <c r="H32" s="2" t="n">
        <f aca="false">SUM(H27:H30)</f>
        <v>1229000</v>
      </c>
    </row>
    <row collapsed="false" customFormat="false" customHeight="false" hidden="false" ht="12.75" outlineLevel="0" r="34">
      <c r="B34" s="2" t="n">
        <f aca="false">B27/2048</f>
        <v>49.658203125</v>
      </c>
      <c r="C34" s="2" t="n">
        <f aca="false">B34/21</f>
        <v>2.36467633928571</v>
      </c>
    </row>
    <row collapsed="false" customFormat="false" customHeight="false" hidden="false" ht="12.75" outlineLevel="0" r="35">
      <c r="L35" s="2" t="n">
        <f aca="false">50/0.454</f>
        <v>110.132158590308</v>
      </c>
    </row>
    <row collapsed="false" customFormat="false" customHeight="false" hidden="false" ht="12.75" outlineLevel="0" r="38">
      <c r="A38" s="0" t="s">
        <v>106</v>
      </c>
    </row>
    <row collapsed="false" customFormat="false" customHeight="false" hidden="false" ht="12.75" outlineLevel="0" r="39">
      <c r="A39" s="0" t="s">
        <v>106</v>
      </c>
      <c r="K39" s="0" t="n">
        <v>770</v>
      </c>
      <c r="L39" s="0" t="n">
        <v>850</v>
      </c>
      <c r="M39" s="0" t="n">
        <v>550</v>
      </c>
    </row>
    <row collapsed="false" customFormat="false" customHeight="false" hidden="false" ht="12.75" outlineLevel="0" r="40">
      <c r="A40" s="0" t="s">
        <v>106</v>
      </c>
      <c r="K40" s="2" t="n">
        <f aca="false">K39/25.4</f>
        <v>30.3149606299213</v>
      </c>
      <c r="L40" s="2" t="n">
        <f aca="false">L39/25.4</f>
        <v>33.4645669291339</v>
      </c>
      <c r="M40" s="2" t="n">
        <f aca="false">M39/25.4</f>
        <v>21.6535433070866</v>
      </c>
    </row>
    <row collapsed="false" customFormat="false" customHeight="false" hidden="false" ht="12.75" outlineLevel="0" r="41">
      <c r="A41" s="0" t="s">
        <v>106</v>
      </c>
    </row>
    <row collapsed="false" customFormat="false" customHeight="false" hidden="false" ht="12.75" outlineLevel="0" r="44">
      <c r="A44" s="0" t="s">
        <v>153</v>
      </c>
      <c r="C44" s="0" t="s">
        <v>55</v>
      </c>
      <c r="I44" s="0" t="s">
        <v>158</v>
      </c>
    </row>
    <row collapsed="false" customFormat="false" customHeight="false" hidden="false" ht="12.75" outlineLevel="0" r="47">
      <c r="A47" s="0" t="s">
        <v>159</v>
      </c>
    </row>
    <row collapsed="false" customFormat="false" customHeight="false" hidden="false" ht="12.75" outlineLevel="0" r="48">
      <c r="A48" s="0" t="s">
        <v>160</v>
      </c>
    </row>
    <row collapsed="false" customFormat="false" customHeight="false" hidden="false" ht="12.75" outlineLevel="0" r="57">
      <c r="A57" s="0" t="s">
        <v>161</v>
      </c>
    </row>
    <row collapsed="false" customFormat="false" customHeight="false" hidden="false" ht="12.75" outlineLevel="0" r="58">
      <c r="A58" s="0" t="s">
        <v>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8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1" pane="bottomLeft" sqref="B78:C78 A2"/>
    </sheetView>
  </sheetViews>
  <sheetFormatPr defaultRowHeight="12.75"/>
  <cols>
    <col collapsed="false" hidden="false" max="2" min="1" style="0" width="17.1326530612245"/>
    <col collapsed="false" hidden="false" max="3" min="3" style="0" width="21.4285714285714"/>
    <col collapsed="false" hidden="false" max="1025" min="4" style="0" width="17.1326530612245"/>
  </cols>
  <sheetData>
    <row collapsed="false" customFormat="false" customHeight="false" hidden="false" ht="12.75" outlineLevel="0" r="1">
      <c r="A1" s="0" t="s">
        <v>56</v>
      </c>
      <c r="B1" s="0" t="s">
        <v>1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143</v>
      </c>
      <c r="H1" s="0" t="s">
        <v>144</v>
      </c>
    </row>
    <row collapsed="false" customFormat="false" customHeight="false" hidden="false" ht="12.75" outlineLevel="0" r="2">
      <c r="A2" s="0" t="s">
        <v>13</v>
      </c>
      <c r="B2" s="0" t="n">
        <v>1520</v>
      </c>
      <c r="C2" s="0" t="s">
        <v>16</v>
      </c>
      <c r="D2" s="0" t="n">
        <v>1877</v>
      </c>
      <c r="E2" s="2" t="n">
        <f aca="false">B2/128</f>
        <v>11.875</v>
      </c>
      <c r="F2" s="0" t="n">
        <v>0</v>
      </c>
      <c r="H2" s="0" t="s">
        <v>145</v>
      </c>
      <c r="I2" s="2" t="n">
        <f aca="false">E2*2</f>
        <v>23.75</v>
      </c>
      <c r="J2" s="0" t="n">
        <v>2</v>
      </c>
      <c r="K2" s="0" t="n">
        <v>3</v>
      </c>
      <c r="L2" s="2" t="n">
        <f aca="false">E2*$K$2</f>
        <v>35.625</v>
      </c>
      <c r="M2" s="2" t="n">
        <f aca="false">L2/15</f>
        <v>2.375</v>
      </c>
    </row>
    <row collapsed="false" customFormat="false" customHeight="false" hidden="false" ht="12.75" outlineLevel="0" r="3">
      <c r="A3" s="0" t="s">
        <v>13</v>
      </c>
      <c r="B3" s="0" t="n">
        <v>1520</v>
      </c>
      <c r="C3" s="0" t="s">
        <v>146</v>
      </c>
      <c r="E3" s="2" t="n">
        <f aca="false">B3/8</f>
        <v>190</v>
      </c>
      <c r="F3" s="0" t="n">
        <v>0</v>
      </c>
      <c r="H3" s="0" t="s">
        <v>145</v>
      </c>
      <c r="I3" s="2" t="n">
        <f aca="false">E3*2</f>
        <v>380</v>
      </c>
      <c r="L3" s="0" t="n">
        <v>0</v>
      </c>
      <c r="M3" s="2" t="n">
        <f aca="false">L3/15</f>
        <v>0</v>
      </c>
    </row>
    <row collapsed="false" customFormat="false" customHeight="false" hidden="false" ht="12.75" outlineLevel="0" r="4">
      <c r="A4" s="0" t="s">
        <v>13</v>
      </c>
      <c r="B4" s="0" t="n">
        <v>1520</v>
      </c>
      <c r="C4" s="0" t="s">
        <v>14</v>
      </c>
      <c r="D4" s="0" t="n">
        <v>1881</v>
      </c>
      <c r="E4" s="2" t="n">
        <f aca="false">B4/64</f>
        <v>23.75</v>
      </c>
      <c r="F4" s="0" t="n">
        <v>0</v>
      </c>
      <c r="H4" s="0" t="s">
        <v>145</v>
      </c>
      <c r="I4" s="2" t="n">
        <f aca="false">E4*2</f>
        <v>47.5</v>
      </c>
      <c r="J4" s="0" t="n">
        <v>4</v>
      </c>
      <c r="L4" s="2" t="n">
        <f aca="false">E4*$K$2</f>
        <v>71.25</v>
      </c>
      <c r="M4" s="2" t="n">
        <f aca="false">L4/15</f>
        <v>4.75</v>
      </c>
    </row>
    <row collapsed="false" customFormat="false" customHeight="false" hidden="false" ht="12.75" outlineLevel="0" r="5">
      <c r="A5" s="0" t="s">
        <v>13</v>
      </c>
      <c r="B5" s="0" t="n">
        <v>1520</v>
      </c>
      <c r="C5" s="0" t="s">
        <v>147</v>
      </c>
      <c r="E5" s="0" t="n">
        <v>3</v>
      </c>
      <c r="F5" s="0" t="n">
        <v>0</v>
      </c>
      <c r="H5" s="0" t="s">
        <v>145</v>
      </c>
      <c r="I5" s="2" t="n">
        <f aca="false">E5*2</f>
        <v>6</v>
      </c>
      <c r="L5" s="2" t="n">
        <f aca="false">E5*$K$2</f>
        <v>9</v>
      </c>
      <c r="M5" s="2" t="n">
        <f aca="false">L5/15</f>
        <v>0.6</v>
      </c>
    </row>
    <row collapsed="false" customFormat="false" customHeight="false" hidden="false" ht="12.75" outlineLevel="0" r="6">
      <c r="A6" s="0" t="s">
        <v>13</v>
      </c>
      <c r="B6" s="0" t="n">
        <v>1520</v>
      </c>
      <c r="H6" s="0" t="s">
        <v>145</v>
      </c>
      <c r="I6" s="2" t="n">
        <f aca="false">E6*2</f>
        <v>0</v>
      </c>
      <c r="L6" s="2" t="n">
        <f aca="false">E6*$K$2</f>
        <v>0</v>
      </c>
      <c r="M6" s="2" t="n">
        <f aca="false">L6/15</f>
        <v>0</v>
      </c>
    </row>
    <row collapsed="false" customFormat="false" customHeight="false" hidden="false" ht="12.75" outlineLevel="0" r="7">
      <c r="I7" s="2" t="n">
        <f aca="false">E7*2</f>
        <v>0</v>
      </c>
      <c r="L7" s="2" t="n">
        <f aca="false">E7*$K$2</f>
        <v>0</v>
      </c>
      <c r="M7" s="2" t="n">
        <f aca="false">L7/15</f>
        <v>0</v>
      </c>
    </row>
    <row collapsed="false" customFormat="false" customHeight="false" hidden="false" ht="12.75" outlineLevel="0" r="8">
      <c r="I8" s="2" t="n">
        <f aca="false">E8*2</f>
        <v>0</v>
      </c>
      <c r="L8" s="2" t="n">
        <f aca="false">E8*$K$2</f>
        <v>0</v>
      </c>
      <c r="M8" s="2" t="n">
        <f aca="false">L8/15</f>
        <v>0</v>
      </c>
    </row>
    <row collapsed="false" customFormat="false" customHeight="false" hidden="false" ht="12.75" outlineLevel="0" r="9">
      <c r="A9" s="0" t="s">
        <v>15</v>
      </c>
      <c r="B9" s="0" t="n">
        <v>3328</v>
      </c>
      <c r="C9" s="0" t="s">
        <v>16</v>
      </c>
      <c r="D9" s="0" t="n">
        <v>1877</v>
      </c>
      <c r="E9" s="2" t="n">
        <f aca="false">B9/96</f>
        <v>34.6666666666667</v>
      </c>
      <c r="I9" s="2" t="n">
        <f aca="false">E9*2</f>
        <v>69.3333333333333</v>
      </c>
      <c r="J9" s="0" t="n">
        <v>8</v>
      </c>
      <c r="L9" s="2" t="n">
        <f aca="false">E9*$K$2</f>
        <v>104</v>
      </c>
      <c r="M9" s="2" t="n">
        <f aca="false">L9/15</f>
        <v>6.93333333333333</v>
      </c>
    </row>
    <row collapsed="false" customFormat="false" customHeight="false" hidden="false" ht="12.75" outlineLevel="0" r="10">
      <c r="C10" s="0" t="s">
        <v>14</v>
      </c>
      <c r="D10" s="0" t="n">
        <v>1881</v>
      </c>
      <c r="E10" s="2" t="n">
        <f aca="false">(A12*B9)/64</f>
        <v>0</v>
      </c>
      <c r="I10" s="2" t="n">
        <f aca="false">E10*2</f>
        <v>0</v>
      </c>
      <c r="L10" s="2" t="n">
        <f aca="false">E10*$K$2</f>
        <v>0</v>
      </c>
      <c r="M10" s="2" t="n">
        <f aca="false">L10/15</f>
        <v>0</v>
      </c>
    </row>
    <row collapsed="false" customFormat="false" customHeight="false" hidden="false" ht="12.75" outlineLevel="0" r="11">
      <c r="E11" s="2" t="n">
        <f aca="false">E9/12</f>
        <v>2.88888888888889</v>
      </c>
      <c r="I11" s="2" t="n">
        <f aca="false">E11*2</f>
        <v>5.77777777777778</v>
      </c>
      <c r="L11" s="0" t="n">
        <v>0</v>
      </c>
      <c r="M11" s="2" t="n">
        <f aca="false">L11/15</f>
        <v>0</v>
      </c>
    </row>
    <row collapsed="false" customFormat="false" customHeight="false" hidden="false" ht="12.75" outlineLevel="0" r="12">
      <c r="A12" s="0" t="n">
        <v>0</v>
      </c>
      <c r="I12" s="2" t="n">
        <f aca="false">E12*2</f>
        <v>0</v>
      </c>
      <c r="L12" s="2" t="n">
        <f aca="false">SUM(L2:L11)</f>
        <v>219.875</v>
      </c>
      <c r="M12" s="2" t="n">
        <f aca="false">SUM(M2:M11)</f>
        <v>14.6583333333333</v>
      </c>
    </row>
    <row collapsed="false" customFormat="false" customHeight="false" hidden="false" ht="12.75" outlineLevel="0" r="13">
      <c r="I13" s="2" t="n">
        <f aca="false">E13*2</f>
        <v>0</v>
      </c>
    </row>
    <row collapsed="false" customFormat="false" customHeight="false" hidden="false" ht="12.75" outlineLevel="0" r="14">
      <c r="I14" s="2" t="n">
        <f aca="false">E14*2</f>
        <v>0</v>
      </c>
    </row>
    <row collapsed="false" customFormat="false" customHeight="false" hidden="false" ht="12.75" outlineLevel="0" r="15">
      <c r="I15" s="2" t="n">
        <f aca="false">E15*2</f>
        <v>0</v>
      </c>
    </row>
    <row collapsed="false" customFormat="false" customHeight="false" hidden="false" ht="12.75" outlineLevel="0" r="16">
      <c r="A16" s="0" t="s">
        <v>28</v>
      </c>
      <c r="B16" s="0" t="n">
        <v>242</v>
      </c>
      <c r="C16" s="0" t="s">
        <v>150</v>
      </c>
      <c r="D16" s="0" t="s">
        <v>151</v>
      </c>
      <c r="E16" s="0" t="n">
        <v>1</v>
      </c>
      <c r="F16" s="0" t="n">
        <v>10000</v>
      </c>
      <c r="G16" s="2" t="n">
        <f aca="false">E16*F16</f>
        <v>10000</v>
      </c>
      <c r="I16" s="2" t="n">
        <f aca="false">E16*2</f>
        <v>2</v>
      </c>
    </row>
    <row collapsed="false" customFormat="false" customHeight="false" hidden="false" ht="12.75" outlineLevel="0" r="17">
      <c r="A17" s="0" t="s">
        <v>28</v>
      </c>
      <c r="B17" s="0" t="n">
        <v>242</v>
      </c>
      <c r="C17" s="0" t="s">
        <v>14</v>
      </c>
      <c r="D17" s="0" t="s">
        <v>152</v>
      </c>
      <c r="E17" s="2" t="n">
        <f aca="false">CEILING((B17/16),1,1)</f>
        <v>16</v>
      </c>
      <c r="F17" s="0" t="n">
        <v>4500</v>
      </c>
      <c r="G17" s="2" t="n">
        <f aca="false">E17*F17</f>
        <v>72000</v>
      </c>
    </row>
    <row collapsed="false" customFormat="false" customHeight="false" hidden="false" ht="12.75" outlineLevel="0" r="18">
      <c r="A18" s="0" t="s">
        <v>28</v>
      </c>
      <c r="B18" s="0" t="n">
        <v>242</v>
      </c>
      <c r="C18" s="0" t="s">
        <v>153</v>
      </c>
      <c r="E18" s="0" t="n">
        <v>1</v>
      </c>
      <c r="F18" s="0" t="n">
        <v>10000</v>
      </c>
      <c r="G18" s="2" t="n">
        <f aca="false">E18*F18</f>
        <v>10000</v>
      </c>
    </row>
    <row collapsed="false" customFormat="false" customHeight="false" hidden="false" ht="12.75" outlineLevel="0" r="19">
      <c r="A19" s="0" t="s">
        <v>28</v>
      </c>
      <c r="B19" s="0" t="n">
        <v>242</v>
      </c>
      <c r="C19" s="0" t="s">
        <v>16</v>
      </c>
      <c r="D19" s="0" t="n">
        <v>1190</v>
      </c>
      <c r="E19" s="0" t="n">
        <v>2</v>
      </c>
      <c r="F19" s="0" t="n">
        <v>10000</v>
      </c>
      <c r="G19" s="2" t="n">
        <f aca="false">E19*F19</f>
        <v>20000</v>
      </c>
    </row>
    <row collapsed="false" customFormat="false" customHeight="false" hidden="false" ht="12.75" outlineLevel="0" r="20">
      <c r="A20" s="0" t="s">
        <v>28</v>
      </c>
      <c r="B20" s="0" t="n">
        <v>242</v>
      </c>
      <c r="C20" s="0" t="s">
        <v>9</v>
      </c>
      <c r="E20" s="0" t="n">
        <v>2</v>
      </c>
      <c r="F20" s="0" t="n">
        <v>3000</v>
      </c>
      <c r="G20" s="2" t="n">
        <f aca="false">E20*F20</f>
        <v>6000</v>
      </c>
    </row>
    <row collapsed="false" customFormat="false" customHeight="false" hidden="false" ht="12.75" outlineLevel="0" r="21">
      <c r="A21" s="0" t="s">
        <v>28</v>
      </c>
      <c r="B21" s="0" t="n">
        <v>242</v>
      </c>
      <c r="C21" s="0" t="s">
        <v>154</v>
      </c>
      <c r="E21" s="0" t="n">
        <v>2</v>
      </c>
      <c r="F21" s="0" t="n">
        <v>3500</v>
      </c>
      <c r="G21" s="2" t="n">
        <f aca="false">E21*F21</f>
        <v>7000</v>
      </c>
    </row>
    <row collapsed="false" customFormat="false" customHeight="false" hidden="false" ht="12.75" outlineLevel="0" r="22">
      <c r="A22" s="0" t="s">
        <v>28</v>
      </c>
      <c r="B22" s="0" t="n">
        <v>242</v>
      </c>
      <c r="C22" s="0" t="s">
        <v>68</v>
      </c>
      <c r="E22" s="0" t="n">
        <v>2</v>
      </c>
      <c r="F22" s="0" t="n">
        <v>11500</v>
      </c>
      <c r="G22" s="2" t="n">
        <f aca="false">E22*F22</f>
        <v>23000</v>
      </c>
    </row>
    <row collapsed="false" customFormat="false" customHeight="false" hidden="false" ht="12.75" outlineLevel="0" r="23">
      <c r="G23" s="2" t="n">
        <f aca="false">SUM(G17:G22)</f>
        <v>138000</v>
      </c>
    </row>
    <row collapsed="false" customFormat="false" customHeight="false" hidden="false" ht="12.75" outlineLevel="0" r="24">
      <c r="A24" s="0" t="s">
        <v>155</v>
      </c>
      <c r="B24" s="0" t="n">
        <v>62500</v>
      </c>
    </row>
    <row collapsed="false" customFormat="false" customHeight="false" hidden="false" ht="12.75" outlineLevel="0" r="25">
      <c r="A25" s="0" t="s">
        <v>155</v>
      </c>
      <c r="B25" s="0" t="n">
        <v>27200</v>
      </c>
    </row>
    <row collapsed="false" customFormat="false" customHeight="false" hidden="false" ht="12.75" outlineLevel="0" r="26">
      <c r="A26" s="0" t="s">
        <v>155</v>
      </c>
      <c r="B26" s="0" t="n">
        <v>12000</v>
      </c>
      <c r="F26" s="2" t="n">
        <f aca="false">3700</f>
        <v>3700</v>
      </c>
      <c r="G26" s="2" t="n">
        <f aca="false">F26*1.4</f>
        <v>5180</v>
      </c>
    </row>
    <row collapsed="false" customFormat="false" customHeight="false" hidden="false" ht="12.75" outlineLevel="0" r="27">
      <c r="A27" s="0" t="s">
        <v>44</v>
      </c>
      <c r="B27" s="2" t="n">
        <f aca="false">SUM(B24:B26)</f>
        <v>101700</v>
      </c>
      <c r="C27" s="0" t="s">
        <v>156</v>
      </c>
      <c r="D27" s="0" t="s">
        <v>157</v>
      </c>
      <c r="E27" s="2" t="n">
        <f aca="false">CEILING(((B27/128)/4),1,1)</f>
        <v>199</v>
      </c>
      <c r="F27" s="0" t="n">
        <v>5000</v>
      </c>
      <c r="G27" s="2" t="n">
        <f aca="false">E27*F27</f>
        <v>995000</v>
      </c>
    </row>
    <row collapsed="false" customFormat="false" customHeight="false" hidden="false" ht="12.75" outlineLevel="0" r="28">
      <c r="A28" s="0" t="s">
        <v>44</v>
      </c>
      <c r="C28" s="0" t="s">
        <v>68</v>
      </c>
      <c r="E28" s="2" t="n">
        <f aca="false">CEILING((E27/16),1,1)</f>
        <v>13</v>
      </c>
      <c r="F28" s="0" t="n">
        <v>11500</v>
      </c>
      <c r="G28" s="2" t="n">
        <f aca="false">E28*F28</f>
        <v>149500</v>
      </c>
    </row>
    <row collapsed="false" customFormat="false" customHeight="false" hidden="false" ht="12.75" outlineLevel="0" r="29">
      <c r="C29" s="0" t="s">
        <v>8</v>
      </c>
      <c r="E29" s="2" t="n">
        <f aca="false">E28</f>
        <v>13</v>
      </c>
      <c r="F29" s="0" t="n">
        <v>3500</v>
      </c>
      <c r="G29" s="2" t="n">
        <f aca="false">E29*F29</f>
        <v>45500</v>
      </c>
    </row>
    <row collapsed="false" customFormat="false" customHeight="false" hidden="false" ht="12.75" outlineLevel="0" r="30">
      <c r="C30" s="0" t="s">
        <v>9</v>
      </c>
      <c r="E30" s="2" t="n">
        <f aca="false">E29</f>
        <v>13</v>
      </c>
      <c r="F30" s="0" t="n">
        <v>3000</v>
      </c>
      <c r="G30" s="2" t="n">
        <f aca="false">E30*F30</f>
        <v>39000</v>
      </c>
    </row>
    <row collapsed="false" customFormat="false" customHeight="false" hidden="false" ht="12.75" outlineLevel="0" r="32">
      <c r="G32" s="2" t="n">
        <f aca="false">SUM(G27:G30)</f>
        <v>1229000</v>
      </c>
    </row>
    <row collapsed="false" customFormat="false" customHeight="false" hidden="false" ht="12.75" outlineLevel="0" r="34">
      <c r="B34" s="2" t="n">
        <f aca="false">B27/2048</f>
        <v>49.658203125</v>
      </c>
      <c r="C34" s="2" t="n">
        <f aca="false">B34/21</f>
        <v>2.36467633928571</v>
      </c>
    </row>
    <row collapsed="false" customFormat="false" customHeight="false" hidden="false" ht="12.75" outlineLevel="0" r="38">
      <c r="A38" s="0" t="s">
        <v>106</v>
      </c>
    </row>
    <row collapsed="false" customFormat="false" customHeight="false" hidden="false" ht="12.75" outlineLevel="0" r="39">
      <c r="A39" s="0" t="s">
        <v>106</v>
      </c>
    </row>
    <row collapsed="false" customFormat="false" customHeight="false" hidden="false" ht="12.75" outlineLevel="0" r="40">
      <c r="A40" s="0" t="s">
        <v>106</v>
      </c>
    </row>
    <row collapsed="false" customFormat="false" customHeight="false" hidden="false" ht="12.75" outlineLevel="0" r="41">
      <c r="A41" s="0" t="s">
        <v>106</v>
      </c>
    </row>
    <row collapsed="false" customFormat="false" customHeight="false" hidden="false" ht="12.75" outlineLevel="0" r="44">
      <c r="A44" s="0" t="s">
        <v>153</v>
      </c>
      <c r="C44" s="0" t="s">
        <v>55</v>
      </c>
      <c r="H44" s="0" t="s">
        <v>158</v>
      </c>
    </row>
    <row collapsed="false" customFormat="false" customHeight="false" hidden="false" ht="12.75" outlineLevel="0" r="47">
      <c r="A47" s="0" t="s">
        <v>159</v>
      </c>
    </row>
    <row collapsed="false" customFormat="false" customHeight="false" hidden="false" ht="12.75" outlineLevel="0" r="48">
      <c r="A48" s="0" t="s">
        <v>160</v>
      </c>
    </row>
    <row collapsed="false" customFormat="false" customHeight="false" hidden="false" ht="12.75" outlineLevel="0" r="57">
      <c r="A57" s="0" t="s">
        <v>161</v>
      </c>
    </row>
    <row collapsed="false" customFormat="false" customHeight="false" hidden="false" ht="12.75" outlineLevel="0" r="58">
      <c r="A58" s="0" t="s">
        <v>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B78:C78 A1"/>
    </sheetView>
  </sheetViews>
  <sheetFormatPr defaultRowHeight="12.75"/>
  <cols>
    <col collapsed="false" hidden="false" max="1" min="1" style="0" width="17.1326530612245"/>
    <col collapsed="false" hidden="false" max="2" min="2" style="0" width="10.4285714285714"/>
    <col collapsed="false" hidden="false" max="3" min="3" style="0" width="10.7091836734694"/>
    <col collapsed="false" hidden="false" max="4" min="4" style="0" width="6.4234693877551"/>
    <col collapsed="false" hidden="false" max="5" min="5" style="0" width="7.71428571428571"/>
    <col collapsed="false" hidden="false" max="6" min="6" style="0" width="9.13265306122449"/>
    <col collapsed="false" hidden="false" max="7" min="7" style="0" width="8.29081632653061"/>
    <col collapsed="false" hidden="false" max="8" min="8" style="0" width="11.7091836734694"/>
    <col collapsed="false" hidden="false" max="9" min="9" style="0" width="9.28571428571429"/>
    <col collapsed="false" hidden="false" max="10" min="10" style="0" width="9.5765306122449"/>
    <col collapsed="false" hidden="false" max="1025" min="11" style="0" width="17.1326530612245"/>
  </cols>
  <sheetData>
    <row collapsed="false" customFormat="false" customHeight="false" hidden="false" ht="12.75" outlineLevel="0" r="1">
      <c r="A1" s="0" t="s">
        <v>164</v>
      </c>
      <c r="K1" s="0" t="s">
        <v>165</v>
      </c>
    </row>
    <row collapsed="false" customFormat="false" customHeight="false" hidden="false" ht="12.75" outlineLevel="0" r="2">
      <c r="A2" s="0" t="s">
        <v>166</v>
      </c>
    </row>
    <row collapsed="false" customFormat="false" customHeight="false" hidden="false" ht="12.75" outlineLevel="0" r="3">
      <c r="B3" s="0" t="s">
        <v>167</v>
      </c>
      <c r="E3" s="0" t="s">
        <v>168</v>
      </c>
      <c r="F3" s="0" t="s">
        <v>169</v>
      </c>
      <c r="G3" s="0" t="s">
        <v>170</v>
      </c>
      <c r="H3" s="0" t="s">
        <v>171</v>
      </c>
    </row>
    <row collapsed="false" customFormat="false" customHeight="false" hidden="false" ht="12.75" outlineLevel="0" r="4">
      <c r="C4" s="0" t="s">
        <v>167</v>
      </c>
      <c r="D4" s="0" t="n">
        <v>1736</v>
      </c>
      <c r="E4" s="0" t="s">
        <v>172</v>
      </c>
      <c r="F4" s="0" t="n">
        <v>1736</v>
      </c>
    </row>
    <row collapsed="false" customFormat="false" customHeight="false" hidden="false" ht="12.75" outlineLevel="0" r="5">
      <c r="D5" s="2" t="n">
        <f aca="false">D4/8</f>
        <v>217</v>
      </c>
      <c r="F5" s="0" t="n">
        <v>217</v>
      </c>
    </row>
    <row collapsed="false" customFormat="false" customHeight="false" hidden="false" ht="12.75" outlineLevel="0" r="6">
      <c r="C6" s="0" t="s">
        <v>173</v>
      </c>
      <c r="D6" s="0" t="n">
        <v>3700</v>
      </c>
      <c r="G6" s="0" t="n">
        <v>3700</v>
      </c>
    </row>
    <row collapsed="false" customFormat="false" customHeight="false" hidden="false" ht="12.75" outlineLevel="0" r="7">
      <c r="D7" s="2" t="n">
        <f aca="false">D4+D6</f>
        <v>5436</v>
      </c>
      <c r="G7" s="0" t="n">
        <v>5436</v>
      </c>
    </row>
    <row collapsed="false" customFormat="false" customHeight="false" hidden="false" ht="12.75" outlineLevel="0" r="9">
      <c r="K9" s="2" t="n">
        <f aca="false">((120000*3000000)*0.00000005)/3</f>
        <v>6000</v>
      </c>
    </row>
    <row collapsed="false" customFormat="false" customHeight="false" hidden="false" ht="12.75" outlineLevel="0" r="11">
      <c r="B11" s="0" t="s">
        <v>174</v>
      </c>
    </row>
    <row collapsed="false" customFormat="false" customHeight="false" hidden="false" ht="12.75" outlineLevel="0" r="13">
      <c r="C13" s="0" t="s">
        <v>28</v>
      </c>
      <c r="D13" s="0" t="n">
        <v>288</v>
      </c>
      <c r="E13" s="0" t="s">
        <v>107</v>
      </c>
      <c r="F13" s="0" t="n">
        <v>288</v>
      </c>
    </row>
    <row collapsed="false" customFormat="false" customHeight="false" hidden="false" ht="12.75" outlineLevel="0" r="14">
      <c r="A14" s="0" t="s">
        <v>71</v>
      </c>
    </row>
    <row collapsed="false" customFormat="false" customHeight="false" hidden="false" ht="12.75" outlineLevel="0" r="16">
      <c r="C16" s="0" t="s">
        <v>44</v>
      </c>
      <c r="D16" s="0" t="n">
        <v>101700</v>
      </c>
    </row>
    <row collapsed="false" customFormat="false" customHeight="false" hidden="false" ht="12.75" outlineLevel="0" r="18">
      <c r="A18" s="0" t="s">
        <v>88</v>
      </c>
      <c r="B18" s="2" t="n">
        <f aca="false">7*27</f>
        <v>189</v>
      </c>
      <c r="C18" s="2" t="n">
        <f aca="false">2*27</f>
        <v>54</v>
      </c>
    </row>
    <row collapsed="false" customFormat="false" customHeight="false" hidden="false" ht="12.75" outlineLevel="0" r="19">
      <c r="B19" s="0" t="s">
        <v>89</v>
      </c>
      <c r="C19" s="0" t="s">
        <v>90</v>
      </c>
      <c r="D19" s="0" t="n">
        <v>189</v>
      </c>
      <c r="E19" s="0" t="s">
        <v>91</v>
      </c>
      <c r="F19" s="0" t="n">
        <v>243</v>
      </c>
    </row>
    <row collapsed="false" customFormat="false" customHeight="false" hidden="false" ht="12.75" outlineLevel="0" r="20">
      <c r="C20" s="0" t="s">
        <v>92</v>
      </c>
      <c r="D20" s="0" t="n">
        <v>54</v>
      </c>
    </row>
    <row collapsed="false" customFormat="false" customHeight="false" hidden="false" ht="12.75" outlineLevel="0" r="21">
      <c r="C21" s="0" t="s">
        <v>93</v>
      </c>
      <c r="D21" s="0" t="n">
        <v>180</v>
      </c>
      <c r="F21" s="0" t="n">
        <v>180</v>
      </c>
      <c r="G21" s="0" t="n">
        <v>0</v>
      </c>
      <c r="H21" s="0" t="n">
        <v>288</v>
      </c>
    </row>
    <row collapsed="false" customFormat="false" customHeight="false" hidden="false" ht="12.75" outlineLevel="0" r="22">
      <c r="C22" s="0" t="s">
        <v>67</v>
      </c>
      <c r="D22" s="0" t="n">
        <v>550</v>
      </c>
      <c r="G22" s="0" t="n">
        <v>550</v>
      </c>
    </row>
    <row collapsed="false" customFormat="false" customHeight="false" hidden="false" ht="12.75" outlineLevel="0" r="24">
      <c r="K24" s="2" t="n">
        <f aca="false">(2000*1300000)*0.00000005</f>
        <v>130</v>
      </c>
    </row>
    <row collapsed="false" customFormat="false" customHeight="false" hidden="false" ht="12.75" outlineLevel="0" r="26">
      <c r="B26" s="0" t="s">
        <v>94</v>
      </c>
      <c r="C26" s="0" t="s">
        <v>28</v>
      </c>
      <c r="D26" s="0" t="n">
        <v>288</v>
      </c>
      <c r="E26" s="0" t="s">
        <v>95</v>
      </c>
      <c r="F26" s="0" t="n">
        <v>288</v>
      </c>
      <c r="G26" s="0" t="n">
        <v>0</v>
      </c>
      <c r="H26" s="0" t="n">
        <v>288</v>
      </c>
    </row>
    <row collapsed="false" customFormat="false" customHeight="false" hidden="false" ht="12.75" outlineLevel="0" r="31">
      <c r="A31" s="0" t="s">
        <v>96</v>
      </c>
    </row>
    <row collapsed="false" customFormat="false" customHeight="false" hidden="false" ht="12.75" outlineLevel="0" r="32">
      <c r="B32" s="0" t="s">
        <v>89</v>
      </c>
      <c r="C32" s="0" t="s">
        <v>90</v>
      </c>
      <c r="D32" s="0" t="n">
        <v>189</v>
      </c>
      <c r="E32" s="0" t="s">
        <v>97</v>
      </c>
      <c r="F32" s="0" t="n">
        <v>243</v>
      </c>
    </row>
    <row collapsed="false" customFormat="false" customHeight="false" hidden="false" ht="12.75" outlineLevel="0" r="33">
      <c r="C33" s="0" t="s">
        <v>92</v>
      </c>
      <c r="D33" s="0" t="n">
        <v>54</v>
      </c>
    </row>
    <row collapsed="false" customFormat="false" customHeight="false" hidden="false" ht="12.75" outlineLevel="0" r="34">
      <c r="C34" s="0" t="s">
        <v>93</v>
      </c>
      <c r="D34" s="0" t="n">
        <v>180</v>
      </c>
      <c r="F34" s="0" t="n">
        <v>180</v>
      </c>
      <c r="H34" s="0" t="n">
        <v>180</v>
      </c>
    </row>
    <row collapsed="false" customFormat="false" customHeight="false" hidden="false" ht="12.75" outlineLevel="0" r="35">
      <c r="C35" s="0" t="s">
        <v>67</v>
      </c>
      <c r="D35" s="0" t="n">
        <v>550</v>
      </c>
      <c r="G35" s="0" t="n">
        <v>550</v>
      </c>
    </row>
    <row collapsed="false" customFormat="false" customHeight="false" hidden="false" ht="12.75" outlineLevel="0" r="39">
      <c r="K39" s="2" t="n">
        <f aca="false">(2000*2000000)*0.00000005</f>
        <v>200</v>
      </c>
    </row>
    <row collapsed="false" customFormat="false" customHeight="false" hidden="false" ht="12.75" outlineLevel="0" r="41">
      <c r="B41" s="0" t="s">
        <v>98</v>
      </c>
    </row>
    <row collapsed="false" customFormat="false" customHeight="false" hidden="false" ht="12.75" outlineLevel="0" r="42">
      <c r="C42" s="0" t="s">
        <v>28</v>
      </c>
      <c r="D42" s="0" t="n">
        <v>288</v>
      </c>
      <c r="E42" s="0" t="s">
        <v>99</v>
      </c>
      <c r="F42" s="0" t="n">
        <v>288</v>
      </c>
      <c r="H42" s="0" t="n">
        <v>288</v>
      </c>
    </row>
    <row collapsed="false" customFormat="false" customHeight="false" hidden="false" ht="12.75" outlineLevel="0" r="49">
      <c r="A49" s="0" t="s">
        <v>100</v>
      </c>
    </row>
    <row collapsed="false" customFormat="false" customHeight="false" hidden="false" ht="12.75" outlineLevel="0" r="50">
      <c r="B50" s="0" t="s">
        <v>101</v>
      </c>
      <c r="C50" s="0" t="s">
        <v>90</v>
      </c>
      <c r="D50" s="0" t="n">
        <v>243</v>
      </c>
      <c r="E50" s="0" t="s">
        <v>102</v>
      </c>
      <c r="F50" s="0" t="n">
        <v>243</v>
      </c>
    </row>
    <row collapsed="false" customFormat="false" customHeight="false" hidden="false" ht="12.75" outlineLevel="0" r="51">
      <c r="C51" s="0" t="s">
        <v>103</v>
      </c>
    </row>
    <row collapsed="false" customFormat="false" customHeight="false" hidden="false" ht="12.75" outlineLevel="0" r="52">
      <c r="C52" s="0" t="s">
        <v>104</v>
      </c>
      <c r="D52" s="0" t="n">
        <v>180</v>
      </c>
      <c r="H52" s="0" t="n">
        <v>180</v>
      </c>
    </row>
    <row collapsed="false" customFormat="false" customHeight="false" hidden="false" ht="12.75" outlineLevel="0" r="53">
      <c r="C53" s="0" t="s">
        <v>67</v>
      </c>
      <c r="D53" s="0" t="n">
        <v>550</v>
      </c>
      <c r="G53" s="0" t="n">
        <v>550</v>
      </c>
    </row>
    <row collapsed="false" customFormat="false" customHeight="false" hidden="false" ht="12.75" outlineLevel="0" r="54">
      <c r="C54" s="0" t="s">
        <v>71</v>
      </c>
    </row>
    <row collapsed="false" customFormat="false" customHeight="false" hidden="false" ht="12.75" outlineLevel="0" r="55">
      <c r="K55" s="2" t="n">
        <f aca="false">(5000*3000000)*0.00000005</f>
        <v>750</v>
      </c>
    </row>
    <row collapsed="false" customFormat="false" customHeight="false" hidden="false" ht="12.75" outlineLevel="0" r="56">
      <c r="B56" s="0" t="s">
        <v>105</v>
      </c>
      <c r="C56" s="0" t="s">
        <v>44</v>
      </c>
      <c r="D56" s="0" t="n">
        <v>101700</v>
      </c>
    </row>
    <row collapsed="false" customFormat="false" customHeight="false" hidden="false" ht="12.75" outlineLevel="0" r="57">
      <c r="C57" s="0" t="s">
        <v>106</v>
      </c>
      <c r="D57" s="0" t="n">
        <v>2000</v>
      </c>
    </row>
    <row collapsed="false" customFormat="false" customHeight="false" hidden="false" ht="12.75" outlineLevel="0" r="58">
      <c r="C58" s="0" t="s">
        <v>28</v>
      </c>
      <c r="D58" s="0" t="n">
        <v>288</v>
      </c>
      <c r="E58" s="0" t="s">
        <v>107</v>
      </c>
      <c r="F58" s="0" t="n">
        <v>288</v>
      </c>
      <c r="H58" s="0" t="n">
        <v>288</v>
      </c>
    </row>
    <row collapsed="false" customFormat="false" customHeight="false" hidden="false" ht="12.75" outlineLevel="0" r="60">
      <c r="A60" s="0" t="s">
        <v>108</v>
      </c>
      <c r="B60" s="0" t="s">
        <v>89</v>
      </c>
      <c r="C60" s="0" t="s">
        <v>67</v>
      </c>
      <c r="D60" s="0" t="n">
        <v>550</v>
      </c>
      <c r="E60" s="0" t="s">
        <v>109</v>
      </c>
      <c r="G60" s="0" t="n">
        <v>550</v>
      </c>
    </row>
    <row collapsed="false" customFormat="false" customHeight="false" hidden="false" ht="12.75" outlineLevel="0" r="61">
      <c r="C61" s="0" t="s">
        <v>110</v>
      </c>
      <c r="D61" s="0" t="n">
        <v>180</v>
      </c>
      <c r="F61" s="0" t="n">
        <v>180</v>
      </c>
      <c r="G61" s="0" t="n">
        <v>180</v>
      </c>
    </row>
    <row collapsed="false" customFormat="false" customHeight="false" hidden="false" ht="12.75" outlineLevel="0" r="62">
      <c r="C62" s="0" t="s">
        <v>90</v>
      </c>
      <c r="D62" s="0" t="n">
        <v>243</v>
      </c>
      <c r="F62" s="0" t="n">
        <v>243</v>
      </c>
    </row>
    <row collapsed="false" customFormat="false" customHeight="false" hidden="false" ht="12.75" outlineLevel="0" r="63">
      <c r="D63" s="2" t="n">
        <f aca="false">SUM(D60:D62)</f>
        <v>973</v>
      </c>
    </row>
    <row collapsed="false" customFormat="false" customHeight="false" hidden="false" ht="12.75" outlineLevel="0" r="64">
      <c r="C64" s="2" t="n">
        <f aca="false">7*17</f>
        <v>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