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Artigos/Outline_Paper_I/"/>
    </mc:Choice>
  </mc:AlternateContent>
  <xr:revisionPtr revIDLastSave="2511" documentId="8_{A2D41DBC-7D81-4FC2-A587-BE682C4D760C}" xr6:coauthVersionLast="47" xr6:coauthVersionMax="47" xr10:uidLastSave="{F9B1BFB6-B617-4D82-A31D-D656A7B608C5}"/>
  <bookViews>
    <workbookView xWindow="-108" yWindow="-108" windowWidth="23256" windowHeight="12456" activeTab="1" xr2:uid="{075739FC-B665-439B-9C51-BE72CC288A9D}"/>
  </bookViews>
  <sheets>
    <sheet name="LCI_indicators" sheetId="1" r:id="rId1"/>
    <sheet name="Energy_crops" sheetId="2" r:id="rId2"/>
    <sheet name="Preços" sheetId="3" r:id="rId3"/>
    <sheet name="Emissões" sheetId="4" r:id="rId4"/>
    <sheet name="Land use" sheetId="6" r:id="rId5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4" l="1"/>
  <c r="D36" i="4"/>
  <c r="C39" i="4"/>
  <c r="C36" i="4"/>
  <c r="C29" i="4"/>
  <c r="C26" i="4"/>
  <c r="G8" i="2"/>
  <c r="F37" i="6"/>
  <c r="F36" i="6"/>
  <c r="E36" i="4"/>
  <c r="B26" i="4"/>
  <c r="E37" i="4"/>
  <c r="B36" i="4"/>
  <c r="E32" i="4"/>
  <c r="D26" i="4"/>
  <c r="D32" i="4" s="1"/>
  <c r="E26" i="4"/>
  <c r="B29" i="4" l="1"/>
  <c r="B33" i="4"/>
  <c r="B23" i="4" l="1"/>
  <c r="H8" i="2" l="1"/>
  <c r="H46" i="6" l="1"/>
  <c r="I42" i="6"/>
  <c r="C28" i="6"/>
  <c r="T17" i="6"/>
  <c r="F35" i="6" l="1"/>
  <c r="F33" i="6"/>
  <c r="F34" i="6"/>
  <c r="O34" i="6"/>
  <c r="O35" i="6"/>
  <c r="O33" i="6"/>
  <c r="E7" i="6"/>
  <c r="F7" i="6" s="1"/>
  <c r="E6" i="6"/>
  <c r="F6" i="6" s="1"/>
  <c r="E5" i="6"/>
  <c r="T18" i="6"/>
  <c r="T16" i="6"/>
  <c r="O5" i="6"/>
  <c r="O6" i="6"/>
  <c r="P6" i="6" s="1"/>
  <c r="O7" i="6"/>
  <c r="N5" i="6"/>
  <c r="N7" i="6"/>
  <c r="N6" i="6"/>
  <c r="M7" i="6"/>
  <c r="K7" i="6"/>
  <c r="M6" i="6"/>
  <c r="M5" i="6"/>
  <c r="J7" i="6"/>
  <c r="J6" i="6"/>
  <c r="J5" i="6"/>
  <c r="K6" i="6"/>
  <c r="K5" i="6"/>
  <c r="P7" i="6" l="1"/>
  <c r="P5" i="6"/>
  <c r="F5" i="6"/>
  <c r="I22" i="6" l="1"/>
  <c r="I21" i="6"/>
  <c r="D28" i="6"/>
  <c r="C29" i="6"/>
  <c r="C27" i="6"/>
  <c r="D27" i="6" s="1"/>
  <c r="K16" i="6"/>
  <c r="J18" i="6"/>
  <c r="K18" i="6" s="1"/>
  <c r="J17" i="6"/>
  <c r="K17" i="6" s="1"/>
  <c r="J16" i="6"/>
  <c r="E29" i="4" l="1"/>
  <c r="C20" i="4"/>
  <c r="D37" i="4"/>
  <c r="D30" i="4"/>
  <c r="D29" i="4"/>
  <c r="C30" i="4"/>
  <c r="B30" i="4"/>
  <c r="D27" i="4"/>
  <c r="C27" i="4"/>
  <c r="C33" i="4" s="1"/>
  <c r="B27" i="4"/>
  <c r="C24" i="4"/>
  <c r="D24" i="4"/>
  <c r="B24" i="4"/>
  <c r="E23" i="4"/>
  <c r="D23" i="4"/>
  <c r="C23" i="4"/>
  <c r="E20" i="4"/>
  <c r="D21" i="4"/>
  <c r="D20" i="4"/>
  <c r="C21" i="4"/>
  <c r="C32" i="4" l="1"/>
  <c r="B37" i="4"/>
  <c r="B32" i="4"/>
  <c r="D33" i="4"/>
  <c r="C37" i="4"/>
  <c r="B5" i="3" l="1"/>
  <c r="F6" i="2"/>
  <c r="F7" i="2" s="1"/>
  <c r="I13" i="4"/>
  <c r="I12" i="4"/>
  <c r="I7" i="2" l="1"/>
  <c r="B7" i="2" l="1"/>
  <c r="C7" i="2"/>
  <c r="D7" i="2" l="1"/>
  <c r="E7" i="2"/>
  <c r="G7" i="2" l="1"/>
  <c r="H7" i="2"/>
</calcChain>
</file>

<file path=xl/sharedStrings.xml><?xml version="1.0" encoding="utf-8"?>
<sst xmlns="http://schemas.openxmlformats.org/spreadsheetml/2006/main" count="239" uniqueCount="126">
  <si>
    <t>Country</t>
  </si>
  <si>
    <t>Argentina</t>
  </si>
  <si>
    <t>Brazil</t>
  </si>
  <si>
    <t>Colombia</t>
  </si>
  <si>
    <t>Guatemala</t>
  </si>
  <si>
    <t>Biodiesel</t>
  </si>
  <si>
    <t xml:space="preserve">Ethanol </t>
  </si>
  <si>
    <t>ER</t>
  </si>
  <si>
    <t>LUC</t>
  </si>
  <si>
    <t>Crop production energy consumption</t>
  </si>
  <si>
    <t>Biomass Energy</t>
  </si>
  <si>
    <t>Agricultural energy ratio</t>
  </si>
  <si>
    <t>Palm Oil</t>
  </si>
  <si>
    <t>Soybean</t>
  </si>
  <si>
    <t>Sugarcane</t>
  </si>
  <si>
    <t>Corn</t>
  </si>
  <si>
    <t>(GJ/ha)</t>
  </si>
  <si>
    <t xml:space="preserve">Biofuel productivity </t>
  </si>
  <si>
    <t>??</t>
  </si>
  <si>
    <t>Ethanol (corn)</t>
  </si>
  <si>
    <t>Ethanol (sugarcane)</t>
  </si>
  <si>
    <t>Gasoline</t>
  </si>
  <si>
    <t>Diesel</t>
  </si>
  <si>
    <t>Anhydrous ethanol</t>
  </si>
  <si>
    <t>Hydrated ethanol</t>
  </si>
  <si>
    <t>Ano base</t>
  </si>
  <si>
    <t>Ethanol (cane)</t>
  </si>
  <si>
    <t>gCO2 eq/MJ</t>
  </si>
  <si>
    <t>Biofuels</t>
  </si>
  <si>
    <t>Raw materials</t>
  </si>
  <si>
    <t>kgCO2/ton</t>
  </si>
  <si>
    <t>Pereira et al. (2019)</t>
  </si>
  <si>
    <t>gCO2eq/MJ</t>
  </si>
  <si>
    <t>Bonomi et al. (2019)</t>
  </si>
  <si>
    <t>E2G (straw)</t>
  </si>
  <si>
    <t>Renovabio Panel</t>
  </si>
  <si>
    <t>Report colombia</t>
  </si>
  <si>
    <t>Biodiesel (Palm)</t>
  </si>
  <si>
    <t>Palm</t>
  </si>
  <si>
    <t>report ACABIO</t>
  </si>
  <si>
    <t>report CARBIO</t>
  </si>
  <si>
    <t>kgCO2eq/ton</t>
  </si>
  <si>
    <t>LVH corn (MJ/kg)</t>
  </si>
  <si>
    <t>FOSSIL</t>
  </si>
  <si>
    <t>USD/ton</t>
  </si>
  <si>
    <t>???</t>
  </si>
  <si>
    <t>Bioethanol (L)</t>
  </si>
  <si>
    <t>Biodiesel (L)</t>
  </si>
  <si>
    <t>Bioethanol (MJ)</t>
  </si>
  <si>
    <t>Biodiesel (MJ)</t>
  </si>
  <si>
    <t>-</t>
  </si>
  <si>
    <t>% avoided replace (E)</t>
  </si>
  <si>
    <t>% avoided replace (B)</t>
  </si>
  <si>
    <t>CBIOS</t>
  </si>
  <si>
    <t>CBIOS negociated ($)</t>
  </si>
  <si>
    <t>Bioethanol (GgCO2 eq)</t>
  </si>
  <si>
    <t>Biodiesel (GgCO2 eq)</t>
  </si>
  <si>
    <t>Gasoline (GgCO2 eq)</t>
  </si>
  <si>
    <t>Diesel (GgCO2eq)</t>
  </si>
  <si>
    <t>1 Gg = 1000 tons</t>
  </si>
  <si>
    <t>Assuming that 1 CBIO is negociated by $10 in the stock market</t>
  </si>
  <si>
    <t>Valores obtidos assumindo que a quantidade total de Gasolina/Diesel fosse totalmente substituída por  Etanol/Biodiesel</t>
  </si>
  <si>
    <t>estimativa</t>
  </si>
  <si>
    <t>other uses (tonnes)</t>
  </si>
  <si>
    <t>Bioetanol (tonnes)</t>
  </si>
  <si>
    <t>TOTAL</t>
  </si>
  <si>
    <t>Season</t>
  </si>
  <si>
    <t>Productuion (tonnes)</t>
  </si>
  <si>
    <t>Yield (ton/ha)</t>
  </si>
  <si>
    <t>Share of corn used for ethanol (%)</t>
  </si>
  <si>
    <t>Ethanol from sugarcane</t>
  </si>
  <si>
    <t>ground cane (tonnes)</t>
  </si>
  <si>
    <t>Sugar production (tonnes)</t>
  </si>
  <si>
    <t>Sugar to ethanol (tonnes)</t>
  </si>
  <si>
    <t>Share of SC to ethanol (%)</t>
  </si>
  <si>
    <t>Harvested area (ha)</t>
  </si>
  <si>
    <t>Sugarcane total</t>
  </si>
  <si>
    <t>SC to ethanol (mil ha)</t>
  </si>
  <si>
    <t>Equivalent in harvested area (mil ha)</t>
  </si>
  <si>
    <t>Ethanol x sugar production</t>
  </si>
  <si>
    <t>ART for sugar (%)</t>
  </si>
  <si>
    <t>ART for ethanol (%)</t>
  </si>
  <si>
    <t>harvested area (mil ha)</t>
  </si>
  <si>
    <t>Biodiesel from soybean</t>
  </si>
  <si>
    <t>Production (tonnes)</t>
  </si>
  <si>
    <t>Processed soybean (tonnes)</t>
  </si>
  <si>
    <t>Yield (tons/ha)</t>
  </si>
  <si>
    <t>Total production (tonnes)</t>
  </si>
  <si>
    <t>Soybean meal (tonnes)</t>
  </si>
  <si>
    <t>Soybean oil (tonnes)</t>
  </si>
  <si>
    <t>Oil for B100 (tonnes)</t>
  </si>
  <si>
    <t>Land use for B100 (mil ha)</t>
  </si>
  <si>
    <t>SOURCE: Informe biocombustibles (Junio 2021)</t>
  </si>
  <si>
    <t>SOURCE: Análise de conjuntura de biocombustíveis (EPE, 2019 e 2020)</t>
  </si>
  <si>
    <t>Colômbia</t>
  </si>
  <si>
    <t>Corn for alcohol</t>
  </si>
  <si>
    <t>B100 from palm oil</t>
  </si>
  <si>
    <t>Area harvested (ha)</t>
  </si>
  <si>
    <t>Area harvested (mil ha)</t>
  </si>
  <si>
    <t>Processed Palm fruit (tonnes)</t>
  </si>
  <si>
    <t>Palm oil (tonnes)</t>
  </si>
  <si>
    <t>Palm oil Yeild (tonnes/ha)</t>
  </si>
  <si>
    <t>Palm oil for B100 (tonnes)</t>
  </si>
  <si>
    <t>SC for Ethanol</t>
  </si>
  <si>
    <t>Information:</t>
  </si>
  <si>
    <t>Ground cane (tonnes)</t>
  </si>
  <si>
    <t>Ethanol prodcution (tonnes)</t>
  </si>
  <si>
    <t>100 tonnes of cane produces 9.3 tonnes of sugar and 2 tonnes of ethanol</t>
  </si>
  <si>
    <t>Land use for ethanol (mil ha)</t>
  </si>
  <si>
    <t>According to Cutz et al. (2020) the mean molasses yield in Guatemala is 26 L/tc and the ethanol yield is 8.7 L/tc</t>
  </si>
  <si>
    <t>SC for ethanol</t>
  </si>
  <si>
    <t>Ethanol production* (L)</t>
  </si>
  <si>
    <t>SC yield (ton/ha)</t>
  </si>
  <si>
    <t>magyp source</t>
  </si>
  <si>
    <t>Crushed cane for EtOH (tonnes)</t>
  </si>
  <si>
    <t>Productivity (ton/há)</t>
  </si>
  <si>
    <t>SB-ARG</t>
  </si>
  <si>
    <t>SB-BRA</t>
  </si>
  <si>
    <t>PO-COL</t>
  </si>
  <si>
    <t>calculado</t>
  </si>
  <si>
    <t>SC-ARG</t>
  </si>
  <si>
    <t>CO-ARG</t>
  </si>
  <si>
    <t>SC-BRA</t>
  </si>
  <si>
    <t>SC-COL</t>
  </si>
  <si>
    <t>SC-GUA</t>
  </si>
  <si>
    <t>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</si>
</sst>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 * #,##0.00_ ;_ * \-#,##0.00_ ;_ * &quot;-&quot;??_ ;_ @_ "/>
    <numFmt numFmtId="166" formatCode="_-* #,##0.00\ _€_-;\-* #,##0.00\ _€_-;_-* &quot;-&quot;??\ _€_-;_-@_-"/>
    <numFmt numFmtId="167" formatCode="_-* #,##0.00\ _E_s_c_._-;\-* #,##0.00\ _E_s_c_._-;_-* &quot;-&quot;??\ _E_s_c_._-;_-@_-"/>
    <numFmt numFmtId="168" formatCode="_(* #,##0.00_);_(* \(#,##0.00\);_(* \-??_);_(@_)"/>
    <numFmt numFmtId="169" formatCode="_-* #,##0.00\ _E_s_c_._-;\-* #,##0.00\ _E_s_c_._-;_-* \-??\ _E_s_c_._-;_-@_-"/>
    <numFmt numFmtId="170" formatCode="_-[$$-409]* #,##0_ ;_-[$$-409]* \-#,##0\ ;_-[$$-409]* &quot;-&quot;??_ ;_-@_ "/>
    <numFmt numFmtId="171" formatCode="_-* #,##0_-;\-* #,##0_-;_-* &quot;-&quot;??_-;_-@_-"/>
    <numFmt numFmtId="172" formatCode="###,###"/>
    <numFmt numFmtId="173" formatCode="_-* #,##0.0_-;\-* #,##0.0_-;_-* &quot;-&quot;??_-;_-@_-"/>
    <numFmt numFmtId="174" formatCode="_-* #,##0_-;\-* #,##0_-;_-* &quot;-&quot;?_-;_-@_-"/>
    <numFmt numFmtId="175" formatCode="_-* #,##0.000_-;\-* #,##0.000_-;_-* &quot;-&quot;???_-;_-@_-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u/>
      <sz val="7.5"/>
      <color indexed="12"/>
      <name val="Arial"/>
      <family val="2"/>
    </font>
    <font>
      <sz val="10"/>
      <name val="Mang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8">
    <xf numFmtId="0" fontId="0" fillId="0" borderId="0"/>
    <xf numFmtId="0" fontId="9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14" applyNumberFormat="0" applyAlignment="0" applyProtection="0"/>
    <xf numFmtId="0" fontId="19" fillId="16" borderId="15" applyNumberFormat="0" applyAlignment="0" applyProtection="0"/>
    <xf numFmtId="0" fontId="20" fillId="16" borderId="14" applyNumberFormat="0" applyAlignment="0" applyProtection="0"/>
    <xf numFmtId="0" fontId="21" fillId="0" borderId="16" applyNumberFormat="0" applyFill="0" applyAlignment="0" applyProtection="0"/>
    <xf numFmtId="0" fontId="22" fillId="17" borderId="17" applyNumberFormat="0" applyAlignment="0" applyProtection="0"/>
    <xf numFmtId="0" fontId="2" fillId="0" borderId="0" applyNumberFormat="0" applyFill="0" applyBorder="0" applyAlignment="0" applyProtection="0"/>
    <xf numFmtId="0" fontId="8" fillId="18" borderId="18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4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24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9" fillId="0" borderId="0"/>
    <xf numFmtId="0" fontId="9" fillId="0" borderId="0"/>
    <xf numFmtId="0" fontId="27" fillId="0" borderId="0" applyNumberFormat="0" applyFill="0" applyBorder="0" applyAlignment="0" applyProtection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9" fontId="9" fillId="0" borderId="0"/>
    <xf numFmtId="9" fontId="9" fillId="0" borderId="0" applyFill="0" applyBorder="0" applyAlignment="0" applyProtection="0"/>
    <xf numFmtId="9" fontId="9" fillId="0" borderId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8" fontId="9" fillId="0" borderId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9" fontId="28" fillId="0" borderId="0" applyFill="0" applyBorder="0" applyAlignment="0" applyProtection="0"/>
    <xf numFmtId="169" fontId="28" fillId="0" borderId="0" applyFill="0" applyBorder="0" applyAlignment="0" applyProtection="0"/>
    <xf numFmtId="44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1" fillId="5" borderId="3" xfId="0" applyFont="1" applyFill="1" applyBorder="1"/>
    <xf numFmtId="0" fontId="1" fillId="3" borderId="6" xfId="0" applyFont="1" applyFill="1" applyBorder="1"/>
    <xf numFmtId="0" fontId="1" fillId="9" borderId="3" xfId="0" applyFont="1" applyFill="1" applyBorder="1"/>
    <xf numFmtId="0" fontId="1" fillId="9" borderId="6" xfId="0" applyFont="1" applyFill="1" applyBorder="1"/>
    <xf numFmtId="0" fontId="1" fillId="6" borderId="6" xfId="0" applyFont="1" applyFill="1" applyBorder="1"/>
    <xf numFmtId="0" fontId="1" fillId="10" borderId="3" xfId="0" applyFont="1" applyFill="1" applyBorder="1"/>
    <xf numFmtId="0" fontId="3" fillId="0" borderId="0" xfId="0" applyFont="1" applyBorder="1"/>
    <xf numFmtId="0" fontId="1" fillId="11" borderId="0" xfId="0" applyFont="1" applyFill="1"/>
    <xf numFmtId="0" fontId="1" fillId="3" borderId="3" xfId="0" applyFont="1" applyFill="1" applyBorder="1"/>
    <xf numFmtId="0" fontId="1" fillId="6" borderId="3" xfId="0" applyFont="1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 readingOrder="1"/>
    </xf>
    <xf numFmtId="0" fontId="0" fillId="0" borderId="1" xfId="0" applyFill="1" applyBorder="1"/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1" fontId="0" fillId="43" borderId="1" xfId="0" applyNumberFormat="1" applyFill="1" applyBorder="1" applyAlignment="1">
      <alignment horizontal="center"/>
    </xf>
    <xf numFmtId="11" fontId="0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3" borderId="1" xfId="0" applyFill="1" applyBorder="1" applyAlignment="1">
      <alignment horizontal="center"/>
    </xf>
    <xf numFmtId="0" fontId="0" fillId="45" borderId="1" xfId="0" applyFill="1" applyBorder="1"/>
    <xf numFmtId="0" fontId="0" fillId="45" borderId="1" xfId="0" applyFill="1" applyBorder="1" applyAlignment="1">
      <alignment horizontal="center"/>
    </xf>
    <xf numFmtId="0" fontId="0" fillId="44" borderId="1" xfId="0" applyFill="1" applyBorder="1"/>
    <xf numFmtId="164" fontId="0" fillId="44" borderId="1" xfId="0" applyNumberFormat="1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6" borderId="1" xfId="0" applyFill="1" applyBorder="1"/>
    <xf numFmtId="1" fontId="0" fillId="46" borderId="1" xfId="0" applyNumberFormat="1" applyFill="1" applyBorder="1" applyAlignment="1">
      <alignment horizontal="center"/>
    </xf>
    <xf numFmtId="0" fontId="0" fillId="47" borderId="1" xfId="0" applyFill="1" applyBorder="1"/>
    <xf numFmtId="170" fontId="0" fillId="47" borderId="1" xfId="75" applyNumberFormat="1" applyFont="1" applyFill="1" applyBorder="1" applyAlignment="1">
      <alignment horizontal="center" vertical="center"/>
    </xf>
    <xf numFmtId="170" fontId="0" fillId="47" borderId="1" xfId="75" applyNumberFormat="1" applyFont="1" applyFill="1" applyBorder="1" applyAlignment="1">
      <alignment vertical="center"/>
    </xf>
    <xf numFmtId="1" fontId="0" fillId="2" borderId="1" xfId="0" applyNumberFormat="1" applyFill="1" applyBorder="1" applyAlignment="1">
      <alignment horizontal="center"/>
    </xf>
    <xf numFmtId="1" fontId="0" fillId="45" borderId="1" xfId="0" applyNumberForma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1" xfId="0" applyFont="1" applyFill="1" applyBorder="1"/>
    <xf numFmtId="172" fontId="5" fillId="0" borderId="1" xfId="0" applyNumberFormat="1" applyFont="1" applyFill="1" applyBorder="1" applyAlignment="1">
      <alignment horizontal="center" vertical="center"/>
    </xf>
    <xf numFmtId="171" fontId="5" fillId="0" borderId="1" xfId="77" applyNumberFormat="1" applyFont="1" applyBorder="1"/>
    <xf numFmtId="171" fontId="5" fillId="0" borderId="1" xfId="0" applyNumberFormat="1" applyFont="1" applyBorder="1"/>
    <xf numFmtId="0" fontId="0" fillId="8" borderId="1" xfId="0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3" borderId="0" xfId="0" applyFont="1" applyFill="1"/>
    <xf numFmtId="0" fontId="5" fillId="3" borderId="0" xfId="0" applyFont="1" applyFill="1"/>
    <xf numFmtId="0" fontId="29" fillId="3" borderId="1" xfId="0" applyFont="1" applyFill="1" applyBorder="1" applyAlignment="1">
      <alignment horizontal="center"/>
    </xf>
    <xf numFmtId="0" fontId="29" fillId="0" borderId="1" xfId="77" applyNumberFormat="1" applyFont="1" applyBorder="1" applyAlignment="1">
      <alignment horizontal="center"/>
    </xf>
    <xf numFmtId="43" fontId="5" fillId="0" borderId="1" xfId="77" applyFont="1" applyBorder="1" applyAlignment="1">
      <alignment horizontal="center"/>
    </xf>
    <xf numFmtId="43" fontId="5" fillId="0" borderId="1" xfId="77" applyFont="1" applyBorder="1" applyAlignment="1">
      <alignment horizontal="right"/>
    </xf>
    <xf numFmtId="43" fontId="5" fillId="0" borderId="1" xfId="0" applyNumberFormat="1" applyFont="1" applyBorder="1"/>
    <xf numFmtId="0" fontId="29" fillId="3" borderId="1" xfId="0" applyFont="1" applyFill="1" applyBorder="1" applyAlignment="1">
      <alignment horizontal="center" vertical="center"/>
    </xf>
    <xf numFmtId="43" fontId="5" fillId="0" borderId="1" xfId="77" applyFont="1" applyBorder="1"/>
    <xf numFmtId="0" fontId="1" fillId="3" borderId="1" xfId="0" applyFont="1" applyFill="1" applyBorder="1"/>
    <xf numFmtId="0" fontId="29" fillId="3" borderId="1" xfId="0" applyFont="1" applyFill="1" applyBorder="1"/>
    <xf numFmtId="2" fontId="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29" fillId="0" borderId="1" xfId="0" applyFont="1" applyBorder="1" applyAlignment="1">
      <alignment horizontal="center"/>
    </xf>
    <xf numFmtId="0" fontId="29" fillId="0" borderId="1" xfId="77" applyNumberFormat="1" applyFont="1" applyFill="1" applyBorder="1" applyAlignment="1">
      <alignment horizontal="center"/>
    </xf>
    <xf numFmtId="43" fontId="10" fillId="0" borderId="1" xfId="77" applyFont="1" applyBorder="1"/>
    <xf numFmtId="0" fontId="29" fillId="4" borderId="0" xfId="0" applyFont="1" applyFill="1" applyBorder="1"/>
    <xf numFmtId="172" fontId="5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0" borderId="0" xfId="77" applyNumberFormat="1" applyFont="1" applyFill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71" fontId="5" fillId="0" borderId="0" xfId="77" applyNumberFormat="1" applyFont="1" applyFill="1" applyBorder="1"/>
    <xf numFmtId="1" fontId="5" fillId="0" borderId="0" xfId="77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171" fontId="5" fillId="0" borderId="0" xfId="0" applyNumberFormat="1" applyFont="1" applyFill="1" applyBorder="1"/>
    <xf numFmtId="0" fontId="29" fillId="4" borderId="1" xfId="0" applyFont="1" applyFill="1" applyBorder="1" applyAlignment="1">
      <alignment horizontal="center" vertical="center"/>
    </xf>
    <xf numFmtId="171" fontId="5" fillId="0" borderId="1" xfId="77" applyNumberFormat="1" applyFont="1" applyFill="1" applyBorder="1" applyAlignment="1">
      <alignment horizontal="center" vertical="center"/>
    </xf>
    <xf numFmtId="171" fontId="5" fillId="0" borderId="1" xfId="77" applyNumberFormat="1" applyFont="1" applyFill="1" applyBorder="1" applyAlignment="1">
      <alignment horizontal="center"/>
    </xf>
    <xf numFmtId="0" fontId="5" fillId="0" borderId="1" xfId="77" applyNumberFormat="1" applyFont="1" applyFill="1" applyBorder="1" applyAlignment="1">
      <alignment horizontal="center" vertical="center"/>
    </xf>
    <xf numFmtId="0" fontId="29" fillId="0" borderId="1" xfId="77" applyNumberFormat="1" applyFont="1" applyFill="1" applyBorder="1" applyAlignment="1">
      <alignment horizontal="center" vertical="center"/>
    </xf>
    <xf numFmtId="171" fontId="5" fillId="0" borderId="1" xfId="0" applyNumberFormat="1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71" fontId="5" fillId="0" borderId="1" xfId="77" applyNumberFormat="1" applyFont="1" applyFill="1" applyBorder="1"/>
    <xf numFmtId="1" fontId="5" fillId="0" borderId="1" xfId="77" applyNumberFormat="1" applyFont="1" applyFill="1" applyBorder="1" applyAlignment="1">
      <alignment horizontal="center" vertical="center"/>
    </xf>
    <xf numFmtId="171" fontId="5" fillId="0" borderId="1" xfId="0" applyNumberFormat="1" applyFont="1" applyFill="1" applyBorder="1"/>
    <xf numFmtId="0" fontId="29" fillId="0" borderId="1" xfId="0" applyNumberFormat="1" applyFont="1" applyFill="1" applyBorder="1" applyAlignment="1">
      <alignment horizontal="center" vertical="center"/>
    </xf>
    <xf numFmtId="164" fontId="5" fillId="0" borderId="1" xfId="77" applyNumberFormat="1" applyFont="1" applyFill="1" applyBorder="1" applyAlignment="1">
      <alignment horizontal="center" vertical="center"/>
    </xf>
    <xf numFmtId="43" fontId="5" fillId="0" borderId="1" xfId="77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29" fillId="2" borderId="0" xfId="0" applyFont="1" applyFill="1"/>
    <xf numFmtId="164" fontId="5" fillId="0" borderId="1" xfId="0" applyNumberFormat="1" applyFont="1" applyBorder="1" applyAlignment="1">
      <alignment horizontal="center"/>
    </xf>
    <xf numFmtId="43" fontId="0" fillId="0" borderId="0" xfId="77" applyFont="1"/>
    <xf numFmtId="0" fontId="29" fillId="2" borderId="1" xfId="0" applyFont="1" applyFill="1" applyBorder="1"/>
    <xf numFmtId="0" fontId="29" fillId="2" borderId="1" xfId="0" applyFont="1" applyFill="1" applyBorder="1" applyAlignment="1">
      <alignment horizontal="center"/>
    </xf>
    <xf numFmtId="0" fontId="5" fillId="0" borderId="1" xfId="77" applyNumberFormat="1" applyFont="1" applyBorder="1" applyAlignment="1">
      <alignment horizontal="center"/>
    </xf>
    <xf numFmtId="173" fontId="0" fillId="0" borderId="1" xfId="0" applyNumberFormat="1" applyBorder="1"/>
    <xf numFmtId="3" fontId="10" fillId="0" borderId="1" xfId="0" applyNumberFormat="1" applyFont="1" applyFill="1" applyBorder="1" applyAlignment="1">
      <alignment horizontal="right"/>
    </xf>
    <xf numFmtId="171" fontId="10" fillId="0" borderId="1" xfId="77" applyNumberFormat="1" applyFont="1" applyBorder="1"/>
    <xf numFmtId="0" fontId="29" fillId="5" borderId="0" xfId="0" applyFont="1" applyFill="1"/>
    <xf numFmtId="171" fontId="0" fillId="0" borderId="0" xfId="0" applyNumberFormat="1"/>
    <xf numFmtId="0" fontId="30" fillId="5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30" fillId="0" borderId="1" xfId="0" applyFont="1" applyBorder="1" applyAlignment="1">
      <alignment horizontal="center"/>
    </xf>
    <xf numFmtId="174" fontId="5" fillId="0" borderId="1" xfId="0" applyNumberFormat="1" applyFont="1" applyBorder="1"/>
    <xf numFmtId="171" fontId="10" fillId="0" borderId="1" xfId="77" applyNumberFormat="1" applyFont="1" applyBorder="1" applyAlignment="1">
      <alignment horizontal="center"/>
    </xf>
    <xf numFmtId="4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 readingOrder="1"/>
    </xf>
    <xf numFmtId="0" fontId="32" fillId="4" borderId="1" xfId="0" applyFont="1" applyFill="1" applyBorder="1" applyAlignment="1">
      <alignment horizontal="center" vertical="center" wrapText="1" readingOrder="1"/>
    </xf>
    <xf numFmtId="0" fontId="31" fillId="0" borderId="23" xfId="0" applyFont="1" applyBorder="1"/>
    <xf numFmtId="0" fontId="32" fillId="2" borderId="1" xfId="0" applyFont="1" applyFill="1" applyBorder="1" applyAlignment="1">
      <alignment horizontal="center" vertical="center" wrapText="1" readingOrder="1"/>
    </xf>
    <xf numFmtId="0" fontId="4" fillId="0" borderId="23" xfId="0" applyFont="1" applyBorder="1" applyAlignment="1">
      <alignment horizontal="left" vertical="center" wrapText="1" readingOrder="1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24" xfId="0" applyFill="1" applyBorder="1"/>
    <xf numFmtId="0" fontId="0" fillId="0" borderId="2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33" fillId="2" borderId="1" xfId="0" applyNumberFormat="1" applyFont="1" applyFill="1" applyBorder="1" applyAlignment="1">
      <alignment horizontal="center"/>
    </xf>
    <xf numFmtId="164" fontId="33" fillId="46" borderId="1" xfId="0" applyNumberFormat="1" applyFont="1" applyFill="1" applyBorder="1" applyAlignment="1">
      <alignment horizontal="center"/>
    </xf>
    <xf numFmtId="44" fontId="33" fillId="47" borderId="1" xfId="0" applyNumberFormat="1" applyFont="1" applyFill="1" applyBorder="1" applyAlignment="1">
      <alignment horizontal="center"/>
    </xf>
    <xf numFmtId="175" fontId="0" fillId="0" borderId="0" xfId="0" applyNumberFormat="1"/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</cellXfs>
  <cellStyles count="78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ANCLAS,REZONES Y SUS PARTES,DE FUNDICION,DE HIERRO O DE ACERO" xfId="1" xr:uid="{407962F4-8A35-4D81-8186-A662DCE7F70F}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Excel Built-in Normal" xfId="49" xr:uid="{1845C9CA-63CF-45B7-AE34-6C286188A232}"/>
    <cellStyle name="Hiperlink 2" xfId="50" xr:uid="{96386455-BB27-4478-8E48-2B816011AA45}"/>
    <cellStyle name="Millares 10" xfId="6" xr:uid="{EAA847C5-9913-416E-9511-DC33B055790E}"/>
    <cellStyle name="Millares 10 2" xfId="76" xr:uid="{CFD82CDD-61FE-4AA2-AB61-32BF9A60D62D}"/>
    <cellStyle name="Millares 2" xfId="2" xr:uid="{3F12E178-5684-42A4-9616-1EE5299E32D2}"/>
    <cellStyle name="Moeda" xfId="75" builtinId="4"/>
    <cellStyle name="Neutro" xfId="14" builtinId="28" customBuiltin="1"/>
    <cellStyle name="Normal" xfId="0" builtinId="0"/>
    <cellStyle name="Normal 2" xfId="51" xr:uid="{E505CCC2-60A9-4FA7-8E1C-23F88F852180}"/>
    <cellStyle name="Normal 2 2" xfId="4" xr:uid="{A85D28A3-A52A-4258-80A0-B51811B9EBB9}"/>
    <cellStyle name="Normal 3" xfId="52" xr:uid="{6C8BFDA0-94A4-4F24-9CD0-B77B4B09166B}"/>
    <cellStyle name="Normal 4" xfId="53" xr:uid="{738BEADB-EEA1-481E-A2B1-6E1FB6D1385D}"/>
    <cellStyle name="Normal 5" xfId="54" xr:uid="{122EB0E3-C945-4434-9748-0555DDA7FE25}"/>
    <cellStyle name="Normal 6" xfId="55" xr:uid="{EC33740E-75DF-4739-8BF0-7BAC14AAFDE3}"/>
    <cellStyle name="Normal 7" xfId="56" xr:uid="{D85D4EE8-FA22-42D9-AC0B-82E033CEACD6}"/>
    <cellStyle name="Normal 8" xfId="57" xr:uid="{793D601C-3A14-40FD-A5D3-454E7DCF7E76}"/>
    <cellStyle name="Normal 9" xfId="48" xr:uid="{EA514D49-12C7-4F8E-838D-86BEE4BC1BE5}"/>
    <cellStyle name="Nota" xfId="21" builtinId="10" customBuiltin="1"/>
    <cellStyle name="Porcentagem 2" xfId="59" xr:uid="{09C9C6F1-B29E-4F90-96DF-C358E9981ED6}"/>
    <cellStyle name="Porcentagem 3" xfId="60" xr:uid="{BA07B48B-D85B-41BC-BDDE-EA26763F0FF5}"/>
    <cellStyle name="Porcentagem 4" xfId="61" xr:uid="{4FF78385-A38B-4809-8F37-3B557E001B21}"/>
    <cellStyle name="Porcentagem 5" xfId="58" xr:uid="{CD53E06E-67EA-4FF8-A192-53601F97C0AF}"/>
    <cellStyle name="Porcentual 2 2" xfId="5" xr:uid="{5AD12DDF-B79B-4C54-907D-68D7FE39DE17}"/>
    <cellStyle name="Ruim" xfId="13" builtinId="27" customBuiltin="1"/>
    <cellStyle name="Saída" xfId="16" builtinId="21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1 1" xfId="62" xr:uid="{7923A987-8F2D-43C0-B68E-67EF4BD40F26}"/>
    <cellStyle name="Título 1 1 1" xfId="63" xr:uid="{4253EC9E-A581-4882-BF9E-D8FE35E2A73E}"/>
    <cellStyle name="Título 1 1 1 1" xfId="64" xr:uid="{56EFD46F-1AA4-4106-BCE9-45FE073F4E83}"/>
    <cellStyle name="Título 1 1 1 1 1" xfId="65" xr:uid="{ACD2A75F-3211-4E46-A773-DAD8EF96F043}"/>
    <cellStyle name="Título 1 1 1 1 1 1" xfId="66" xr:uid="{259F3338-84AD-407E-8DCB-74F9340DF89E}"/>
    <cellStyle name="Título 2" xfId="9" builtinId="17" customBuiltin="1"/>
    <cellStyle name="Título 3" xfId="10" builtinId="18" customBuiltin="1"/>
    <cellStyle name="Título 4" xfId="11" builtinId="19" customBuiltin="1"/>
    <cellStyle name="Título 5" xfId="67" xr:uid="{95D57D10-689C-4739-B0E4-5D891E490AC0}"/>
    <cellStyle name="Título 6" xfId="68" xr:uid="{A005DD85-21ED-43E1-9512-7157999D83DD}"/>
    <cellStyle name="Total" xfId="23" builtinId="25" customBuiltin="1"/>
    <cellStyle name="Vírgula" xfId="77" builtinId="3"/>
    <cellStyle name="Vírgula 2" xfId="3" xr:uid="{13495C8A-ECAB-404E-86D8-44FB90027AF2}"/>
    <cellStyle name="Vírgula 2 2" xfId="70" xr:uid="{B197FE01-F954-409F-B5C5-83D0181382B0}"/>
    <cellStyle name="Vírgula 3" xfId="71" xr:uid="{BCD4D18E-F2F9-4AD4-91C2-5A1EDA297B53}"/>
    <cellStyle name="Vírgula 4" xfId="72" xr:uid="{26A29D8C-CAB4-4FCF-A5C1-D44A1A2B089C}"/>
    <cellStyle name="Vírgula 4 2" xfId="74" xr:uid="{F1A6318D-7352-40A7-B4C3-7FD47B8BF744}"/>
    <cellStyle name="Vírgula 5" xfId="73" xr:uid="{59B4AAF2-AC2C-460E-B11F-813FDE3BF554}"/>
    <cellStyle name="Vírgula 6" xfId="69" xr:uid="{EB1A1478-7426-43D5-88EA-F88AE61769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Brazil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LCI_indicators!$B$2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(LCI_indicators!$B$1,LCI_indicators!$B$11)</c:f>
              <c:strCache>
                <c:ptCount val="2"/>
                <c:pt idx="0">
                  <c:v>Ethanol </c:v>
                </c:pt>
                <c:pt idx="1">
                  <c:v>Biodiesel</c:v>
                </c:pt>
              </c:strCache>
            </c:strRef>
          </c:cat>
          <c:val>
            <c:numRef>
              <c:f>(LCI_indicators!$B$5,LCI_indicators!$B$14)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A-44C8-B415-9FA5E22C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820655"/>
        <c:axId val="150819823"/>
      </c:barChart>
      <c:scatterChart>
        <c:scatterStyle val="lineMarker"/>
        <c:varyColors val="0"/>
        <c:ser>
          <c:idx val="1"/>
          <c:order val="1"/>
          <c:tx>
            <c:strRef>
              <c:f>LCI_indicators!$C$2</c:f>
              <c:strCache>
                <c:ptCount val="1"/>
                <c:pt idx="0">
                  <c:v>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(LCI_indicators!$C$5,LCI_indicators!$C$14)</c:f>
              <c:numCache>
                <c:formatCode>General</c:formatCode>
                <c:ptCount val="2"/>
                <c:pt idx="0">
                  <c:v>0.9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A-44C8-B415-9FA5E22C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90975"/>
        <c:axId val="250195967"/>
      </c:scatterChart>
      <c:catAx>
        <c:axId val="1508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19823"/>
        <c:crosses val="autoZero"/>
        <c:auto val="1"/>
        <c:lblAlgn val="ctr"/>
        <c:lblOffset val="100"/>
        <c:noMultiLvlLbl val="0"/>
      </c:catAx>
      <c:valAx>
        <c:axId val="1508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 sz="1200" b="1"/>
              </a:p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820655"/>
        <c:crosses val="autoZero"/>
        <c:crossBetween val="between"/>
      </c:valAx>
      <c:valAx>
        <c:axId val="250195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NEB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190975"/>
        <c:crosses val="max"/>
        <c:crossBetween val="midCat"/>
      </c:valAx>
      <c:valAx>
        <c:axId val="250190975"/>
        <c:scaling>
          <c:orientation val="minMax"/>
        </c:scaling>
        <c:delete val="1"/>
        <c:axPos val="b"/>
        <c:majorTickMark val="out"/>
        <c:minorTickMark val="none"/>
        <c:tickLblPos val="nextTo"/>
        <c:crossAx val="2501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LCI_indicators!$B$2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(LCI_indicators!$B$1,LCI_indicators!$B$11)</c:f>
              <c:strCache>
                <c:ptCount val="2"/>
                <c:pt idx="0">
                  <c:v>Ethanol </c:v>
                </c:pt>
                <c:pt idx="1">
                  <c:v>Biodiesel</c:v>
                </c:pt>
              </c:strCache>
            </c:strRef>
          </c:cat>
          <c:val>
            <c:numRef>
              <c:f>(LCI_indicators!$B$6,LCI_indicators!$B$15)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7-4276-A08F-38FC6ACB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6577391"/>
        <c:axId val="756579887"/>
      </c:barChart>
      <c:scatterChart>
        <c:scatterStyle val="lineMarker"/>
        <c:varyColors val="0"/>
        <c:ser>
          <c:idx val="1"/>
          <c:order val="1"/>
          <c:tx>
            <c:strRef>
              <c:f>LCI_indicators!$C$2</c:f>
              <c:strCache>
                <c:ptCount val="1"/>
                <c:pt idx="0">
                  <c:v>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(LCI_indicators!$B$1,LCI_indicators!$B$11)</c:f>
              <c:strCache>
                <c:ptCount val="2"/>
                <c:pt idx="0">
                  <c:v>Ethanol </c:v>
                </c:pt>
                <c:pt idx="1">
                  <c:v>Biodiesel</c:v>
                </c:pt>
              </c:strCache>
            </c:strRef>
          </c:xVal>
          <c:yVal>
            <c:numRef>
              <c:f>(LCI_indicators!$C$6,LCI_indicators!$C$15)</c:f>
              <c:numCache>
                <c:formatCode>General</c:formatCode>
                <c:ptCount val="2"/>
                <c:pt idx="0">
                  <c:v>0.51</c:v>
                </c:pt>
                <c:pt idx="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7-4276-A08F-38FC6ACB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4319"/>
        <c:axId val="250193887"/>
      </c:scatterChart>
      <c:catAx>
        <c:axId val="7565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579887"/>
        <c:crosses val="autoZero"/>
        <c:auto val="1"/>
        <c:lblAlgn val="ctr"/>
        <c:lblOffset val="100"/>
        <c:noMultiLvlLbl val="0"/>
      </c:catAx>
      <c:valAx>
        <c:axId val="7565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577391"/>
        <c:crosses val="autoZero"/>
        <c:crossBetween val="between"/>
      </c:valAx>
      <c:valAx>
        <c:axId val="250193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NEB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184319"/>
        <c:crosses val="max"/>
        <c:crossBetween val="midCat"/>
      </c:valAx>
      <c:valAx>
        <c:axId val="250184319"/>
        <c:scaling>
          <c:orientation val="minMax"/>
        </c:scaling>
        <c:delete val="1"/>
        <c:axPos val="b"/>
        <c:numFmt formatCode="ge\r\a\l" sourceLinked="1"/>
        <c:majorTickMark val="out"/>
        <c:minorTickMark val="none"/>
        <c:tickLblPos val="nextTo"/>
        <c:crossAx val="25019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Argentina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LCI_indicators!$B$2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(LCI_indicators!$B$1,LCI_indicators!$B$11)</c:f>
              <c:strCache>
                <c:ptCount val="2"/>
                <c:pt idx="0">
                  <c:v>Ethanol </c:v>
                </c:pt>
                <c:pt idx="1">
                  <c:v>Biodiesel</c:v>
                </c:pt>
              </c:strCache>
            </c:strRef>
          </c:cat>
          <c:val>
            <c:numRef>
              <c:f>(LCI_indicators!$B$3,LCI_indicators!$B$13)</c:f>
              <c:numCache>
                <c:formatCode>General</c:formatCode>
                <c:ptCount val="2"/>
                <c:pt idx="0">
                  <c:v>7.6</c:v>
                </c:pt>
                <c:pt idx="1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2-4258-8518-F1E0A4D8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667247"/>
        <c:axId val="181678895"/>
      </c:barChart>
      <c:scatterChart>
        <c:scatterStyle val="lineMarker"/>
        <c:varyColors val="0"/>
        <c:ser>
          <c:idx val="1"/>
          <c:order val="1"/>
          <c:tx>
            <c:strRef>
              <c:f>LCI_indicators!$C$2</c:f>
              <c:strCache>
                <c:ptCount val="1"/>
                <c:pt idx="0">
                  <c:v>NER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(LCI_indicators!$C$3,LCI_indicators!$C$13)</c:f>
              <c:numCache>
                <c:formatCode>General</c:formatCode>
                <c:ptCount val="2"/>
                <c:pt idx="0">
                  <c:v>0.52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2-4258-8518-F1E0A4D8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4735"/>
        <c:axId val="181670991"/>
      </c:scatterChart>
      <c:catAx>
        <c:axId val="1816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78895"/>
        <c:crosses val="autoZero"/>
        <c:auto val="1"/>
        <c:lblAlgn val="ctr"/>
        <c:lblOffset val="100"/>
        <c:noMultiLvlLbl val="0"/>
      </c:catAx>
      <c:valAx>
        <c:axId val="1816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67247"/>
        <c:crosses val="autoZero"/>
        <c:crossBetween val="between"/>
      </c:valAx>
      <c:valAx>
        <c:axId val="181670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NEB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674735"/>
        <c:crosses val="max"/>
        <c:crossBetween val="midCat"/>
      </c:valAx>
      <c:valAx>
        <c:axId val="181674735"/>
        <c:scaling>
          <c:orientation val="minMax"/>
        </c:scaling>
        <c:delete val="1"/>
        <c:axPos val="b"/>
        <c:majorTickMark val="out"/>
        <c:minorTickMark val="none"/>
        <c:tickLblPos val="nextTo"/>
        <c:crossAx val="18167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LCI_indicators!$B$2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LCI_indicators!$A$3:$A$7</c:f>
              <c:strCache>
                <c:ptCount val="5"/>
                <c:pt idx="0">
                  <c:v>SC-ARG</c:v>
                </c:pt>
                <c:pt idx="1">
                  <c:v>CO-ARG</c:v>
                </c:pt>
                <c:pt idx="2">
                  <c:v>SC-BRA</c:v>
                </c:pt>
                <c:pt idx="3">
                  <c:v>SC-COL</c:v>
                </c:pt>
                <c:pt idx="4">
                  <c:v>SC-GUA</c:v>
                </c:pt>
              </c:strCache>
            </c:strRef>
          </c:cat>
          <c:val>
            <c:numRef>
              <c:f>LCI_indicators!$B$3:$B$7</c:f>
              <c:numCache>
                <c:formatCode>0.0</c:formatCode>
                <c:ptCount val="5"/>
                <c:pt idx="0" formatCode="General">
                  <c:v>7.6</c:v>
                </c:pt>
                <c:pt idx="1">
                  <c:v>2.4500000000000002</c:v>
                </c:pt>
                <c:pt idx="2" formatCode="General">
                  <c:v>8.1999999999999993</c:v>
                </c:pt>
                <c:pt idx="3" formatCode="General">
                  <c:v>9.3000000000000007</c:v>
                </c:pt>
                <c:pt idx="4" formatCode="General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9-425E-9C28-9440ACE5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9606511"/>
        <c:axId val="1699606927"/>
      </c:barChart>
      <c:scatterChart>
        <c:scatterStyle val="lineMarker"/>
        <c:varyColors val="0"/>
        <c:ser>
          <c:idx val="1"/>
          <c:order val="1"/>
          <c:tx>
            <c:strRef>
              <c:f>LCI_indicators!$C$2</c:f>
              <c:strCache>
                <c:ptCount val="1"/>
                <c:pt idx="0">
                  <c:v>NER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LCI_indicators!$C$3:$C$7</c:f>
              <c:numCache>
                <c:formatCode>General</c:formatCode>
                <c:ptCount val="5"/>
                <c:pt idx="0">
                  <c:v>0.52</c:v>
                </c:pt>
                <c:pt idx="1">
                  <c:v>0.66</c:v>
                </c:pt>
                <c:pt idx="2">
                  <c:v>0.9</c:v>
                </c:pt>
                <c:pt idx="3">
                  <c:v>0.51</c:v>
                </c:pt>
                <c:pt idx="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9-425E-9C28-9440ACE5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194255"/>
        <c:axId val="1596194671"/>
      </c:scatterChart>
      <c:catAx>
        <c:axId val="16996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99606927"/>
        <c:crosses val="autoZero"/>
        <c:auto val="1"/>
        <c:lblAlgn val="ctr"/>
        <c:lblOffset val="100"/>
        <c:noMultiLvlLbl val="0"/>
      </c:catAx>
      <c:valAx>
        <c:axId val="1699606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99606511"/>
        <c:crosses val="autoZero"/>
        <c:crossBetween val="between"/>
      </c:valAx>
      <c:valAx>
        <c:axId val="15961946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96194255"/>
        <c:crosses val="max"/>
        <c:crossBetween val="midCat"/>
      </c:valAx>
      <c:valAx>
        <c:axId val="1596194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59619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LCI_indicators!$B$12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LCI_indicators!$A$13:$A$15</c:f>
              <c:strCache>
                <c:ptCount val="3"/>
                <c:pt idx="0">
                  <c:v>SB-ARG</c:v>
                </c:pt>
                <c:pt idx="1">
                  <c:v>SB-BRA</c:v>
                </c:pt>
                <c:pt idx="2">
                  <c:v>PO-COL</c:v>
                </c:pt>
              </c:strCache>
            </c:strRef>
          </c:cat>
          <c:val>
            <c:numRef>
              <c:f>LCI_indicators!$B$13:$B$15</c:f>
              <c:numCache>
                <c:formatCode>General</c:formatCode>
                <c:ptCount val="3"/>
                <c:pt idx="0">
                  <c:v>4.47</c:v>
                </c:pt>
                <c:pt idx="1">
                  <c:v>4.17</c:v>
                </c:pt>
                <c:pt idx="2">
                  <c:v>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2-4204-9604-4E7A032C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8564031"/>
        <c:axId val="238560287"/>
      </c:barChart>
      <c:scatterChart>
        <c:scatterStyle val="lineMarker"/>
        <c:varyColors val="0"/>
        <c:ser>
          <c:idx val="1"/>
          <c:order val="1"/>
          <c:tx>
            <c:strRef>
              <c:f>LCI_indicators!$C$12</c:f>
              <c:strCache>
                <c:ptCount val="1"/>
                <c:pt idx="0">
                  <c:v>NER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LCI_indicators!$A$13:$A$15</c:f>
              <c:strCache>
                <c:ptCount val="3"/>
                <c:pt idx="0">
                  <c:v>SB-ARG</c:v>
                </c:pt>
                <c:pt idx="1">
                  <c:v>SB-BRA</c:v>
                </c:pt>
                <c:pt idx="2">
                  <c:v>PO-COL</c:v>
                </c:pt>
              </c:strCache>
            </c:strRef>
          </c:xVal>
          <c:yVal>
            <c:numRef>
              <c:f>LCI_indicators!$C$13:$C$15</c:f>
              <c:numCache>
                <c:formatCode>General</c:formatCode>
                <c:ptCount val="3"/>
                <c:pt idx="0">
                  <c:v>0.3</c:v>
                </c:pt>
                <c:pt idx="1">
                  <c:v>0.24</c:v>
                </c:pt>
                <c:pt idx="2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2-4204-9604-4E7A032C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92383"/>
        <c:axId val="1700890719"/>
      </c:scatterChart>
      <c:catAx>
        <c:axId val="2385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38560287"/>
        <c:crosses val="autoZero"/>
        <c:auto val="1"/>
        <c:lblAlgn val="ctr"/>
        <c:lblOffset val="100"/>
        <c:noMultiLvlLbl val="0"/>
      </c:catAx>
      <c:valAx>
        <c:axId val="238560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38564031"/>
        <c:crosses val="autoZero"/>
        <c:crossBetween val="between"/>
        <c:majorUnit val="1"/>
      </c:valAx>
      <c:valAx>
        <c:axId val="1700890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700892383"/>
        <c:crosses val="max"/>
        <c:crossBetween val="midCat"/>
      </c:valAx>
      <c:valAx>
        <c:axId val="1700892383"/>
        <c:scaling>
          <c:orientation val="minMax"/>
        </c:scaling>
        <c:delete val="1"/>
        <c:axPos val="b"/>
        <c:numFmt formatCode="ge\r\a\l" sourceLinked="1"/>
        <c:majorTickMark val="none"/>
        <c:minorTickMark val="none"/>
        <c:tickLblPos val="nextTo"/>
        <c:crossAx val="170089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Biodiesel x Diesel prices at gas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Diesel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Preços!$B$1:$E$1</c:f>
              <c:strCache>
                <c:ptCount val="4"/>
                <c:pt idx="0">
                  <c:v>Argentina</c:v>
                </c:pt>
                <c:pt idx="1">
                  <c:v>Brazil</c:v>
                </c:pt>
                <c:pt idx="2">
                  <c:v>Colombia</c:v>
                </c:pt>
                <c:pt idx="3">
                  <c:v>Guatemala</c:v>
                </c:pt>
              </c:strCache>
            </c:strRef>
          </c:cat>
          <c:val>
            <c:numRef>
              <c:f>Preços!$B$7:$E$7</c:f>
              <c:numCache>
                <c:formatCode>0.00</c:formatCode>
                <c:ptCount val="4"/>
                <c:pt idx="0">
                  <c:v>0.78</c:v>
                </c:pt>
                <c:pt idx="1">
                  <c:v>0.72</c:v>
                </c:pt>
                <c:pt idx="2">
                  <c:v>0.64</c:v>
                </c:pt>
                <c:pt idx="3" formatCode="General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94-4C30-BD4C-74C6325CBC8F}"/>
            </c:ext>
          </c:extLst>
        </c:ser>
        <c:ser>
          <c:idx val="0"/>
          <c:order val="1"/>
          <c:tx>
            <c:v>Biodiesel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Preços!$B$1:$E$1</c:f>
              <c:strCache>
                <c:ptCount val="4"/>
                <c:pt idx="0">
                  <c:v>Argentina</c:v>
                </c:pt>
                <c:pt idx="1">
                  <c:v>Brazil</c:v>
                </c:pt>
                <c:pt idx="2">
                  <c:v>Colombia</c:v>
                </c:pt>
                <c:pt idx="3">
                  <c:v>Guatemala</c:v>
                </c:pt>
              </c:strCache>
            </c:strRef>
          </c:cat>
          <c:val>
            <c:numRef>
              <c:f>Preços!$B$8:$E$8</c:f>
              <c:numCache>
                <c:formatCode>0.00</c:formatCode>
                <c:ptCount val="4"/>
                <c:pt idx="0">
                  <c:v>0.59799999999999998</c:v>
                </c:pt>
                <c:pt idx="1">
                  <c:v>0.66800000000000004</c:v>
                </c:pt>
                <c:pt idx="2">
                  <c:v>0.623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94-4C30-BD4C-74C6325CB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52272495"/>
        <c:axId val="1152272911"/>
      </c:barChart>
      <c:catAx>
        <c:axId val="11522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52272911"/>
        <c:crosses val="autoZero"/>
        <c:auto val="1"/>
        <c:lblAlgn val="ctr"/>
        <c:lblOffset val="100"/>
        <c:noMultiLvlLbl val="0"/>
      </c:catAx>
      <c:valAx>
        <c:axId val="1152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US$/L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522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Gasoline x Ethanol prices at gas 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Ethanol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Preços!$B$5:$E$5</c:f>
              <c:numCache>
                <c:formatCode>0.00</c:formatCode>
                <c:ptCount val="4"/>
                <c:pt idx="0">
                  <c:v>0.50449999999999995</c:v>
                </c:pt>
                <c:pt idx="1">
                  <c:v>0.44400000000000001</c:v>
                </c:pt>
                <c:pt idx="2">
                  <c:v>0.46500000000000002</c:v>
                </c:pt>
                <c:pt idx="3" formatCode="General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C-4758-9E03-9150E3679B40}"/>
            </c:ext>
          </c:extLst>
        </c:ser>
        <c:ser>
          <c:idx val="0"/>
          <c:order val="1"/>
          <c:tx>
            <c:v>Gasoline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Preços!$B$1:$E$1</c:f>
              <c:strCache>
                <c:ptCount val="4"/>
                <c:pt idx="0">
                  <c:v>Argentina</c:v>
                </c:pt>
                <c:pt idx="1">
                  <c:v>Brazil</c:v>
                </c:pt>
                <c:pt idx="2">
                  <c:v>Colombia</c:v>
                </c:pt>
                <c:pt idx="3">
                  <c:v>Guatemala</c:v>
                </c:pt>
              </c:strCache>
            </c:strRef>
          </c:cat>
          <c:val>
            <c:numRef>
              <c:f>Preços!$B$6:$E$6</c:f>
              <c:numCache>
                <c:formatCode>0.00</c:formatCode>
                <c:ptCount val="4"/>
                <c:pt idx="0">
                  <c:v>0.84</c:v>
                </c:pt>
                <c:pt idx="1">
                  <c:v>0.89</c:v>
                </c:pt>
                <c:pt idx="2">
                  <c:v>0.65</c:v>
                </c:pt>
                <c:pt idx="3" formatCode="General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58-9E03-9150E3679B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3469695"/>
        <c:axId val="603468863"/>
      </c:barChart>
      <c:catAx>
        <c:axId val="603469695"/>
        <c:scaling>
          <c:orientation val="minMax"/>
        </c:scaling>
        <c:delete val="0"/>
        <c:axPos val="b"/>
        <c:numFmt formatCode="ge\r\a\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03468863"/>
        <c:crosses val="autoZero"/>
        <c:auto val="1"/>
        <c:lblAlgn val="ctr"/>
        <c:lblOffset val="100"/>
        <c:noMultiLvlLbl val="0"/>
      </c:catAx>
      <c:valAx>
        <c:axId val="60346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US$/L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1187080781568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034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v>BCOLP</c:v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666666666666566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C1-4B64-9B52-0CAED1EBE673}"/>
                </c:ext>
              </c:extLst>
            </c:dLbl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Emissões!$I$6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C1-4B64-9B52-0CAED1EBE673}"/>
            </c:ext>
          </c:extLst>
        </c:ser>
        <c:ser>
          <c:idx val="5"/>
          <c:order val="1"/>
          <c:tx>
            <c:v>ECOLSC</c:v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Emissões!$I$5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C1-4B64-9B52-0CAED1EBE673}"/>
            </c:ext>
          </c:extLst>
        </c:ser>
        <c:ser>
          <c:idx val="4"/>
          <c:order val="2"/>
          <c:tx>
            <c:v>BBRA</c:v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Emissões!$E$7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C1-4B64-9B52-0CAED1EBE673}"/>
            </c:ext>
          </c:extLst>
        </c:ser>
        <c:ser>
          <c:idx val="0"/>
          <c:order val="3"/>
          <c:tx>
            <c:v>EARGCO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Emissões!$B$5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B64-9B52-0CAED1EBE673}"/>
            </c:ext>
          </c:extLst>
        </c:ser>
        <c:ser>
          <c:idx val="1"/>
          <c:order val="4"/>
          <c:tx>
            <c:v>BARG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Emissões!$B$7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1-4B64-9B52-0CAED1EBE673}"/>
            </c:ext>
          </c:extLst>
        </c:ser>
        <c:ser>
          <c:idx val="2"/>
          <c:order val="5"/>
          <c:tx>
            <c:v>EBRASC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Emissões!$E$5</c:f>
              <c:numCache>
                <c:formatCode>General</c:formatCode>
                <c:ptCount val="1"/>
                <c:pt idx="0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1-4B64-9B52-0CAED1EBE673}"/>
            </c:ext>
          </c:extLst>
        </c:ser>
        <c:ser>
          <c:idx val="3"/>
          <c:order val="6"/>
          <c:tx>
            <c:v>EBRACO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Emissões!$E$6</c:f>
              <c:numCache>
                <c:formatCode>General</c:formatCode>
                <c:ptCount val="1"/>
                <c:pt idx="0">
                  <c:v>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C1-4B64-9B52-0CAED1EBE673}"/>
            </c:ext>
          </c:extLst>
        </c:ser>
        <c:ser>
          <c:idx val="7"/>
          <c:order val="7"/>
          <c:tx>
            <c:strRef>
              <c:f>Emissões!$A$16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666666666666767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C1-4B64-9B52-0CAED1EBE673}"/>
                </c:ext>
              </c:extLst>
            </c:dLbl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Emissões!$B$16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C1-4B64-9B52-0CAED1EBE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05434335"/>
        <c:axId val="1151053455"/>
        <c:axId val="0"/>
      </c:bar3DChart>
      <c:catAx>
        <c:axId val="7054343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1053455"/>
        <c:crosses val="autoZero"/>
        <c:auto val="1"/>
        <c:lblAlgn val="ctr"/>
        <c:lblOffset val="100"/>
        <c:noMultiLvlLbl val="0"/>
      </c:catAx>
      <c:valAx>
        <c:axId val="11510534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>
                    <a:solidFill>
                      <a:sysClr val="windowText" lastClr="000000"/>
                    </a:solidFill>
                  </a:rPr>
                  <a:t>GWP (gCO2eq/MJ)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7054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0</xdr:row>
      <xdr:rowOff>118110</xdr:rowOff>
    </xdr:from>
    <xdr:to>
      <xdr:col>20</xdr:col>
      <xdr:colOff>411480</xdr:colOff>
      <xdr:row>16</xdr:row>
      <xdr:rowOff>118110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4BA12C-43F0-4CD4-8E67-54ADBB118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17</xdr:row>
      <xdr:rowOff>87630</xdr:rowOff>
    </xdr:from>
    <xdr:to>
      <xdr:col>20</xdr:col>
      <xdr:colOff>388620</xdr:colOff>
      <xdr:row>32</xdr:row>
      <xdr:rowOff>87630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D71C7E-D66A-4FC3-B482-5E897059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99060</xdr:colOff>
      <xdr:row>32</xdr:row>
      <xdr:rowOff>156210</xdr:rowOff>
    </xdr:from>
    <xdr:to>
      <xdr:col>20</xdr:col>
      <xdr:colOff>403860</xdr:colOff>
      <xdr:row>47</xdr:row>
      <xdr:rowOff>156210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F2D361-4D16-4F2C-82AB-24BBD1575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16</xdr:row>
      <xdr:rowOff>156960</xdr:rowOff>
    </xdr:from>
    <xdr:to>
      <xdr:col>5</xdr:col>
      <xdr:colOff>41910</xdr:colOff>
      <xdr:row>20</xdr:row>
      <xdr:rowOff>114299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6671728-6724-4A10-B62F-3A67BE68A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9210"/>
          <a:ext cx="3293110" cy="6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53340</xdr:rowOff>
    </xdr:from>
    <xdr:to>
      <xdr:col>5</xdr:col>
      <xdr:colOff>285750</xdr:colOff>
      <xdr:row>23</xdr:row>
      <xdr:rowOff>172750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EA05B02-EAAA-42EB-A48B-3ABF44DA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0940"/>
          <a:ext cx="3535680" cy="48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127000</xdr:colOff>
      <xdr:row>1</xdr:row>
      <xdr:rowOff>133350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03DAB97-0A6C-4A46-97B5-5FAD29FAC219}"/>
            </a:ext>
          </a:extLst>
        </xdr:cNvPr>
        <xdr:cNvSpPr txBox="1"/>
      </xdr:nvSpPr>
      <xdr:spPr>
        <a:xfrm>
          <a:off x="7645400" y="31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5</xdr:col>
      <xdr:colOff>144780</xdr:colOff>
      <xdr:row>1</xdr:row>
      <xdr:rowOff>132080</xdr:rowOff>
    </xdr:from>
    <xdr:to>
      <xdr:col>12</xdr:col>
      <xdr:colOff>449580</xdr:colOff>
      <xdr:row>17</xdr:row>
      <xdr:rowOff>132080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FFCA139-771D-4B81-823D-79A1A7B50D27}"/>
            </a:ext>
          </a:extLst>
        </xdr:cNvPr>
        <xdr:cNvGrpSpPr/>
      </xdr:nvGrpSpPr>
      <xdr:grpSpPr>
        <a:xfrm>
          <a:off x="3395980" y="316230"/>
          <a:ext cx="4572000" cy="3041650"/>
          <a:chOff x="3395980" y="316230"/>
          <a:chExt cx="4572000" cy="296545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B1AF793-BBD1-453E-B063-7BEE93292329}"/>
              </a:ext>
            </a:extLst>
          </xdr:cNvPr>
          <xdr:cNvGraphicFramePr/>
        </xdr:nvGraphicFramePr>
        <xdr:xfrm>
          <a:off x="3395980" y="316230"/>
          <a:ext cx="4572000" cy="2965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AF544370-697D-42D5-8CDD-B1194048FD45}"/>
              </a:ext>
            </a:extLst>
          </xdr:cNvPr>
          <xdr:cNvSpPr txBox="1"/>
        </xdr:nvSpPr>
        <xdr:spPr>
          <a:xfrm>
            <a:off x="3397250" y="323850"/>
            <a:ext cx="398251" cy="2693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</a:p>
        </xdr:txBody>
      </xdr:sp>
    </xdr:grpSp>
    <xdr:clientData/>
  </xdr:twoCellAnchor>
  <xdr:twoCellAnchor>
    <xdr:from>
      <xdr:col>5</xdr:col>
      <xdr:colOff>419100</xdr:colOff>
      <xdr:row>22</xdr:row>
      <xdr:rowOff>162560</xdr:rowOff>
    </xdr:from>
    <xdr:to>
      <xdr:col>13</xdr:col>
      <xdr:colOff>116840</xdr:colOff>
      <xdr:row>37</xdr:row>
      <xdr:rowOff>162560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71177BB-6290-41D5-8C94-73D4547E5856}"/>
            </a:ext>
          </a:extLst>
        </xdr:cNvPr>
        <xdr:cNvGrpSpPr/>
      </xdr:nvGrpSpPr>
      <xdr:grpSpPr>
        <a:xfrm>
          <a:off x="3670300" y="4309110"/>
          <a:ext cx="4574540" cy="2762250"/>
          <a:chOff x="3670300" y="4232910"/>
          <a:chExt cx="4574540" cy="276225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244BF1D-212A-4536-8299-1F5B6C990098}"/>
              </a:ext>
            </a:extLst>
          </xdr:cNvPr>
          <xdr:cNvGraphicFramePr/>
        </xdr:nvGraphicFramePr>
        <xdr:xfrm>
          <a:off x="3672840" y="4232910"/>
          <a:ext cx="4572000" cy="2762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815FE24-BB37-4B47-9CB8-E8877710B181}"/>
              </a:ext>
            </a:extLst>
          </xdr:cNvPr>
          <xdr:cNvSpPr txBox="1"/>
        </xdr:nvSpPr>
        <xdr:spPr>
          <a:xfrm>
            <a:off x="3670300" y="4241800"/>
            <a:ext cx="398251" cy="2693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1</xdr:row>
      <xdr:rowOff>129540</xdr:rowOff>
    </xdr:from>
    <xdr:to>
      <xdr:col>22</xdr:col>
      <xdr:colOff>30480</xdr:colOff>
      <xdr:row>19</xdr:row>
      <xdr:rowOff>83820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F2CF79E-6B8F-4826-AF17-DAE2D440E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137161</xdr:colOff>
      <xdr:row>18</xdr:row>
      <xdr:rowOff>57150</xdr:rowOff>
    </xdr:from>
    <xdr:to>
      <xdr:col>22</xdr:col>
      <xdr:colOff>403861</xdr:colOff>
      <xdr:row>19</xdr:row>
      <xdr:rowOff>138830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8BE1B6EC-57C2-4E4D-856D-E87462C58B42}"/>
            </a:ext>
          </a:extLst>
        </xdr:cNvPr>
        <xdr:cNvSpPr txBox="1"/>
      </xdr:nvSpPr>
      <xdr:spPr>
        <a:xfrm>
          <a:off x="14188441" y="3348990"/>
          <a:ext cx="266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*</a:t>
          </a:r>
        </a:p>
      </xdr:txBody>
    </xdr:sp>
    <xdr:clientData/>
  </xdr:twoCellAnchor>
  <xdr:twoCellAnchor>
    <xdr:from>
      <xdr:col>5</xdr:col>
      <xdr:colOff>510540</xdr:colOff>
      <xdr:row>1</xdr:row>
      <xdr:rowOff>118110</xdr:rowOff>
    </xdr:from>
    <xdr:to>
      <xdr:col>14</xdr:col>
      <xdr:colOff>45720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1BB6A-9DA6-4F0C-93C8-0F0DE14F0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13</xdr:row>
      <xdr:rowOff>133350</xdr:rowOff>
    </xdr:from>
    <xdr:to>
      <xdr:col>15</xdr:col>
      <xdr:colOff>320040</xdr:colOff>
      <xdr:row>28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EE56C-A49E-4877-B367-C22BB7B66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0</xdr:row>
      <xdr:rowOff>60960</xdr:rowOff>
    </xdr:from>
    <xdr:to>
      <xdr:col>19</xdr:col>
      <xdr:colOff>1318260</xdr:colOff>
      <xdr:row>12</xdr:row>
      <xdr:rowOff>172454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F3F68FA-1F66-4B0C-993C-1DB994902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7480" y="60960"/>
          <a:ext cx="5265420" cy="2443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228600</xdr:colOff>
      <xdr:row>18</xdr:row>
      <xdr:rowOff>129541</xdr:rowOff>
    </xdr:from>
    <xdr:to>
      <xdr:col>11</xdr:col>
      <xdr:colOff>815339</xdr:colOff>
      <xdr:row>30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5E2015-C78D-4346-A5BD-5368A804B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9960" y="3634741"/>
          <a:ext cx="4450079" cy="2225039"/>
        </a:xfrm>
        <a:prstGeom prst="rect">
          <a:avLst/>
        </a:prstGeom>
      </xdr:spPr>
    </xdr:pic>
    <xdr:clientData/>
  </xdr:twoCellAnchor>
  <xdr:twoCellAnchor editAs="oneCell">
    <xdr:from>
      <xdr:col>20</xdr:col>
      <xdr:colOff>68580</xdr:colOff>
      <xdr:row>0</xdr:row>
      <xdr:rowOff>91440</xdr:rowOff>
    </xdr:from>
    <xdr:to>
      <xdr:col>27</xdr:col>
      <xdr:colOff>472440</xdr:colOff>
      <xdr:row>12</xdr:row>
      <xdr:rowOff>95249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356EA0E-ECBD-4904-AA16-389903C36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0" y="91440"/>
          <a:ext cx="4671060" cy="2335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9D5A-2DED-48FF-A00C-467368A2D7E1}">
  <dimension ref="A1:D16"/>
  <sheetViews>
    <sheetView zoomScale="120" zoomScaleNormal="120" workbookViewId="0">
      <selection activeCell="F33" sqref="F33"/>
    </sheetView>
  </sheetViews>
  <sheetFormatPr defaultRowHeight="14.4" x14ac:dyDescent="0.3"/>
  <cols>
    <col min="1" max="1" width="11.88671875" bestFit="1" customWidth="1"/>
  </cols>
  <sheetData>
    <row r="1" spans="1:4" x14ac:dyDescent="0.3">
      <c r="B1" s="157" t="s">
        <v>6</v>
      </c>
      <c r="C1" s="157"/>
      <c r="D1" s="157"/>
    </row>
    <row r="2" spans="1:4" x14ac:dyDescent="0.3">
      <c r="A2" s="1" t="s">
        <v>0</v>
      </c>
      <c r="B2" s="3" t="s">
        <v>7</v>
      </c>
      <c r="C2" s="3" t="s">
        <v>125</v>
      </c>
      <c r="D2" s="4" t="s">
        <v>8</v>
      </c>
    </row>
    <row r="3" spans="1:4" s="37" customFormat="1" ht="16.2" x14ac:dyDescent="0.3">
      <c r="A3" s="1" t="s">
        <v>120</v>
      </c>
      <c r="B3" s="2">
        <v>7.6</v>
      </c>
      <c r="C3" s="2">
        <v>0.52</v>
      </c>
      <c r="D3" s="2"/>
    </row>
    <row r="4" spans="1:4" ht="16.2" x14ac:dyDescent="0.3">
      <c r="A4" s="15" t="s">
        <v>121</v>
      </c>
      <c r="B4" s="152">
        <v>2.4500000000000002</v>
      </c>
      <c r="C4" s="16">
        <v>0.66</v>
      </c>
      <c r="D4" s="15"/>
    </row>
    <row r="5" spans="1:4" ht="16.2" x14ac:dyDescent="0.3">
      <c r="A5" s="1" t="s">
        <v>122</v>
      </c>
      <c r="B5" s="2">
        <v>8.1999999999999993</v>
      </c>
      <c r="C5" s="2">
        <v>0.9</v>
      </c>
      <c r="D5" s="2"/>
    </row>
    <row r="6" spans="1:4" ht="16.2" x14ac:dyDescent="0.3">
      <c r="A6" s="1" t="s">
        <v>123</v>
      </c>
      <c r="B6" s="2">
        <v>9.3000000000000007</v>
      </c>
      <c r="C6" s="2">
        <v>0.51</v>
      </c>
      <c r="D6" s="2"/>
    </row>
    <row r="7" spans="1:4" ht="16.2" x14ac:dyDescent="0.3">
      <c r="A7" s="1" t="s">
        <v>124</v>
      </c>
      <c r="B7" s="2">
        <v>4.2</v>
      </c>
      <c r="C7" s="5">
        <v>0.96</v>
      </c>
      <c r="D7" s="2"/>
    </row>
    <row r="11" spans="1:4" x14ac:dyDescent="0.3">
      <c r="B11" s="157" t="s">
        <v>5</v>
      </c>
      <c r="C11" s="157"/>
      <c r="D11" s="157"/>
    </row>
    <row r="12" spans="1:4" x14ac:dyDescent="0.3">
      <c r="A12" s="1" t="s">
        <v>0</v>
      </c>
      <c r="B12" s="3" t="s">
        <v>7</v>
      </c>
      <c r="C12" s="3" t="s">
        <v>125</v>
      </c>
      <c r="D12" s="4" t="s">
        <v>8</v>
      </c>
    </row>
    <row r="13" spans="1:4" x14ac:dyDescent="0.3">
      <c r="A13" s="1" t="s">
        <v>116</v>
      </c>
      <c r="B13" s="2">
        <v>4.47</v>
      </c>
      <c r="C13" s="2">
        <v>0.3</v>
      </c>
      <c r="D13" s="2"/>
    </row>
    <row r="14" spans="1:4" x14ac:dyDescent="0.3">
      <c r="A14" s="1" t="s">
        <v>117</v>
      </c>
      <c r="B14" s="2">
        <v>4.17</v>
      </c>
      <c r="C14" s="2">
        <v>0.24</v>
      </c>
      <c r="D14" s="2"/>
    </row>
    <row r="15" spans="1:4" x14ac:dyDescent="0.3">
      <c r="A15" s="1" t="s">
        <v>118</v>
      </c>
      <c r="B15" s="2">
        <v>3.23</v>
      </c>
      <c r="C15" s="2">
        <v>0.69</v>
      </c>
      <c r="D15" s="2"/>
    </row>
    <row r="16" spans="1:4" x14ac:dyDescent="0.3">
      <c r="A16" s="150" t="s">
        <v>4</v>
      </c>
      <c r="B16" s="151">
        <v>0</v>
      </c>
      <c r="C16" s="151">
        <v>0</v>
      </c>
    </row>
  </sheetData>
  <mergeCells count="2">
    <mergeCell ref="B1:D1"/>
    <mergeCell ref="B11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C19A-F36C-4341-B2F7-92AAF0A20CB4}">
  <dimension ref="A1:I11"/>
  <sheetViews>
    <sheetView tabSelected="1" workbookViewId="0">
      <selection activeCell="G8" sqref="G8"/>
    </sheetView>
  </sheetViews>
  <sheetFormatPr defaultRowHeight="14.4" x14ac:dyDescent="0.3"/>
  <cols>
    <col min="1" max="1" width="49.109375" customWidth="1"/>
    <col min="2" max="2" width="10.44140625" customWidth="1"/>
    <col min="3" max="3" width="11.77734375" bestFit="1" customWidth="1"/>
    <col min="4" max="4" width="9.77734375" bestFit="1" customWidth="1"/>
    <col min="5" max="5" width="11.77734375" bestFit="1" customWidth="1"/>
    <col min="7" max="7" width="12.77734375" customWidth="1"/>
    <col min="8" max="8" width="11.77734375" bestFit="1" customWidth="1"/>
    <col min="9" max="9" width="12.33203125" bestFit="1" customWidth="1"/>
  </cols>
  <sheetData>
    <row r="1" spans="1:9" ht="21" x14ac:dyDescent="0.3">
      <c r="B1" s="158" t="s">
        <v>3</v>
      </c>
      <c r="C1" s="158"/>
      <c r="D1" s="159" t="s">
        <v>1</v>
      </c>
      <c r="E1" s="159"/>
      <c r="F1" s="159"/>
      <c r="G1" s="160" t="s">
        <v>2</v>
      </c>
      <c r="H1" s="160"/>
      <c r="I1" s="145" t="s">
        <v>4</v>
      </c>
    </row>
    <row r="2" spans="1:9" ht="18.600000000000001" customHeight="1" x14ac:dyDescent="0.3">
      <c r="B2" s="146" t="s">
        <v>12</v>
      </c>
      <c r="C2" s="146" t="s">
        <v>14</v>
      </c>
      <c r="D2" s="147" t="s">
        <v>13</v>
      </c>
      <c r="E2" s="147" t="s">
        <v>14</v>
      </c>
      <c r="F2" s="147" t="s">
        <v>15</v>
      </c>
      <c r="G2" s="148" t="s">
        <v>13</v>
      </c>
      <c r="H2" s="148" t="s">
        <v>14</v>
      </c>
      <c r="I2" s="145" t="s">
        <v>14</v>
      </c>
    </row>
    <row r="3" spans="1:9" ht="20.399999999999999" customHeight="1" x14ac:dyDescent="0.3">
      <c r="B3" s="146" t="s">
        <v>16</v>
      </c>
      <c r="C3" s="146" t="s">
        <v>16</v>
      </c>
      <c r="D3" s="147" t="s">
        <v>16</v>
      </c>
      <c r="E3" s="147" t="s">
        <v>16</v>
      </c>
      <c r="F3" s="147" t="s">
        <v>16</v>
      </c>
      <c r="G3" s="148" t="s">
        <v>16</v>
      </c>
      <c r="H3" s="148" t="s">
        <v>16</v>
      </c>
      <c r="I3" s="145" t="s">
        <v>16</v>
      </c>
    </row>
    <row r="4" spans="1:9" ht="18" customHeight="1" x14ac:dyDescent="0.35">
      <c r="A4" s="142" t="s">
        <v>115</v>
      </c>
      <c r="B4" s="143">
        <v>120</v>
      </c>
      <c r="C4" s="143">
        <v>19.3</v>
      </c>
      <c r="D4" s="140">
        <v>7.5</v>
      </c>
      <c r="E4" s="140">
        <v>55.6</v>
      </c>
      <c r="F4" s="140">
        <v>2.9</v>
      </c>
      <c r="G4" s="141">
        <v>75.400000000000006</v>
      </c>
      <c r="H4" s="141">
        <v>3.4</v>
      </c>
      <c r="I4" s="149">
        <v>115.7</v>
      </c>
    </row>
    <row r="5" spans="1:9" ht="19.2" customHeight="1" x14ac:dyDescent="0.3">
      <c r="A5" s="144" t="s">
        <v>9</v>
      </c>
      <c r="B5" s="130">
        <v>10.6</v>
      </c>
      <c r="C5" s="130">
        <v>22.1</v>
      </c>
      <c r="D5" s="131">
        <v>4.4000000000000004</v>
      </c>
      <c r="E5" s="132">
        <v>10.81</v>
      </c>
      <c r="F5" s="131">
        <v>8.5</v>
      </c>
      <c r="G5" s="133">
        <v>6.8</v>
      </c>
      <c r="H5" s="133">
        <v>14.5</v>
      </c>
      <c r="I5" s="134">
        <v>120.2</v>
      </c>
    </row>
    <row r="6" spans="1:9" ht="24" customHeight="1" x14ac:dyDescent="0.3">
      <c r="A6" s="144" t="s">
        <v>10</v>
      </c>
      <c r="B6" s="130">
        <v>294</v>
      </c>
      <c r="C6" s="130">
        <v>531.6</v>
      </c>
      <c r="D6" s="132">
        <v>119.85</v>
      </c>
      <c r="E6" s="131">
        <v>292.39999999999998</v>
      </c>
      <c r="F6" s="135">
        <f>(7500*B10)/1000</f>
        <v>138.75</v>
      </c>
      <c r="G6" s="133">
        <v>118.7</v>
      </c>
      <c r="H6" s="133">
        <v>337.1</v>
      </c>
      <c r="I6" s="134">
        <v>512.70000000000005</v>
      </c>
    </row>
    <row r="7" spans="1:9" ht="18" x14ac:dyDescent="0.3">
      <c r="A7" s="144" t="s">
        <v>11</v>
      </c>
      <c r="B7" s="136">
        <f t="shared" ref="B7:I7" si="0">B6/B5</f>
        <v>27.735849056603776</v>
      </c>
      <c r="C7" s="136">
        <f t="shared" si="0"/>
        <v>24.054298642533936</v>
      </c>
      <c r="D7" s="132">
        <f t="shared" si="0"/>
        <v>27.23863636363636</v>
      </c>
      <c r="E7" s="132">
        <f t="shared" si="0"/>
        <v>27.049028677150783</v>
      </c>
      <c r="F7" s="137">
        <f t="shared" si="0"/>
        <v>16.323529411764707</v>
      </c>
      <c r="G7" s="138">
        <f t="shared" si="0"/>
        <v>17.455882352941178</v>
      </c>
      <c r="H7" s="138">
        <f t="shared" si="0"/>
        <v>23.248275862068969</v>
      </c>
      <c r="I7" s="139">
        <f t="shared" si="0"/>
        <v>4.2653910149750418</v>
      </c>
    </row>
    <row r="8" spans="1:9" ht="18" x14ac:dyDescent="0.3">
      <c r="A8" s="144" t="s">
        <v>17</v>
      </c>
      <c r="B8" s="130">
        <v>29.4</v>
      </c>
      <c r="C8" s="130">
        <v>42.5</v>
      </c>
      <c r="D8" s="131">
        <v>22.9</v>
      </c>
      <c r="E8" s="131">
        <v>25.4</v>
      </c>
      <c r="F8" s="131">
        <v>50.7</v>
      </c>
      <c r="G8" s="138">
        <f>681*0.888*37.7/1000</f>
        <v>22.798245599999998</v>
      </c>
      <c r="H8" s="138">
        <f>85*26.81*0.791*76.1/1000</f>
        <v>137.17560363499999</v>
      </c>
      <c r="I8" s="134">
        <v>21.6</v>
      </c>
    </row>
    <row r="10" spans="1:9" ht="18" x14ac:dyDescent="0.3">
      <c r="A10" s="32" t="s">
        <v>42</v>
      </c>
      <c r="B10">
        <v>18.5</v>
      </c>
    </row>
    <row r="11" spans="1:9" x14ac:dyDescent="0.3">
      <c r="B11" s="37"/>
      <c r="C11" s="37"/>
      <c r="E11" s="37"/>
      <c r="F11" s="37"/>
      <c r="G11" s="37"/>
      <c r="H11" s="37"/>
      <c r="I11" s="37"/>
    </row>
  </sheetData>
  <mergeCells count="3">
    <mergeCell ref="B1:C1"/>
    <mergeCell ref="D1:F1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1275-50CE-4DF5-B866-533D420CAE08}">
  <dimension ref="A1:F25"/>
  <sheetViews>
    <sheetView workbookViewId="0">
      <selection activeCell="C20" sqref="C20"/>
    </sheetView>
  </sheetViews>
  <sheetFormatPr defaultRowHeight="14.4" x14ac:dyDescent="0.3"/>
  <cols>
    <col min="1" max="1" width="17.21875" bestFit="1" customWidth="1"/>
    <col min="5" max="5" width="9.88671875" bestFit="1" customWidth="1"/>
  </cols>
  <sheetData>
    <row r="1" spans="1:6" x14ac:dyDescent="0.3">
      <c r="A1" s="15"/>
      <c r="B1" s="15" t="s">
        <v>1</v>
      </c>
      <c r="C1" s="15" t="s">
        <v>2</v>
      </c>
      <c r="D1" s="15" t="s">
        <v>3</v>
      </c>
      <c r="E1" s="15" t="s">
        <v>4</v>
      </c>
    </row>
    <row r="2" spans="1:6" x14ac:dyDescent="0.3">
      <c r="A2" s="15" t="s">
        <v>19</v>
      </c>
      <c r="B2" s="39">
        <v>0.48299999999999998</v>
      </c>
      <c r="C2" s="34"/>
      <c r="D2" s="34"/>
      <c r="E2" s="34"/>
    </row>
    <row r="3" spans="1:6" x14ac:dyDescent="0.3">
      <c r="A3" s="15" t="s">
        <v>20</v>
      </c>
      <c r="B3" s="39">
        <v>0.52600000000000002</v>
      </c>
      <c r="C3" s="34"/>
      <c r="D3" s="38">
        <v>0.46500000000000002</v>
      </c>
      <c r="E3" s="5">
        <v>0.87</v>
      </c>
      <c r="F3" t="s">
        <v>62</v>
      </c>
    </row>
    <row r="4" spans="1:6" x14ac:dyDescent="0.3">
      <c r="A4" s="15" t="s">
        <v>23</v>
      </c>
      <c r="B4" s="40"/>
      <c r="C4" s="38">
        <v>0.48799999999999999</v>
      </c>
      <c r="D4" s="41"/>
      <c r="E4" s="34"/>
    </row>
    <row r="5" spans="1:6" x14ac:dyDescent="0.3">
      <c r="A5" s="15" t="s">
        <v>24</v>
      </c>
      <c r="B5" s="40">
        <f>AVERAGE(B2:B3)</f>
        <v>0.50449999999999995</v>
      </c>
      <c r="C5" s="38">
        <v>0.44400000000000001</v>
      </c>
      <c r="D5" s="38">
        <v>0.46500000000000002</v>
      </c>
      <c r="E5" s="70">
        <v>0.87</v>
      </c>
    </row>
    <row r="6" spans="1:6" x14ac:dyDescent="0.3">
      <c r="A6" s="15" t="s">
        <v>21</v>
      </c>
      <c r="B6" s="39">
        <v>0.84</v>
      </c>
      <c r="C6" s="38">
        <v>0.89</v>
      </c>
      <c r="D6" s="38">
        <v>0.65</v>
      </c>
      <c r="E6" s="16">
        <v>0.98</v>
      </c>
    </row>
    <row r="7" spans="1:6" x14ac:dyDescent="0.3">
      <c r="A7" s="15" t="s">
        <v>22</v>
      </c>
      <c r="B7" s="39">
        <v>0.78</v>
      </c>
      <c r="C7" s="38">
        <v>0.72</v>
      </c>
      <c r="D7" s="38">
        <v>0.64</v>
      </c>
      <c r="E7" s="16">
        <v>0.81</v>
      </c>
    </row>
    <row r="8" spans="1:6" x14ac:dyDescent="0.3">
      <c r="A8" s="15" t="s">
        <v>5</v>
      </c>
      <c r="B8" s="39">
        <v>0.59799999999999998</v>
      </c>
      <c r="C8" s="38">
        <v>0.66800000000000004</v>
      </c>
      <c r="D8" s="38">
        <v>0.623</v>
      </c>
      <c r="E8" s="34"/>
    </row>
    <row r="11" spans="1:6" x14ac:dyDescent="0.3">
      <c r="A11" s="17" t="s">
        <v>25</v>
      </c>
      <c r="B11" s="18">
        <v>2020</v>
      </c>
    </row>
    <row r="16" spans="1:6" x14ac:dyDescent="0.3">
      <c r="A16" t="s">
        <v>29</v>
      </c>
      <c r="B16" t="s">
        <v>44</v>
      </c>
    </row>
    <row r="18" spans="1:5" x14ac:dyDescent="0.3">
      <c r="A18" s="15"/>
      <c r="B18" s="15" t="s">
        <v>1</v>
      </c>
      <c r="C18" s="15" t="s">
        <v>2</v>
      </c>
      <c r="D18" s="15" t="s">
        <v>3</v>
      </c>
      <c r="E18" s="33" t="s">
        <v>4</v>
      </c>
    </row>
    <row r="19" spans="1:5" x14ac:dyDescent="0.3">
      <c r="A19" s="15" t="s">
        <v>13</v>
      </c>
      <c r="B19" s="16">
        <v>343</v>
      </c>
      <c r="C19" s="16">
        <v>324.5</v>
      </c>
      <c r="D19" s="35"/>
      <c r="E19" s="35"/>
    </row>
    <row r="20" spans="1:5" x14ac:dyDescent="0.3">
      <c r="A20" s="15" t="s">
        <v>14</v>
      </c>
      <c r="B20" s="16" t="s">
        <v>18</v>
      </c>
      <c r="C20" s="16">
        <v>21</v>
      </c>
      <c r="D20" s="16">
        <v>14.5</v>
      </c>
      <c r="E20" s="5" t="s">
        <v>45</v>
      </c>
    </row>
    <row r="21" spans="1:5" x14ac:dyDescent="0.3">
      <c r="A21" s="15" t="s">
        <v>15</v>
      </c>
      <c r="B21" s="16">
        <v>168.8</v>
      </c>
      <c r="C21" s="35"/>
      <c r="D21" s="35"/>
      <c r="E21" s="35"/>
    </row>
    <row r="22" spans="1:5" x14ac:dyDescent="0.3">
      <c r="A22" s="15" t="s">
        <v>38</v>
      </c>
      <c r="B22" s="35"/>
      <c r="C22" s="35"/>
      <c r="D22" s="16">
        <v>108</v>
      </c>
      <c r="E22" s="35"/>
    </row>
    <row r="25" spans="1:5" x14ac:dyDescent="0.3">
      <c r="A25" s="17" t="s">
        <v>25</v>
      </c>
      <c r="B25" s="18">
        <v>2019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140A-80D4-452D-8854-CFE88BB4C09C}">
  <dimension ref="A1:P39"/>
  <sheetViews>
    <sheetView topLeftCell="A17" workbookViewId="0">
      <selection activeCell="D40" sqref="D40"/>
    </sheetView>
  </sheetViews>
  <sheetFormatPr defaultRowHeight="14.4" x14ac:dyDescent="0.3"/>
  <cols>
    <col min="1" max="1" width="18.44140625" bestFit="1" customWidth="1"/>
    <col min="2" max="2" width="16.44140625" bestFit="1" customWidth="1"/>
    <col min="3" max="3" width="19.21875" bestFit="1" customWidth="1"/>
    <col min="4" max="4" width="14.6640625" bestFit="1" customWidth="1"/>
    <col min="5" max="5" width="15.44140625" bestFit="1" customWidth="1"/>
    <col min="8" max="8" width="14" bestFit="1" customWidth="1"/>
    <col min="9" max="9" width="10.88671875" bestFit="1" customWidth="1"/>
    <col min="12" max="12" width="9.88671875" bestFit="1" customWidth="1"/>
  </cols>
  <sheetData>
    <row r="1" spans="1:13" x14ac:dyDescent="0.3">
      <c r="A1" s="20" t="s">
        <v>1</v>
      </c>
      <c r="B1" s="6"/>
      <c r="C1" s="7"/>
      <c r="D1" s="22" t="s">
        <v>2</v>
      </c>
      <c r="E1" s="6"/>
      <c r="F1" s="6"/>
      <c r="G1" s="7"/>
      <c r="H1" s="25" t="s">
        <v>3</v>
      </c>
      <c r="I1" s="6"/>
      <c r="J1" s="6"/>
      <c r="K1" s="7"/>
      <c r="L1" s="19" t="s">
        <v>4</v>
      </c>
      <c r="M1" t="s">
        <v>18</v>
      </c>
    </row>
    <row r="2" spans="1:13" x14ac:dyDescent="0.3">
      <c r="A2" s="8"/>
      <c r="B2" s="10"/>
      <c r="C2" s="9"/>
      <c r="D2" s="8"/>
      <c r="E2" s="10"/>
      <c r="F2" s="10"/>
      <c r="G2" s="9"/>
      <c r="H2" s="8"/>
      <c r="I2" s="10"/>
      <c r="J2" s="10"/>
      <c r="K2" s="9"/>
    </row>
    <row r="3" spans="1:13" x14ac:dyDescent="0.3">
      <c r="A3" s="21" t="s">
        <v>28</v>
      </c>
      <c r="B3" s="10"/>
      <c r="C3" s="9"/>
      <c r="D3" s="23" t="s">
        <v>28</v>
      </c>
      <c r="E3" s="10"/>
      <c r="F3" s="10"/>
      <c r="G3" s="9"/>
      <c r="H3" s="24" t="s">
        <v>28</v>
      </c>
      <c r="I3" s="10"/>
      <c r="J3" s="10"/>
      <c r="K3" s="9"/>
    </row>
    <row r="4" spans="1:13" x14ac:dyDescent="0.3">
      <c r="A4" s="8"/>
      <c r="B4" s="10" t="s">
        <v>27</v>
      </c>
      <c r="C4" s="9"/>
      <c r="D4" s="8"/>
      <c r="E4" s="10" t="s">
        <v>27</v>
      </c>
      <c r="F4" s="10"/>
      <c r="G4" s="9"/>
      <c r="H4" s="8"/>
      <c r="I4" s="10" t="s">
        <v>27</v>
      </c>
      <c r="J4" s="10"/>
      <c r="K4" s="9"/>
    </row>
    <row r="5" spans="1:13" x14ac:dyDescent="0.3">
      <c r="A5" s="8" t="s">
        <v>19</v>
      </c>
      <c r="B5" s="10">
        <v>26</v>
      </c>
      <c r="C5" s="9" t="s">
        <v>119</v>
      </c>
      <c r="D5" s="8" t="s">
        <v>26</v>
      </c>
      <c r="E5" s="10">
        <v>22.1</v>
      </c>
      <c r="F5" s="14" t="s">
        <v>35</v>
      </c>
      <c r="G5" s="9"/>
      <c r="H5" s="8" t="s">
        <v>26</v>
      </c>
      <c r="I5" s="10">
        <v>15.5</v>
      </c>
      <c r="J5" s="10" t="s">
        <v>36</v>
      </c>
      <c r="K5" s="9"/>
      <c r="M5">
        <v>28.6</v>
      </c>
    </row>
    <row r="6" spans="1:13" x14ac:dyDescent="0.3">
      <c r="A6" s="8" t="s">
        <v>26</v>
      </c>
      <c r="B6" s="26">
        <v>54</v>
      </c>
      <c r="C6" s="9" t="s">
        <v>119</v>
      </c>
      <c r="D6" s="8" t="s">
        <v>19</v>
      </c>
      <c r="E6" s="10">
        <v>29.4</v>
      </c>
      <c r="F6" s="14" t="s">
        <v>35</v>
      </c>
      <c r="G6" s="9"/>
      <c r="H6" s="8" t="s">
        <v>37</v>
      </c>
      <c r="I6" s="10">
        <v>14</v>
      </c>
      <c r="J6" s="10" t="s">
        <v>36</v>
      </c>
      <c r="K6" s="9"/>
    </row>
    <row r="7" spans="1:13" x14ac:dyDescent="0.3">
      <c r="A7" s="8" t="s">
        <v>5</v>
      </c>
      <c r="B7" s="10">
        <v>18</v>
      </c>
      <c r="C7" s="9" t="s">
        <v>119</v>
      </c>
      <c r="D7" s="8" t="s">
        <v>5</v>
      </c>
      <c r="E7" s="10">
        <v>28</v>
      </c>
      <c r="F7" s="14" t="s">
        <v>35</v>
      </c>
      <c r="G7" s="9"/>
      <c r="H7" s="8"/>
      <c r="I7" s="10"/>
      <c r="J7" s="10"/>
      <c r="K7" s="9"/>
    </row>
    <row r="8" spans="1:13" x14ac:dyDescent="0.3">
      <c r="A8" s="8"/>
      <c r="B8" s="10"/>
      <c r="C8" s="9"/>
      <c r="D8" s="8" t="s">
        <v>34</v>
      </c>
      <c r="E8" s="10">
        <v>7.18</v>
      </c>
      <c r="F8" s="10" t="s">
        <v>33</v>
      </c>
      <c r="G8" s="9"/>
      <c r="H8" s="8"/>
      <c r="I8" s="10"/>
      <c r="J8" s="10"/>
      <c r="K8" s="9"/>
    </row>
    <row r="9" spans="1:13" ht="15" thickBot="1" x14ac:dyDescent="0.35">
      <c r="A9" s="8"/>
      <c r="B9" s="10"/>
      <c r="C9" s="9"/>
      <c r="D9" s="8"/>
      <c r="E9" s="10"/>
      <c r="F9" s="10"/>
      <c r="G9" s="9"/>
      <c r="H9" s="8"/>
      <c r="I9" s="10"/>
      <c r="J9" s="10"/>
      <c r="K9" s="9"/>
    </row>
    <row r="10" spans="1:13" x14ac:dyDescent="0.3">
      <c r="A10" s="28" t="s">
        <v>29</v>
      </c>
      <c r="B10" s="6"/>
      <c r="C10" s="7"/>
      <c r="D10" s="22" t="s">
        <v>29</v>
      </c>
      <c r="E10" s="6"/>
      <c r="F10" s="6"/>
      <c r="G10" s="7"/>
      <c r="H10" s="29" t="s">
        <v>29</v>
      </c>
      <c r="I10" s="6"/>
      <c r="J10" s="6"/>
      <c r="K10" s="7"/>
    </row>
    <row r="11" spans="1:13" x14ac:dyDescent="0.3">
      <c r="A11" s="8"/>
      <c r="B11" s="10" t="s">
        <v>30</v>
      </c>
      <c r="C11" s="9"/>
      <c r="D11" s="8"/>
      <c r="E11" s="26" t="s">
        <v>32</v>
      </c>
      <c r="F11" s="10"/>
      <c r="G11" s="9"/>
      <c r="H11" s="8"/>
      <c r="I11" s="10" t="s">
        <v>41</v>
      </c>
      <c r="J11" s="10"/>
      <c r="K11" s="9"/>
    </row>
    <row r="12" spans="1:13" x14ac:dyDescent="0.3">
      <c r="A12" s="8" t="s">
        <v>13</v>
      </c>
      <c r="B12" s="10">
        <v>245.4</v>
      </c>
      <c r="C12" s="9" t="s">
        <v>40</v>
      </c>
      <c r="D12" s="8" t="s">
        <v>13</v>
      </c>
      <c r="E12" s="10">
        <v>19.2</v>
      </c>
      <c r="F12" s="10"/>
      <c r="G12" s="9"/>
      <c r="H12" s="8" t="s">
        <v>38</v>
      </c>
      <c r="I12" s="30">
        <f>0.3*1000*-1</f>
        <v>-300</v>
      </c>
      <c r="J12" s="10" t="s">
        <v>36</v>
      </c>
      <c r="K12" s="9"/>
    </row>
    <row r="13" spans="1:13" ht="15" thickBot="1" x14ac:dyDescent="0.35">
      <c r="A13" s="11" t="s">
        <v>15</v>
      </c>
      <c r="B13" s="12">
        <v>209</v>
      </c>
      <c r="C13" s="13" t="s">
        <v>39</v>
      </c>
      <c r="D13" s="11" t="s">
        <v>14</v>
      </c>
      <c r="E13" s="12">
        <v>15</v>
      </c>
      <c r="F13" s="12" t="s">
        <v>31</v>
      </c>
      <c r="G13" s="13"/>
      <c r="H13" s="11" t="s">
        <v>14</v>
      </c>
      <c r="I13" s="31">
        <f>0.017*1000</f>
        <v>17</v>
      </c>
      <c r="J13" s="12"/>
      <c r="K13" s="13"/>
    </row>
    <row r="15" spans="1:13" x14ac:dyDescent="0.3">
      <c r="A15" s="27"/>
      <c r="B15" s="27" t="s">
        <v>32</v>
      </c>
    </row>
    <row r="16" spans="1:13" x14ac:dyDescent="0.3">
      <c r="A16" s="27" t="s">
        <v>43</v>
      </c>
      <c r="B16" s="27">
        <v>85</v>
      </c>
    </row>
    <row r="19" spans="1:16" x14ac:dyDescent="0.3">
      <c r="B19" s="45" t="s">
        <v>1</v>
      </c>
      <c r="C19" s="45" t="s">
        <v>2</v>
      </c>
      <c r="D19" s="45" t="s">
        <v>3</v>
      </c>
      <c r="E19" s="45" t="s">
        <v>4</v>
      </c>
    </row>
    <row r="20" spans="1:16" x14ac:dyDescent="0.3">
      <c r="A20" s="50" t="s">
        <v>46</v>
      </c>
      <c r="B20" s="48">
        <v>1073000000</v>
      </c>
      <c r="C20" s="44">
        <f>35300*10^6</f>
        <v>35300000000</v>
      </c>
      <c r="D20" s="44">
        <f>450*10^6</f>
        <v>450000000</v>
      </c>
      <c r="E20" s="44">
        <f>269*10^6</f>
        <v>269000000</v>
      </c>
    </row>
    <row r="21" spans="1:16" x14ac:dyDescent="0.3">
      <c r="A21" s="50" t="s">
        <v>47</v>
      </c>
      <c r="B21" s="44">
        <v>2150000000</v>
      </c>
      <c r="C21" s="44">
        <f>5902.5*10^6</f>
        <v>5902500000</v>
      </c>
      <c r="D21" s="44">
        <f>610*10^6</f>
        <v>610000000</v>
      </c>
      <c r="E21" s="50" t="s">
        <v>50</v>
      </c>
    </row>
    <row r="22" spans="1:16" x14ac:dyDescent="0.3">
      <c r="A22" s="49"/>
      <c r="B22" s="46" t="s">
        <v>1</v>
      </c>
      <c r="C22" s="46" t="s">
        <v>2</v>
      </c>
      <c r="D22" s="46" t="s">
        <v>3</v>
      </c>
      <c r="E22" s="46" t="s">
        <v>4</v>
      </c>
    </row>
    <row r="23" spans="1:16" x14ac:dyDescent="0.3">
      <c r="A23" s="52" t="s">
        <v>48</v>
      </c>
      <c r="B23" s="47">
        <f>B20*26.81*0.791</f>
        <v>22754799830</v>
      </c>
      <c r="C23" s="47">
        <f>C20*26.81*0.791</f>
        <v>748596863000</v>
      </c>
      <c r="D23" s="47">
        <f>D20*26.81*0.791</f>
        <v>9543019500</v>
      </c>
      <c r="E23" s="47">
        <f>E20*26.81*0.791</f>
        <v>5704604990</v>
      </c>
    </row>
    <row r="24" spans="1:16" x14ac:dyDescent="0.3">
      <c r="A24" s="52" t="s">
        <v>49</v>
      </c>
      <c r="B24" s="47">
        <f>B21*37.7*0.88</f>
        <v>71328400000</v>
      </c>
      <c r="C24" s="47">
        <f>C21*37.7*0.88</f>
        <v>195821340000.00003</v>
      </c>
      <c r="D24" s="47">
        <f t="shared" ref="D24" si="0">D21*37.7*0.88</f>
        <v>20237360000</v>
      </c>
      <c r="E24" s="52" t="s">
        <v>50</v>
      </c>
    </row>
    <row r="25" spans="1:16" x14ac:dyDescent="0.3">
      <c r="A25" s="49"/>
      <c r="B25" s="46" t="s">
        <v>1</v>
      </c>
      <c r="C25" s="46" t="s">
        <v>2</v>
      </c>
      <c r="D25" s="46" t="s">
        <v>3</v>
      </c>
      <c r="E25" s="46" t="s">
        <v>4</v>
      </c>
    </row>
    <row r="26" spans="1:16" x14ac:dyDescent="0.3">
      <c r="A26" s="51" t="s">
        <v>55</v>
      </c>
      <c r="B26" s="63">
        <f>((0.5*B23*B5)+(0.5*B23*B6))/(10^9)</f>
        <v>910.19199319999996</v>
      </c>
      <c r="C26" s="63">
        <f>C23*E5/(10^9)</f>
        <v>16543.990672300002</v>
      </c>
      <c r="D26" s="63">
        <f>D23*I5/(10^9)</f>
        <v>147.91680224999999</v>
      </c>
      <c r="E26" s="153">
        <f>E23*M5/(10^9)</f>
        <v>163.15170271400001</v>
      </c>
      <c r="F26" t="s">
        <v>59</v>
      </c>
    </row>
    <row r="27" spans="1:16" x14ac:dyDescent="0.3">
      <c r="A27" s="51" t="s">
        <v>56</v>
      </c>
      <c r="B27" s="63">
        <f>B24*B7/(10^9)</f>
        <v>1283.9112</v>
      </c>
      <c r="C27" s="63">
        <f>C24*E7/(10^9)</f>
        <v>5482.9975200000008</v>
      </c>
      <c r="D27" s="63">
        <f>D24*I6/(10^9)</f>
        <v>283.32303999999999</v>
      </c>
      <c r="E27" s="51" t="s">
        <v>50</v>
      </c>
    </row>
    <row r="28" spans="1:16" x14ac:dyDescent="0.3">
      <c r="A28" s="49"/>
      <c r="B28" s="46" t="s">
        <v>1</v>
      </c>
      <c r="C28" s="46" t="s">
        <v>2</v>
      </c>
      <c r="D28" s="46" t="s">
        <v>3</v>
      </c>
      <c r="E28" s="46" t="s">
        <v>4</v>
      </c>
    </row>
    <row r="29" spans="1:16" x14ac:dyDescent="0.3">
      <c r="A29" s="54" t="s">
        <v>57</v>
      </c>
      <c r="B29" s="64">
        <f>B23*87.4/(10^9)</f>
        <v>1988.7695051420003</v>
      </c>
      <c r="C29" s="64">
        <f>C23*87.4/(10^9)</f>
        <v>65427.36582620001</v>
      </c>
      <c r="D29" s="64">
        <f>D23*87.4/(10^9)</f>
        <v>834.05990429999997</v>
      </c>
      <c r="E29" s="64">
        <f>E23*87.4/(10^9)</f>
        <v>498.58247612600007</v>
      </c>
      <c r="F29" s="161" t="s">
        <v>61</v>
      </c>
      <c r="G29" s="162"/>
      <c r="H29" s="162"/>
      <c r="I29" s="162"/>
      <c r="J29" s="162"/>
      <c r="K29" s="162"/>
      <c r="L29" s="162"/>
      <c r="M29" s="162"/>
      <c r="N29" s="162"/>
      <c r="O29" s="162"/>
      <c r="P29" s="162"/>
    </row>
    <row r="30" spans="1:16" x14ac:dyDescent="0.3">
      <c r="A30" s="54" t="s">
        <v>58</v>
      </c>
      <c r="B30" s="64">
        <f>B24*84.3/(10^9)</f>
        <v>6012.9841200000001</v>
      </c>
      <c r="C30" s="64">
        <f>C24*84.3/(10^9)</f>
        <v>16507.738962000003</v>
      </c>
      <c r="D30" s="64">
        <f>D24*84.3/(10^9)</f>
        <v>1706.009448</v>
      </c>
      <c r="E30" s="53"/>
      <c r="F30" s="161"/>
      <c r="G30" s="162"/>
      <c r="H30" s="162"/>
      <c r="I30" s="162"/>
      <c r="J30" s="162"/>
      <c r="K30" s="162"/>
      <c r="L30" s="162"/>
      <c r="M30" s="162"/>
      <c r="N30" s="162"/>
      <c r="O30" s="162"/>
      <c r="P30" s="162"/>
    </row>
    <row r="31" spans="1:16" x14ac:dyDescent="0.3">
      <c r="B31" s="46" t="s">
        <v>1</v>
      </c>
      <c r="C31" s="46" t="s">
        <v>2</v>
      </c>
      <c r="D31" s="46" t="s">
        <v>3</v>
      </c>
      <c r="E31" s="46" t="s">
        <v>4</v>
      </c>
    </row>
    <row r="32" spans="1:16" x14ac:dyDescent="0.3">
      <c r="A32" s="55" t="s">
        <v>51</v>
      </c>
      <c r="B32" s="56">
        <f>100-(B26/B29)*100</f>
        <v>54.23340961098399</v>
      </c>
      <c r="C32" s="56">
        <f>100-(C26/C29)*100</f>
        <v>74.713958810068647</v>
      </c>
      <c r="D32" s="56">
        <f>100-(D26/D29)*100</f>
        <v>82.265446224256294</v>
      </c>
      <c r="E32" s="56">
        <f>100-(E26/E29)*100</f>
        <v>67.276887871853546</v>
      </c>
    </row>
    <row r="33" spans="1:6" x14ac:dyDescent="0.3">
      <c r="A33" s="55" t="s">
        <v>52</v>
      </c>
      <c r="B33" s="56">
        <f>100-(B27/B30)*100</f>
        <v>78.64768683274022</v>
      </c>
      <c r="C33" s="56">
        <f t="shared" ref="C33:D33" si="1">100-(C27/C30)*100</f>
        <v>66.785290628707003</v>
      </c>
      <c r="D33" s="56">
        <f t="shared" si="1"/>
        <v>83.392645314353501</v>
      </c>
      <c r="E33" s="57" t="s">
        <v>50</v>
      </c>
    </row>
    <row r="35" spans="1:6" x14ac:dyDescent="0.3">
      <c r="B35" s="45" t="s">
        <v>1</v>
      </c>
      <c r="C35" s="45" t="s">
        <v>2</v>
      </c>
      <c r="D35" s="45" t="s">
        <v>3</v>
      </c>
      <c r="E35" s="45" t="s">
        <v>4</v>
      </c>
    </row>
    <row r="36" spans="1:6" x14ac:dyDescent="0.3">
      <c r="A36" s="58" t="s">
        <v>53</v>
      </c>
      <c r="B36" s="59">
        <f>((0.542*B29)+(0.786*B30))*1000</f>
        <v>5804118.5901069641</v>
      </c>
      <c r="C36" s="59">
        <f>(((C32/100)*C29)+(0.668*C30))*1000</f>
        <v>59910544.780516006</v>
      </c>
      <c r="D36" s="59">
        <f>(((D32/100)*D29)+(0.834*D30))*1000</f>
        <v>2108954.9816819998</v>
      </c>
      <c r="E36" s="154">
        <f>0.673*(E29)*1000</f>
        <v>335546.00643279811</v>
      </c>
      <c r="F36" t="s">
        <v>60</v>
      </c>
    </row>
    <row r="37" spans="1:6" x14ac:dyDescent="0.3">
      <c r="A37" s="60" t="s">
        <v>54</v>
      </c>
      <c r="B37" s="61">
        <f>B36*10</f>
        <v>58041185.901069641</v>
      </c>
      <c r="C37" s="62">
        <f t="shared" ref="C37:D37" si="2">C36*10</f>
        <v>599105447.80516005</v>
      </c>
      <c r="D37" s="62">
        <f t="shared" si="2"/>
        <v>21089549.816819996</v>
      </c>
      <c r="E37" s="155">
        <f>E36*10</f>
        <v>3355460.0643279813</v>
      </c>
    </row>
    <row r="39" spans="1:6" x14ac:dyDescent="0.3">
      <c r="C39" s="59">
        <f>(((C32/100)*C29))*1000</f>
        <v>48883375.153900005</v>
      </c>
      <c r="D39" s="59">
        <f>(((D32/100)*D29))*1000</f>
        <v>686143.10204999987</v>
      </c>
    </row>
  </sheetData>
  <mergeCells count="1">
    <mergeCell ref="F29:P3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42CC-8365-43B8-823F-A176A37858E1}">
  <dimension ref="A1:T50"/>
  <sheetViews>
    <sheetView workbookViewId="0">
      <selection activeCell="D54" sqref="D54"/>
    </sheetView>
  </sheetViews>
  <sheetFormatPr defaultRowHeight="14.4" x14ac:dyDescent="0.3"/>
  <cols>
    <col min="1" max="1" width="26.6640625" bestFit="1" customWidth="1"/>
    <col min="2" max="2" width="16.109375" customWidth="1"/>
    <col min="3" max="3" width="28.44140625" bestFit="1" customWidth="1"/>
    <col min="4" max="4" width="35.109375" customWidth="1"/>
    <col min="5" max="5" width="25.77734375" bestFit="1" customWidth="1"/>
    <col min="6" max="6" width="31.109375" bestFit="1" customWidth="1"/>
    <col min="7" max="7" width="28.77734375" customWidth="1"/>
    <col min="8" max="8" width="23.109375" bestFit="1" customWidth="1"/>
    <col min="9" max="9" width="28.88671875" bestFit="1" customWidth="1"/>
    <col min="10" max="10" width="27.44140625" bestFit="1" customWidth="1"/>
    <col min="11" max="11" width="28.88671875" bestFit="1" customWidth="1"/>
    <col min="12" max="15" width="25.6640625" bestFit="1" customWidth="1"/>
    <col min="16" max="16" width="27.44140625" bestFit="1" customWidth="1"/>
    <col min="17" max="17" width="20.33203125" bestFit="1" customWidth="1"/>
    <col min="18" max="19" width="20.5546875" bestFit="1" customWidth="1"/>
    <col min="20" max="20" width="25.6640625" bestFit="1" customWidth="1"/>
  </cols>
  <sheetData>
    <row r="1" spans="1:20" ht="15.6" x14ac:dyDescent="0.3">
      <c r="A1" s="65" t="s">
        <v>2</v>
      </c>
      <c r="B1" t="s">
        <v>93</v>
      </c>
    </row>
    <row r="2" spans="1:20" ht="15.6" x14ac:dyDescent="0.3">
      <c r="A2" s="1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20" ht="15.6" x14ac:dyDescent="0.3">
      <c r="A3" s="88" t="s">
        <v>79</v>
      </c>
      <c r="B3" s="66"/>
      <c r="C3" s="98" t="s">
        <v>80</v>
      </c>
      <c r="D3" s="98" t="s">
        <v>81</v>
      </c>
      <c r="E3" s="71" t="s">
        <v>82</v>
      </c>
      <c r="F3" s="71" t="s">
        <v>77</v>
      </c>
      <c r="G3" s="90"/>
      <c r="H3" s="71" t="s">
        <v>83</v>
      </c>
      <c r="I3" s="71" t="s">
        <v>75</v>
      </c>
      <c r="J3" s="71" t="s">
        <v>87</v>
      </c>
      <c r="K3" s="71" t="s">
        <v>85</v>
      </c>
      <c r="L3" s="71" t="s">
        <v>86</v>
      </c>
      <c r="M3" s="71" t="s">
        <v>88</v>
      </c>
      <c r="N3" s="71" t="s">
        <v>89</v>
      </c>
      <c r="O3" s="104" t="s">
        <v>90</v>
      </c>
      <c r="P3" s="71" t="s">
        <v>91</v>
      </c>
    </row>
    <row r="4" spans="1:20" ht="15.6" x14ac:dyDescent="0.3">
      <c r="A4" s="91"/>
      <c r="B4" s="100"/>
      <c r="C4" s="99"/>
      <c r="D4" s="100"/>
      <c r="E4" s="103"/>
      <c r="F4" s="103"/>
      <c r="G4" s="93"/>
      <c r="H4" s="67"/>
      <c r="I4" s="100"/>
      <c r="J4" s="15"/>
      <c r="K4" s="105"/>
      <c r="L4" s="106"/>
      <c r="M4" s="42"/>
      <c r="N4" s="103"/>
      <c r="O4" s="107"/>
      <c r="P4" s="15"/>
    </row>
    <row r="5" spans="1:20" ht="15.6" x14ac:dyDescent="0.3">
      <c r="A5" s="91"/>
      <c r="B5" s="102">
        <v>2018</v>
      </c>
      <c r="C5" s="101">
        <v>36</v>
      </c>
      <c r="D5" s="101">
        <v>64</v>
      </c>
      <c r="E5" s="128">
        <f>8.6*1000</f>
        <v>8600</v>
      </c>
      <c r="F5" s="103">
        <f>(E5*D5/100)</f>
        <v>5504</v>
      </c>
      <c r="G5" s="93"/>
      <c r="H5" s="108">
        <v>2018</v>
      </c>
      <c r="I5" s="87">
        <v>34777936</v>
      </c>
      <c r="J5" s="76">
        <f>123.1*10^6</f>
        <v>123100000</v>
      </c>
      <c r="K5" s="105">
        <f>43.6*10^6</f>
        <v>43600000</v>
      </c>
      <c r="L5" s="109">
        <v>3.4</v>
      </c>
      <c r="M5" s="100">
        <f>33.2*10^6</f>
        <v>33200000.000000004</v>
      </c>
      <c r="N5" s="103">
        <f>8.8*10^6</f>
        <v>8800000</v>
      </c>
      <c r="O5" s="107">
        <f>3.4*10^6</f>
        <v>3400000</v>
      </c>
      <c r="P5" s="69">
        <f>(O5/N5)*(K5/L5)/1000</f>
        <v>4954.545454545454</v>
      </c>
    </row>
    <row r="6" spans="1:20" ht="15.6" x14ac:dyDescent="0.3">
      <c r="A6" s="91"/>
      <c r="B6" s="102">
        <v>2019</v>
      </c>
      <c r="C6" s="101">
        <v>35</v>
      </c>
      <c r="D6" s="101">
        <v>65</v>
      </c>
      <c r="E6" s="120">
        <f>8.4*1000</f>
        <v>8400</v>
      </c>
      <c r="F6" s="103">
        <f>(E6*D6/100)</f>
        <v>5460</v>
      </c>
      <c r="G6" s="93"/>
      <c r="H6" s="108">
        <v>2019</v>
      </c>
      <c r="I6" s="87">
        <v>35881447</v>
      </c>
      <c r="J6" s="76">
        <f>120.8*10^6</f>
        <v>120800000</v>
      </c>
      <c r="K6" s="105">
        <f>43.5*10^6</f>
        <v>43500000</v>
      </c>
      <c r="L6" s="109">
        <v>3.2</v>
      </c>
      <c r="M6" s="100">
        <f>33.5*10^6</f>
        <v>33500000</v>
      </c>
      <c r="N6" s="103">
        <f>8.8*10^6</f>
        <v>8800000</v>
      </c>
      <c r="O6" s="107">
        <f>3.7*10^6</f>
        <v>3700000</v>
      </c>
      <c r="P6" s="69">
        <f>(O6/N6)*(K6/L6)/1000</f>
        <v>5715.5539772727279</v>
      </c>
    </row>
    <row r="7" spans="1:20" ht="15.6" x14ac:dyDescent="0.3">
      <c r="A7" s="91"/>
      <c r="B7" s="102">
        <v>2020</v>
      </c>
      <c r="C7" s="101">
        <v>46</v>
      </c>
      <c r="D7" s="101">
        <v>54</v>
      </c>
      <c r="E7" s="103">
        <f>8.6*1000</f>
        <v>8600</v>
      </c>
      <c r="F7" s="103">
        <f>(E7*D7/100)</f>
        <v>4644</v>
      </c>
      <c r="G7" s="93"/>
      <c r="H7" s="108">
        <v>2020</v>
      </c>
      <c r="I7" s="100" t="s">
        <v>18</v>
      </c>
      <c r="J7" s="110">
        <f>128*10^6</f>
        <v>128000000</v>
      </c>
      <c r="K7" s="99">
        <f>46.8*10^6</f>
        <v>46800000</v>
      </c>
      <c r="L7" s="111">
        <v>3.5</v>
      </c>
      <c r="M7" s="100">
        <f>36*10^6</f>
        <v>36000000</v>
      </c>
      <c r="N7" s="103">
        <f>9.6*10^6</f>
        <v>9600000</v>
      </c>
      <c r="O7" s="107">
        <f>4.2*10^6</f>
        <v>4200000</v>
      </c>
      <c r="P7" s="69">
        <f>(O7/N7)*(K7/L7)/1000</f>
        <v>5850</v>
      </c>
    </row>
    <row r="8" spans="1:20" ht="15.6" x14ac:dyDescent="0.3">
      <c r="A8" s="91"/>
      <c r="B8" s="92"/>
      <c r="C8" s="92"/>
      <c r="D8" s="92"/>
      <c r="E8" s="93"/>
      <c r="F8" s="93"/>
      <c r="G8" s="93"/>
      <c r="H8" s="89"/>
      <c r="I8" s="92"/>
      <c r="J8" s="94"/>
      <c r="K8" s="95"/>
      <c r="L8" s="96"/>
      <c r="M8" s="96"/>
      <c r="N8" s="93"/>
      <c r="O8" s="97"/>
    </row>
    <row r="9" spans="1:20" ht="15.6" x14ac:dyDescent="0.3">
      <c r="A9" s="91"/>
      <c r="B9" s="92"/>
      <c r="C9" s="92"/>
      <c r="D9" s="92"/>
      <c r="E9" s="93"/>
      <c r="F9" s="93"/>
      <c r="G9" s="93"/>
      <c r="H9" s="89"/>
      <c r="I9" s="92"/>
      <c r="J9" s="94"/>
      <c r="K9" s="95"/>
      <c r="L9" s="96"/>
      <c r="M9" s="96"/>
      <c r="N9" s="93"/>
      <c r="O9" s="97"/>
    </row>
    <row r="13" spans="1:20" ht="15.6" x14ac:dyDescent="0.3">
      <c r="A13" s="72" t="s">
        <v>1</v>
      </c>
      <c r="B13" t="s">
        <v>92</v>
      </c>
    </row>
    <row r="15" spans="1:20" ht="15.6" x14ac:dyDescent="0.3">
      <c r="A15" s="73" t="s">
        <v>95</v>
      </c>
      <c r="B15" s="84"/>
      <c r="C15" s="74" t="s">
        <v>64</v>
      </c>
      <c r="D15" s="74" t="s">
        <v>63</v>
      </c>
      <c r="E15" s="74" t="s">
        <v>65</v>
      </c>
      <c r="G15" s="74" t="s">
        <v>70</v>
      </c>
      <c r="H15" s="74" t="s">
        <v>71</v>
      </c>
      <c r="I15" s="74" t="s">
        <v>72</v>
      </c>
      <c r="J15" s="74" t="s">
        <v>73</v>
      </c>
      <c r="K15" s="74" t="s">
        <v>74</v>
      </c>
      <c r="M15" s="74" t="s">
        <v>83</v>
      </c>
      <c r="N15" s="74" t="s">
        <v>75</v>
      </c>
      <c r="O15" s="74" t="s">
        <v>84</v>
      </c>
      <c r="P15" s="74" t="s">
        <v>85</v>
      </c>
      <c r="Q15" s="74" t="s">
        <v>68</v>
      </c>
      <c r="R15" s="74" t="s">
        <v>89</v>
      </c>
      <c r="S15" s="74" t="s">
        <v>90</v>
      </c>
      <c r="T15" s="74" t="s">
        <v>91</v>
      </c>
    </row>
    <row r="16" spans="1:20" ht="15.6" x14ac:dyDescent="0.3">
      <c r="B16" s="85">
        <v>2018</v>
      </c>
      <c r="C16" s="76">
        <v>1519553</v>
      </c>
      <c r="D16" s="76">
        <v>239033</v>
      </c>
      <c r="E16" s="76">
        <v>1758586</v>
      </c>
      <c r="G16" s="75">
        <v>2018</v>
      </c>
      <c r="H16" s="76">
        <v>15834549</v>
      </c>
      <c r="I16" s="76">
        <v>1069164</v>
      </c>
      <c r="J16" s="77">
        <f>1362822.267-I16</f>
        <v>293658.26699999999</v>
      </c>
      <c r="K16" s="43">
        <f>(J16/(J16+I16))*100</f>
        <v>21.547803709315236</v>
      </c>
      <c r="M16" s="85">
        <v>2018</v>
      </c>
      <c r="N16" s="68">
        <v>16318060</v>
      </c>
      <c r="O16" s="68">
        <v>37787927</v>
      </c>
      <c r="P16" s="68">
        <v>36745019</v>
      </c>
      <c r="Q16" s="113">
        <v>2.3155900000000003</v>
      </c>
      <c r="R16" s="105">
        <v>7245610</v>
      </c>
      <c r="S16" s="68">
        <v>2516036</v>
      </c>
      <c r="T16" s="69">
        <f>(P16/Q16)*(S16/R16)/1000</f>
        <v>5510.3439457670102</v>
      </c>
    </row>
    <row r="17" spans="1:20" ht="15.6" x14ac:dyDescent="0.3">
      <c r="B17" s="85">
        <v>2019</v>
      </c>
      <c r="C17" s="76">
        <v>1463281</v>
      </c>
      <c r="D17" s="76">
        <v>288294</v>
      </c>
      <c r="E17" s="76">
        <v>1751575</v>
      </c>
      <c r="G17" s="75">
        <v>2019</v>
      </c>
      <c r="H17" s="76">
        <v>15414552</v>
      </c>
      <c r="I17" s="76">
        <v>1110252</v>
      </c>
      <c r="J17" s="78">
        <f>1386737.185-I17</f>
        <v>276485.18500000006</v>
      </c>
      <c r="K17" s="43">
        <f>(J17/(J17+I17))*100</f>
        <v>19.937821527443937</v>
      </c>
      <c r="M17" s="85">
        <v>2019</v>
      </c>
      <c r="N17" s="68">
        <v>16575887</v>
      </c>
      <c r="O17" s="68">
        <v>55263891</v>
      </c>
      <c r="P17" s="68">
        <v>41243740</v>
      </c>
      <c r="Q17" s="113">
        <v>3.3339899999999996</v>
      </c>
      <c r="R17" s="105">
        <v>8081156</v>
      </c>
      <c r="S17" s="68">
        <v>2222798</v>
      </c>
      <c r="T17" s="69">
        <f>(P17/Q17)*(S17/R17)/1000</f>
        <v>3402.673308273374</v>
      </c>
    </row>
    <row r="18" spans="1:20" ht="15.6" x14ac:dyDescent="0.3">
      <c r="B18" s="85">
        <v>2020</v>
      </c>
      <c r="C18" s="76">
        <v>1105272</v>
      </c>
      <c r="D18" s="76">
        <v>415964</v>
      </c>
      <c r="E18" s="76">
        <v>1521236</v>
      </c>
      <c r="G18" s="75">
        <v>2020</v>
      </c>
      <c r="H18" s="76">
        <v>15729575</v>
      </c>
      <c r="I18" s="76">
        <v>1187010</v>
      </c>
      <c r="J18" s="78">
        <f>1406684.59-I18</f>
        <v>219674.59000000008</v>
      </c>
      <c r="K18" s="43">
        <f t="shared" ref="K18" si="0">(J18/(J18+I18))*100</f>
        <v>15.616478033643638</v>
      </c>
      <c r="M18" s="85">
        <v>2020</v>
      </c>
      <c r="N18" s="68">
        <v>16664162</v>
      </c>
      <c r="O18" s="68">
        <v>48778260</v>
      </c>
      <c r="P18" s="68">
        <v>36063067</v>
      </c>
      <c r="Q18" s="113">
        <v>2.9271400000000001</v>
      </c>
      <c r="R18" s="105">
        <v>7154248</v>
      </c>
      <c r="S18" s="68">
        <v>1198048</v>
      </c>
      <c r="T18" s="69">
        <f t="shared" ref="T18" si="1">(P18/Q18)*(S18/R18)/1000</f>
        <v>2063.1432909743662</v>
      </c>
    </row>
    <row r="19" spans="1:20" x14ac:dyDescent="0.3">
      <c r="B19" s="15"/>
      <c r="C19" s="15"/>
      <c r="D19" s="15"/>
      <c r="E19" s="15"/>
    </row>
    <row r="20" spans="1:20" ht="15.6" x14ac:dyDescent="0.3">
      <c r="A20" t="s">
        <v>113</v>
      </c>
      <c r="B20" s="79" t="s">
        <v>66</v>
      </c>
      <c r="C20" s="79" t="s">
        <v>75</v>
      </c>
      <c r="D20" s="79" t="s">
        <v>67</v>
      </c>
      <c r="E20" s="79" t="s">
        <v>68</v>
      </c>
      <c r="G20" s="79" t="s">
        <v>75</v>
      </c>
      <c r="H20" s="74" t="s">
        <v>76</v>
      </c>
      <c r="I20" s="79" t="s">
        <v>77</v>
      </c>
    </row>
    <row r="21" spans="1:20" ht="15.6" x14ac:dyDescent="0.3">
      <c r="B21" s="85">
        <v>2018</v>
      </c>
      <c r="C21" s="120">
        <v>7232761</v>
      </c>
      <c r="D21" s="80">
        <v>56860703.899999999</v>
      </c>
      <c r="E21" s="36">
        <v>7.86</v>
      </c>
      <c r="G21" s="86">
        <v>2018</v>
      </c>
      <c r="H21" s="120">
        <v>457884</v>
      </c>
      <c r="I21" s="69">
        <f>H21*0.22/1000</f>
        <v>100.73447999999999</v>
      </c>
    </row>
    <row r="22" spans="1:20" ht="15.6" x14ac:dyDescent="0.3">
      <c r="B22" s="85">
        <v>2019</v>
      </c>
      <c r="C22" s="120">
        <v>7730506</v>
      </c>
      <c r="D22" s="80">
        <v>58395811</v>
      </c>
      <c r="E22" s="36">
        <v>7.55</v>
      </c>
      <c r="G22" s="86">
        <v>2019</v>
      </c>
      <c r="H22" s="120">
        <v>476176</v>
      </c>
      <c r="I22" s="69">
        <f>H22*0.2/1000</f>
        <v>95.235200000000006</v>
      </c>
    </row>
    <row r="23" spans="1:20" ht="15.6" x14ac:dyDescent="0.3">
      <c r="B23" s="85">
        <v>2020</v>
      </c>
      <c r="C23" s="80" t="s">
        <v>18</v>
      </c>
      <c r="D23" s="80">
        <v>58395811</v>
      </c>
      <c r="E23" s="36"/>
      <c r="G23" s="86">
        <v>2020</v>
      </c>
      <c r="H23" s="15" t="s">
        <v>18</v>
      </c>
      <c r="I23" s="15" t="s">
        <v>18</v>
      </c>
    </row>
    <row r="24" spans="1:20" x14ac:dyDescent="0.3">
      <c r="B24" s="15"/>
      <c r="C24" s="15"/>
      <c r="D24" s="15"/>
    </row>
    <row r="25" spans="1:20" ht="15.6" x14ac:dyDescent="0.3">
      <c r="B25" s="82" t="s">
        <v>69</v>
      </c>
      <c r="C25" s="81"/>
      <c r="D25" s="82" t="s">
        <v>78</v>
      </c>
    </row>
    <row r="26" spans="1:20" x14ac:dyDescent="0.3">
      <c r="B26" s="15"/>
      <c r="C26" s="15"/>
      <c r="D26" s="15"/>
    </row>
    <row r="27" spans="1:20" ht="15.6" x14ac:dyDescent="0.3">
      <c r="B27" s="85">
        <v>2018</v>
      </c>
      <c r="C27" s="83">
        <f>C16/D21*100</f>
        <v>2.67241327626266</v>
      </c>
      <c r="D27" s="69">
        <f>(C27/100)*C21/1000</f>
        <v>193.28926520434794</v>
      </c>
    </row>
    <row r="28" spans="1:20" ht="15.6" x14ac:dyDescent="0.3">
      <c r="B28" s="85">
        <v>2019</v>
      </c>
      <c r="C28" s="83">
        <f>C17/D22*100</f>
        <v>2.5057978901945552</v>
      </c>
      <c r="D28" s="69">
        <f>(C28/100)*C22/1000</f>
        <v>193.71085624936347</v>
      </c>
    </row>
    <row r="29" spans="1:20" ht="15.6" x14ac:dyDescent="0.3">
      <c r="B29" s="85">
        <v>2020</v>
      </c>
      <c r="C29" s="83">
        <f>C18/D23*100</f>
        <v>1.8927248052090586</v>
      </c>
      <c r="D29" s="78"/>
    </row>
    <row r="32" spans="1:20" ht="15.6" x14ac:dyDescent="0.3">
      <c r="A32" s="112" t="s">
        <v>94</v>
      </c>
      <c r="B32" s="115" t="s">
        <v>103</v>
      </c>
      <c r="C32" s="116" t="s">
        <v>97</v>
      </c>
      <c r="D32" s="116" t="s">
        <v>105</v>
      </c>
      <c r="E32" s="115" t="s">
        <v>72</v>
      </c>
      <c r="F32" s="115" t="s">
        <v>106</v>
      </c>
      <c r="G32" s="115" t="s">
        <v>108</v>
      </c>
      <c r="I32" s="116" t="s">
        <v>96</v>
      </c>
      <c r="J32" s="116" t="s">
        <v>98</v>
      </c>
      <c r="K32" s="116" t="s">
        <v>99</v>
      </c>
      <c r="L32" s="116" t="s">
        <v>100</v>
      </c>
      <c r="M32" s="116" t="s">
        <v>101</v>
      </c>
      <c r="N32" s="116" t="s">
        <v>102</v>
      </c>
      <c r="O32" s="116" t="s">
        <v>91</v>
      </c>
    </row>
    <row r="33" spans="1:15" ht="15.6" x14ac:dyDescent="0.3">
      <c r="B33" s="85">
        <v>2018</v>
      </c>
      <c r="C33" s="68">
        <v>208174</v>
      </c>
      <c r="D33" s="119">
        <v>25036168.18928</v>
      </c>
      <c r="E33" s="68">
        <v>2335419</v>
      </c>
      <c r="F33" s="68">
        <f>(466613)*0.791</f>
        <v>369090.88300000003</v>
      </c>
      <c r="G33" s="36">
        <v>155.30000000000001</v>
      </c>
      <c r="I33" s="85">
        <v>2018</v>
      </c>
      <c r="J33" s="68">
        <v>487214</v>
      </c>
      <c r="K33" s="68">
        <v>7271096</v>
      </c>
      <c r="L33" s="68">
        <v>1581584</v>
      </c>
      <c r="M33" s="117">
        <v>3.51</v>
      </c>
      <c r="N33" s="68">
        <v>321731</v>
      </c>
      <c r="O33" s="43">
        <f>(N33/L33)*J33/1000</f>
        <v>99.110668439994342</v>
      </c>
    </row>
    <row r="34" spans="1:15" ht="15.6" x14ac:dyDescent="0.3">
      <c r="B34" s="85">
        <v>2019</v>
      </c>
      <c r="C34" s="68">
        <v>201500</v>
      </c>
      <c r="D34" s="120">
        <v>23332210.252000004</v>
      </c>
      <c r="E34" s="68">
        <v>2203982</v>
      </c>
      <c r="F34" s="68">
        <f>443570*0.791</f>
        <v>350863.87</v>
      </c>
      <c r="G34" s="36">
        <v>157</v>
      </c>
      <c r="I34" s="85">
        <v>2019</v>
      </c>
      <c r="J34" s="68">
        <v>504117</v>
      </c>
      <c r="K34" s="68">
        <v>6893482</v>
      </c>
      <c r="L34" s="68">
        <v>1506519</v>
      </c>
      <c r="M34" s="117">
        <v>3.23</v>
      </c>
      <c r="N34" s="68">
        <v>324880</v>
      </c>
      <c r="O34" s="43">
        <f t="shared" ref="O34:O35" si="2">(N34/L34)*J34/1000</f>
        <v>108.71255587217949</v>
      </c>
    </row>
    <row r="35" spans="1:15" ht="15.6" x14ac:dyDescent="0.3">
      <c r="B35" s="85">
        <v>2020</v>
      </c>
      <c r="C35" s="68">
        <v>196907</v>
      </c>
      <c r="D35" s="68">
        <v>23558560.470999997</v>
      </c>
      <c r="E35" s="68">
        <v>2217105</v>
      </c>
      <c r="F35" s="68">
        <f>394192*0.791</f>
        <v>311805.87200000003</v>
      </c>
      <c r="G35" s="36">
        <v>138.5</v>
      </c>
      <c r="I35" s="85">
        <v>2020</v>
      </c>
      <c r="J35" s="15"/>
      <c r="K35" s="68">
        <v>7172819</v>
      </c>
      <c r="L35" s="68">
        <v>1559447</v>
      </c>
      <c r="M35" s="113">
        <v>3.26</v>
      </c>
      <c r="N35" s="68">
        <v>322642</v>
      </c>
      <c r="O35" s="118">
        <f t="shared" si="2"/>
        <v>0</v>
      </c>
    </row>
    <row r="36" spans="1:15" x14ac:dyDescent="0.3">
      <c r="F36" s="156">
        <f>F34*1000/0.791</f>
        <v>443570000</v>
      </c>
    </row>
    <row r="37" spans="1:15" x14ac:dyDescent="0.3">
      <c r="B37" t="s">
        <v>104</v>
      </c>
      <c r="C37" t="s">
        <v>107</v>
      </c>
      <c r="E37" s="114"/>
      <c r="F37" s="129">
        <f>F36/C34</f>
        <v>2201.3399503722085</v>
      </c>
    </row>
    <row r="38" spans="1:15" x14ac:dyDescent="0.3">
      <c r="F38" s="122"/>
    </row>
    <row r="40" spans="1:15" ht="15.6" x14ac:dyDescent="0.3">
      <c r="A40" s="121" t="s">
        <v>4</v>
      </c>
      <c r="B40" s="123" t="s">
        <v>110</v>
      </c>
      <c r="C40" s="124" t="s">
        <v>97</v>
      </c>
      <c r="D40" s="124" t="s">
        <v>105</v>
      </c>
      <c r="E40" s="125" t="s">
        <v>72</v>
      </c>
      <c r="F40" s="123" t="s">
        <v>114</v>
      </c>
      <c r="G40" s="124" t="s">
        <v>111</v>
      </c>
      <c r="H40" s="124" t="s">
        <v>112</v>
      </c>
      <c r="I40" s="124" t="s">
        <v>108</v>
      </c>
    </row>
    <row r="41" spans="1:15" ht="15.6" x14ac:dyDescent="0.3">
      <c r="B41" s="126">
        <v>2018</v>
      </c>
      <c r="C41" s="68">
        <v>263080</v>
      </c>
      <c r="D41" s="68">
        <v>27460750</v>
      </c>
      <c r="E41" s="68">
        <v>2966221</v>
      </c>
      <c r="F41" s="69" t="s">
        <v>50</v>
      </c>
      <c r="G41" s="127" t="s">
        <v>50</v>
      </c>
      <c r="H41" s="36">
        <v>104.5</v>
      </c>
      <c r="I41" s="15"/>
    </row>
    <row r="42" spans="1:15" ht="15.6" x14ac:dyDescent="0.3">
      <c r="B42" s="126">
        <v>2019</v>
      </c>
      <c r="C42" s="68">
        <v>258025</v>
      </c>
      <c r="D42" s="68">
        <v>26099479</v>
      </c>
      <c r="E42" s="68">
        <v>2763871</v>
      </c>
      <c r="F42" s="69">
        <v>18072000</v>
      </c>
      <c r="G42" s="127">
        <v>269000000</v>
      </c>
      <c r="H42" s="36">
        <v>101.2</v>
      </c>
      <c r="I42" s="78">
        <f>F42/H42</f>
        <v>178577.07509881421</v>
      </c>
    </row>
    <row r="43" spans="1:15" ht="15.6" x14ac:dyDescent="0.3">
      <c r="B43" s="126">
        <v>2020</v>
      </c>
      <c r="C43" s="15"/>
      <c r="D43" s="15"/>
      <c r="E43" s="15"/>
      <c r="F43" s="15"/>
      <c r="G43" s="15"/>
      <c r="H43" s="15"/>
      <c r="I43" s="15"/>
    </row>
    <row r="46" spans="1:15" x14ac:dyDescent="0.3">
      <c r="H46">
        <f>I42/C42</f>
        <v>0.69209214261724328</v>
      </c>
    </row>
    <row r="50" spans="1:2" x14ac:dyDescent="0.3">
      <c r="A50" t="s">
        <v>104</v>
      </c>
      <c r="B50" t="s">
        <v>109</v>
      </c>
    </row>
  </sheetData>
  <mergeCells count="5">
    <mergeCell ref="B2:D2"/>
    <mergeCell ref="E2:G2"/>
    <mergeCell ref="H2:J2"/>
    <mergeCell ref="K2:M2"/>
    <mergeCell ref="N2:O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LCI_indicators</vt:lpstr>
      <vt:lpstr>Energy_crops</vt:lpstr>
      <vt:lpstr>Preços</vt:lpstr>
      <vt:lpstr>Emissões</vt:lpstr>
      <vt:lpstr>Land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2021-06-07T14:10:15Z</dcterms:created>
  <dcterms:modified xsi:type="dcterms:W3CDTF">2022-05-25T17:02:45Z</dcterms:modified>
</cp:coreProperties>
</file>