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74da24a3820722/Área de Trabalho/Pós-doc_IEA/Artigos/Outline_Paper_II/"/>
    </mc:Choice>
  </mc:AlternateContent>
  <xr:revisionPtr revIDLastSave="2307" documentId="8_{16AC84A7-ADAD-4FBB-8BAA-F1958B0CE77D}" xr6:coauthVersionLast="47" xr6:coauthVersionMax="47" xr10:uidLastSave="{FC4E8D17-44BB-4EF3-97E5-441AF276836D}"/>
  <bookViews>
    <workbookView xWindow="-108" yWindow="-108" windowWidth="23256" windowHeight="12456" firstSheet="4" activeTab="4" xr2:uid="{D655F066-9B5D-48DA-AA4E-1B8DB8310BED}"/>
  </bookViews>
  <sheets>
    <sheet name="Brazil_E1G_cane" sheetId="5" r:id="rId1"/>
    <sheet name="Guatemala_E1G_cane" sheetId="1" r:id="rId2"/>
    <sheet name="Argentina_E1G_cane" sheetId="2" r:id="rId3"/>
    <sheet name="Argentina_E1G_corn" sheetId="3" r:id="rId4"/>
    <sheet name="Colombia_E1G_cane" sheetId="4" r:id="rId5"/>
    <sheet name="Plots_E1G" sheetId="6" r:id="rId6"/>
    <sheet name="Argentina_B100_Soybean" sheetId="7" r:id="rId7"/>
    <sheet name="Brazil_B100_Soybean" sheetId="8" r:id="rId8"/>
    <sheet name="Colombia_B100_Palm" sheetId="9" r:id="rId9"/>
    <sheet name="Plots_B100" sheetId="10" r:id="rId10"/>
    <sheet name="Biofuels_consumption_produtctio" sheetId="11" r:id="rId1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1" l="1"/>
  <c r="B12" i="11"/>
  <c r="C11" i="11"/>
  <c r="B11" i="11"/>
  <c r="C10" i="11"/>
  <c r="B10" i="11"/>
  <c r="C13" i="11"/>
  <c r="B13" i="11"/>
  <c r="L6" i="11"/>
  <c r="L3" i="11"/>
  <c r="L4" i="11"/>
  <c r="L5" i="11"/>
  <c r="L2" i="11"/>
  <c r="K6" i="11"/>
  <c r="K4" i="11"/>
  <c r="K3" i="11"/>
  <c r="K2" i="11"/>
  <c r="H6" i="11"/>
  <c r="H3" i="11"/>
  <c r="H4" i="11"/>
  <c r="H5" i="11"/>
  <c r="H2" i="11"/>
  <c r="G6" i="11"/>
  <c r="G4" i="11"/>
  <c r="G3" i="11"/>
  <c r="G2" i="11"/>
  <c r="J6" i="11"/>
  <c r="J3" i="11"/>
  <c r="J4" i="11"/>
  <c r="J5" i="11"/>
  <c r="J2" i="11"/>
  <c r="I6" i="11"/>
  <c r="I4" i="11"/>
  <c r="I3" i="11"/>
  <c r="I2" i="11"/>
  <c r="F6" i="11"/>
  <c r="F3" i="11"/>
  <c r="F4" i="11"/>
  <c r="F5" i="11"/>
  <c r="F2" i="11"/>
  <c r="E6" i="11"/>
  <c r="E4" i="11"/>
  <c r="E3" i="11"/>
  <c r="E2" i="11"/>
  <c r="B2" i="11"/>
  <c r="B3" i="11"/>
  <c r="C6" i="11"/>
  <c r="C4" i="11"/>
  <c r="C3" i="11"/>
  <c r="C2" i="11"/>
  <c r="B6" i="11"/>
  <c r="B4" i="11"/>
  <c r="H8" i="8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B17" i="6"/>
  <c r="C17" i="6"/>
  <c r="D17" i="6"/>
  <c r="E17" i="6"/>
  <c r="F17" i="6"/>
  <c r="G17" i="6"/>
  <c r="H17" i="6"/>
  <c r="I17" i="6"/>
  <c r="J17" i="6"/>
  <c r="K17" i="6"/>
  <c r="L17" i="6"/>
  <c r="M17" i="6"/>
  <c r="B16" i="6"/>
  <c r="C16" i="6"/>
  <c r="D16" i="6"/>
  <c r="E16" i="6"/>
  <c r="F16" i="6"/>
  <c r="G16" i="6"/>
  <c r="H16" i="6"/>
  <c r="I16" i="6"/>
  <c r="J16" i="6"/>
  <c r="K16" i="6"/>
  <c r="L16" i="6"/>
  <c r="M16" i="6"/>
  <c r="B13" i="6"/>
  <c r="C13" i="6"/>
  <c r="D13" i="6"/>
  <c r="E13" i="6"/>
  <c r="F13" i="6"/>
  <c r="G13" i="6"/>
  <c r="H13" i="6"/>
  <c r="I13" i="6"/>
  <c r="J13" i="6"/>
  <c r="K13" i="6"/>
  <c r="L13" i="6"/>
  <c r="M13" i="6"/>
  <c r="B7" i="6"/>
  <c r="C7" i="6"/>
  <c r="D7" i="6"/>
  <c r="E7" i="6"/>
  <c r="F7" i="6"/>
  <c r="G7" i="6"/>
  <c r="H7" i="6"/>
  <c r="I7" i="6"/>
  <c r="J7" i="6"/>
  <c r="K7" i="6"/>
  <c r="L7" i="6"/>
  <c r="M7" i="6"/>
  <c r="N7" i="6"/>
  <c r="B6" i="6"/>
  <c r="C6" i="6"/>
  <c r="D6" i="6"/>
  <c r="E6" i="6"/>
  <c r="F6" i="6"/>
  <c r="G6" i="6"/>
  <c r="H6" i="6"/>
  <c r="I6" i="6"/>
  <c r="J6" i="6"/>
  <c r="K6" i="6"/>
  <c r="L6" i="6"/>
  <c r="M6" i="6"/>
  <c r="B3" i="6"/>
  <c r="C3" i="6"/>
  <c r="D3" i="6"/>
  <c r="E3" i="6"/>
  <c r="F3" i="6"/>
  <c r="G3" i="6"/>
  <c r="H3" i="6"/>
  <c r="I3" i="6"/>
  <c r="J3" i="6"/>
  <c r="K3" i="6"/>
  <c r="L3" i="6"/>
  <c r="M3" i="6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E22" i="9"/>
  <c r="E21" i="9"/>
  <c r="E20" i="9"/>
  <c r="E19" i="9"/>
  <c r="E18" i="9"/>
  <c r="E17" i="9"/>
  <c r="H3" i="8"/>
  <c r="H4" i="8"/>
  <c r="H5" i="8"/>
  <c r="H6" i="8"/>
  <c r="H7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" i="8"/>
  <c r="F21" i="7" l="1"/>
  <c r="G21" i="7" s="1"/>
  <c r="U12" i="10" s="1"/>
  <c r="F22" i="7"/>
  <c r="G22" i="7" s="1"/>
  <c r="V12" i="10" s="1"/>
  <c r="G3" i="7"/>
  <c r="G4" i="7"/>
  <c r="G5" i="7"/>
  <c r="G6" i="7"/>
  <c r="G7" i="7"/>
  <c r="G8" i="7"/>
  <c r="G2" i="7"/>
  <c r="B12" i="10" s="1"/>
  <c r="F3" i="7"/>
  <c r="F4" i="7"/>
  <c r="F5" i="7"/>
  <c r="F6" i="7"/>
  <c r="F7" i="7"/>
  <c r="F8" i="7"/>
  <c r="F9" i="7"/>
  <c r="G9" i="7" s="1"/>
  <c r="I12" i="10" s="1"/>
  <c r="F10" i="7"/>
  <c r="G10" i="7" s="1"/>
  <c r="J12" i="10" s="1"/>
  <c r="F11" i="7"/>
  <c r="G11" i="7" s="1"/>
  <c r="K12" i="10" s="1"/>
  <c r="F12" i="7"/>
  <c r="G12" i="7" s="1"/>
  <c r="L12" i="10" s="1"/>
  <c r="F13" i="7"/>
  <c r="G13" i="7" s="1"/>
  <c r="M12" i="10" s="1"/>
  <c r="F14" i="7"/>
  <c r="G14" i="7" s="1"/>
  <c r="N12" i="10" s="1"/>
  <c r="F15" i="7"/>
  <c r="G15" i="7" s="1"/>
  <c r="O12" i="10" s="1"/>
  <c r="F16" i="7"/>
  <c r="G16" i="7" s="1"/>
  <c r="P12" i="10" s="1"/>
  <c r="F17" i="7"/>
  <c r="G17" i="7" s="1"/>
  <c r="Q12" i="10" s="1"/>
  <c r="F18" i="7"/>
  <c r="G18" i="7" s="1"/>
  <c r="R12" i="10" s="1"/>
  <c r="F19" i="7"/>
  <c r="G19" i="7" s="1"/>
  <c r="S12" i="10" s="1"/>
  <c r="F20" i="7"/>
  <c r="G20" i="7" s="1"/>
  <c r="T12" i="10" s="1"/>
  <c r="F2" i="7"/>
  <c r="V17" i="6"/>
  <c r="U17" i="6"/>
  <c r="T17" i="6"/>
  <c r="S17" i="6"/>
  <c r="R17" i="6"/>
  <c r="Q17" i="6"/>
  <c r="P17" i="6"/>
  <c r="O17" i="6"/>
  <c r="N17" i="6"/>
  <c r="V16" i="6"/>
  <c r="U16" i="6"/>
  <c r="T16" i="6"/>
  <c r="S16" i="6"/>
  <c r="R16" i="6"/>
  <c r="Q16" i="6"/>
  <c r="P16" i="6"/>
  <c r="O16" i="6"/>
  <c r="N16" i="6"/>
  <c r="V15" i="6"/>
  <c r="U15" i="6"/>
  <c r="T15" i="6"/>
  <c r="S15" i="6"/>
  <c r="R15" i="6"/>
  <c r="Q15" i="6"/>
  <c r="P15" i="6"/>
  <c r="O15" i="6"/>
  <c r="N15" i="6"/>
  <c r="V14" i="6"/>
  <c r="U14" i="6"/>
  <c r="T14" i="6"/>
  <c r="S14" i="6"/>
  <c r="R14" i="6"/>
  <c r="Q14" i="6"/>
  <c r="P14" i="6"/>
  <c r="O14" i="6"/>
  <c r="N14" i="6"/>
  <c r="V13" i="6"/>
  <c r="U13" i="6"/>
  <c r="T13" i="6"/>
  <c r="S13" i="6"/>
  <c r="R13" i="6"/>
  <c r="Q13" i="6"/>
  <c r="P13" i="6"/>
  <c r="O13" i="6"/>
  <c r="N13" i="6"/>
  <c r="V7" i="6"/>
  <c r="U7" i="6"/>
  <c r="T7" i="6"/>
  <c r="S7" i="6"/>
  <c r="R7" i="6"/>
  <c r="Q7" i="6"/>
  <c r="P7" i="6"/>
  <c r="O7" i="6"/>
  <c r="V6" i="6"/>
  <c r="U6" i="6"/>
  <c r="T6" i="6"/>
  <c r="S6" i="6"/>
  <c r="R6" i="6"/>
  <c r="Q6" i="6"/>
  <c r="P6" i="6"/>
  <c r="O6" i="6"/>
  <c r="N6" i="6"/>
  <c r="V5" i="6"/>
  <c r="U5" i="6"/>
  <c r="T5" i="6"/>
  <c r="S5" i="6"/>
  <c r="R5" i="6"/>
  <c r="Q5" i="6"/>
  <c r="P5" i="6"/>
  <c r="O5" i="6"/>
  <c r="N5" i="6"/>
  <c r="V4" i="6"/>
  <c r="U4" i="6"/>
  <c r="T4" i="6"/>
  <c r="S4" i="6"/>
  <c r="R4" i="6"/>
  <c r="Q4" i="6"/>
  <c r="P4" i="6"/>
  <c r="O4" i="6"/>
  <c r="N4" i="6"/>
  <c r="V3" i="6"/>
  <c r="U3" i="6"/>
  <c r="T3" i="6"/>
  <c r="S3" i="6"/>
  <c r="R3" i="6"/>
  <c r="Q3" i="6"/>
  <c r="P3" i="6"/>
  <c r="O3" i="6"/>
  <c r="N3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D22" i="4"/>
  <c r="D21" i="4"/>
  <c r="D20" i="4"/>
  <c r="D19" i="4"/>
  <c r="D18" i="4"/>
  <c r="D16" i="4"/>
  <c r="D17" i="4"/>
  <c r="D15" i="4"/>
  <c r="D14" i="4"/>
  <c r="D13" i="4"/>
  <c r="D12" i="4"/>
  <c r="D11" i="4"/>
  <c r="D10" i="4"/>
  <c r="D9" i="4"/>
  <c r="D8" i="4"/>
  <c r="D7" i="4"/>
  <c r="F2" i="3"/>
  <c r="F3" i="3"/>
  <c r="F4" i="3"/>
  <c r="F5" i="3"/>
  <c r="F6" i="3"/>
  <c r="F7" i="3"/>
  <c r="F8" i="3"/>
  <c r="F9" i="3"/>
  <c r="F10" i="3"/>
  <c r="G3" i="2"/>
  <c r="G4" i="2"/>
  <c r="G5" i="2"/>
  <c r="G6" i="2"/>
  <c r="G7" i="2"/>
  <c r="G8" i="2"/>
  <c r="G9" i="2"/>
  <c r="G10" i="2"/>
  <c r="G2" i="2"/>
  <c r="E52" i="1"/>
  <c r="E53" i="1"/>
  <c r="E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4" i="1"/>
  <c r="E55" i="1"/>
  <c r="E56" i="1"/>
  <c r="E57" i="1"/>
  <c r="E58" i="1"/>
  <c r="E59" i="1"/>
  <c r="E60" i="1"/>
  <c r="E61" i="1"/>
  <c r="E6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virginiaparedes</author>
  </authors>
  <commentList>
    <comment ref="C6" authorId="0" shapeId="0" xr:uid="{16A2748B-9595-4AC4-9408-827E46582F7E}">
      <text>
        <r>
          <rPr>
            <b/>
            <sz val="9"/>
            <color indexed="81"/>
            <rFont val="Tahoma"/>
            <family val="2"/>
          </rPr>
          <t>virginiaparedes:</t>
        </r>
        <r>
          <rPr>
            <sz val="9"/>
            <color indexed="81"/>
            <rFont val="Tahoma"/>
            <family val="2"/>
          </rPr>
          <t xml:space="preserve">
Figuraba 1.611.060, se cambio por caa
</t>
        </r>
      </text>
    </comment>
    <comment ref="D6" authorId="0" shapeId="0" xr:uid="{7CBA430A-4B6C-4FCE-90B7-6A5232CC2117}">
      <text>
        <r>
          <rPr>
            <b/>
            <sz val="9"/>
            <color indexed="81"/>
            <rFont val="Tahoma"/>
            <family val="2"/>
          </rPr>
          <t>virginiaparedes:</t>
        </r>
        <r>
          <rPr>
            <sz val="9"/>
            <color indexed="81"/>
            <rFont val="Tahoma"/>
            <family val="2"/>
          </rPr>
          <t xml:space="preserve">
figuraba 15254429 se cambio por caa</t>
        </r>
      </text>
    </comment>
  </commentList>
</comments>
</file>

<file path=xl/sharedStrings.xml><?xml version="1.0" encoding="utf-8"?>
<sst xmlns="http://schemas.openxmlformats.org/spreadsheetml/2006/main" count="125" uniqueCount="86">
  <si>
    <t>Area (ha)</t>
  </si>
  <si>
    <t>Ethanol Yield (L/ha)</t>
  </si>
  <si>
    <t>Cane Yield (ton/ha)</t>
  </si>
  <si>
    <t>Fermentable sugar (tons)</t>
  </si>
  <si>
    <t>Ethanol (L)</t>
  </si>
  <si>
    <t>Year</t>
  </si>
  <si>
    <t>Cultivated area (ha)</t>
  </si>
  <si>
    <t>Production (ton)</t>
  </si>
  <si>
    <t>Yield (tons/ha)</t>
  </si>
  <si>
    <t>Ethanol production (L)</t>
  </si>
  <si>
    <t>Sugar (t)</t>
  </si>
  <si>
    <t>Grounded Cane (t)</t>
  </si>
  <si>
    <t>Cane Yield (t/ha)</t>
  </si>
  <si>
    <t>Ethanol Production (L)</t>
  </si>
  <si>
    <t>Crushed cane (ton)</t>
  </si>
  <si>
    <t>Crushed cane for ethanol (ton)</t>
  </si>
  <si>
    <t>Ethanol Yield (L/ton cana moída)</t>
  </si>
  <si>
    <t>Source</t>
  </si>
  <si>
    <t>Informes cengicaña</t>
  </si>
  <si>
    <t>Gobierno Túcuman</t>
  </si>
  <si>
    <t>Source:</t>
  </si>
  <si>
    <t>Asocaña</t>
  </si>
  <si>
    <t>Ethanol Yeild (L/ha)</t>
  </si>
  <si>
    <t>Feedstock Yield (ton/ha)</t>
  </si>
  <si>
    <t>Cane - Brazil</t>
  </si>
  <si>
    <t>Cane - Argentina</t>
  </si>
  <si>
    <t>Corn - Argentina</t>
  </si>
  <si>
    <t>Cane - Colombia</t>
  </si>
  <si>
    <t>Cane - Guatemala</t>
  </si>
  <si>
    <t>Biodeisel production (tons)</t>
  </si>
  <si>
    <t>Biodeisel production (L)</t>
  </si>
  <si>
    <t>Biodiesel Yield (L/ha)</t>
  </si>
  <si>
    <t>Harvested area (ha)</t>
  </si>
  <si>
    <t>Production (tons)</t>
  </si>
  <si>
    <t>Soybean Yield (ton/ha)</t>
  </si>
  <si>
    <t>Harvested area (mil ha)</t>
  </si>
  <si>
    <t>Soybean production (mil t)</t>
  </si>
  <si>
    <t>Biodiesel production_TOTAL (m³)</t>
  </si>
  <si>
    <t>Biodiesel production_soy (m³)</t>
  </si>
  <si>
    <t>Biodiesel production_soy (L)</t>
  </si>
  <si>
    <t>Biodiesel yield (L/ha)</t>
  </si>
  <si>
    <t>Soybean  Yield (ton/ha)</t>
  </si>
  <si>
    <t>Ministerio de energía</t>
  </si>
  <si>
    <t>Informes gobierno Argentino</t>
  </si>
  <si>
    <t>5.422.985</t>
  </si>
  <si>
    <t>7.531.141</t>
  </si>
  <si>
    <t>7.514.496</t>
  </si>
  <si>
    <t>7.007.296</t>
  </si>
  <si>
    <t>7.172.767</t>
  </si>
  <si>
    <t>Palm Oil Production (tons)</t>
  </si>
  <si>
    <t>Palm Oil Yield (tons/ha)</t>
  </si>
  <si>
    <t>5.937.371</t>
  </si>
  <si>
    <t>4.613.805</t>
  </si>
  <si>
    <t>4.670.860</t>
  </si>
  <si>
    <t>4.991.241</t>
  </si>
  <si>
    <t>5.531.953</t>
  </si>
  <si>
    <t>3.164.311</t>
  </si>
  <si>
    <t>3.861.230</t>
  </si>
  <si>
    <t>3.777.530</t>
  </si>
  <si>
    <t>3.479.913</t>
  </si>
  <si>
    <t>3.656.290</t>
  </si>
  <si>
    <t>3.801.836</t>
  </si>
  <si>
    <t>Fedepalma</t>
  </si>
  <si>
    <t>2.648.531</t>
  </si>
  <si>
    <t>2.558.231</t>
  </si>
  <si>
    <t>2.579.459</t>
  </si>
  <si>
    <t>3.106.526</t>
  </si>
  <si>
    <t>2.464.727</t>
  </si>
  <si>
    <t>Biodiesel production (L)</t>
  </si>
  <si>
    <t>UPME</t>
  </si>
  <si>
    <t>Biodiesel Yeild (L/ha)</t>
  </si>
  <si>
    <t>Soybean - Brazil</t>
  </si>
  <si>
    <t>Soybean - Argentina</t>
  </si>
  <si>
    <t>Palm Oil - Colombia</t>
  </si>
  <si>
    <t>Europe</t>
  </si>
  <si>
    <t>North America</t>
  </si>
  <si>
    <t>Asia</t>
  </si>
  <si>
    <t>Production (bilion liters)</t>
  </si>
  <si>
    <t>Comsumption (bilion liters)</t>
  </si>
  <si>
    <t>ARG-BRA-COL-GUA</t>
  </si>
  <si>
    <t>Ethanol (prod)</t>
  </si>
  <si>
    <t>Ethanol (cons)</t>
  </si>
  <si>
    <t>Biodiesel (prod)</t>
  </si>
  <si>
    <t>Biodiesel (cons)</t>
  </si>
  <si>
    <t>(%)</t>
  </si>
  <si>
    <t>ARG-BRA-COL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</si>
</sst>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_-* #,##0.00\ _€_-;\-* #,##0.00\ _€_-;_-* &quot;-&quot;??\ _€_-;_-@_-"/>
    <numFmt numFmtId="166" formatCode="#,##0_ ;\-#,##0\ "/>
    <numFmt numFmtId="167" formatCode="_-* #,##0\ _€_-;\-* #,##0\ _€_-;_-* &quot;-&quot;??\ _€_-;_-@_-"/>
    <numFmt numFmtId="168" formatCode="###,###"/>
    <numFmt numFmtId="169" formatCode="#,"/>
    <numFmt numFmtId="170" formatCode="_-* #,##0_-;\-* #,##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"/>
      <color indexed="8"/>
      <name val="Courier"/>
      <family val="3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2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rgb="FF000000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  <xf numFmtId="169" fontId="15" fillId="0" borderId="0">
      <protection locked="0"/>
    </xf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20" borderId="6" applyNumberFormat="0" applyAlignment="0" applyProtection="0"/>
    <xf numFmtId="0" fontId="18" fillId="20" borderId="6" applyNumberFormat="0" applyAlignment="0" applyProtection="0"/>
    <xf numFmtId="0" fontId="19" fillId="21" borderId="7" applyNumberFormat="0" applyAlignment="0" applyProtection="0"/>
    <xf numFmtId="0" fontId="19" fillId="21" borderId="7" applyNumberFormat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1" fillId="11" borderId="6" applyNumberFormat="0" applyAlignment="0" applyProtection="0"/>
    <xf numFmtId="0" fontId="21" fillId="11" borderId="6" applyNumberFormat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27" borderId="9" applyNumberFormat="0" applyFont="0" applyAlignment="0" applyProtection="0"/>
    <xf numFmtId="0" fontId="2" fillId="27" borderId="9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20" borderId="10" applyNumberFormat="0" applyAlignment="0" applyProtection="0"/>
    <xf numFmtId="0" fontId="24" fillId="20" borderId="10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166" fontId="8" fillId="3" borderId="2" xfId="3" applyNumberFormat="1" applyFont="1" applyFill="1" applyBorder="1" applyAlignment="1">
      <alignment horizontal="center" vertical="center"/>
    </xf>
    <xf numFmtId="167" fontId="8" fillId="3" borderId="2" xfId="1" applyNumberFormat="1" applyFont="1" applyFill="1" applyBorder="1" applyAlignment="1">
      <alignment horizontal="center"/>
    </xf>
    <xf numFmtId="167" fontId="8" fillId="3" borderId="2" xfId="1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0" fillId="2" borderId="3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 vertical="center" wrapText="1"/>
    </xf>
    <xf numFmtId="0" fontId="12" fillId="0" borderId="0" xfId="4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2" fillId="0" borderId="0" xfId="4" applyFill="1" applyBorder="1" applyAlignment="1">
      <alignment horizontal="center"/>
    </xf>
    <xf numFmtId="0" fontId="9" fillId="2" borderId="2" xfId="0" applyFont="1" applyFill="1" applyBorder="1"/>
    <xf numFmtId="0" fontId="12" fillId="0" borderId="0" xfId="4" applyAlignment="1">
      <alignment horizontal="center"/>
    </xf>
    <xf numFmtId="0" fontId="5" fillId="0" borderId="0" xfId="0" applyFont="1" applyFill="1" applyBorder="1" applyAlignment="1">
      <alignment horizontal="center"/>
    </xf>
    <xf numFmtId="2" fontId="0" fillId="0" borderId="0" xfId="0" applyNumberForma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164" fontId="5" fillId="3" borderId="0" xfId="0" applyNumberFormat="1" applyFont="1" applyFill="1" applyAlignment="1">
      <alignment horizontal="center"/>
    </xf>
    <xf numFmtId="0" fontId="5" fillId="3" borderId="0" xfId="0" applyFont="1" applyFill="1"/>
    <xf numFmtId="0" fontId="13" fillId="5" borderId="0" xfId="0" applyFont="1" applyFill="1"/>
    <xf numFmtId="0" fontId="5" fillId="3" borderId="5" xfId="0" applyFont="1" applyFill="1" applyBorder="1" applyAlignment="1">
      <alignment horizontal="center"/>
    </xf>
    <xf numFmtId="0" fontId="0" fillId="0" borderId="0" xfId="0" applyFill="1" applyBorder="1"/>
    <xf numFmtId="3" fontId="6" fillId="0" borderId="0" xfId="95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3" fontId="32" fillId="0" borderId="0" xfId="98" applyNumberFormat="1" applyFont="1" applyAlignment="1">
      <alignment horizontal="right"/>
    </xf>
    <xf numFmtId="0" fontId="5" fillId="3" borderId="0" xfId="0" applyFont="1" applyFill="1" applyBorder="1" applyAlignment="1">
      <alignment horizontal="center"/>
    </xf>
    <xf numFmtId="168" fontId="5" fillId="3" borderId="0" xfId="0" applyNumberFormat="1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3" fontId="7" fillId="3" borderId="0" xfId="95" applyNumberFormat="1" applyFont="1" applyFill="1" applyBorder="1" applyAlignment="1">
      <alignment horizontal="center"/>
    </xf>
    <xf numFmtId="3" fontId="5" fillId="3" borderId="0" xfId="98" applyNumberFormat="1" applyFont="1" applyFill="1" applyAlignment="1">
      <alignment horizontal="center"/>
    </xf>
    <xf numFmtId="3" fontId="32" fillId="0" borderId="0" xfId="98" applyNumberFormat="1" applyFont="1" applyAlignment="1">
      <alignment horizontal="right"/>
    </xf>
    <xf numFmtId="1" fontId="8" fillId="3" borderId="2" xfId="2" applyNumberFormat="1" applyFont="1" applyFill="1" applyBorder="1" applyAlignment="1">
      <alignment horizontal="center"/>
    </xf>
    <xf numFmtId="1" fontId="8" fillId="3" borderId="2" xfId="3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0" fontId="9" fillId="0" borderId="0" xfId="0" applyFont="1" applyFill="1"/>
    <xf numFmtId="0" fontId="12" fillId="0" borderId="0" xfId="4" applyFill="1"/>
    <xf numFmtId="0" fontId="12" fillId="0" borderId="0" xfId="4"/>
    <xf numFmtId="0" fontId="9" fillId="0" borderId="0" xfId="0" applyFont="1" applyFill="1" applyBorder="1" applyAlignment="1">
      <alignment horizontal="center"/>
    </xf>
    <xf numFmtId="43" fontId="5" fillId="3" borderId="0" xfId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 vertical="center"/>
    </xf>
    <xf numFmtId="170" fontId="5" fillId="3" borderId="0" xfId="1" applyNumberFormat="1" applyFont="1" applyFill="1" applyAlignment="1">
      <alignment horizontal="center"/>
    </xf>
    <xf numFmtId="170" fontId="5" fillId="3" borderId="0" xfId="1" applyNumberFormat="1" applyFont="1" applyFill="1" applyAlignment="1"/>
    <xf numFmtId="170" fontId="5" fillId="3" borderId="0" xfId="1" applyNumberFormat="1" applyFont="1" applyFill="1" applyAlignment="1">
      <alignment horizontal="center" vertical="center"/>
    </xf>
    <xf numFmtId="43" fontId="0" fillId="0" borderId="0" xfId="1" applyFont="1"/>
    <xf numFmtId="1" fontId="5" fillId="3" borderId="0" xfId="1" applyNumberFormat="1" applyFon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7" fillId="3" borderId="0" xfId="1" applyNumberFormat="1" applyFont="1" applyFill="1" applyAlignment="1">
      <alignment horizontal="center" vertical="center"/>
    </xf>
    <xf numFmtId="3" fontId="7" fillId="28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4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00">
    <cellStyle name="‡" xfId="6" xr:uid="{CB6C399C-44C8-4219-9108-981BB4D37EA0}"/>
    <cellStyle name="20% - Ênfase1 2" xfId="8" xr:uid="{55BA4938-087A-4C8F-A3B6-D00D1DF1CB19}"/>
    <cellStyle name="20% - Ênfase1 3" xfId="7" xr:uid="{1D33D723-EA2F-4C4D-B24A-9280F525FECD}"/>
    <cellStyle name="20% - Ênfase2 2" xfId="10" xr:uid="{83B3198E-F795-4175-9003-5AB8BF70E6EC}"/>
    <cellStyle name="20% - Ênfase2 3" xfId="9" xr:uid="{18F8311E-67E4-4922-8DBC-C0E29759DE1E}"/>
    <cellStyle name="20% - Ênfase3 2" xfId="12" xr:uid="{EDD0FFD0-B1B5-4247-9A7D-67F1C26BF972}"/>
    <cellStyle name="20% - Ênfase3 3" xfId="11" xr:uid="{DFB2DB60-F353-4D06-9409-70D31E8AE7D9}"/>
    <cellStyle name="20% - Ênfase4 2" xfId="14" xr:uid="{5412C05E-F07B-46B5-BCAD-8198B9AABE88}"/>
    <cellStyle name="20% - Ênfase4 3" xfId="13" xr:uid="{7AC1FD23-9CCA-48AC-AA2F-58B3AD2F43D1}"/>
    <cellStyle name="20% - Ênfase5 2" xfId="16" xr:uid="{7178F2A9-DD62-4AE6-BC13-028A79077C7E}"/>
    <cellStyle name="20% - Ênfase5 3" xfId="15" xr:uid="{B617DB35-31AC-45D0-8276-16675E86F6EC}"/>
    <cellStyle name="20% - Ênfase6 2" xfId="18" xr:uid="{077E0621-1366-43DB-978D-4F22309A5497}"/>
    <cellStyle name="20% - Ênfase6 3" xfId="17" xr:uid="{EE449B84-E03F-4C95-BB2B-035E16DB5D1C}"/>
    <cellStyle name="40% - Ênfase1 2" xfId="20" xr:uid="{7CCD3A06-A564-485C-ADCE-DB8C33E150E1}"/>
    <cellStyle name="40% - Ênfase1 3" xfId="19" xr:uid="{13E9113B-582A-4C10-BA6E-23ACE2A9F41B}"/>
    <cellStyle name="40% - Ênfase2 2" xfId="22" xr:uid="{E3F3AEC0-522D-46E8-AC50-CB2D1656A1DA}"/>
    <cellStyle name="40% - Ênfase2 3" xfId="21" xr:uid="{ED0CA057-FBD8-4490-BC40-B32DDB78B494}"/>
    <cellStyle name="40% - Ênfase3 2" xfId="24" xr:uid="{79CAFFB5-F6DC-407C-B7DC-573CD126EC6E}"/>
    <cellStyle name="40% - Ênfase3 3" xfId="23" xr:uid="{B0E1C505-E8CE-4145-93D8-68451266DE67}"/>
    <cellStyle name="40% - Ênfase4 2" xfId="26" xr:uid="{AA5B9EED-36F0-4553-A95C-6E20446E0813}"/>
    <cellStyle name="40% - Ênfase4 3" xfId="25" xr:uid="{F5FC2D8C-BB8B-4D78-BBB4-448545CE4D9D}"/>
    <cellStyle name="40% - Ênfase5 2" xfId="28" xr:uid="{E5FD4BAA-B092-4540-919B-A853808CC5DF}"/>
    <cellStyle name="40% - Ênfase5 3" xfId="27" xr:uid="{F83FCE13-EAEF-4832-B6A7-4B02CB00B78E}"/>
    <cellStyle name="40% - Ênfase6 2" xfId="30" xr:uid="{5A6BF5C5-81AC-4DFA-8A34-3B83B47A93F7}"/>
    <cellStyle name="40% - Ênfase6 3" xfId="29" xr:uid="{F0386418-FC40-414D-8C9C-0131D21802A9}"/>
    <cellStyle name="60% - Ênfase1 2" xfId="32" xr:uid="{4C5C6FBF-7952-4585-A66E-41C2E2510FBB}"/>
    <cellStyle name="60% - Ênfase1 3" xfId="31" xr:uid="{3C817CD0-1CD9-4A42-8B1B-ACBC3780F6FE}"/>
    <cellStyle name="60% - Ênfase2 2" xfId="34" xr:uid="{4772F747-11EB-43FC-975F-221EAAA297FB}"/>
    <cellStyle name="60% - Ênfase2 3" xfId="33" xr:uid="{DE906C44-DDA3-476A-BA0B-2A7757AB01BF}"/>
    <cellStyle name="60% - Ênfase3 2" xfId="36" xr:uid="{A5EEE486-1C18-48E5-9196-94F0FD38D93F}"/>
    <cellStyle name="60% - Ênfase3 3" xfId="35" xr:uid="{76BB3C04-72C3-4F08-B9D6-FDB17B30836C}"/>
    <cellStyle name="60% - Ênfase4 2" xfId="38" xr:uid="{7E3D3957-CED6-41FE-9E6E-B9301B81FE89}"/>
    <cellStyle name="60% - Ênfase4 3" xfId="37" xr:uid="{BFEEF993-16B8-4008-A649-2DFB880D6ACC}"/>
    <cellStyle name="60% - Ênfase5 2" xfId="40" xr:uid="{B08966F0-1F4C-47D3-B602-4B0F2C08346E}"/>
    <cellStyle name="60% - Ênfase5 3" xfId="39" xr:uid="{BA57EF06-77E5-4840-B131-9CC4A93240E6}"/>
    <cellStyle name="60% - Ênfase6 2" xfId="42" xr:uid="{2344AB8C-83BE-4E01-B1C5-00AF02F9C2DD}"/>
    <cellStyle name="60% - Ênfase6 3" xfId="41" xr:uid="{F8B178BE-1DE9-41A5-8463-C1BD569B6BED}"/>
    <cellStyle name="ANCLAS,REZONES Y SUS PARTES,DE FUNDICION,DE HIERRO O DE ACERO" xfId="2" xr:uid="{9EC68F15-9B58-4AB9-A7BB-9876DE58A184}"/>
    <cellStyle name="Bom 2" xfId="44" xr:uid="{8D67098B-92DF-446C-B4C2-A1E952DA231C}"/>
    <cellStyle name="Bom 3" xfId="43" xr:uid="{543FC443-4FF0-49A1-AAE2-B6EC4147D8AE}"/>
    <cellStyle name="Cálculo 2" xfId="46" xr:uid="{C8B7FEDA-BFDE-432D-9144-176006A932E0}"/>
    <cellStyle name="Cálculo 3" xfId="45" xr:uid="{E68BEE51-744C-436B-B1D6-74597DF47DA9}"/>
    <cellStyle name="Célula de Verificação 2" xfId="48" xr:uid="{8586EDEE-67A3-4EAA-BE7D-6EB48CD57E8E}"/>
    <cellStyle name="Célula de Verificação 3" xfId="47" xr:uid="{B7A5CAD1-B546-429B-A22E-1EE9204AD6DA}"/>
    <cellStyle name="Célula Vinculada 2" xfId="50" xr:uid="{E58985ED-F108-41D3-89BB-FF330DEA4877}"/>
    <cellStyle name="Célula Vinculada 3" xfId="49" xr:uid="{EB3C1354-9D18-4E58-AAC3-A4517C248633}"/>
    <cellStyle name="Ênfase1 2" xfId="52" xr:uid="{784FE7C1-5BFA-4122-9745-66A5E072377B}"/>
    <cellStyle name="Ênfase1 3" xfId="51" xr:uid="{286308FB-524E-4092-9E05-77177AC854F3}"/>
    <cellStyle name="Ênfase2 2" xfId="54" xr:uid="{72C9393E-68E1-4DA3-BDA9-1CD236084DFC}"/>
    <cellStyle name="Ênfase2 3" xfId="53" xr:uid="{317658AE-96C8-4504-8276-A8918A6FB840}"/>
    <cellStyle name="Ênfase3 2" xfId="56" xr:uid="{D61C9438-C5E6-4E45-B592-123682543230}"/>
    <cellStyle name="Ênfase3 3" xfId="55" xr:uid="{D4637228-CFF2-447E-B06E-10219DC9BCA9}"/>
    <cellStyle name="Ênfase4 2" xfId="58" xr:uid="{3A33045B-2AE9-4826-9320-317A0B179DB5}"/>
    <cellStyle name="Ênfase4 3" xfId="57" xr:uid="{6749B0E7-BCC3-4C67-9116-65EE33B66477}"/>
    <cellStyle name="Ênfase5 2" xfId="60" xr:uid="{CA9529D6-B573-413D-BE15-4AEBA3F6BD06}"/>
    <cellStyle name="Ênfase5 3" xfId="59" xr:uid="{B83A8168-71C8-4CCB-A3A3-01BB099CEDE7}"/>
    <cellStyle name="Ênfase6 2" xfId="62" xr:uid="{DB45E2E0-6C65-4755-92C7-58DBFED232D4}"/>
    <cellStyle name="Ênfase6 3" xfId="61" xr:uid="{EA6E9AD4-E880-4CDA-8DC5-BAC3C9B86E9A}"/>
    <cellStyle name="Entrada 2" xfId="64" xr:uid="{34F534DD-95CA-4963-89C1-FC64C9D851ED}"/>
    <cellStyle name="Entrada 3" xfId="63" xr:uid="{814245B1-EBAF-4C9E-80B4-3F01ED9E4F20}"/>
    <cellStyle name="Hiperlink" xfId="4" builtinId="8"/>
    <cellStyle name="Incorreto 2" xfId="66" xr:uid="{4D002F16-6A85-483F-8E72-37DD8D3A475A}"/>
    <cellStyle name="Millares 2" xfId="3" xr:uid="{B0CCA318-3A5D-49C1-8304-BAD5E8B4E8D6}"/>
    <cellStyle name="Neutra 2" xfId="68" xr:uid="{E69846F0-3B92-4ADF-9C11-6EC880D45F34}"/>
    <cellStyle name="Neutro 2" xfId="67" xr:uid="{40E7FEC3-618A-44A5-805B-0A086AA1AA46}"/>
    <cellStyle name="Normal" xfId="0" builtinId="0"/>
    <cellStyle name="Normal 2" xfId="69" xr:uid="{6E84A949-EB2C-4324-9E69-3E7CA917C489}"/>
    <cellStyle name="Normal 3" xfId="70" xr:uid="{92985F1B-832B-4D65-BAF7-976803713D69}"/>
    <cellStyle name="Normal 4" xfId="71" xr:uid="{C37C4742-1096-44B2-99C2-40673AB75A9D}"/>
    <cellStyle name="Normal 5" xfId="5" xr:uid="{841D662A-B5A0-42B9-AD5F-04F1B33B3B8A}"/>
    <cellStyle name="Normal 6" xfId="97" xr:uid="{9FC3FA7B-ED00-4852-BBD0-7491C378728C}"/>
    <cellStyle name="Nota 2" xfId="73" xr:uid="{812D2660-B04F-4514-A8E6-375802B1C820}"/>
    <cellStyle name="Nota 3" xfId="72" xr:uid="{B2C4AD7A-CB3F-4BAB-8CFC-2309967FF268}"/>
    <cellStyle name="Porcentagem 2" xfId="75" xr:uid="{BA05AA44-4937-41B0-9797-8F8E04E36815}"/>
    <cellStyle name="Porcentagem 3" xfId="76" xr:uid="{9F8A35FC-6F34-4CD7-AD3D-771052C64443}"/>
    <cellStyle name="Porcentagem 4" xfId="74" xr:uid="{2B6CF710-09CD-4AB5-ABD3-81DF7D567BBA}"/>
    <cellStyle name="Porcentagem 5" xfId="98" xr:uid="{8F3715BE-14D5-4317-890E-FF5E7E7655B6}"/>
    <cellStyle name="Ruim 2" xfId="65" xr:uid="{8090A555-1D26-4F8B-8D57-275542D4A923}"/>
    <cellStyle name="Saída 2" xfId="78" xr:uid="{3570F3B8-874E-40EC-A3B0-8899B28A597C}"/>
    <cellStyle name="Saída 3" xfId="77" xr:uid="{9D6A7AA8-2E75-4AC9-9B41-A1BCFA948E7C}"/>
    <cellStyle name="Texto de Aviso 2" xfId="80" xr:uid="{67373FA0-021B-4D51-887F-70B2F2CE5E9F}"/>
    <cellStyle name="Texto de Aviso 3" xfId="79" xr:uid="{3DE6EA90-3B2C-4F8E-B733-52A4B5C848E4}"/>
    <cellStyle name="Texto Explicativo 2" xfId="82" xr:uid="{A38E1BB0-B0B4-4C7C-9282-54CB651AB33F}"/>
    <cellStyle name="Texto Explicativo 3" xfId="81" xr:uid="{0DEE98CA-1D18-4E75-99A7-2262AB2BEDFD}"/>
    <cellStyle name="Título 1 2" xfId="85" xr:uid="{D866C1FC-EC58-44E7-AF39-FA9173F65828}"/>
    <cellStyle name="Título 1 3" xfId="84" xr:uid="{5E2B80D6-2C90-4F55-A332-E581398CAA92}"/>
    <cellStyle name="Título 2 2" xfId="87" xr:uid="{FF765222-D7C3-4C84-9BF6-86B79BF4EEE2}"/>
    <cellStyle name="Título 2 3" xfId="86" xr:uid="{F4C2A333-1C29-4B66-9D64-CA034D71F45C}"/>
    <cellStyle name="Título 3 2" xfId="89" xr:uid="{14C657FD-88F1-4D8D-A27E-8D518E55BAEA}"/>
    <cellStyle name="Título 3 3" xfId="88" xr:uid="{DACE37E2-EC92-495D-94BD-4A64FC4F9DE0}"/>
    <cellStyle name="Título 4 2" xfId="91" xr:uid="{E5E9AF95-42BF-48CA-9CB5-59D39B729F35}"/>
    <cellStyle name="Título 4 3" xfId="90" xr:uid="{ADBF5AA3-C53D-45B1-A790-077F85305731}"/>
    <cellStyle name="Título 5" xfId="92" xr:uid="{AB72DAB1-1F42-4E38-9E97-ACDF39EADCB0}"/>
    <cellStyle name="Título 6" xfId="83" xr:uid="{BE98D4A2-6D27-4CC0-AE4A-8C68051ADF0E}"/>
    <cellStyle name="Total 2" xfId="94" xr:uid="{A36592AF-8D5D-44BA-AE79-6B62C4E90F67}"/>
    <cellStyle name="Total 3" xfId="93" xr:uid="{161E1E76-648A-4631-B569-2E649EDFB6C2}"/>
    <cellStyle name="Vírgula" xfId="1" builtinId="3"/>
    <cellStyle name="Vírgula 2" xfId="96" xr:uid="{211ED70C-3291-4326-9265-CEFBC8797A58}"/>
    <cellStyle name="Vírgula 3" xfId="95" xr:uid="{998AB0F9-5F6C-4CFF-A143-F517FE8ED795}"/>
    <cellStyle name="Vírgula 4" xfId="99" xr:uid="{1E878CE7-A022-455C-B3B5-7B1C61E07F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Brazil_E1G_cane!$B$1</c:f>
              <c:strCache>
                <c:ptCount val="1"/>
                <c:pt idx="0">
                  <c:v>Cane Yield (ton/ha)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Brazil_E1G_cane!$A$32:$A$52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Brazil_E1G_cane!$B$32:$B$52</c:f>
              <c:numCache>
                <c:formatCode>0</c:formatCode>
                <c:ptCount val="21"/>
                <c:pt idx="0">
                  <c:v>67.900000000000006</c:v>
                </c:pt>
                <c:pt idx="1">
                  <c:v>69.400000000000006</c:v>
                </c:pt>
                <c:pt idx="2">
                  <c:v>71.400000000000006</c:v>
                </c:pt>
                <c:pt idx="3">
                  <c:v>73.7</c:v>
                </c:pt>
                <c:pt idx="4">
                  <c:v>73.7</c:v>
                </c:pt>
                <c:pt idx="5">
                  <c:v>72.900000000000006</c:v>
                </c:pt>
                <c:pt idx="6">
                  <c:v>75.099999999999994</c:v>
                </c:pt>
                <c:pt idx="7">
                  <c:v>77.599999999999994</c:v>
                </c:pt>
                <c:pt idx="8">
                  <c:v>79.3</c:v>
                </c:pt>
                <c:pt idx="9">
                  <c:v>80.3</c:v>
                </c:pt>
                <c:pt idx="10">
                  <c:v>79</c:v>
                </c:pt>
                <c:pt idx="11">
                  <c:v>76.400000000000006</c:v>
                </c:pt>
                <c:pt idx="12">
                  <c:v>74.3</c:v>
                </c:pt>
                <c:pt idx="13">
                  <c:v>75.3</c:v>
                </c:pt>
                <c:pt idx="14">
                  <c:v>70.599999999999994</c:v>
                </c:pt>
                <c:pt idx="15">
                  <c:v>74.2</c:v>
                </c:pt>
                <c:pt idx="16">
                  <c:v>75.2</c:v>
                </c:pt>
                <c:pt idx="17">
                  <c:v>74.5</c:v>
                </c:pt>
                <c:pt idx="18">
                  <c:v>74.599999999999994</c:v>
                </c:pt>
                <c:pt idx="19">
                  <c:v>74.7</c:v>
                </c:pt>
                <c:pt idx="2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E-4022-B2C1-FD1C2761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71312"/>
        <c:axId val="1254867984"/>
      </c:lineChart>
      <c:lineChart>
        <c:grouping val="standard"/>
        <c:varyColors val="0"/>
        <c:ser>
          <c:idx val="1"/>
          <c:order val="1"/>
          <c:tx>
            <c:strRef>
              <c:f>Brazil_E1G_cane!$G$1</c:f>
              <c:strCache>
                <c:ptCount val="1"/>
                <c:pt idx="0">
                  <c:v>Ethanol Yield (L/ha)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Brazil_E1G_cane!$A$32:$A$52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Brazil_E1G_cane!$G$32:$G$52</c:f>
              <c:numCache>
                <c:formatCode>0</c:formatCode>
                <c:ptCount val="21"/>
                <c:pt idx="0">
                  <c:v>5375.6</c:v>
                </c:pt>
                <c:pt idx="1">
                  <c:v>5340.7</c:v>
                </c:pt>
                <c:pt idx="2">
                  <c:v>5805.4</c:v>
                </c:pt>
                <c:pt idx="3">
                  <c:v>5975.3</c:v>
                </c:pt>
                <c:pt idx="4">
                  <c:v>5777.9</c:v>
                </c:pt>
                <c:pt idx="5">
                  <c:v>6110.5</c:v>
                </c:pt>
                <c:pt idx="6">
                  <c:v>6223.7</c:v>
                </c:pt>
                <c:pt idx="7">
                  <c:v>6421.2</c:v>
                </c:pt>
                <c:pt idx="8">
                  <c:v>6257.6</c:v>
                </c:pt>
                <c:pt idx="9">
                  <c:v>6203.3</c:v>
                </c:pt>
                <c:pt idx="10">
                  <c:v>6545.2</c:v>
                </c:pt>
                <c:pt idx="11">
                  <c:v>6123.1</c:v>
                </c:pt>
                <c:pt idx="12">
                  <c:v>5920.3</c:v>
                </c:pt>
                <c:pt idx="13">
                  <c:v>5756.3</c:v>
                </c:pt>
                <c:pt idx="14">
                  <c:v>5586.9</c:v>
                </c:pt>
                <c:pt idx="15">
                  <c:v>5647.7</c:v>
                </c:pt>
                <c:pt idx="16">
                  <c:v>6027.9</c:v>
                </c:pt>
                <c:pt idx="17">
                  <c:v>5943.4</c:v>
                </c:pt>
                <c:pt idx="18">
                  <c:v>6181.7</c:v>
                </c:pt>
                <c:pt idx="19">
                  <c:v>6275.4</c:v>
                </c:pt>
                <c:pt idx="20">
                  <c:v>6132.4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E-4022-B2C1-FD1C2761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67968"/>
        <c:axId val="733058816"/>
      </c:lineChart>
      <c:catAx>
        <c:axId val="12548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867984"/>
        <c:crosses val="autoZero"/>
        <c:auto val="1"/>
        <c:lblAlgn val="ctr"/>
        <c:lblOffset val="100"/>
        <c:noMultiLvlLbl val="0"/>
      </c:catAx>
      <c:valAx>
        <c:axId val="125486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Cane Yield (ton/ha)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871312"/>
        <c:crosses val="autoZero"/>
        <c:crossBetween val="between"/>
      </c:valAx>
      <c:valAx>
        <c:axId val="733058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Ethanol Yield (L/ha)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67968"/>
        <c:crosses val="max"/>
        <c:crossBetween val="between"/>
      </c:valAx>
      <c:catAx>
        <c:axId val="73306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305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Colombia_B100_Palm!$C$1</c:f>
              <c:strCache>
                <c:ptCount val="1"/>
                <c:pt idx="0">
                  <c:v>Palm Oil Yield (tons/ha)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Colombia_B100_Palm!$A$2:$A$22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Colombia_B100_Palm!$C$2:$C$22</c:f>
              <c:numCache>
                <c:formatCode>General</c:formatCode>
                <c:ptCount val="21"/>
                <c:pt idx="0">
                  <c:v>18.3</c:v>
                </c:pt>
                <c:pt idx="1">
                  <c:v>20.399999999999999</c:v>
                </c:pt>
                <c:pt idx="2">
                  <c:v>17.8</c:v>
                </c:pt>
                <c:pt idx="3">
                  <c:v>17.2</c:v>
                </c:pt>
                <c:pt idx="4">
                  <c:v>19.8</c:v>
                </c:pt>
                <c:pt idx="5">
                  <c:v>19.3</c:v>
                </c:pt>
                <c:pt idx="6">
                  <c:v>19.600000000000001</c:v>
                </c:pt>
                <c:pt idx="7">
                  <c:v>18.3</c:v>
                </c:pt>
                <c:pt idx="8">
                  <c:v>17.2</c:v>
                </c:pt>
                <c:pt idx="9">
                  <c:v>16.399999999999999</c:v>
                </c:pt>
                <c:pt idx="10">
                  <c:v>15.1</c:v>
                </c:pt>
                <c:pt idx="11">
                  <c:v>17.3</c:v>
                </c:pt>
                <c:pt idx="12">
                  <c:v>15.6</c:v>
                </c:pt>
                <c:pt idx="13">
                  <c:v>14.9</c:v>
                </c:pt>
                <c:pt idx="14" formatCode="0.0">
                  <c:v>15.65</c:v>
                </c:pt>
                <c:pt idx="15" formatCode="0.0">
                  <c:v>15.72</c:v>
                </c:pt>
                <c:pt idx="16" formatCode="0.0">
                  <c:v>13.61</c:v>
                </c:pt>
                <c:pt idx="17" formatCode="0.0">
                  <c:v>17.72</c:v>
                </c:pt>
                <c:pt idx="18" formatCode="0.0">
                  <c:v>16.66</c:v>
                </c:pt>
                <c:pt idx="19" formatCode="0.0">
                  <c:v>15.03</c:v>
                </c:pt>
                <c:pt idx="20" formatCode="0.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A-4C98-B31C-ABB1EB83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60464"/>
        <c:axId val="1262763376"/>
      </c:lineChart>
      <c:lineChart>
        <c:grouping val="stacked"/>
        <c:varyColors val="0"/>
        <c:ser>
          <c:idx val="1"/>
          <c:order val="1"/>
          <c:tx>
            <c:strRef>
              <c:f>Colombia_B100_Palm!$F$1</c:f>
              <c:strCache>
                <c:ptCount val="1"/>
                <c:pt idx="0">
                  <c:v>Biodiesel Yield (L/ha)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Colombia_B100_Palm!$A$2:$A$22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Colombia_B100_Palm!$F$2:$F$22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">
                  <c:v>374.70192879782519</c:v>
                </c:pt>
                <c:pt idx="9" formatCode="0.0">
                  <c:v>697.07351899506398</c:v>
                </c:pt>
                <c:pt idx="10" formatCode="0.0">
                  <c:v>982.89863919821812</c:v>
                </c:pt>
                <c:pt idx="11" formatCode="0.0">
                  <c:v>1214.3347118120555</c:v>
                </c:pt>
                <c:pt idx="12" formatCode="0.0">
                  <c:v>1237.1831052317484</c:v>
                </c:pt>
                <c:pt idx="13" formatCode="0.0">
                  <c:v>1252.7480284827384</c:v>
                </c:pt>
                <c:pt idx="14" formatCode="0.0">
                  <c:v>1238.589858490566</c:v>
                </c:pt>
                <c:pt idx="15" formatCode="0.0">
                  <c:v>1166.3639055385281</c:v>
                </c:pt>
                <c:pt idx="16" formatCode="0.0">
                  <c:v>1047.5032858004013</c:v>
                </c:pt>
                <c:pt idx="17" formatCode="0.0">
                  <c:v>1041.153253938234</c:v>
                </c:pt>
                <c:pt idx="18" formatCode="0.0">
                  <c:v>1144.6702546389267</c:v>
                </c:pt>
                <c:pt idx="19" formatCode="0.0">
                  <c:v>1073.2124415231171</c:v>
                </c:pt>
                <c:pt idx="20" formatCode="0.0">
                  <c:v>965.79231398755314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A-4C98-B31C-ABB1EB83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23056"/>
        <c:axId val="492223472"/>
      </c:lineChart>
      <c:catAx>
        <c:axId val="12627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763376"/>
        <c:crosses val="autoZero"/>
        <c:auto val="1"/>
        <c:lblAlgn val="ctr"/>
        <c:lblOffset val="100"/>
        <c:noMultiLvlLbl val="0"/>
      </c:catAx>
      <c:valAx>
        <c:axId val="126276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Palm oil Yield (ton/ha)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2760464"/>
        <c:crosses val="autoZero"/>
        <c:crossBetween val="between"/>
      </c:valAx>
      <c:valAx>
        <c:axId val="492223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Biodiesel Yield (L/ha)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223056"/>
        <c:crosses val="max"/>
        <c:crossBetween val="between"/>
      </c:valAx>
      <c:catAx>
        <c:axId val="49222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22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Plots_B100!$A$3</c:f>
              <c:strCache>
                <c:ptCount val="1"/>
                <c:pt idx="0">
                  <c:v>Soybean - Brazil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x"/>
            <c:size val="7"/>
            <c:spPr>
              <a:noFill/>
              <a:ln w="22225">
                <a:solidFill>
                  <a:srgbClr val="002060"/>
                </a:solidFill>
              </a:ln>
              <a:effectLst/>
            </c:spPr>
          </c:marker>
          <c:cat>
            <c:numRef>
              <c:f>Plots_B100!$L$2:$V$2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Plots_B100!$L$3:$V$3</c:f>
              <c:numCache>
                <c:formatCode>0</c:formatCode>
                <c:ptCount val="11"/>
                <c:pt idx="0">
                  <c:v>3.1148374824249441</c:v>
                </c:pt>
                <c:pt idx="1">
                  <c:v>2.6508405542466957</c:v>
                </c:pt>
                <c:pt idx="2">
                  <c:v>2.9383833285261032</c:v>
                </c:pt>
                <c:pt idx="3">
                  <c:v>2.8542736883969111</c:v>
                </c:pt>
                <c:pt idx="4">
                  <c:v>2.9984420278565418</c:v>
                </c:pt>
                <c:pt idx="5">
                  <c:v>2.8762225766649614</c:v>
                </c:pt>
                <c:pt idx="6">
                  <c:v>3.3641216196290071</c:v>
                </c:pt>
                <c:pt idx="7">
                  <c:v>3.3933885237973316</c:v>
                </c:pt>
                <c:pt idx="8">
                  <c:v>3.2063217750027873</c:v>
                </c:pt>
                <c:pt idx="9">
                  <c:v>3.3789379668723614</c:v>
                </c:pt>
                <c:pt idx="10">
                  <c:v>3.5274850765637167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8-4D84-8855-E02E7E5801F6}"/>
            </c:ext>
          </c:extLst>
        </c:ser>
        <c:ser>
          <c:idx val="1"/>
          <c:order val="1"/>
          <c:tx>
            <c:strRef>
              <c:f>Plots_B100!$A$4</c:f>
              <c:strCache>
                <c:ptCount val="1"/>
                <c:pt idx="0">
                  <c:v>Soybean - Argentina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numRef>
              <c:f>Plots_B100!$L$2:$V$2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Plots_B100!$L$4:$V$4</c:f>
              <c:numCache>
                <c:formatCode>0</c:formatCode>
                <c:ptCount val="11"/>
                <c:pt idx="0">
                  <c:v>2.6070000000000002</c:v>
                </c:pt>
                <c:pt idx="1">
                  <c:v>2.282</c:v>
                </c:pt>
                <c:pt idx="2">
                  <c:v>2.5470000000000002</c:v>
                </c:pt>
                <c:pt idx="3">
                  <c:v>2.774</c:v>
                </c:pt>
                <c:pt idx="4">
                  <c:v>3.1760000000000002</c:v>
                </c:pt>
                <c:pt idx="5">
                  <c:v>3.016</c:v>
                </c:pt>
                <c:pt idx="6">
                  <c:v>3.1709999999999998</c:v>
                </c:pt>
                <c:pt idx="7">
                  <c:v>2.3159999999999998</c:v>
                </c:pt>
                <c:pt idx="8">
                  <c:v>3.3340000000000001</c:v>
                </c:pt>
                <c:pt idx="9">
                  <c:v>2.9180000000000001</c:v>
                </c:pt>
                <c:pt idx="10">
                  <c:v>2.8069999999999999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8-4D84-8855-E02E7E5801F6}"/>
            </c:ext>
          </c:extLst>
        </c:ser>
        <c:ser>
          <c:idx val="2"/>
          <c:order val="2"/>
          <c:tx>
            <c:strRef>
              <c:f>Plots_B100!$A$5</c:f>
              <c:strCache>
                <c:ptCount val="1"/>
                <c:pt idx="0">
                  <c:v>Palm Oil - Colombia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2060"/>
              </a:solidFill>
              <a:ln w="22225">
                <a:solidFill>
                  <a:srgbClr val="002060"/>
                </a:solidFill>
              </a:ln>
              <a:effectLst/>
            </c:spPr>
          </c:marker>
          <c:cat>
            <c:numRef>
              <c:f>Plots_B100!$L$2:$V$2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Plots_B100!$L$5:$V$5</c:f>
              <c:numCache>
                <c:formatCode>0</c:formatCode>
                <c:ptCount val="11"/>
                <c:pt idx="0">
                  <c:v>15.1</c:v>
                </c:pt>
                <c:pt idx="1">
                  <c:v>17.3</c:v>
                </c:pt>
                <c:pt idx="2">
                  <c:v>15.6</c:v>
                </c:pt>
                <c:pt idx="3">
                  <c:v>14.9</c:v>
                </c:pt>
                <c:pt idx="4">
                  <c:v>15.65</c:v>
                </c:pt>
                <c:pt idx="5">
                  <c:v>15.72</c:v>
                </c:pt>
                <c:pt idx="6">
                  <c:v>13.61</c:v>
                </c:pt>
                <c:pt idx="7">
                  <c:v>17.72</c:v>
                </c:pt>
                <c:pt idx="8">
                  <c:v>16.66</c:v>
                </c:pt>
                <c:pt idx="9">
                  <c:v>15.03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8-4D84-8855-E02E7E580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490064"/>
        <c:axId val="2033256096"/>
      </c:lineChart>
      <c:catAx>
        <c:axId val="20304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256096"/>
        <c:crosses val="autoZero"/>
        <c:auto val="1"/>
        <c:lblAlgn val="ctr"/>
        <c:lblOffset val="100"/>
        <c:noMultiLvlLbl val="0"/>
      </c:catAx>
      <c:valAx>
        <c:axId val="203325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Feedstock Yield (ton/ha)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4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Plots_B100!$A$11</c:f>
              <c:strCache>
                <c:ptCount val="1"/>
                <c:pt idx="0">
                  <c:v>Soybean - Brazil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x"/>
            <c:size val="7"/>
            <c:spPr>
              <a:noFill/>
              <a:ln w="22225">
                <a:solidFill>
                  <a:srgbClr val="002060"/>
                </a:solidFill>
              </a:ln>
              <a:effectLst/>
            </c:spPr>
          </c:marker>
          <c:cat>
            <c:numRef>
              <c:f>Plots_B100!$L$10:$V$10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Plots_B100!$L$11:$V$11</c:f>
              <c:numCache>
                <c:formatCode>0</c:formatCode>
                <c:ptCount val="11"/>
                <c:pt idx="0">
                  <c:v>81.085994672144565</c:v>
                </c:pt>
                <c:pt idx="1">
                  <c:v>85.944078617266328</c:v>
                </c:pt>
                <c:pt idx="2">
                  <c:v>73.610734983761176</c:v>
                </c:pt>
                <c:pt idx="3">
                  <c:v>71.02323986894244</c:v>
                </c:pt>
                <c:pt idx="4">
                  <c:v>79.567547697765875</c:v>
                </c:pt>
                <c:pt idx="5">
                  <c:v>90.541478636651703</c:v>
                </c:pt>
                <c:pt idx="6">
                  <c:v>85.841236645108964</c:v>
                </c:pt>
                <c:pt idx="7">
                  <c:v>85.560725833633938</c:v>
                </c:pt>
                <c:pt idx="8">
                  <c:v>104.48280935055674</c:v>
                </c:pt>
                <c:pt idx="9">
                  <c:v>108.31589750667965</c:v>
                </c:pt>
                <c:pt idx="10">
                  <c:v>118.87272292663994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9-4EDA-8B02-12BA3523A4E1}"/>
            </c:ext>
          </c:extLst>
        </c:ser>
        <c:ser>
          <c:idx val="1"/>
          <c:order val="1"/>
          <c:tx>
            <c:strRef>
              <c:f>Plots_B100!$A$12</c:f>
              <c:strCache>
                <c:ptCount val="1"/>
                <c:pt idx="0">
                  <c:v>Soybean - Argentina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2060"/>
              </a:solidFill>
              <a:ln w="22225">
                <a:solidFill>
                  <a:srgbClr val="002060"/>
                </a:solidFill>
              </a:ln>
              <a:effectLst/>
            </c:spPr>
          </c:marker>
          <c:cat>
            <c:numRef>
              <c:f>Plots_B100!$L$10:$V$10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Plots_B100!$L$12:$V$12</c:f>
              <c:numCache>
                <c:formatCode>0</c:formatCode>
                <c:ptCount val="11"/>
                <c:pt idx="0">
                  <c:v>110.42276418179787</c:v>
                </c:pt>
                <c:pt idx="1">
                  <c:v>157.13208827143649</c:v>
                </c:pt>
                <c:pt idx="2">
                  <c:v>144.74102695992218</c:v>
                </c:pt>
                <c:pt idx="3">
                  <c:v>117.91633303817514</c:v>
                </c:pt>
                <c:pt idx="4">
                  <c:v>151.88549739257618</c:v>
                </c:pt>
                <c:pt idx="5">
                  <c:v>105.0268283352254</c:v>
                </c:pt>
                <c:pt idx="6">
                  <c:v>174.31712223175671</c:v>
                </c:pt>
                <c:pt idx="7">
                  <c:v>199.96214734973509</c:v>
                </c:pt>
                <c:pt idx="8">
                  <c:v>166.52043197666367</c:v>
                </c:pt>
                <c:pt idx="9">
                  <c:v>145.92534376585064</c:v>
                </c:pt>
                <c:pt idx="10">
                  <c:v>79.869387640810658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9-4EDA-8B02-12BA3523A4E1}"/>
            </c:ext>
          </c:extLst>
        </c:ser>
        <c:ser>
          <c:idx val="2"/>
          <c:order val="2"/>
          <c:tx>
            <c:strRef>
              <c:f>Plots_B100!$A$13</c:f>
              <c:strCache>
                <c:ptCount val="1"/>
                <c:pt idx="0">
                  <c:v>Palm Oil - Colombia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2060"/>
              </a:solidFill>
              <a:ln w="22225">
                <a:solidFill>
                  <a:srgbClr val="002060"/>
                </a:solidFill>
              </a:ln>
              <a:effectLst/>
            </c:spPr>
          </c:marker>
          <c:cat>
            <c:numRef>
              <c:f>Plots_B100!$L$10:$V$10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Plots_B100!$L$13:$V$13</c:f>
              <c:numCache>
                <c:formatCode>0</c:formatCode>
                <c:ptCount val="11"/>
                <c:pt idx="0">
                  <c:v>982.89863919821812</c:v>
                </c:pt>
                <c:pt idx="1">
                  <c:v>1214.3347118120555</c:v>
                </c:pt>
                <c:pt idx="2">
                  <c:v>1237.1831052317484</c:v>
                </c:pt>
                <c:pt idx="3">
                  <c:v>1252.7480284827384</c:v>
                </c:pt>
                <c:pt idx="4">
                  <c:v>1238.589858490566</c:v>
                </c:pt>
                <c:pt idx="5">
                  <c:v>1166.3639055385281</c:v>
                </c:pt>
                <c:pt idx="6">
                  <c:v>1047.5032858004013</c:v>
                </c:pt>
                <c:pt idx="7">
                  <c:v>1041.153253938234</c:v>
                </c:pt>
                <c:pt idx="8">
                  <c:v>1144.6702546389267</c:v>
                </c:pt>
                <c:pt idx="9">
                  <c:v>1073.2124415231171</c:v>
                </c:pt>
                <c:pt idx="10">
                  <c:v>965.79231398755314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9-4EDA-8B02-12BA3523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897200"/>
        <c:axId val="1922897616"/>
      </c:lineChart>
      <c:catAx>
        <c:axId val="19228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897616"/>
        <c:crosses val="autoZero"/>
        <c:auto val="1"/>
        <c:lblAlgn val="ctr"/>
        <c:lblOffset val="100"/>
        <c:noMultiLvlLbl val="0"/>
      </c:catAx>
      <c:valAx>
        <c:axId val="19228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Biodiesel Yield (L/ha)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8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22834645669291"/>
          <c:y val="0.15060002916302132"/>
          <c:w val="0.43932130358705157"/>
          <c:h val="0.73220217264508591"/>
        </c:manualLayout>
      </c:layout>
      <c:doughnutChart>
        <c:varyColors val="1"/>
        <c:ser>
          <c:idx val="0"/>
          <c:order val="0"/>
          <c:tx>
            <c:strRef>
              <c:f>Biofuels_consumption_produtctio!$B$1</c:f>
              <c:strCache>
                <c:ptCount val="1"/>
                <c:pt idx="0">
                  <c:v>Production (bilion liters)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81-4080-B595-B0F7771641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81-4080-B595-B0F7771641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81-4080-B595-B0F7771641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81-4080-B595-B0F7771641D4}"/>
              </c:ext>
            </c:extLst>
          </c:dPt>
          <c:dLbls>
            <c:dLbl>
              <c:idx val="0"/>
              <c:layout>
                <c:manualLayout>
                  <c:x val="0.13748191027496381"/>
                  <c:y val="-0.124497991967871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81-4080-B595-B0F7771641D4}"/>
                </c:ext>
              </c:extLst>
            </c:dLbl>
            <c:dLbl>
              <c:idx val="1"/>
              <c:layout>
                <c:manualLayout>
                  <c:x val="0.11336227689339122"/>
                  <c:y val="0.104417670682730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81-4080-B595-B0F7771641D4}"/>
                </c:ext>
              </c:extLst>
            </c:dLbl>
            <c:dLbl>
              <c:idx val="2"/>
              <c:layout>
                <c:manualLayout>
                  <c:x val="-0.10371442354076219"/>
                  <c:y val="8.83534136546183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81-4080-B595-B0F7771641D4}"/>
                </c:ext>
              </c:extLst>
            </c:dLbl>
            <c:dLbl>
              <c:idx val="3"/>
              <c:layout>
                <c:manualLayout>
                  <c:x val="-0.18347007456195327"/>
                  <c:y val="-0.115740600196059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9862204724409"/>
                      <c:h val="0.20041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F81-4080-B595-B0F7771641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Biofuels_consumption_produtctio!$A$2:$A$5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ARG-BRA-COL-GUA</c:v>
                </c:pt>
              </c:strCache>
            </c:strRef>
          </c:cat>
          <c:val>
            <c:numRef>
              <c:f>Biofuels_consumption_produtctio!$B$2:$B$5</c:f>
              <c:numCache>
                <c:formatCode>0.0</c:formatCode>
                <c:ptCount val="4"/>
                <c:pt idx="0">
                  <c:v>39.982845695000002</c:v>
                </c:pt>
                <c:pt idx="1">
                  <c:v>17.931348794999998</c:v>
                </c:pt>
                <c:pt idx="2">
                  <c:v>17.757258029999999</c:v>
                </c:pt>
                <c:pt idx="3" formatCode="General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C-4327-A21B-1B04D5F46E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78390201224845"/>
          <c:y val="0.16448891805191015"/>
          <c:w val="0.43654352580927391"/>
          <c:h val="0.72757254301545649"/>
        </c:manualLayout>
      </c:layout>
      <c:doughnutChart>
        <c:varyColors val="1"/>
        <c:ser>
          <c:idx val="0"/>
          <c:order val="0"/>
          <c:tx>
            <c:strRef>
              <c:f>Biofuels_consumption_produtctio!$C$1</c:f>
              <c:strCache>
                <c:ptCount val="1"/>
                <c:pt idx="0">
                  <c:v>Comsumption (bilion liters)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58-40E3-9214-388D306BD2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8-40E3-9214-388D306BD2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58-40E3-9214-388D306BD2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58-40E3-9214-388D306BD2B4}"/>
              </c:ext>
            </c:extLst>
          </c:dPt>
          <c:dLbls>
            <c:dLbl>
              <c:idx val="0"/>
              <c:layout>
                <c:manualLayout>
                  <c:x val="0.10524499654934424"/>
                  <c:y val="-0.114942528735632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58-40E3-9214-388D306BD2B4}"/>
                </c:ext>
              </c:extLst>
            </c:dLbl>
            <c:dLbl>
              <c:idx val="1"/>
              <c:layout>
                <c:manualLayout>
                  <c:x val="0.16388469208755915"/>
                  <c:y val="8.82530367147535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58-40E3-9214-388D306BD2B4}"/>
                </c:ext>
              </c:extLst>
            </c:dLbl>
            <c:dLbl>
              <c:idx val="2"/>
              <c:layout>
                <c:manualLayout>
                  <c:x val="-0.11041809194204193"/>
                  <c:y val="0.10708392290780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58-40E3-9214-388D306BD2B4}"/>
                </c:ext>
              </c:extLst>
            </c:dLbl>
            <c:dLbl>
              <c:idx val="3"/>
              <c:layout>
                <c:manualLayout>
                  <c:x val="-0.11732229123533472"/>
                  <c:y val="-9.57854406130268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58-40E3-9214-388D306BD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Biofuels_consumption_produtctio!$A$9:$A$12</c:f>
              <c:strCache>
                <c:ptCount val="4"/>
                <c:pt idx="0">
                  <c:v>ARG-BRA-COL</c:v>
                </c:pt>
                <c:pt idx="1">
                  <c:v>Europe</c:v>
                </c:pt>
                <c:pt idx="2">
                  <c:v>Asia</c:v>
                </c:pt>
                <c:pt idx="3">
                  <c:v>North America</c:v>
                </c:pt>
              </c:strCache>
            </c:strRef>
          </c:cat>
          <c:val>
            <c:numRef>
              <c:f>Biofuels_consumption_produtctio!$C$9:$C$12</c:f>
              <c:numCache>
                <c:formatCode>0.0</c:formatCode>
                <c:ptCount val="4"/>
                <c:pt idx="0" formatCode="General">
                  <c:v>42.4</c:v>
                </c:pt>
                <c:pt idx="1">
                  <c:v>19.49816568</c:v>
                </c:pt>
                <c:pt idx="2">
                  <c:v>16.190441145000001</c:v>
                </c:pt>
                <c:pt idx="3">
                  <c:v>38.938301105000001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0-4FE8-BBAB-9570EE29E0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Guatemala_E1G_cane!$C$1</c:f>
              <c:strCache>
                <c:ptCount val="1"/>
                <c:pt idx="0">
                  <c:v>Cane Yield (ton/ha)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Guatemala_E1G_cane!$A$42:$A$62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Guatemala_E1G_cane!$C$42:$C$62</c:f>
              <c:numCache>
                <c:formatCode>0</c:formatCode>
                <c:ptCount val="21"/>
                <c:pt idx="0">
                  <c:v>82.8</c:v>
                </c:pt>
                <c:pt idx="1">
                  <c:v>64.599999999999994</c:v>
                </c:pt>
                <c:pt idx="2">
                  <c:v>92</c:v>
                </c:pt>
                <c:pt idx="3">
                  <c:v>88.3</c:v>
                </c:pt>
                <c:pt idx="4">
                  <c:v>91.9</c:v>
                </c:pt>
                <c:pt idx="5">
                  <c:v>91.3</c:v>
                </c:pt>
                <c:pt idx="6">
                  <c:v>89.3</c:v>
                </c:pt>
                <c:pt idx="7">
                  <c:v>96.3</c:v>
                </c:pt>
                <c:pt idx="8">
                  <c:v>87.3</c:v>
                </c:pt>
                <c:pt idx="9">
                  <c:v>91.1</c:v>
                </c:pt>
                <c:pt idx="10">
                  <c:v>102.4</c:v>
                </c:pt>
                <c:pt idx="11">
                  <c:v>88.5</c:v>
                </c:pt>
                <c:pt idx="12">
                  <c:v>99.5</c:v>
                </c:pt>
                <c:pt idx="13">
                  <c:v>101.7</c:v>
                </c:pt>
                <c:pt idx="14">
                  <c:v>102.6</c:v>
                </c:pt>
                <c:pt idx="15">
                  <c:v>104</c:v>
                </c:pt>
                <c:pt idx="16">
                  <c:v>104.1</c:v>
                </c:pt>
                <c:pt idx="17">
                  <c:v>98.2</c:v>
                </c:pt>
                <c:pt idx="18">
                  <c:v>98.3</c:v>
                </c:pt>
                <c:pt idx="19">
                  <c:v>104.3</c:v>
                </c:pt>
                <c:pt idx="20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4-40CC-9D6D-921662FB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59888"/>
        <c:axId val="493907744"/>
      </c:lineChart>
      <c:lineChart>
        <c:grouping val="stacked"/>
        <c:varyColors val="0"/>
        <c:ser>
          <c:idx val="1"/>
          <c:order val="1"/>
          <c:tx>
            <c:strRef>
              <c:f>Guatemala_E1G_cane!$E$1</c:f>
              <c:strCache>
                <c:ptCount val="1"/>
                <c:pt idx="0">
                  <c:v>Ethanol Yield (L/ha)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Guatemala_E1G_cane!$A$42:$A$62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Guatemala_E1G_cane!$E$42:$E$62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109.00964730220326</c:v>
                </c:pt>
                <c:pt idx="4">
                  <c:v>133.16720320095925</c:v>
                </c:pt>
                <c:pt idx="5">
                  <c:v>147.51984829329962</c:v>
                </c:pt>
                <c:pt idx="6">
                  <c:v>180.80063146951429</c:v>
                </c:pt>
                <c:pt idx="7">
                  <c:v>346.17000782613928</c:v>
                </c:pt>
                <c:pt idx="8">
                  <c:v>291.79519595448795</c:v>
                </c:pt>
                <c:pt idx="9">
                  <c:v>313.90644753476607</c:v>
                </c:pt>
                <c:pt idx="10">
                  <c:v>120.99367888748419</c:v>
                </c:pt>
                <c:pt idx="11">
                  <c:v>149.94174189879553</c:v>
                </c:pt>
                <c:pt idx="12">
                  <c:v>145.36776473141734</c:v>
                </c:pt>
                <c:pt idx="13">
                  <c:v>117.61014041628069</c:v>
                </c:pt>
                <c:pt idx="14">
                  <c:v>71.166174766705055</c:v>
                </c:pt>
                <c:pt idx="15">
                  <c:v>123.71490286574421</c:v>
                </c:pt>
                <c:pt idx="16">
                  <c:v>179.24406188595782</c:v>
                </c:pt>
                <c:pt idx="17">
                  <c:v>153.90191232724953</c:v>
                </c:pt>
                <c:pt idx="18">
                  <c:v>150.23133320243667</c:v>
                </c:pt>
                <c:pt idx="19">
                  <c:v>274.03536478403174</c:v>
                </c:pt>
                <c:pt idx="20">
                  <c:v>158.15000331303989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4-40CC-9D6D-921662FB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10192"/>
        <c:axId val="609509776"/>
      </c:lineChart>
      <c:catAx>
        <c:axId val="4895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07744"/>
        <c:crosses val="autoZero"/>
        <c:auto val="1"/>
        <c:lblAlgn val="ctr"/>
        <c:lblOffset val="100"/>
        <c:noMultiLvlLbl val="0"/>
      </c:catAx>
      <c:valAx>
        <c:axId val="49390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Cane Yield (ton/ha)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559888"/>
        <c:crosses val="autoZero"/>
        <c:crossBetween val="between"/>
      </c:valAx>
      <c:valAx>
        <c:axId val="609509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Ethanol</a:t>
                </a:r>
                <a:r>
                  <a:rPr lang="pt-BR" baseline="0"/>
                  <a:t> Yiled (L/ha)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510192"/>
        <c:crosses val="max"/>
        <c:crossBetween val="between"/>
      </c:valAx>
      <c:catAx>
        <c:axId val="60951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50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Cane Yield (ton/ha)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Argentina_E1G_cane!$A$2:$A$10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Argentina_E1G_cane!$E$2:$E$10</c:f>
              <c:numCache>
                <c:formatCode>0</c:formatCode>
                <c:ptCount val="9"/>
                <c:pt idx="0">
                  <c:v>61.5</c:v>
                </c:pt>
                <c:pt idx="1">
                  <c:v>47.88</c:v>
                </c:pt>
                <c:pt idx="2">
                  <c:v>56.7</c:v>
                </c:pt>
                <c:pt idx="3">
                  <c:v>61.61</c:v>
                </c:pt>
                <c:pt idx="4">
                  <c:v>59.8</c:v>
                </c:pt>
                <c:pt idx="5">
                  <c:v>54.25</c:v>
                </c:pt>
                <c:pt idx="6">
                  <c:v>56.13</c:v>
                </c:pt>
                <c:pt idx="7">
                  <c:v>56.47</c:v>
                </c:pt>
                <c:pt idx="8">
                  <c:v>55.09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E-4099-BD69-25FD7342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582608"/>
        <c:axId val="731588848"/>
      </c:lineChart>
      <c:lineChart>
        <c:grouping val="stacked"/>
        <c:varyColors val="0"/>
        <c:ser>
          <c:idx val="1"/>
          <c:order val="1"/>
          <c:tx>
            <c:v>Ethanol Yield (L/ha)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Argentina_E1G_cane!$A$2:$A$10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Argentina_E1G_cane!$G$2:$G$10</c:f>
              <c:numCache>
                <c:formatCode>0</c:formatCode>
                <c:ptCount val="9"/>
                <c:pt idx="0">
                  <c:v>913.34339382868041</c:v>
                </c:pt>
                <c:pt idx="1">
                  <c:v>1093.2850276203458</c:v>
                </c:pt>
                <c:pt idx="2">
                  <c:v>1130.4957587181905</c:v>
                </c:pt>
                <c:pt idx="3">
                  <c:v>1238.692559973468</c:v>
                </c:pt>
                <c:pt idx="4">
                  <c:v>1459.2919979575461</c:v>
                </c:pt>
                <c:pt idx="5">
                  <c:v>2052.2513672500063</c:v>
                </c:pt>
                <c:pt idx="6">
                  <c:v>1931.4055437723987</c:v>
                </c:pt>
                <c:pt idx="7">
                  <c:v>1887.7064186857497</c:v>
                </c:pt>
                <c:pt idx="8">
                  <c:v>1391.0347442935561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E-4099-BD69-25FD7342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756256"/>
        <c:axId val="430755840"/>
      </c:lineChart>
      <c:catAx>
        <c:axId val="7315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588848"/>
        <c:crosses val="autoZero"/>
        <c:auto val="1"/>
        <c:lblAlgn val="ctr"/>
        <c:lblOffset val="100"/>
        <c:noMultiLvlLbl val="0"/>
      </c:catAx>
      <c:valAx>
        <c:axId val="73158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Cane Yield (ton/ha)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582608"/>
        <c:crosses val="autoZero"/>
        <c:crossBetween val="between"/>
      </c:valAx>
      <c:valAx>
        <c:axId val="430755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Ethanol Yield (L/ha)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756256"/>
        <c:crosses val="max"/>
        <c:crossBetween val="between"/>
      </c:valAx>
      <c:catAx>
        <c:axId val="4307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75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Corn Yield (ton/ha)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Argentina_E1G_corn!$A$2:$A$10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Argentina_E1G_corn!$D$2:$D$10</c:f>
              <c:numCache>
                <c:formatCode>0</c:formatCode>
                <c:ptCount val="9"/>
                <c:pt idx="0">
                  <c:v>5.7350000000000003</c:v>
                </c:pt>
                <c:pt idx="1">
                  <c:v>6.5890000000000004</c:v>
                </c:pt>
                <c:pt idx="2">
                  <c:v>6.8410000000000002</c:v>
                </c:pt>
                <c:pt idx="3">
                  <c:v>7.30891</c:v>
                </c:pt>
                <c:pt idx="4">
                  <c:v>7.4426600000000001</c:v>
                </c:pt>
                <c:pt idx="5">
                  <c:v>7.5710800000000003</c:v>
                </c:pt>
                <c:pt idx="6">
                  <c:v>6.0883400000000005</c:v>
                </c:pt>
                <c:pt idx="7">
                  <c:v>7.8615500000000003</c:v>
                </c:pt>
                <c:pt idx="8">
                  <c:v>7.5539399999999999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E-4963-A60F-84268F10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03120"/>
        <c:axId val="609503952"/>
      </c:lineChart>
      <c:lineChart>
        <c:grouping val="standard"/>
        <c:varyColors val="0"/>
        <c:ser>
          <c:idx val="1"/>
          <c:order val="1"/>
          <c:tx>
            <c:v>Ethanol Yield (L/ha)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Argentina_E1G_corn!$A$2:$A$10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Argentina_E1G_corn!$F$2:$F$10</c:f>
              <c:numCache>
                <c:formatCode>0</c:formatCode>
                <c:ptCount val="9"/>
                <c:pt idx="0">
                  <c:v>184.8695542389236</c:v>
                </c:pt>
                <c:pt idx="1">
                  <c:v>1148.5804346573116</c:v>
                </c:pt>
                <c:pt idx="2">
                  <c:v>2558.6347038052813</c:v>
                </c:pt>
                <c:pt idx="3">
                  <c:v>2647.3697816547574</c:v>
                </c:pt>
                <c:pt idx="4">
                  <c:v>2364.8060642628566</c:v>
                </c:pt>
                <c:pt idx="5">
                  <c:v>2167.9565955556677</c:v>
                </c:pt>
                <c:pt idx="6">
                  <c:v>2135.7900556024451</c:v>
                </c:pt>
                <c:pt idx="7">
                  <c:v>2042.2332758160012</c:v>
                </c:pt>
                <c:pt idx="8">
                  <c:v>1485.528024541708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963-A60F-84268F10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633264"/>
        <c:axId val="699622032"/>
      </c:lineChart>
      <c:catAx>
        <c:axId val="6095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503952"/>
        <c:crosses val="autoZero"/>
        <c:auto val="1"/>
        <c:lblAlgn val="ctr"/>
        <c:lblOffset val="100"/>
        <c:noMultiLvlLbl val="0"/>
      </c:catAx>
      <c:valAx>
        <c:axId val="60950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Conr Yield (ton/ha)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503120"/>
        <c:crosses val="autoZero"/>
        <c:crossBetween val="between"/>
      </c:valAx>
      <c:valAx>
        <c:axId val="699622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Ethanol Yield (L/ha)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633264"/>
        <c:crosses val="max"/>
        <c:crossBetween val="between"/>
      </c:valAx>
      <c:catAx>
        <c:axId val="69963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62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Colombia_E1G_cane!$C$1</c:f>
              <c:strCache>
                <c:ptCount val="1"/>
                <c:pt idx="0">
                  <c:v>Cane Yield (ton/ha)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Colombia_E1G_cane!$A$2:$A$22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Colombia_E1G_cane!$C$2:$C$22</c:f>
              <c:numCache>
                <c:formatCode>General</c:formatCode>
                <c:ptCount val="21"/>
                <c:pt idx="0">
                  <c:v>106.1</c:v>
                </c:pt>
                <c:pt idx="1">
                  <c:v>103.2</c:v>
                </c:pt>
                <c:pt idx="2">
                  <c:v>120.7</c:v>
                </c:pt>
                <c:pt idx="3">
                  <c:v>126</c:v>
                </c:pt>
                <c:pt idx="4">
                  <c:v>127</c:v>
                </c:pt>
                <c:pt idx="5">
                  <c:v>119.6</c:v>
                </c:pt>
                <c:pt idx="6">
                  <c:v>118.4</c:v>
                </c:pt>
                <c:pt idx="7">
                  <c:v>113.9</c:v>
                </c:pt>
                <c:pt idx="8">
                  <c:v>120.9</c:v>
                </c:pt>
                <c:pt idx="9">
                  <c:v>120.3</c:v>
                </c:pt>
                <c:pt idx="10">
                  <c:v>114.6</c:v>
                </c:pt>
                <c:pt idx="11">
                  <c:v>121.5</c:v>
                </c:pt>
                <c:pt idx="12">
                  <c:v>103.9</c:v>
                </c:pt>
                <c:pt idx="13">
                  <c:v>108.8</c:v>
                </c:pt>
                <c:pt idx="14">
                  <c:v>119</c:v>
                </c:pt>
                <c:pt idx="15">
                  <c:v>116.2</c:v>
                </c:pt>
                <c:pt idx="16">
                  <c:v>117.5</c:v>
                </c:pt>
                <c:pt idx="17">
                  <c:v>123.9</c:v>
                </c:pt>
                <c:pt idx="18">
                  <c:v>120</c:v>
                </c:pt>
                <c:pt idx="19">
                  <c:v>111.7</c:v>
                </c:pt>
                <c:pt idx="2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3-4017-AECE-849EDF83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93472"/>
        <c:axId val="454691392"/>
      </c:lineChart>
      <c:lineChart>
        <c:grouping val="standard"/>
        <c:varyColors val="0"/>
        <c:ser>
          <c:idx val="1"/>
          <c:order val="1"/>
          <c:tx>
            <c:strRef>
              <c:f>Colombia_E1G_cane!$E$1</c:f>
              <c:strCache>
                <c:ptCount val="1"/>
                <c:pt idx="0">
                  <c:v>Ethanol Yield (L/ha)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Colombia_E1G_cane!$E$2:$E$22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153.28264357844722</c:v>
                </c:pt>
                <c:pt idx="6" formatCode="0.0">
                  <c:v>1479.2436862500558</c:v>
                </c:pt>
                <c:pt idx="7" formatCode="0.0">
                  <c:v>1470.1080782837298</c:v>
                </c:pt>
                <c:pt idx="8" formatCode="0.0">
                  <c:v>1622.8070732404203</c:v>
                </c:pt>
                <c:pt idx="9" formatCode="0.0">
                  <c:v>1695.7518781388785</c:v>
                </c:pt>
                <c:pt idx="10" formatCode="0.0">
                  <c:v>1689.3881835739267</c:v>
                </c:pt>
                <c:pt idx="11" formatCode="0.0">
                  <c:v>1818.4160176776522</c:v>
                </c:pt>
                <c:pt idx="12" formatCode="0.0">
                  <c:v>1784.4328717669034</c:v>
                </c:pt>
                <c:pt idx="13" formatCode="0.0">
                  <c:v>2004.7293665233212</c:v>
                </c:pt>
                <c:pt idx="14" formatCode="0.0">
                  <c:v>2060.6429306525124</c:v>
                </c:pt>
                <c:pt idx="15" formatCode="0.0">
                  <c:v>2289.8692515327575</c:v>
                </c:pt>
                <c:pt idx="16" formatCode="0.0">
                  <c:v>2271.0240311982143</c:v>
                </c:pt>
                <c:pt idx="17" formatCode="0.0">
                  <c:v>2324.2633395274756</c:v>
                </c:pt>
                <c:pt idx="18" formatCode="0.0">
                  <c:v>2241.4566660582013</c:v>
                </c:pt>
                <c:pt idx="19" formatCode="0.0">
                  <c:v>2201.3399503722085</c:v>
                </c:pt>
                <c:pt idx="20" formatCode="0.0">
                  <c:v>2001.818117182223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3-4017-AECE-849EDF83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208288"/>
        <c:axId val="596207872"/>
      </c:lineChart>
      <c:catAx>
        <c:axId val="4546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691392"/>
        <c:crosses val="autoZero"/>
        <c:auto val="1"/>
        <c:lblAlgn val="ctr"/>
        <c:lblOffset val="100"/>
        <c:noMultiLvlLbl val="0"/>
      </c:catAx>
      <c:valAx>
        <c:axId val="45469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693472"/>
        <c:crosses val="autoZero"/>
        <c:crossBetween val="between"/>
      </c:valAx>
      <c:valAx>
        <c:axId val="59620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208288"/>
        <c:crosses val="max"/>
        <c:crossBetween val="between"/>
      </c:valAx>
      <c:catAx>
        <c:axId val="59620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9620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Plots_E1G!$A$3</c:f>
              <c:strCache>
                <c:ptCount val="1"/>
                <c:pt idx="0">
                  <c:v>Cane - Brazil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22225">
                <a:solidFill>
                  <a:srgbClr val="002060"/>
                </a:solidFill>
              </a:ln>
              <a:effectLst/>
            </c:spPr>
          </c:marker>
          <c:cat>
            <c:numRef>
              <c:f>Plots_E1G!$L$2:$V$2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Plots_E1G!$L$3:$V$3</c:f>
              <c:numCache>
                <c:formatCode>0</c:formatCode>
                <c:ptCount val="11"/>
                <c:pt idx="0">
                  <c:v>79</c:v>
                </c:pt>
                <c:pt idx="1">
                  <c:v>76.400000000000006</c:v>
                </c:pt>
                <c:pt idx="2">
                  <c:v>74.3</c:v>
                </c:pt>
                <c:pt idx="3">
                  <c:v>75.3</c:v>
                </c:pt>
                <c:pt idx="4">
                  <c:v>70.599999999999994</c:v>
                </c:pt>
                <c:pt idx="5">
                  <c:v>74.2</c:v>
                </c:pt>
                <c:pt idx="6">
                  <c:v>75.2</c:v>
                </c:pt>
                <c:pt idx="7">
                  <c:v>74.5</c:v>
                </c:pt>
                <c:pt idx="8">
                  <c:v>74.599999999999994</c:v>
                </c:pt>
                <c:pt idx="9">
                  <c:v>74.7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D-4B21-BA23-637C60CFD8A6}"/>
            </c:ext>
          </c:extLst>
        </c:ser>
        <c:ser>
          <c:idx val="1"/>
          <c:order val="1"/>
          <c:tx>
            <c:strRef>
              <c:f>Plots_E1G!$A$4</c:f>
              <c:strCache>
                <c:ptCount val="1"/>
                <c:pt idx="0">
                  <c:v>Cane - Argentina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Plots_E1G!$L$2:$V$2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Plots_E1G!$L$4:$V$4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0</c:v>
                </c:pt>
                <c:pt idx="2" formatCode="0">
                  <c:v>61.5</c:v>
                </c:pt>
                <c:pt idx="3" formatCode="0">
                  <c:v>47.88</c:v>
                </c:pt>
                <c:pt idx="4" formatCode="0">
                  <c:v>56.7</c:v>
                </c:pt>
                <c:pt idx="5" formatCode="0">
                  <c:v>61.61</c:v>
                </c:pt>
                <c:pt idx="6" formatCode="0">
                  <c:v>59.8</c:v>
                </c:pt>
                <c:pt idx="7" formatCode="0">
                  <c:v>54.25</c:v>
                </c:pt>
                <c:pt idx="8" formatCode="0">
                  <c:v>56.13</c:v>
                </c:pt>
                <c:pt idx="9" formatCode="0">
                  <c:v>56.47</c:v>
                </c:pt>
                <c:pt idx="10" formatCode="0">
                  <c:v>55.09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D-4B21-BA23-637C60CFD8A6}"/>
            </c:ext>
          </c:extLst>
        </c:ser>
        <c:ser>
          <c:idx val="2"/>
          <c:order val="2"/>
          <c:tx>
            <c:strRef>
              <c:f>Plots_E1G!$A$5</c:f>
              <c:strCache>
                <c:ptCount val="1"/>
                <c:pt idx="0">
                  <c:v>Corn - Argentina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Plots_E1G!$L$2:$V$2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Plots_E1G!$L$5:$V$5</c:f>
              <c:numCache>
                <c:formatCode>General</c:formatCode>
                <c:ptCount val="11"/>
                <c:pt idx="0" formatCode="0">
                  <c:v>6.35</c:v>
                </c:pt>
                <c:pt idx="1">
                  <c:v>5.7</c:v>
                </c:pt>
                <c:pt idx="2" formatCode="0">
                  <c:v>5.7350000000000003</c:v>
                </c:pt>
                <c:pt idx="3" formatCode="0">
                  <c:v>6.5890000000000004</c:v>
                </c:pt>
                <c:pt idx="4" formatCode="0">
                  <c:v>6.8410000000000002</c:v>
                </c:pt>
                <c:pt idx="5" formatCode="0">
                  <c:v>7.30891</c:v>
                </c:pt>
                <c:pt idx="6" formatCode="0">
                  <c:v>7.4426600000000001</c:v>
                </c:pt>
                <c:pt idx="7" formatCode="0">
                  <c:v>7.5710800000000003</c:v>
                </c:pt>
                <c:pt idx="8" formatCode="0">
                  <c:v>6.0883400000000005</c:v>
                </c:pt>
                <c:pt idx="9" formatCode="0">
                  <c:v>7.8615500000000003</c:v>
                </c:pt>
                <c:pt idx="10" formatCode="0">
                  <c:v>7.5539399999999999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D-4B21-BA23-637C60CFD8A6}"/>
            </c:ext>
          </c:extLst>
        </c:ser>
        <c:ser>
          <c:idx val="3"/>
          <c:order val="3"/>
          <c:tx>
            <c:strRef>
              <c:f>Plots_E1G!$A$6</c:f>
              <c:strCache>
                <c:ptCount val="1"/>
                <c:pt idx="0">
                  <c:v>Cane - Colombia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Plots_E1G!$L$2:$V$2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Plots_E1G!$L$6:$V$6</c:f>
              <c:numCache>
                <c:formatCode>0</c:formatCode>
                <c:ptCount val="11"/>
                <c:pt idx="0">
                  <c:v>114.6</c:v>
                </c:pt>
                <c:pt idx="1">
                  <c:v>121.5</c:v>
                </c:pt>
                <c:pt idx="2">
                  <c:v>103.9</c:v>
                </c:pt>
                <c:pt idx="3">
                  <c:v>108.8</c:v>
                </c:pt>
                <c:pt idx="4">
                  <c:v>119</c:v>
                </c:pt>
                <c:pt idx="5">
                  <c:v>116.2</c:v>
                </c:pt>
                <c:pt idx="6">
                  <c:v>117.5</c:v>
                </c:pt>
                <c:pt idx="7">
                  <c:v>123.9</c:v>
                </c:pt>
                <c:pt idx="8">
                  <c:v>120</c:v>
                </c:pt>
                <c:pt idx="9">
                  <c:v>111.7</c:v>
                </c:pt>
                <c:pt idx="1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D-4B21-BA23-637C60CFD8A6}"/>
            </c:ext>
          </c:extLst>
        </c:ser>
        <c:ser>
          <c:idx val="4"/>
          <c:order val="4"/>
          <c:tx>
            <c:strRef>
              <c:f>Plots_E1G!$A$7</c:f>
              <c:strCache>
                <c:ptCount val="1"/>
                <c:pt idx="0">
                  <c:v>Cane - Guatemala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Plots_E1G!$L$2:$V$2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Plots_E1G!$L$7:$V$7</c:f>
              <c:numCache>
                <c:formatCode>0</c:formatCode>
                <c:ptCount val="11"/>
                <c:pt idx="0">
                  <c:v>102.4</c:v>
                </c:pt>
                <c:pt idx="1">
                  <c:v>88.5</c:v>
                </c:pt>
                <c:pt idx="2">
                  <c:v>99.5</c:v>
                </c:pt>
                <c:pt idx="3">
                  <c:v>101.7</c:v>
                </c:pt>
                <c:pt idx="4">
                  <c:v>102.6</c:v>
                </c:pt>
                <c:pt idx="5">
                  <c:v>104</c:v>
                </c:pt>
                <c:pt idx="6">
                  <c:v>104.1</c:v>
                </c:pt>
                <c:pt idx="7">
                  <c:v>98.2</c:v>
                </c:pt>
                <c:pt idx="8">
                  <c:v>98.3</c:v>
                </c:pt>
                <c:pt idx="9">
                  <c:v>104.3</c:v>
                </c:pt>
                <c:pt idx="10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0D-4B21-BA23-637C60C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94704"/>
        <c:axId val="453091376"/>
      </c:lineChart>
      <c:catAx>
        <c:axId val="4530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091376"/>
        <c:crosses val="autoZero"/>
        <c:auto val="1"/>
        <c:lblAlgn val="ctr"/>
        <c:lblOffset val="100"/>
        <c:noMultiLvlLbl val="0"/>
      </c:catAx>
      <c:valAx>
        <c:axId val="45309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Feedstock Yield (ton/ha)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0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Plots_E1G!$A$13</c:f>
              <c:strCache>
                <c:ptCount val="1"/>
                <c:pt idx="0">
                  <c:v>Cane - Brazil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x"/>
            <c:size val="7"/>
            <c:spPr>
              <a:noFill/>
              <a:ln w="22225">
                <a:solidFill>
                  <a:srgbClr val="002060"/>
                </a:solidFill>
              </a:ln>
              <a:effectLst/>
            </c:spPr>
          </c:marker>
          <c:cat>
            <c:numRef>
              <c:f>Plots_E1G!$L$12:$V$12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Plots_E1G!$L$13:$V$13</c:f>
              <c:numCache>
                <c:formatCode>0</c:formatCode>
                <c:ptCount val="11"/>
                <c:pt idx="0">
                  <c:v>6545.2</c:v>
                </c:pt>
                <c:pt idx="1">
                  <c:v>6123.1</c:v>
                </c:pt>
                <c:pt idx="2">
                  <c:v>5920.3</c:v>
                </c:pt>
                <c:pt idx="3">
                  <c:v>5756.3</c:v>
                </c:pt>
                <c:pt idx="4">
                  <c:v>5586.9</c:v>
                </c:pt>
                <c:pt idx="5">
                  <c:v>5647.7</c:v>
                </c:pt>
                <c:pt idx="6">
                  <c:v>6027.9</c:v>
                </c:pt>
                <c:pt idx="7">
                  <c:v>5943.4</c:v>
                </c:pt>
                <c:pt idx="8">
                  <c:v>6181.7</c:v>
                </c:pt>
                <c:pt idx="9">
                  <c:v>6275.4</c:v>
                </c:pt>
                <c:pt idx="10">
                  <c:v>6132.4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4-46D0-A5D3-F4335FD51B69}"/>
            </c:ext>
          </c:extLst>
        </c:ser>
        <c:ser>
          <c:idx val="1"/>
          <c:order val="1"/>
          <c:tx>
            <c:strRef>
              <c:f>Plots_E1G!$A$14</c:f>
              <c:strCache>
                <c:ptCount val="1"/>
                <c:pt idx="0">
                  <c:v>Cane - Argentina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numRef>
              <c:f>Plots_E1G!$L$12:$V$12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Plots_E1G!$L$14:$V$14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">
                  <c:v>913.34339382868041</c:v>
                </c:pt>
                <c:pt idx="3" formatCode="0">
                  <c:v>1093.2850276203458</c:v>
                </c:pt>
                <c:pt idx="4" formatCode="0">
                  <c:v>1130.4957587181905</c:v>
                </c:pt>
                <c:pt idx="5" formatCode="0">
                  <c:v>1238.692559973468</c:v>
                </c:pt>
                <c:pt idx="6" formatCode="0">
                  <c:v>1459.2919979575461</c:v>
                </c:pt>
                <c:pt idx="7" formatCode="0">
                  <c:v>2052.2513672500063</c:v>
                </c:pt>
                <c:pt idx="8" formatCode="0">
                  <c:v>1931.4055437723987</c:v>
                </c:pt>
                <c:pt idx="9" formatCode="0">
                  <c:v>1887.7064186857497</c:v>
                </c:pt>
                <c:pt idx="10" formatCode="0">
                  <c:v>1391.0347442935561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4-46D0-A5D3-F4335FD51B69}"/>
            </c:ext>
          </c:extLst>
        </c:ser>
        <c:ser>
          <c:idx val="2"/>
          <c:order val="2"/>
          <c:tx>
            <c:strRef>
              <c:f>Plots_E1G!$A$15</c:f>
              <c:strCache>
                <c:ptCount val="1"/>
                <c:pt idx="0">
                  <c:v>Corn - Argentina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numRef>
              <c:f>Plots_E1G!$L$12:$V$12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Plots_E1G!$L$15:$V$15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">
                  <c:v>184.8695542389236</c:v>
                </c:pt>
                <c:pt idx="3" formatCode="0">
                  <c:v>1148.5804346573116</c:v>
                </c:pt>
                <c:pt idx="4" formatCode="0">
                  <c:v>2558.6347038052813</c:v>
                </c:pt>
                <c:pt idx="5" formatCode="0">
                  <c:v>2647.3697816547574</c:v>
                </c:pt>
                <c:pt idx="6" formatCode="0">
                  <c:v>2364.8060642628566</c:v>
                </c:pt>
                <c:pt idx="7" formatCode="0">
                  <c:v>2167.9565955556677</c:v>
                </c:pt>
                <c:pt idx="8" formatCode="0">
                  <c:v>2135.7900556024451</c:v>
                </c:pt>
                <c:pt idx="9" formatCode="0">
                  <c:v>2042.2332758160012</c:v>
                </c:pt>
                <c:pt idx="10" formatCode="0">
                  <c:v>1485.528024541708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4-46D0-A5D3-F4335FD51B69}"/>
            </c:ext>
          </c:extLst>
        </c:ser>
        <c:ser>
          <c:idx val="3"/>
          <c:order val="3"/>
          <c:tx>
            <c:strRef>
              <c:f>Plots_E1G!$A$16</c:f>
              <c:strCache>
                <c:ptCount val="1"/>
                <c:pt idx="0">
                  <c:v>Cane - Colombia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numRef>
              <c:f>Plots_E1G!$L$12:$V$12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Plots_E1G!$L$16:$V$16</c:f>
              <c:numCache>
                <c:formatCode>0</c:formatCode>
                <c:ptCount val="11"/>
                <c:pt idx="0">
                  <c:v>1689.3881835739267</c:v>
                </c:pt>
                <c:pt idx="1">
                  <c:v>1818.4160176776522</c:v>
                </c:pt>
                <c:pt idx="2">
                  <c:v>1784.4328717669034</c:v>
                </c:pt>
                <c:pt idx="3">
                  <c:v>2004.7293665233212</c:v>
                </c:pt>
                <c:pt idx="4">
                  <c:v>2060.6429306525124</c:v>
                </c:pt>
                <c:pt idx="5">
                  <c:v>2289.8692515327575</c:v>
                </c:pt>
                <c:pt idx="6">
                  <c:v>2271.0240311982143</c:v>
                </c:pt>
                <c:pt idx="7">
                  <c:v>2324.2633395274756</c:v>
                </c:pt>
                <c:pt idx="8">
                  <c:v>2241.4566660582013</c:v>
                </c:pt>
                <c:pt idx="9">
                  <c:v>2201.3399503722085</c:v>
                </c:pt>
                <c:pt idx="10">
                  <c:v>2001.818117182223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4-46D0-A5D3-F4335FD51B69}"/>
            </c:ext>
          </c:extLst>
        </c:ser>
        <c:ser>
          <c:idx val="4"/>
          <c:order val="4"/>
          <c:tx>
            <c:strRef>
              <c:f>Plots_E1G!$A$17</c:f>
              <c:strCache>
                <c:ptCount val="1"/>
                <c:pt idx="0">
                  <c:v>Cane - Guatemala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Plots_E1G!$L$12:$V$12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Plots_E1G!$L$17:$V$17</c:f>
              <c:numCache>
                <c:formatCode>0</c:formatCode>
                <c:ptCount val="11"/>
                <c:pt idx="0">
                  <c:v>120.99367888748419</c:v>
                </c:pt>
                <c:pt idx="1">
                  <c:v>149.94174189879553</c:v>
                </c:pt>
                <c:pt idx="2">
                  <c:v>145.36776473141734</c:v>
                </c:pt>
                <c:pt idx="3">
                  <c:v>117.61014041628069</c:v>
                </c:pt>
                <c:pt idx="4">
                  <c:v>71.166174766705055</c:v>
                </c:pt>
                <c:pt idx="5">
                  <c:v>123.71490286574421</c:v>
                </c:pt>
                <c:pt idx="6">
                  <c:v>179.24406188595782</c:v>
                </c:pt>
                <c:pt idx="7">
                  <c:v>153.90191232724953</c:v>
                </c:pt>
                <c:pt idx="8">
                  <c:v>150.23133320243667</c:v>
                </c:pt>
                <c:pt idx="9">
                  <c:v>274.03536478403174</c:v>
                </c:pt>
                <c:pt idx="10">
                  <c:v>158.15000331303989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4-46D0-A5D3-F4335FD5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77008"/>
        <c:axId val="482477840"/>
      </c:lineChart>
      <c:catAx>
        <c:axId val="4824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477840"/>
        <c:crosses val="autoZero"/>
        <c:auto val="1"/>
        <c:lblAlgn val="ctr"/>
        <c:lblOffset val="100"/>
        <c:noMultiLvlLbl val="0"/>
      </c:catAx>
      <c:valAx>
        <c:axId val="48247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Ethanol Yield (L/ha)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4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Argentina_B100_Soybean!$D$1</c:f>
              <c:strCache>
                <c:ptCount val="1"/>
                <c:pt idx="0">
                  <c:v>Soybean Yield (ton/ha)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Argentina_B100_Soybean!$A$2:$A$22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Argentina_B100_Soybean!$D$2:$D$22</c:f>
              <c:numCache>
                <c:formatCode>0.0</c:formatCode>
                <c:ptCount val="21"/>
                <c:pt idx="0">
                  <c:v>2.569</c:v>
                </c:pt>
                <c:pt idx="1">
                  <c:v>2.63</c:v>
                </c:pt>
                <c:pt idx="2">
                  <c:v>2.8039999999999998</c:v>
                </c:pt>
                <c:pt idx="3">
                  <c:v>2.2080000000000002</c:v>
                </c:pt>
                <c:pt idx="4">
                  <c:v>2.7290000000000001</c:v>
                </c:pt>
                <c:pt idx="5">
                  <c:v>2.68</c:v>
                </c:pt>
                <c:pt idx="6">
                  <c:v>2.9729999999999999</c:v>
                </c:pt>
                <c:pt idx="7">
                  <c:v>2.8220000000000001</c:v>
                </c:pt>
                <c:pt idx="8">
                  <c:v>1.853</c:v>
                </c:pt>
                <c:pt idx="9">
                  <c:v>2.923</c:v>
                </c:pt>
                <c:pt idx="10">
                  <c:v>2.6070000000000002</c:v>
                </c:pt>
                <c:pt idx="11">
                  <c:v>2.282</c:v>
                </c:pt>
                <c:pt idx="12">
                  <c:v>2.5470000000000002</c:v>
                </c:pt>
                <c:pt idx="13">
                  <c:v>2.774</c:v>
                </c:pt>
                <c:pt idx="14">
                  <c:v>3.1760000000000002</c:v>
                </c:pt>
                <c:pt idx="15">
                  <c:v>3.016</c:v>
                </c:pt>
                <c:pt idx="16">
                  <c:v>3.1709999999999998</c:v>
                </c:pt>
                <c:pt idx="17">
                  <c:v>2.3159999999999998</c:v>
                </c:pt>
                <c:pt idx="18">
                  <c:v>3.3340000000000001</c:v>
                </c:pt>
                <c:pt idx="19">
                  <c:v>2.9180000000000001</c:v>
                </c:pt>
                <c:pt idx="20">
                  <c:v>2.8069999999999999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B-4649-87E2-C06C1D71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43728"/>
        <c:axId val="699733744"/>
      </c:lineChart>
      <c:lineChart>
        <c:grouping val="standard"/>
        <c:varyColors val="0"/>
        <c:ser>
          <c:idx val="1"/>
          <c:order val="1"/>
          <c:tx>
            <c:strRef>
              <c:f>Argentina_B100_Soybean!$G$1</c:f>
              <c:strCache>
                <c:ptCount val="1"/>
                <c:pt idx="0">
                  <c:v>Biodiesel Yield (L/ha)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Argentina_B100_Soybean!$G$2:$G$22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">
                  <c:v>0</c:v>
                </c:pt>
                <c:pt idx="8" formatCode="0.0">
                  <c:v>48.405940793881797</c:v>
                </c:pt>
                <c:pt idx="9" formatCode="0.0">
                  <c:v>73.547872528376729</c:v>
                </c:pt>
                <c:pt idx="10" formatCode="0.0">
                  <c:v>110.42276418179787</c:v>
                </c:pt>
                <c:pt idx="11" formatCode="0.0">
                  <c:v>157.13208827143649</c:v>
                </c:pt>
                <c:pt idx="12" formatCode="0.0">
                  <c:v>144.74102695992218</c:v>
                </c:pt>
                <c:pt idx="13" formatCode="0.0">
                  <c:v>117.91633303817514</c:v>
                </c:pt>
                <c:pt idx="14" formatCode="0.0">
                  <c:v>151.88549739257618</c:v>
                </c:pt>
                <c:pt idx="15" formatCode="0.0">
                  <c:v>105.0268283352254</c:v>
                </c:pt>
                <c:pt idx="16" formatCode="0.0">
                  <c:v>174.31712223175671</c:v>
                </c:pt>
                <c:pt idx="17" formatCode="0.0">
                  <c:v>199.96214734973509</c:v>
                </c:pt>
                <c:pt idx="18" formatCode="0.0">
                  <c:v>166.52043197666367</c:v>
                </c:pt>
                <c:pt idx="19" formatCode="0.0">
                  <c:v>145.92534376585064</c:v>
                </c:pt>
                <c:pt idx="20" formatCode="0.0">
                  <c:v>79.869387640810658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B-4649-87E2-C06C1D71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73392"/>
        <c:axId val="1254886704"/>
      </c:lineChart>
      <c:catAx>
        <c:axId val="6997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733744"/>
        <c:crosses val="autoZero"/>
        <c:auto val="1"/>
        <c:lblAlgn val="ctr"/>
        <c:lblOffset val="100"/>
        <c:noMultiLvlLbl val="0"/>
      </c:catAx>
      <c:valAx>
        <c:axId val="69973374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743728"/>
        <c:crosses val="autoZero"/>
        <c:crossBetween val="between"/>
      </c:valAx>
      <c:valAx>
        <c:axId val="125488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873392"/>
        <c:crosses val="max"/>
        <c:crossBetween val="between"/>
      </c:valAx>
      <c:catAx>
        <c:axId val="1254873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25488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Brazil_B100_Soybean!$D$1</c:f>
              <c:strCache>
                <c:ptCount val="1"/>
                <c:pt idx="0">
                  <c:v>Soybean  Yield (ton/ha)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Brazil_B100_Soybean!$A$2:$A$22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Brazil_B100_Soybean!$D$2:$D$22</c:f>
              <c:numCache>
                <c:formatCode>0.0</c:formatCode>
                <c:ptCount val="21"/>
                <c:pt idx="0">
                  <c:v>2.7511095204008589</c:v>
                </c:pt>
                <c:pt idx="1">
                  <c:v>2.57692072984683</c:v>
                </c:pt>
                <c:pt idx="2">
                  <c:v>2.8154803788903924</c:v>
                </c:pt>
                <c:pt idx="3">
                  <c:v>2.3293413173652695</c:v>
                </c:pt>
                <c:pt idx="4">
                  <c:v>2.2448068669527896</c:v>
                </c:pt>
                <c:pt idx="5">
                  <c:v>2.4187692307692306</c:v>
                </c:pt>
                <c:pt idx="6">
                  <c:v>2.8227303490283284</c:v>
                </c:pt>
                <c:pt idx="7">
                  <c:v>2.8158956554377403</c:v>
                </c:pt>
                <c:pt idx="8">
                  <c:v>2.6293178786624352</c:v>
                </c:pt>
                <c:pt idx="9">
                  <c:v>2.9271286116082842</c:v>
                </c:pt>
                <c:pt idx="10">
                  <c:v>3.1148374824249441</c:v>
                </c:pt>
                <c:pt idx="11">
                  <c:v>2.6508405542466957</c:v>
                </c:pt>
                <c:pt idx="12">
                  <c:v>2.9383833285261032</c:v>
                </c:pt>
                <c:pt idx="13">
                  <c:v>2.8542736883969111</c:v>
                </c:pt>
                <c:pt idx="14">
                  <c:v>2.9984420278565418</c:v>
                </c:pt>
                <c:pt idx="15">
                  <c:v>2.8762225766649614</c:v>
                </c:pt>
                <c:pt idx="16">
                  <c:v>3.3641216196290071</c:v>
                </c:pt>
                <c:pt idx="17">
                  <c:v>3.3933885237973316</c:v>
                </c:pt>
                <c:pt idx="18">
                  <c:v>3.2063217750027873</c:v>
                </c:pt>
                <c:pt idx="19">
                  <c:v>3.3789379668723614</c:v>
                </c:pt>
                <c:pt idx="20">
                  <c:v>3.5274850765637167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7CC-800A-9A0AE3F5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703456"/>
        <c:axId val="454694720"/>
      </c:lineChart>
      <c:lineChart>
        <c:grouping val="standard"/>
        <c:varyColors val="0"/>
        <c:ser>
          <c:idx val="1"/>
          <c:order val="1"/>
          <c:tx>
            <c:strRef>
              <c:f>Brazil_B100_Soybean!$H$1</c:f>
              <c:strCache>
                <c:ptCount val="1"/>
                <c:pt idx="0">
                  <c:v>Biodiesel yield (L/ha)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Brazil_B100_Soybean!$H$2:$H$22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3.2358662207357863E-2</c:v>
                </c:pt>
                <c:pt idx="6">
                  <c:v>3.3356850526926425</c:v>
                </c:pt>
                <c:pt idx="7">
                  <c:v>18.970120108848644</c:v>
                </c:pt>
                <c:pt idx="8">
                  <c:v>36.85754596795455</c:v>
                </c:pt>
                <c:pt idx="9">
                  <c:v>53.293137534824851</c:v>
                </c:pt>
                <c:pt idx="10">
                  <c:v>81.085994672144565</c:v>
                </c:pt>
                <c:pt idx="11">
                  <c:v>85.944078617266328</c:v>
                </c:pt>
                <c:pt idx="12">
                  <c:v>73.610734983761176</c:v>
                </c:pt>
                <c:pt idx="13">
                  <c:v>71.02323986894244</c:v>
                </c:pt>
                <c:pt idx="14">
                  <c:v>79.567547697765875</c:v>
                </c:pt>
                <c:pt idx="15">
                  <c:v>90.541478636651703</c:v>
                </c:pt>
                <c:pt idx="16">
                  <c:v>85.841236645108964</c:v>
                </c:pt>
                <c:pt idx="17">
                  <c:v>85.560725833633938</c:v>
                </c:pt>
                <c:pt idx="18">
                  <c:v>104.48280935055674</c:v>
                </c:pt>
                <c:pt idx="19">
                  <c:v>108.31589750667965</c:v>
                </c:pt>
                <c:pt idx="20">
                  <c:v>118.87272292663994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2-47CC-800A-9A0AE3F5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78464"/>
        <c:axId val="423484704"/>
      </c:lineChart>
      <c:catAx>
        <c:axId val="4547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694720"/>
        <c:crosses val="autoZero"/>
        <c:auto val="1"/>
        <c:lblAlgn val="ctr"/>
        <c:lblOffset val="100"/>
        <c:noMultiLvlLbl val="0"/>
      </c:catAx>
      <c:valAx>
        <c:axId val="4546947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703456"/>
        <c:crosses val="autoZero"/>
        <c:crossBetween val="between"/>
      </c:valAx>
      <c:valAx>
        <c:axId val="42348470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8464"/>
        <c:crosses val="max"/>
        <c:crossBetween val="between"/>
      </c:valAx>
      <c:catAx>
        <c:axId val="42347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2348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3</xdr:row>
      <xdr:rowOff>106680</xdr:rowOff>
    </xdr:from>
    <xdr:to>
      <xdr:col>16</xdr:col>
      <xdr:colOff>0</xdr:colOff>
      <xdr:row>19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323D1-E85A-4568-BCCD-A977B777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13</xdr:row>
      <xdr:rowOff>106680</xdr:rowOff>
    </xdr:from>
    <xdr:to>
      <xdr:col>9</xdr:col>
      <xdr:colOff>7620</xdr:colOff>
      <xdr:row>29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547CD4-64A8-487D-A425-189C2B902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434340</xdr:colOff>
      <xdr:row>13</xdr:row>
      <xdr:rowOff>152400</xdr:rowOff>
    </xdr:from>
    <xdr:to>
      <xdr:col>17</xdr:col>
      <xdr:colOff>335280</xdr:colOff>
      <xdr:row>29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AC5590-49B6-4C7B-9C8F-8CD104DF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15</xdr:row>
      <xdr:rowOff>137160</xdr:rowOff>
    </xdr:from>
    <xdr:to>
      <xdr:col>4</xdr:col>
      <xdr:colOff>22860</xdr:colOff>
      <xdr:row>33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446162-09A8-4112-8E12-F58BC317B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472440</xdr:colOff>
      <xdr:row>22</xdr:row>
      <xdr:rowOff>76200</xdr:rowOff>
    </xdr:from>
    <xdr:to>
      <xdr:col>2</xdr:col>
      <xdr:colOff>114300</xdr:colOff>
      <xdr:row>27</xdr:row>
      <xdr:rowOff>30480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E14FE9B-89F4-4A1F-8986-5635D967E7DD}"/>
            </a:ext>
          </a:extLst>
        </xdr:cNvPr>
        <xdr:cNvSpPr txBox="1"/>
      </xdr:nvSpPr>
      <xdr:spPr>
        <a:xfrm>
          <a:off x="2987040" y="4099560"/>
          <a:ext cx="1089660" cy="868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latin typeface="+mn-lt"/>
              <a:cs typeface="Times New Roman" panose="02020603050405020304" pitchFamily="18" charset="0"/>
            </a:rPr>
            <a:t>Production</a:t>
          </a:r>
        </a:p>
        <a:p>
          <a:pPr algn="ctr"/>
          <a:r>
            <a:rPr lang="pt-BR" sz="1400" b="1">
              <a:latin typeface="+mn-lt"/>
              <a:cs typeface="Times New Roman" panose="02020603050405020304" pitchFamily="18" charset="0"/>
            </a:rPr>
            <a:t>121</a:t>
          </a:r>
        </a:p>
        <a:p>
          <a:pPr algn="ctr"/>
          <a:r>
            <a:rPr lang="pt-BR" sz="1400" b="1">
              <a:latin typeface="+mn-lt"/>
              <a:cs typeface="Times New Roman" panose="02020603050405020304" pitchFamily="18" charset="0"/>
            </a:rPr>
            <a:t>Billion liters</a:t>
          </a:r>
        </a:p>
      </xdr:txBody>
    </xdr:sp>
    <xdr:clientData/>
  </xdr:twoCellAnchor>
  <xdr:twoCellAnchor>
    <xdr:from>
      <xdr:col>4</xdr:col>
      <xdr:colOff>762000</xdr:colOff>
      <xdr:row>11</xdr:row>
      <xdr:rowOff>129540</xdr:rowOff>
    </xdr:from>
    <xdr:to>
      <xdr:col>14</xdr:col>
      <xdr:colOff>411480</xdr:colOff>
      <xdr:row>29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E5B277-AC6F-4B97-920C-FAC0FC1D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19</xdr:row>
      <xdr:rowOff>38100</xdr:rowOff>
    </xdr:from>
    <xdr:to>
      <xdr:col>10</xdr:col>
      <xdr:colOff>91440</xdr:colOff>
      <xdr:row>24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C5B215E-B6EB-46BD-A642-755A3F1891D9}"/>
            </a:ext>
          </a:extLst>
        </xdr:cNvPr>
        <xdr:cNvSpPr txBox="1"/>
      </xdr:nvSpPr>
      <xdr:spPr>
        <a:xfrm>
          <a:off x="9959340" y="3512820"/>
          <a:ext cx="1264920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latin typeface="+mn-lt"/>
              <a:cs typeface="Times New Roman" panose="02020603050405020304" pitchFamily="18" charset="0"/>
            </a:rPr>
            <a:t>Consumption</a:t>
          </a:r>
        </a:p>
        <a:p>
          <a:pPr algn="ctr"/>
          <a:r>
            <a:rPr lang="pt-BR" sz="1400" b="1">
              <a:latin typeface="+mn-lt"/>
              <a:cs typeface="Times New Roman" panose="02020603050405020304" pitchFamily="18" charset="0"/>
            </a:rPr>
            <a:t>117</a:t>
          </a:r>
        </a:p>
        <a:p>
          <a:pPr algn="ctr"/>
          <a:r>
            <a:rPr lang="pt-BR" sz="1400" b="1">
              <a:latin typeface="+mn-lt"/>
              <a:cs typeface="Times New Roman" panose="02020603050405020304" pitchFamily="18" charset="0"/>
            </a:rPr>
            <a:t>Billion liters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10</xdr:row>
      <xdr:rowOff>60960</xdr:rowOff>
    </xdr:from>
    <xdr:to>
      <xdr:col>15</xdr:col>
      <xdr:colOff>601980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612CA7-BD87-415B-9776-F8122632F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2</xdr:row>
      <xdr:rowOff>106680</xdr:rowOff>
    </xdr:from>
    <xdr:to>
      <xdr:col>15</xdr:col>
      <xdr:colOff>53340</xdr:colOff>
      <xdr:row>17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649841-734C-4926-9FEC-5DB11466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4</xdr:row>
      <xdr:rowOff>45720</xdr:rowOff>
    </xdr:from>
    <xdr:to>
      <xdr:col>14</xdr:col>
      <xdr:colOff>335280</xdr:colOff>
      <xdr:row>19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06E37-5BCE-4398-992C-00F37542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</xdr:row>
      <xdr:rowOff>129540</xdr:rowOff>
    </xdr:from>
    <xdr:to>
      <xdr:col>14</xdr:col>
      <xdr:colOff>266700</xdr:colOff>
      <xdr:row>17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A582222-95A9-4A1C-9430-D3683BFF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1668780</xdr:colOff>
      <xdr:row>18</xdr:row>
      <xdr:rowOff>68580</xdr:rowOff>
    </xdr:from>
    <xdr:to>
      <xdr:col>11</xdr:col>
      <xdr:colOff>0</xdr:colOff>
      <xdr:row>35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5FC00-1FAC-4851-AC11-AE0BFA9D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18</xdr:row>
      <xdr:rowOff>7620</xdr:rowOff>
    </xdr:from>
    <xdr:to>
      <xdr:col>18</xdr:col>
      <xdr:colOff>510540</xdr:colOff>
      <xdr:row>33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2BB263-FCAF-4F99-B8B3-B11B17EF8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45720</xdr:rowOff>
    </xdr:from>
    <xdr:to>
      <xdr:col>18</xdr:col>
      <xdr:colOff>7620</xdr:colOff>
      <xdr:row>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925030-D3D5-49E3-BC7E-619BFCBB3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944880</xdr:colOff>
      <xdr:row>23</xdr:row>
      <xdr:rowOff>22860</xdr:rowOff>
    </xdr:from>
    <xdr:to>
      <xdr:col>5</xdr:col>
      <xdr:colOff>320040</xdr:colOff>
      <xdr:row>39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DEDCD7-5BBF-413D-AF7B-82F1240F2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4</xdr:row>
      <xdr:rowOff>45720</xdr:rowOff>
    </xdr:from>
    <xdr:to>
      <xdr:col>12</xdr:col>
      <xdr:colOff>678180</xdr:colOff>
      <xdr:row>19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55DAC2-C59B-44C6-A8F7-A2EF45B9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engicana.org/publicacio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hyperlink" Target="https://sep.tucuman.gob.ar/dataset/cana-de-azucar-estadisticas-e-informacion-espacia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magyp.gob.ar/sitio/areas/bioenergia/inform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asocana.org/modules/documentos/2/234.asp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datos.minem.gob.ar/dataset?groups=biocombustibl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www1.upme.gov.co/Hemeroteca/Paginas/impresos.aspx" TargetMode="External"/><Relationship Id="rId1" Type="http://schemas.openxmlformats.org/officeDocument/2006/relationships/hyperlink" Target="https://publicaciones.fedepalma.org/index.php/index/search/search?query=anuario%20estad%C3%ADstico%202016&amp;searchJournal=&amp;authors=&amp;title=&amp;abstract=&amp;galleyFullText=&amp;discipline=&amp;subject=&amp;type=&amp;coverage=&amp;indexTerms=&amp;dateFromMonth=&amp;dateFromDay=&amp;dateFromYear=&amp;dateToMonth=&amp;dateToDay=&amp;dateToYear=&amp;orderBy=score&amp;orderDir=desc&amp;search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39DE-D929-42E1-A6C8-33BEF278BA78}">
  <dimension ref="A1:G52"/>
  <sheetViews>
    <sheetView workbookViewId="0">
      <selection activeCell="I22" sqref="I22"/>
    </sheetView>
  </sheetViews>
  <sheetFormatPr defaultRowHeight="14.4" x14ac:dyDescent="0.3"/>
  <cols>
    <col min="1" max="1" width="5.44140625" bestFit="1" customWidth="1"/>
    <col min="2" max="2" width="19.33203125" bestFit="1" customWidth="1"/>
    <col min="3" max="3" width="22.109375" bestFit="1" customWidth="1"/>
    <col min="4" max="4" width="18.88671875" bestFit="1" customWidth="1"/>
    <col min="5" max="5" width="30.33203125" bestFit="1" customWidth="1"/>
    <col min="6" max="6" width="32.109375" bestFit="1" customWidth="1"/>
    <col min="7" max="7" width="19.5546875" bestFit="1" customWidth="1"/>
  </cols>
  <sheetData>
    <row r="1" spans="1:7" ht="15.6" x14ac:dyDescent="0.3">
      <c r="A1" s="17" t="s">
        <v>5</v>
      </c>
      <c r="B1" s="17" t="s">
        <v>2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</v>
      </c>
    </row>
    <row r="2" spans="1:7" ht="15.6" x14ac:dyDescent="0.3">
      <c r="A2" s="10">
        <v>1970</v>
      </c>
      <c r="B2" s="45">
        <v>46.2</v>
      </c>
      <c r="C2" s="10">
        <v>625000000</v>
      </c>
      <c r="D2" s="10">
        <v>57077411</v>
      </c>
      <c r="E2" s="10">
        <v>9703159.9000000004</v>
      </c>
      <c r="F2" s="10">
        <v>64.400000000000006</v>
      </c>
      <c r="G2" s="45">
        <v>2977.8</v>
      </c>
    </row>
    <row r="3" spans="1:7" ht="15.6" x14ac:dyDescent="0.3">
      <c r="A3" s="10">
        <v>1971</v>
      </c>
      <c r="B3" s="45">
        <v>46.5</v>
      </c>
      <c r="C3" s="10">
        <v>624000000</v>
      </c>
      <c r="D3" s="10">
        <v>60535143</v>
      </c>
      <c r="E3" s="10">
        <v>9685622.9000000004</v>
      </c>
      <c r="F3" s="10">
        <v>64.400000000000006</v>
      </c>
      <c r="G3" s="45">
        <v>2996.8</v>
      </c>
    </row>
    <row r="4" spans="1:7" ht="15.6" x14ac:dyDescent="0.3">
      <c r="A4" s="10">
        <v>1972</v>
      </c>
      <c r="B4" s="45">
        <v>47.2</v>
      </c>
      <c r="C4" s="10">
        <v>684000000</v>
      </c>
      <c r="D4" s="10">
        <v>67870058</v>
      </c>
      <c r="E4" s="10">
        <v>10859209.300000001</v>
      </c>
      <c r="F4" s="10">
        <v>63</v>
      </c>
      <c r="G4" s="45">
        <v>2973.8</v>
      </c>
    </row>
    <row r="5" spans="1:7" ht="15.6" x14ac:dyDescent="0.3">
      <c r="A5" s="10">
        <v>1973</v>
      </c>
      <c r="B5" s="45">
        <v>47</v>
      </c>
      <c r="C5" s="10">
        <v>652000000</v>
      </c>
      <c r="D5" s="10">
        <v>75838798</v>
      </c>
      <c r="E5" s="10">
        <v>10617431.699999999</v>
      </c>
      <c r="F5" s="10">
        <v>61.4</v>
      </c>
      <c r="G5" s="45">
        <v>2884.1</v>
      </c>
    </row>
    <row r="6" spans="1:7" ht="15.6" x14ac:dyDescent="0.3">
      <c r="A6" s="10">
        <v>1974</v>
      </c>
      <c r="B6" s="45">
        <v>46.5</v>
      </c>
      <c r="C6" s="10">
        <v>615000000</v>
      </c>
      <c r="D6" s="10">
        <v>74508643</v>
      </c>
      <c r="E6" s="10">
        <v>9686123.5999999996</v>
      </c>
      <c r="F6" s="10">
        <v>63.5</v>
      </c>
      <c r="G6" s="45">
        <v>2952</v>
      </c>
    </row>
    <row r="7" spans="1:7" ht="15.6" x14ac:dyDescent="0.3">
      <c r="A7" s="10">
        <v>1975</v>
      </c>
      <c r="B7" s="45">
        <v>46.5</v>
      </c>
      <c r="C7" s="10">
        <v>580000000</v>
      </c>
      <c r="D7" s="10">
        <v>68322619</v>
      </c>
      <c r="E7" s="10">
        <v>9565166.6999999993</v>
      </c>
      <c r="F7" s="10">
        <v>60.6</v>
      </c>
      <c r="G7" s="45">
        <v>2818.2</v>
      </c>
    </row>
    <row r="8" spans="1:7" ht="15.6" x14ac:dyDescent="0.3">
      <c r="A8" s="10">
        <v>1976</v>
      </c>
      <c r="B8" s="45">
        <v>49.3</v>
      </c>
      <c r="C8" s="10">
        <v>642000000</v>
      </c>
      <c r="D8" s="10">
        <v>87826664</v>
      </c>
      <c r="E8" s="10">
        <v>11417466.300000001</v>
      </c>
      <c r="F8" s="10">
        <v>56.2</v>
      </c>
      <c r="G8" s="45">
        <v>2771.2</v>
      </c>
    </row>
    <row r="9" spans="1:7" ht="15.6" x14ac:dyDescent="0.3">
      <c r="A9" s="10">
        <v>1977</v>
      </c>
      <c r="B9" s="45">
        <v>52.9</v>
      </c>
      <c r="C9" s="10">
        <v>1388000000</v>
      </c>
      <c r="D9" s="10">
        <v>104633795</v>
      </c>
      <c r="E9" s="10">
        <v>24065772.899999999</v>
      </c>
      <c r="F9" s="10">
        <v>57.7</v>
      </c>
      <c r="G9" s="45">
        <v>3050.9</v>
      </c>
    </row>
    <row r="10" spans="1:7" ht="15.6" x14ac:dyDescent="0.3">
      <c r="A10" s="10">
        <v>1978</v>
      </c>
      <c r="B10" s="45">
        <v>54</v>
      </c>
      <c r="C10" s="10">
        <v>2248000000</v>
      </c>
      <c r="D10" s="10">
        <v>107626377</v>
      </c>
      <c r="E10" s="10">
        <v>39821759.5</v>
      </c>
      <c r="F10" s="10">
        <v>56.5</v>
      </c>
      <c r="G10" s="45">
        <v>3048.5</v>
      </c>
    </row>
    <row r="11" spans="1:7" ht="15.6" x14ac:dyDescent="0.3">
      <c r="A11" s="10">
        <v>1979</v>
      </c>
      <c r="B11" s="45">
        <v>54.7</v>
      </c>
      <c r="C11" s="10">
        <v>2854000000</v>
      </c>
      <c r="D11" s="10">
        <v>112645423</v>
      </c>
      <c r="E11" s="10">
        <v>52943348.799999997</v>
      </c>
      <c r="F11" s="10">
        <v>53.9</v>
      </c>
      <c r="G11" s="45">
        <v>2951.4</v>
      </c>
    </row>
    <row r="12" spans="1:7" ht="15.6" x14ac:dyDescent="0.3">
      <c r="A12" s="10">
        <v>1980</v>
      </c>
      <c r="B12" s="45">
        <v>57</v>
      </c>
      <c r="C12" s="10">
        <v>3676000000</v>
      </c>
      <c r="D12" s="10">
        <v>123680597</v>
      </c>
      <c r="E12" s="10">
        <v>54419462.700000003</v>
      </c>
      <c r="F12" s="10">
        <v>67.5</v>
      </c>
      <c r="G12" s="45">
        <v>3850.7</v>
      </c>
    </row>
    <row r="13" spans="1:7" ht="15.6" x14ac:dyDescent="0.3">
      <c r="A13" s="10">
        <v>1981</v>
      </c>
      <c r="B13" s="45">
        <v>55.2</v>
      </c>
      <c r="C13" s="10">
        <v>4207000000</v>
      </c>
      <c r="D13" s="10">
        <v>132886342</v>
      </c>
      <c r="E13" s="10">
        <v>62456580.700000003</v>
      </c>
      <c r="F13" s="10">
        <v>67.400000000000006</v>
      </c>
      <c r="G13" s="45">
        <v>3716.7</v>
      </c>
    </row>
    <row r="14" spans="1:7" ht="15.6" x14ac:dyDescent="0.3">
      <c r="A14" s="10">
        <v>1982</v>
      </c>
      <c r="B14" s="45">
        <v>60.5</v>
      </c>
      <c r="C14" s="10">
        <v>5618000000</v>
      </c>
      <c r="D14" s="10">
        <v>166178592</v>
      </c>
      <c r="E14" s="10">
        <v>88074653.799999997</v>
      </c>
      <c r="F14" s="10">
        <v>63.8</v>
      </c>
      <c r="G14" s="45">
        <v>3860.1</v>
      </c>
    </row>
    <row r="15" spans="1:7" ht="15.6" x14ac:dyDescent="0.3">
      <c r="A15" s="10">
        <v>1983</v>
      </c>
      <c r="B15" s="45">
        <v>62.1</v>
      </c>
      <c r="C15" s="10">
        <v>7951000000</v>
      </c>
      <c r="D15" s="10">
        <v>196742941</v>
      </c>
      <c r="E15" s="10">
        <v>116078335.2</v>
      </c>
      <c r="F15" s="10">
        <v>68.5</v>
      </c>
      <c r="G15" s="45">
        <v>4253.7</v>
      </c>
    </row>
    <row r="16" spans="1:7" ht="15.6" x14ac:dyDescent="0.3">
      <c r="A16" s="10">
        <v>1984</v>
      </c>
      <c r="B16" s="45">
        <v>60.8</v>
      </c>
      <c r="C16" s="10">
        <v>9201000000</v>
      </c>
      <c r="D16" s="10">
        <v>202867755</v>
      </c>
      <c r="E16" s="10">
        <v>129835363.2</v>
      </c>
      <c r="F16" s="10">
        <v>70.900000000000006</v>
      </c>
      <c r="G16" s="45">
        <v>4309.6000000000004</v>
      </c>
    </row>
    <row r="17" spans="1:7" ht="15.6" x14ac:dyDescent="0.3">
      <c r="A17" s="10">
        <v>1985</v>
      </c>
      <c r="B17" s="45">
        <v>63.2</v>
      </c>
      <c r="C17" s="10">
        <v>11563000000</v>
      </c>
      <c r="D17" s="10">
        <v>223206267</v>
      </c>
      <c r="E17" s="10">
        <v>160708512.19999999</v>
      </c>
      <c r="F17" s="10">
        <v>72</v>
      </c>
      <c r="G17" s="45">
        <v>4546.5</v>
      </c>
    </row>
    <row r="18" spans="1:7" ht="15.6" x14ac:dyDescent="0.3">
      <c r="A18" s="10">
        <v>1986</v>
      </c>
      <c r="B18" s="45">
        <v>60.4</v>
      </c>
      <c r="C18" s="10">
        <v>9983000000</v>
      </c>
      <c r="D18" s="10">
        <v>227875846</v>
      </c>
      <c r="E18" s="10">
        <v>154955575.30000001</v>
      </c>
      <c r="F18" s="10">
        <v>64.400000000000006</v>
      </c>
      <c r="G18" s="45">
        <v>3894.3</v>
      </c>
    </row>
    <row r="19" spans="1:7" ht="15.6" x14ac:dyDescent="0.3">
      <c r="A19" s="10">
        <v>1987</v>
      </c>
      <c r="B19" s="45">
        <v>62.3</v>
      </c>
      <c r="C19" s="10">
        <v>12340000000</v>
      </c>
      <c r="D19" s="10">
        <v>224497550</v>
      </c>
      <c r="E19" s="10">
        <v>159393260.5</v>
      </c>
      <c r="F19" s="10">
        <v>77.400000000000006</v>
      </c>
      <c r="G19" s="45">
        <v>4824.5</v>
      </c>
    </row>
    <row r="20" spans="1:7" ht="15.6" x14ac:dyDescent="0.3">
      <c r="A20" s="10">
        <v>1988</v>
      </c>
      <c r="B20" s="45">
        <v>62.8</v>
      </c>
      <c r="C20" s="10">
        <v>11523000000</v>
      </c>
      <c r="D20" s="10">
        <v>220104380</v>
      </c>
      <c r="E20" s="10">
        <v>156274109.80000001</v>
      </c>
      <c r="F20" s="10">
        <v>73.7</v>
      </c>
      <c r="G20" s="45">
        <v>4630.3</v>
      </c>
    </row>
    <row r="21" spans="1:7" ht="15.6" x14ac:dyDescent="0.3">
      <c r="A21" s="10">
        <v>1989</v>
      </c>
      <c r="B21" s="45">
        <v>62</v>
      </c>
      <c r="C21" s="10">
        <v>11809000000</v>
      </c>
      <c r="D21" s="10">
        <v>222902343</v>
      </c>
      <c r="E21" s="10">
        <v>162718710.40000001</v>
      </c>
      <c r="F21" s="10">
        <v>72.599999999999994</v>
      </c>
      <c r="G21" s="45">
        <v>4501.2</v>
      </c>
    </row>
    <row r="22" spans="1:7" ht="15.6" x14ac:dyDescent="0.3">
      <c r="A22" s="10">
        <v>1990</v>
      </c>
      <c r="B22" s="45">
        <v>61.5</v>
      </c>
      <c r="C22" s="10">
        <v>11518000000</v>
      </c>
      <c r="D22" s="10">
        <v>222429160</v>
      </c>
      <c r="E22" s="10">
        <v>160148995.19999999</v>
      </c>
      <c r="F22" s="10">
        <v>71.900000000000006</v>
      </c>
      <c r="G22" s="45">
        <v>4421.6000000000004</v>
      </c>
    </row>
    <row r="23" spans="1:7" ht="15.6" x14ac:dyDescent="0.3">
      <c r="A23" s="10">
        <v>1991</v>
      </c>
      <c r="B23" s="45">
        <v>62</v>
      </c>
      <c r="C23" s="10">
        <v>12862000000</v>
      </c>
      <c r="D23" s="10">
        <v>229222243</v>
      </c>
      <c r="E23" s="10">
        <v>162747792.5</v>
      </c>
      <c r="F23" s="10">
        <v>79</v>
      </c>
      <c r="G23" s="45">
        <v>4896.3</v>
      </c>
    </row>
    <row r="24" spans="1:7" ht="15.6" x14ac:dyDescent="0.3">
      <c r="A24" s="10">
        <v>1992</v>
      </c>
      <c r="B24" s="45">
        <v>64.599999999999994</v>
      </c>
      <c r="C24" s="10">
        <v>11766000000</v>
      </c>
      <c r="D24" s="10">
        <v>223459866</v>
      </c>
      <c r="E24" s="10">
        <v>151952708.90000001</v>
      </c>
      <c r="F24" s="10">
        <v>77.400000000000006</v>
      </c>
      <c r="G24" s="45">
        <v>5001.8999999999996</v>
      </c>
    </row>
    <row r="25" spans="1:7" ht="15.6" x14ac:dyDescent="0.3">
      <c r="A25" s="10">
        <v>1993</v>
      </c>
      <c r="B25" s="45">
        <v>63.3</v>
      </c>
      <c r="C25" s="10">
        <v>11395000000</v>
      </c>
      <c r="D25" s="10">
        <v>206535516</v>
      </c>
      <c r="E25" s="10">
        <v>138378795.69999999</v>
      </c>
      <c r="F25" s="10">
        <v>82.3</v>
      </c>
      <c r="G25" s="45">
        <v>5211.6000000000004</v>
      </c>
    </row>
    <row r="26" spans="1:7" ht="15.6" x14ac:dyDescent="0.3">
      <c r="A26" s="10">
        <v>1994</v>
      </c>
      <c r="B26" s="45">
        <v>67.2</v>
      </c>
      <c r="C26" s="10">
        <v>12795610000</v>
      </c>
      <c r="D26" s="10">
        <v>240867791</v>
      </c>
      <c r="E26" s="10">
        <v>156564064.19999999</v>
      </c>
      <c r="F26" s="10">
        <v>81.7</v>
      </c>
      <c r="G26" s="45">
        <v>5494</v>
      </c>
    </row>
    <row r="27" spans="1:7" ht="15.6" x14ac:dyDescent="0.3">
      <c r="A27" s="10">
        <v>1995</v>
      </c>
      <c r="B27" s="45">
        <v>66.599999999999994</v>
      </c>
      <c r="C27" s="10">
        <v>12745000000</v>
      </c>
      <c r="D27" s="10">
        <v>249876575</v>
      </c>
      <c r="E27" s="10">
        <v>157422242.30000001</v>
      </c>
      <c r="F27" s="10">
        <v>81</v>
      </c>
      <c r="G27" s="45">
        <v>5393.2</v>
      </c>
    </row>
    <row r="28" spans="1:7" ht="15.6" x14ac:dyDescent="0.3">
      <c r="A28" s="10">
        <v>1996</v>
      </c>
      <c r="B28" s="45">
        <v>66.8</v>
      </c>
      <c r="C28" s="10">
        <v>14134000000</v>
      </c>
      <c r="D28" s="10">
        <v>289520522</v>
      </c>
      <c r="E28" s="10">
        <v>185293134.09999999</v>
      </c>
      <c r="F28" s="10">
        <v>76.3</v>
      </c>
      <c r="G28" s="45">
        <v>5092</v>
      </c>
    </row>
    <row r="29" spans="1:7" ht="15.6" x14ac:dyDescent="0.3">
      <c r="A29" s="10">
        <v>1997</v>
      </c>
      <c r="B29" s="45">
        <v>68.900000000000006</v>
      </c>
      <c r="C29" s="10">
        <v>15494000000</v>
      </c>
      <c r="D29" s="10">
        <v>302198516</v>
      </c>
      <c r="E29" s="10">
        <v>193407050.19999999</v>
      </c>
      <c r="F29" s="10">
        <v>80.099999999999994</v>
      </c>
      <c r="G29" s="45">
        <v>5518.3</v>
      </c>
    </row>
    <row r="30" spans="1:7" ht="15.6" x14ac:dyDescent="0.3">
      <c r="A30" s="10">
        <v>1998</v>
      </c>
      <c r="B30" s="45">
        <v>69.2</v>
      </c>
      <c r="C30" s="10">
        <v>14121000000</v>
      </c>
      <c r="D30" s="10">
        <v>315640797</v>
      </c>
      <c r="E30" s="10">
        <v>179915254.30000001</v>
      </c>
      <c r="F30" s="10">
        <v>78.5</v>
      </c>
      <c r="G30" s="45">
        <v>5435</v>
      </c>
    </row>
    <row r="31" spans="1:7" ht="15.6" x14ac:dyDescent="0.3">
      <c r="A31" s="10">
        <v>1999</v>
      </c>
      <c r="B31" s="45">
        <v>68.099999999999994</v>
      </c>
      <c r="C31" s="10">
        <v>13077765000</v>
      </c>
      <c r="D31" s="10">
        <v>310122784</v>
      </c>
      <c r="E31" s="10">
        <v>164365075.5</v>
      </c>
      <c r="F31" s="10">
        <v>79.599999999999994</v>
      </c>
      <c r="G31" s="45">
        <v>5422.2</v>
      </c>
    </row>
    <row r="32" spans="1:7" ht="15.6" x14ac:dyDescent="0.3">
      <c r="A32" s="10">
        <v>2000</v>
      </c>
      <c r="B32" s="45">
        <v>67.900000000000006</v>
      </c>
      <c r="C32" s="10">
        <v>10700000000</v>
      </c>
      <c r="D32" s="10">
        <v>254921721</v>
      </c>
      <c r="E32" s="10">
        <v>135108512.09999999</v>
      </c>
      <c r="F32" s="10">
        <v>79.2</v>
      </c>
      <c r="G32" s="45">
        <v>5375.6</v>
      </c>
    </row>
    <row r="33" spans="1:7" ht="15.6" x14ac:dyDescent="0.3">
      <c r="A33" s="10">
        <v>2001</v>
      </c>
      <c r="B33" s="45">
        <v>69.400000000000006</v>
      </c>
      <c r="C33" s="10">
        <v>11466000000</v>
      </c>
      <c r="D33" s="10">
        <v>292329141</v>
      </c>
      <c r="E33" s="10">
        <v>149087861.90000001</v>
      </c>
      <c r="F33" s="10">
        <v>76.900000000000006</v>
      </c>
      <c r="G33" s="45">
        <v>5340.7</v>
      </c>
    </row>
    <row r="34" spans="1:7" ht="15.6" x14ac:dyDescent="0.3">
      <c r="A34" s="10">
        <v>2002</v>
      </c>
      <c r="B34" s="45">
        <v>71.400000000000006</v>
      </c>
      <c r="C34" s="10">
        <v>12587000000</v>
      </c>
      <c r="D34" s="10">
        <v>316121750</v>
      </c>
      <c r="E34" s="10">
        <v>154899657.5</v>
      </c>
      <c r="F34" s="10">
        <v>81.3</v>
      </c>
      <c r="G34" s="45">
        <v>5805.4</v>
      </c>
    </row>
    <row r="35" spans="1:7" ht="15.6" x14ac:dyDescent="0.3">
      <c r="A35" s="10">
        <v>2003</v>
      </c>
      <c r="B35" s="45">
        <v>73.7</v>
      </c>
      <c r="C35" s="10">
        <v>14470300000</v>
      </c>
      <c r="D35" s="10">
        <v>357110883</v>
      </c>
      <c r="E35" s="10">
        <v>178555441.5</v>
      </c>
      <c r="F35" s="10">
        <v>81</v>
      </c>
      <c r="G35" s="45">
        <v>5975.3</v>
      </c>
    </row>
    <row r="36" spans="1:7" ht="15.6" x14ac:dyDescent="0.3">
      <c r="A36" s="10">
        <v>2004</v>
      </c>
      <c r="B36" s="45">
        <v>73.7</v>
      </c>
      <c r="C36" s="10">
        <v>14648000000</v>
      </c>
      <c r="D36" s="10">
        <v>381447102</v>
      </c>
      <c r="E36" s="10">
        <v>186909080</v>
      </c>
      <c r="F36" s="10">
        <v>78.400000000000006</v>
      </c>
      <c r="G36" s="45">
        <v>5777.9</v>
      </c>
    </row>
    <row r="37" spans="1:7" ht="15.6" x14ac:dyDescent="0.3">
      <c r="A37" s="10">
        <v>2005</v>
      </c>
      <c r="B37" s="45">
        <v>72.900000000000006</v>
      </c>
      <c r="C37" s="10">
        <v>16039887000</v>
      </c>
      <c r="D37" s="10">
        <v>382482002</v>
      </c>
      <c r="E37" s="10">
        <v>191241001</v>
      </c>
      <c r="F37" s="10">
        <v>83.9</v>
      </c>
      <c r="G37" s="45">
        <v>6110.5</v>
      </c>
    </row>
    <row r="38" spans="1:7" ht="15.6" x14ac:dyDescent="0.3">
      <c r="A38" s="10">
        <v>2006</v>
      </c>
      <c r="B38" s="45">
        <v>75.099999999999994</v>
      </c>
      <c r="C38" s="10">
        <v>17764262000</v>
      </c>
      <c r="D38" s="10">
        <v>428816921</v>
      </c>
      <c r="E38" s="10">
        <v>214408460.5</v>
      </c>
      <c r="F38" s="10">
        <v>82.9</v>
      </c>
      <c r="G38" s="45">
        <v>6223.7</v>
      </c>
    </row>
    <row r="39" spans="1:7" ht="15.6" x14ac:dyDescent="0.3">
      <c r="A39" s="10">
        <v>2007</v>
      </c>
      <c r="B39" s="45">
        <v>77.599999999999994</v>
      </c>
      <c r="C39" s="10">
        <v>22556901000</v>
      </c>
      <c r="D39" s="10">
        <v>495843192</v>
      </c>
      <c r="E39" s="10">
        <v>272713755.60000002</v>
      </c>
      <c r="F39" s="10">
        <v>82.7</v>
      </c>
      <c r="G39" s="45">
        <v>6421.2</v>
      </c>
    </row>
    <row r="40" spans="1:7" ht="15.6" x14ac:dyDescent="0.3">
      <c r="A40" s="10">
        <v>2008</v>
      </c>
      <c r="B40" s="45">
        <v>79.3</v>
      </c>
      <c r="C40" s="10">
        <v>27139909000</v>
      </c>
      <c r="D40" s="10">
        <v>563638524</v>
      </c>
      <c r="E40" s="10">
        <v>343819499.60000002</v>
      </c>
      <c r="F40" s="10">
        <v>78.900000000000006</v>
      </c>
      <c r="G40" s="45">
        <v>6257.6</v>
      </c>
    </row>
    <row r="41" spans="1:7" ht="15.6" x14ac:dyDescent="0.3">
      <c r="A41" s="10">
        <v>2009</v>
      </c>
      <c r="B41" s="45">
        <v>80.3</v>
      </c>
      <c r="C41" s="10">
        <v>26103093000</v>
      </c>
      <c r="D41" s="10">
        <v>603056367</v>
      </c>
      <c r="E41" s="10">
        <v>337711565.5</v>
      </c>
      <c r="F41" s="10">
        <v>77.3</v>
      </c>
      <c r="G41" s="45">
        <v>6203.3</v>
      </c>
    </row>
    <row r="42" spans="1:7" ht="15.6" x14ac:dyDescent="0.3">
      <c r="A42" s="10">
        <v>2010</v>
      </c>
      <c r="B42" s="45">
        <v>79</v>
      </c>
      <c r="C42" s="10">
        <v>27923972000</v>
      </c>
      <c r="D42" s="10">
        <v>624501165</v>
      </c>
      <c r="E42" s="10">
        <v>337230629.10000002</v>
      </c>
      <c r="F42" s="10">
        <v>82.8</v>
      </c>
      <c r="G42" s="45">
        <v>6545.2</v>
      </c>
    </row>
    <row r="43" spans="1:7" ht="15.6" x14ac:dyDescent="0.3">
      <c r="A43" s="10">
        <v>2011</v>
      </c>
      <c r="B43" s="45">
        <v>76.400000000000006</v>
      </c>
      <c r="C43" s="10">
        <v>22915559000</v>
      </c>
      <c r="D43" s="10">
        <v>560993790</v>
      </c>
      <c r="E43" s="10">
        <v>286106832.89999998</v>
      </c>
      <c r="F43" s="10">
        <v>80.099999999999994</v>
      </c>
      <c r="G43" s="45">
        <v>6123.1</v>
      </c>
    </row>
    <row r="44" spans="1:7" ht="15.6" x14ac:dyDescent="0.3">
      <c r="A44" s="10">
        <v>2012</v>
      </c>
      <c r="B44" s="45">
        <v>74.3</v>
      </c>
      <c r="C44" s="10">
        <v>23476667000</v>
      </c>
      <c r="D44" s="10">
        <v>589237141</v>
      </c>
      <c r="E44" s="10">
        <v>294618570.5</v>
      </c>
      <c r="F44" s="10">
        <v>79.7</v>
      </c>
      <c r="G44" s="45">
        <v>5920.3</v>
      </c>
    </row>
    <row r="45" spans="1:7" ht="15.6" x14ac:dyDescent="0.3">
      <c r="A45" s="10">
        <v>2013</v>
      </c>
      <c r="B45" s="45">
        <v>75.3</v>
      </c>
      <c r="C45" s="10">
        <v>27607578000</v>
      </c>
      <c r="D45" s="10">
        <v>659357189</v>
      </c>
      <c r="E45" s="10">
        <v>361327739.60000002</v>
      </c>
      <c r="F45" s="10">
        <v>76.400000000000006</v>
      </c>
      <c r="G45" s="45">
        <v>5756.3</v>
      </c>
    </row>
    <row r="46" spans="1:7" ht="15.6" x14ac:dyDescent="0.3">
      <c r="A46" s="10">
        <v>2014</v>
      </c>
      <c r="B46" s="45">
        <v>70.599999999999994</v>
      </c>
      <c r="C46" s="10">
        <v>28525561000</v>
      </c>
      <c r="D46" s="10">
        <v>633927000</v>
      </c>
      <c r="E46" s="10">
        <v>360704463</v>
      </c>
      <c r="F46" s="10">
        <v>79.099999999999994</v>
      </c>
      <c r="G46" s="45">
        <v>5586.9</v>
      </c>
    </row>
    <row r="47" spans="1:7" ht="15.6" x14ac:dyDescent="0.3">
      <c r="A47" s="10">
        <v>2015</v>
      </c>
      <c r="B47" s="45">
        <v>74.2</v>
      </c>
      <c r="C47" s="10">
        <v>30249158000</v>
      </c>
      <c r="D47" s="10">
        <v>666824000</v>
      </c>
      <c r="E47" s="10">
        <v>397427104</v>
      </c>
      <c r="F47" s="10">
        <v>76.099999999999994</v>
      </c>
      <c r="G47" s="45">
        <v>5647.7</v>
      </c>
    </row>
    <row r="48" spans="1:7" ht="15.6" x14ac:dyDescent="0.3">
      <c r="A48" s="10">
        <v>2016</v>
      </c>
      <c r="B48" s="45">
        <v>75.2</v>
      </c>
      <c r="C48" s="10">
        <v>28276387000</v>
      </c>
      <c r="D48" s="10">
        <v>651841000</v>
      </c>
      <c r="E48" s="10">
        <v>352645981</v>
      </c>
      <c r="F48" s="10">
        <v>80.2</v>
      </c>
      <c r="G48" s="45">
        <v>6027.9</v>
      </c>
    </row>
    <row r="49" spans="1:7" ht="15.6" x14ac:dyDescent="0.3">
      <c r="A49" s="10">
        <v>2017</v>
      </c>
      <c r="B49" s="45">
        <v>74.5</v>
      </c>
      <c r="C49" s="10">
        <v>27693726000</v>
      </c>
      <c r="D49" s="10">
        <v>641276000</v>
      </c>
      <c r="E49" s="10">
        <v>346930316</v>
      </c>
      <c r="F49" s="10">
        <v>79.8</v>
      </c>
      <c r="G49" s="45">
        <v>5943.4</v>
      </c>
    </row>
    <row r="50" spans="1:7" ht="15.6" x14ac:dyDescent="0.3">
      <c r="A50" s="10">
        <v>2018</v>
      </c>
      <c r="B50" s="45">
        <v>74.599999999999994</v>
      </c>
      <c r="C50" s="10">
        <v>33198040000</v>
      </c>
      <c r="D50" s="10">
        <v>621183000</v>
      </c>
      <c r="E50" s="10">
        <v>400663035</v>
      </c>
      <c r="F50" s="10">
        <v>82.9</v>
      </c>
      <c r="G50" s="45">
        <v>6181.7</v>
      </c>
    </row>
    <row r="51" spans="1:7" ht="15.6" x14ac:dyDescent="0.3">
      <c r="A51" s="10">
        <v>2019</v>
      </c>
      <c r="B51" s="45">
        <v>74.7</v>
      </c>
      <c r="C51" s="10">
        <v>35156074000</v>
      </c>
      <c r="D51" s="10">
        <v>642686000</v>
      </c>
      <c r="E51" s="10">
        <v>418388586</v>
      </c>
      <c r="F51" s="10">
        <v>84</v>
      </c>
      <c r="G51" s="45">
        <v>6275.4</v>
      </c>
    </row>
    <row r="52" spans="1:7" ht="15.6" x14ac:dyDescent="0.3">
      <c r="A52" s="31">
        <v>2020</v>
      </c>
      <c r="B52" s="46">
        <v>75</v>
      </c>
      <c r="G52" s="46">
        <v>6132.4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C21B-49A5-4BC5-8C59-91A99DEB11B4}">
  <dimension ref="A1:V13"/>
  <sheetViews>
    <sheetView topLeftCell="A7" workbookViewId="0">
      <selection activeCell="A23" sqref="A23"/>
    </sheetView>
  </sheetViews>
  <sheetFormatPr defaultRowHeight="14.4" x14ac:dyDescent="0.3"/>
  <cols>
    <col min="1" max="1" width="31" bestFit="1" customWidth="1"/>
  </cols>
  <sheetData>
    <row r="1" spans="1:22" ht="21" x14ac:dyDescent="0.4">
      <c r="A1" s="30" t="s">
        <v>23</v>
      </c>
      <c r="B1" s="24"/>
      <c r="C1" s="24"/>
      <c r="D1" s="24"/>
    </row>
    <row r="2" spans="1:22" ht="15.6" x14ac:dyDescent="0.3">
      <c r="B2" s="26">
        <v>2000</v>
      </c>
      <c r="C2" s="26">
        <v>2001</v>
      </c>
      <c r="D2" s="26">
        <v>2002</v>
      </c>
      <c r="E2" s="26">
        <v>2003</v>
      </c>
      <c r="F2" s="26">
        <v>2004</v>
      </c>
      <c r="G2" s="26">
        <v>2005</v>
      </c>
      <c r="H2" s="26">
        <v>2006</v>
      </c>
      <c r="I2" s="26">
        <v>2007</v>
      </c>
      <c r="J2" s="26">
        <v>2008</v>
      </c>
      <c r="K2" s="26">
        <v>2009</v>
      </c>
      <c r="L2" s="26">
        <v>2010</v>
      </c>
      <c r="M2" s="26">
        <v>2011</v>
      </c>
      <c r="N2" s="26">
        <v>2012</v>
      </c>
      <c r="O2" s="26">
        <v>2013</v>
      </c>
      <c r="P2" s="26">
        <v>2014</v>
      </c>
      <c r="Q2" s="26">
        <v>2015</v>
      </c>
      <c r="R2" s="26">
        <v>2016</v>
      </c>
      <c r="S2" s="26">
        <v>2017</v>
      </c>
      <c r="T2" s="27">
        <v>2018</v>
      </c>
      <c r="U2" s="27">
        <v>2019</v>
      </c>
      <c r="V2" s="27">
        <v>2020</v>
      </c>
    </row>
    <row r="3" spans="1:22" ht="15.6" x14ac:dyDescent="0.3">
      <c r="A3" s="29" t="s">
        <v>71</v>
      </c>
      <c r="B3" s="53">
        <f>Brazil_B100_Soybean!D2</f>
        <v>2.7511095204008589</v>
      </c>
      <c r="C3" s="53">
        <f>Brazil_B100_Soybean!D3</f>
        <v>2.57692072984683</v>
      </c>
      <c r="D3" s="53">
        <f>Brazil_B100_Soybean!D4</f>
        <v>2.8154803788903924</v>
      </c>
      <c r="E3" s="53">
        <f>Brazil_B100_Soybean!D5</f>
        <v>2.3293413173652695</v>
      </c>
      <c r="F3" s="53">
        <f>Brazil_B100_Soybean!D6</f>
        <v>2.2448068669527896</v>
      </c>
      <c r="G3" s="53">
        <f>Brazil_B100_Soybean!D7</f>
        <v>2.4187692307692306</v>
      </c>
      <c r="H3" s="53">
        <f>Brazil_B100_Soybean!D8</f>
        <v>2.8227303490283284</v>
      </c>
      <c r="I3" s="53">
        <f>Brazil_B100_Soybean!D9</f>
        <v>2.8158956554377403</v>
      </c>
      <c r="J3" s="53">
        <f>Brazil_B100_Soybean!D10</f>
        <v>2.6293178786624352</v>
      </c>
      <c r="K3" s="53">
        <f>Brazil_B100_Soybean!D11</f>
        <v>2.9271286116082842</v>
      </c>
      <c r="L3" s="53">
        <f>Brazil_B100_Soybean!D12</f>
        <v>3.1148374824249441</v>
      </c>
      <c r="M3" s="53">
        <f>Brazil_B100_Soybean!D13</f>
        <v>2.6508405542466957</v>
      </c>
      <c r="N3" s="53">
        <f>Brazil_B100_Soybean!D14</f>
        <v>2.9383833285261032</v>
      </c>
      <c r="O3" s="53">
        <f>Brazil_B100_Soybean!D15</f>
        <v>2.8542736883969111</v>
      </c>
      <c r="P3" s="53">
        <f>Brazil_B100_Soybean!D16</f>
        <v>2.9984420278565418</v>
      </c>
      <c r="Q3" s="53">
        <f>Brazil_B100_Soybean!D17</f>
        <v>2.8762225766649614</v>
      </c>
      <c r="R3" s="53">
        <f>Brazil_B100_Soybean!D18</f>
        <v>3.3641216196290071</v>
      </c>
      <c r="S3" s="53">
        <f>Brazil_B100_Soybean!D19</f>
        <v>3.3933885237973316</v>
      </c>
      <c r="T3" s="53">
        <f>Brazil_B100_Soybean!D20</f>
        <v>3.2063217750027873</v>
      </c>
      <c r="U3" s="53">
        <f>Brazil_B100_Soybean!D21</f>
        <v>3.3789379668723614</v>
      </c>
      <c r="V3" s="53">
        <f>Brazil_B100_Soybean!D22</f>
        <v>3.5274850765637167</v>
      </c>
    </row>
    <row r="4" spans="1:22" ht="15.6" x14ac:dyDescent="0.3">
      <c r="A4" s="29" t="s">
        <v>72</v>
      </c>
      <c r="B4" s="53">
        <f>Argentina_B100_Soybean!D2</f>
        <v>2.569</v>
      </c>
      <c r="C4" s="53">
        <f>Argentina_B100_Soybean!D3</f>
        <v>2.63</v>
      </c>
      <c r="D4" s="53">
        <f>Argentina_B100_Soybean!D4</f>
        <v>2.8039999999999998</v>
      </c>
      <c r="E4" s="53">
        <f>Argentina_B100_Soybean!D5</f>
        <v>2.2080000000000002</v>
      </c>
      <c r="F4" s="53">
        <f>Argentina_B100_Soybean!D6</f>
        <v>2.7290000000000001</v>
      </c>
      <c r="G4" s="53">
        <f>Argentina_B100_Soybean!D7</f>
        <v>2.68</v>
      </c>
      <c r="H4" s="53">
        <f>Argentina_B100_Soybean!D8</f>
        <v>2.9729999999999999</v>
      </c>
      <c r="I4" s="53">
        <f>Argentina_B100_Soybean!D9</f>
        <v>2.8220000000000001</v>
      </c>
      <c r="J4" s="53">
        <f>Argentina_B100_Soybean!D10</f>
        <v>1.853</v>
      </c>
      <c r="K4" s="53">
        <f>Argentina_B100_Soybean!D11</f>
        <v>2.923</v>
      </c>
      <c r="L4" s="53">
        <f>Argentina_B100_Soybean!D12</f>
        <v>2.6070000000000002</v>
      </c>
      <c r="M4" s="53">
        <f>Argentina_B100_Soybean!D13</f>
        <v>2.282</v>
      </c>
      <c r="N4" s="53">
        <f>Argentina_B100_Soybean!D14</f>
        <v>2.5470000000000002</v>
      </c>
      <c r="O4" s="53">
        <f>Argentina_B100_Soybean!D15</f>
        <v>2.774</v>
      </c>
      <c r="P4" s="53">
        <f>Argentina_B100_Soybean!D16</f>
        <v>3.1760000000000002</v>
      </c>
      <c r="Q4" s="53">
        <f>Argentina_B100_Soybean!D17</f>
        <v>3.016</v>
      </c>
      <c r="R4" s="53">
        <f>Argentina_B100_Soybean!D18</f>
        <v>3.1709999999999998</v>
      </c>
      <c r="S4" s="53">
        <f>Argentina_B100_Soybean!D19</f>
        <v>2.3159999999999998</v>
      </c>
      <c r="T4" s="53">
        <f>Argentina_B100_Soybean!D20</f>
        <v>3.3340000000000001</v>
      </c>
      <c r="U4" s="53">
        <f>Argentina_B100_Soybean!D21</f>
        <v>2.9180000000000001</v>
      </c>
      <c r="V4" s="53">
        <f>Argentina_B100_Soybean!D22</f>
        <v>2.8069999999999999</v>
      </c>
    </row>
    <row r="5" spans="1:22" ht="15.6" x14ac:dyDescent="0.3">
      <c r="A5" s="29" t="s">
        <v>73</v>
      </c>
      <c r="B5" s="53">
        <f>Colombia_B100_Palm!C2</f>
        <v>18.3</v>
      </c>
      <c r="C5" s="53">
        <f>Colombia_B100_Palm!C3</f>
        <v>20.399999999999999</v>
      </c>
      <c r="D5" s="53">
        <f>Colombia_B100_Palm!C4</f>
        <v>17.8</v>
      </c>
      <c r="E5" s="53">
        <f>Colombia_B100_Palm!C5</f>
        <v>17.2</v>
      </c>
      <c r="F5" s="53">
        <f>Colombia_B100_Palm!C6</f>
        <v>19.8</v>
      </c>
      <c r="G5" s="53">
        <f>Colombia_B100_Palm!C7</f>
        <v>19.3</v>
      </c>
      <c r="H5" s="53">
        <f>Colombia_B100_Palm!C8</f>
        <v>19.600000000000001</v>
      </c>
      <c r="I5" s="53">
        <f>Colombia_B100_Palm!C9</f>
        <v>18.3</v>
      </c>
      <c r="J5" s="53">
        <f>Colombia_B100_Palm!C10</f>
        <v>17.2</v>
      </c>
      <c r="K5" s="53">
        <f>Colombia_B100_Palm!C11</f>
        <v>16.399999999999999</v>
      </c>
      <c r="L5" s="53">
        <f>Colombia_B100_Palm!C12</f>
        <v>15.1</v>
      </c>
      <c r="M5" s="53">
        <f>Colombia_B100_Palm!C13</f>
        <v>17.3</v>
      </c>
      <c r="N5" s="53">
        <f>Colombia_B100_Palm!C14</f>
        <v>15.6</v>
      </c>
      <c r="O5" s="53">
        <f>Colombia_B100_Palm!C15</f>
        <v>14.9</v>
      </c>
      <c r="P5" s="53">
        <f>Colombia_B100_Palm!C16</f>
        <v>15.65</v>
      </c>
      <c r="Q5" s="53">
        <f>Colombia_B100_Palm!C17</f>
        <v>15.72</v>
      </c>
      <c r="R5" s="53">
        <f>Colombia_B100_Palm!C18</f>
        <v>13.61</v>
      </c>
      <c r="S5" s="53">
        <f>Colombia_B100_Palm!C19</f>
        <v>17.72</v>
      </c>
      <c r="T5" s="53">
        <f>Colombia_B100_Palm!C20</f>
        <v>16.66</v>
      </c>
      <c r="U5" s="53">
        <f>Colombia_B100_Palm!C21</f>
        <v>15.03</v>
      </c>
      <c r="V5" s="53">
        <f>Colombia_B100_Palm!C22</f>
        <v>15</v>
      </c>
    </row>
    <row r="9" spans="1:22" ht="21" x14ac:dyDescent="0.4">
      <c r="A9" s="30" t="s">
        <v>70</v>
      </c>
    </row>
    <row r="10" spans="1:22" ht="15.6" x14ac:dyDescent="0.3">
      <c r="B10" s="26">
        <v>2000</v>
      </c>
      <c r="C10" s="26">
        <v>2001</v>
      </c>
      <c r="D10" s="26">
        <v>2002</v>
      </c>
      <c r="E10" s="26">
        <v>2003</v>
      </c>
      <c r="F10" s="26">
        <v>2004</v>
      </c>
      <c r="G10" s="26">
        <v>2005</v>
      </c>
      <c r="H10" s="26">
        <v>2006</v>
      </c>
      <c r="I10" s="26">
        <v>2007</v>
      </c>
      <c r="J10" s="26">
        <v>2008</v>
      </c>
      <c r="K10" s="26">
        <v>2009</v>
      </c>
      <c r="L10" s="26">
        <v>2010</v>
      </c>
      <c r="M10" s="26">
        <v>2011</v>
      </c>
      <c r="N10" s="26">
        <v>2012</v>
      </c>
      <c r="O10" s="26">
        <v>2013</v>
      </c>
      <c r="P10" s="26">
        <v>2014</v>
      </c>
      <c r="Q10" s="26">
        <v>2015</v>
      </c>
      <c r="R10" s="26">
        <v>2016</v>
      </c>
      <c r="S10" s="26">
        <v>2017</v>
      </c>
      <c r="T10" s="27">
        <v>2018</v>
      </c>
      <c r="U10" s="27">
        <v>2019</v>
      </c>
      <c r="V10" s="27">
        <v>2020</v>
      </c>
    </row>
    <row r="11" spans="1:22" ht="15.6" x14ac:dyDescent="0.3">
      <c r="A11" s="29" t="s">
        <v>71</v>
      </c>
      <c r="B11" s="53">
        <f>Brazil_B100_Soybean!H2</f>
        <v>0</v>
      </c>
      <c r="C11" s="53">
        <f>Brazil_B100_Soybean!H3</f>
        <v>0</v>
      </c>
      <c r="D11" s="53">
        <f>Brazil_B100_Soybean!H4</f>
        <v>0</v>
      </c>
      <c r="E11" s="53">
        <f>Brazil_B100_Soybean!H5</f>
        <v>0</v>
      </c>
      <c r="F11" s="53">
        <f>Brazil_B100_Soybean!H6</f>
        <v>0</v>
      </c>
      <c r="G11" s="53">
        <f>Brazil_B100_Soybean!H7</f>
        <v>3.2358662207357863E-2</v>
      </c>
      <c r="H11" s="53">
        <f>Brazil_B100_Soybean!H8</f>
        <v>3.3356850526926425</v>
      </c>
      <c r="I11" s="53">
        <f>Brazil_B100_Soybean!H9</f>
        <v>18.970120108848644</v>
      </c>
      <c r="J11" s="53">
        <f>Brazil_B100_Soybean!H10</f>
        <v>36.85754596795455</v>
      </c>
      <c r="K11" s="53">
        <f>Brazil_B100_Soybean!H11</f>
        <v>53.293137534824851</v>
      </c>
      <c r="L11" s="53">
        <f>Brazil_B100_Soybean!H12</f>
        <v>81.085994672144565</v>
      </c>
      <c r="M11" s="53">
        <f>Brazil_B100_Soybean!H13</f>
        <v>85.944078617266328</v>
      </c>
      <c r="N11" s="53">
        <f>Brazil_B100_Soybean!H14</f>
        <v>73.610734983761176</v>
      </c>
      <c r="O11" s="53">
        <f>Brazil_B100_Soybean!H15</f>
        <v>71.02323986894244</v>
      </c>
      <c r="P11" s="53">
        <f>Brazil_B100_Soybean!H16</f>
        <v>79.567547697765875</v>
      </c>
      <c r="Q11" s="53">
        <f>Brazil_B100_Soybean!H17</f>
        <v>90.541478636651703</v>
      </c>
      <c r="R11" s="53">
        <f>Brazil_B100_Soybean!H18</f>
        <v>85.841236645108964</v>
      </c>
      <c r="S11" s="53">
        <f>Brazil_B100_Soybean!H19</f>
        <v>85.560725833633938</v>
      </c>
      <c r="T11" s="53">
        <f>Brazil_B100_Soybean!H20</f>
        <v>104.48280935055674</v>
      </c>
      <c r="U11" s="53">
        <f>Brazil_B100_Soybean!H21</f>
        <v>108.31589750667965</v>
      </c>
      <c r="V11" s="53">
        <f>Brazil_B100_Soybean!H22</f>
        <v>118.87272292663994</v>
      </c>
    </row>
    <row r="12" spans="1:22" ht="15.6" x14ac:dyDescent="0.3">
      <c r="A12" s="29" t="s">
        <v>72</v>
      </c>
      <c r="B12" s="53">
        <f>Argentina_B100_Soybean!G2</f>
        <v>0</v>
      </c>
      <c r="C12" s="53">
        <f>Argentina_B100_Soybean!G3</f>
        <v>0</v>
      </c>
      <c r="D12" s="53">
        <f>Argentina_B100_Soybean!G4</f>
        <v>0</v>
      </c>
      <c r="E12" s="53">
        <f>Argentina_B100_Soybean!G5</f>
        <v>0</v>
      </c>
      <c r="F12" s="53">
        <f>Argentina_B100_Soybean!G6</f>
        <v>0</v>
      </c>
      <c r="G12" s="53">
        <f>Argentina_B100_Soybean!G7</f>
        <v>0</v>
      </c>
      <c r="H12" s="53">
        <f>Argentina_B100_Soybean!G8</f>
        <v>0</v>
      </c>
      <c r="I12" s="53">
        <f>Argentina_B100_Soybean!G9</f>
        <v>0</v>
      </c>
      <c r="J12" s="53">
        <f>Argentina_B100_Soybean!G10</f>
        <v>48.405940793881797</v>
      </c>
      <c r="K12" s="53">
        <f>Argentina_B100_Soybean!G11</f>
        <v>73.547872528376729</v>
      </c>
      <c r="L12" s="53">
        <f>Argentina_B100_Soybean!G12</f>
        <v>110.42276418179787</v>
      </c>
      <c r="M12" s="53">
        <f>Argentina_B100_Soybean!G13</f>
        <v>157.13208827143649</v>
      </c>
      <c r="N12" s="53">
        <f>Argentina_B100_Soybean!G14</f>
        <v>144.74102695992218</v>
      </c>
      <c r="O12" s="53">
        <f>Argentina_B100_Soybean!G15</f>
        <v>117.91633303817514</v>
      </c>
      <c r="P12" s="53">
        <f>Argentina_B100_Soybean!G16</f>
        <v>151.88549739257618</v>
      </c>
      <c r="Q12" s="53">
        <f>Argentina_B100_Soybean!G17</f>
        <v>105.0268283352254</v>
      </c>
      <c r="R12" s="53">
        <f>Argentina_B100_Soybean!G18</f>
        <v>174.31712223175671</v>
      </c>
      <c r="S12" s="53">
        <f>Argentina_B100_Soybean!G19</f>
        <v>199.96214734973509</v>
      </c>
      <c r="T12" s="53">
        <f>Argentina_B100_Soybean!G20</f>
        <v>166.52043197666367</v>
      </c>
      <c r="U12" s="53">
        <f>Argentina_B100_Soybean!G21</f>
        <v>145.92534376585064</v>
      </c>
      <c r="V12" s="53">
        <f>Argentina_B100_Soybean!G22</f>
        <v>79.869387640810658</v>
      </c>
    </row>
    <row r="13" spans="1:22" ht="15.6" x14ac:dyDescent="0.3">
      <c r="A13" s="29" t="s">
        <v>73</v>
      </c>
      <c r="B13" s="53">
        <f>Colombia_B100_Palm!F2</f>
        <v>0</v>
      </c>
      <c r="C13" s="53">
        <f>Colombia_B100_Palm!F3</f>
        <v>0</v>
      </c>
      <c r="D13" s="53">
        <f>Colombia_B100_Palm!F4</f>
        <v>0</v>
      </c>
      <c r="E13" s="53">
        <f>Colombia_B100_Palm!F5</f>
        <v>0</v>
      </c>
      <c r="F13" s="53">
        <f>Colombia_B100_Palm!F6</f>
        <v>0</v>
      </c>
      <c r="G13" s="53">
        <f>Colombia_B100_Palm!F7</f>
        <v>0</v>
      </c>
      <c r="H13" s="53">
        <f>Colombia_B100_Palm!F8</f>
        <v>0</v>
      </c>
      <c r="I13" s="53">
        <f>Colombia_B100_Palm!F9</f>
        <v>0</v>
      </c>
      <c r="J13" s="53">
        <f>Colombia_B100_Palm!F10</f>
        <v>374.70192879782519</v>
      </c>
      <c r="K13" s="53">
        <f>Colombia_B100_Palm!F11</f>
        <v>697.07351899506398</v>
      </c>
      <c r="L13" s="53">
        <f>Colombia_B100_Palm!F12</f>
        <v>982.89863919821812</v>
      </c>
      <c r="M13" s="53">
        <f>Colombia_B100_Palm!F13</f>
        <v>1214.3347118120555</v>
      </c>
      <c r="N13" s="53">
        <f>Colombia_B100_Palm!F14</f>
        <v>1237.1831052317484</v>
      </c>
      <c r="O13" s="53">
        <f>Colombia_B100_Palm!F15</f>
        <v>1252.7480284827384</v>
      </c>
      <c r="P13" s="53">
        <f>Colombia_B100_Palm!F16</f>
        <v>1238.589858490566</v>
      </c>
      <c r="Q13" s="53">
        <f>Colombia_B100_Palm!F17</f>
        <v>1166.3639055385281</v>
      </c>
      <c r="R13" s="53">
        <f>Colombia_B100_Palm!F18</f>
        <v>1047.5032858004013</v>
      </c>
      <c r="S13" s="53">
        <f>Colombia_B100_Palm!F19</f>
        <v>1041.153253938234</v>
      </c>
      <c r="T13" s="53">
        <f>Colombia_B100_Palm!F20</f>
        <v>1144.6702546389267</v>
      </c>
      <c r="U13" s="53">
        <f>Colombia_B100_Palm!F21</f>
        <v>1073.2124415231171</v>
      </c>
      <c r="V13" s="53">
        <f>Colombia_B100_Palm!F22</f>
        <v>965.79231398755314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6C89-092F-415A-B807-828F05072E29}">
  <dimension ref="A1:L13"/>
  <sheetViews>
    <sheetView zoomScaleNormal="100" workbookViewId="0">
      <selection activeCell="G32" sqref="G32"/>
    </sheetView>
  </sheetViews>
  <sheetFormatPr defaultRowHeight="14.4" x14ac:dyDescent="0.3"/>
  <cols>
    <col min="1" max="1" width="36.6640625" bestFit="1" customWidth="1"/>
    <col min="2" max="2" width="21.109375" bestFit="1" customWidth="1"/>
    <col min="3" max="3" width="23.6640625" bestFit="1" customWidth="1"/>
    <col min="5" max="6" width="12.5546875" bestFit="1" customWidth="1"/>
    <col min="7" max="7" width="13.77734375" bestFit="1" customWidth="1"/>
    <col min="8" max="8" width="10.44140625" customWidth="1"/>
    <col min="9" max="9" width="13.77734375" bestFit="1" customWidth="1"/>
    <col min="11" max="11" width="13.77734375" bestFit="1" customWidth="1"/>
  </cols>
  <sheetData>
    <row r="1" spans="1:12" x14ac:dyDescent="0.3">
      <c r="A1" s="64"/>
      <c r="B1" s="64" t="s">
        <v>77</v>
      </c>
      <c r="C1" s="64" t="s">
        <v>78</v>
      </c>
      <c r="E1" t="s">
        <v>80</v>
      </c>
      <c r="F1" s="68" t="s">
        <v>84</v>
      </c>
      <c r="G1" s="68" t="s">
        <v>81</v>
      </c>
      <c r="H1" s="68" t="s">
        <v>84</v>
      </c>
      <c r="I1" s="68" t="s">
        <v>82</v>
      </c>
      <c r="J1" s="68" t="s">
        <v>84</v>
      </c>
      <c r="K1" s="68" t="s">
        <v>83</v>
      </c>
      <c r="L1" s="68" t="s">
        <v>84</v>
      </c>
    </row>
    <row r="2" spans="1:12" x14ac:dyDescent="0.3">
      <c r="A2" s="64" t="s">
        <v>75</v>
      </c>
      <c r="B2" s="65">
        <f>(689*1000*158.987/10^9)*365</f>
        <v>39.982845695000002</v>
      </c>
      <c r="C2" s="65">
        <f>(671*1000*158.987/10^9)*365</f>
        <v>38.938301105000001</v>
      </c>
      <c r="E2" s="69">
        <f>(517*1000*158.987/10^9)*365</f>
        <v>30.001641834999997</v>
      </c>
      <c r="F2" s="70">
        <f>E2/$E$6</f>
        <v>0.40538791814495906</v>
      </c>
      <c r="G2" s="69">
        <f>(585*1000*158.987/10^9)*365</f>
        <v>33.947699175000004</v>
      </c>
      <c r="H2" s="70">
        <f>G2/$G$6</f>
        <v>0.43518991722831074</v>
      </c>
      <c r="I2" s="69">
        <f>(106*1000*158.987/10^9)*365</f>
        <v>6.1512070300000001</v>
      </c>
      <c r="J2" s="70">
        <f>I2/$I$6</f>
        <v>0.14207372456312298</v>
      </c>
      <c r="K2" s="69">
        <f>(113*1000*158.987/10^9)*365</f>
        <v>6.5574188150000001</v>
      </c>
      <c r="L2" s="70">
        <f>K2/$K$6</f>
        <v>0.16179546717691742</v>
      </c>
    </row>
    <row r="3" spans="1:12" x14ac:dyDescent="0.3">
      <c r="A3" s="64" t="s">
        <v>74</v>
      </c>
      <c r="B3" s="65">
        <f>(309*1000*158.987/10^9)*365</f>
        <v>17.931348794999998</v>
      </c>
      <c r="C3" s="65">
        <f>(336*1000*158.987/10^9)*365</f>
        <v>19.49816568</v>
      </c>
      <c r="E3" s="69">
        <f>(49*1000*158.987/10^9)*365</f>
        <v>2.8434824949999999</v>
      </c>
      <c r="F3" s="70">
        <f t="shared" ref="F3:F5" si="0">E3/$E$6</f>
        <v>3.8421678895750475E-2</v>
      </c>
      <c r="G3" s="69">
        <f>(58*1000*158.987/10^9)*365</f>
        <v>3.3657547900000004</v>
      </c>
      <c r="H3" s="70">
        <f t="shared" ref="H3:H5" si="1">G3/$G$6</f>
        <v>4.3147034528618844E-2</v>
      </c>
      <c r="I3" s="69">
        <f>(245*1000*158.987/10^9)*365</f>
        <v>14.217412475</v>
      </c>
      <c r="J3" s="70">
        <f t="shared" ref="J3:J5" si="2">I3/$I$6</f>
        <v>0.3283779482826899</v>
      </c>
      <c r="K3" s="69">
        <f>(281*1000*158.987/10^9)*365</f>
        <v>16.306501654999998</v>
      </c>
      <c r="L3" s="70">
        <f t="shared" ref="L3:L5" si="3">K3/$K$6</f>
        <v>0.40234094050189195</v>
      </c>
    </row>
    <row r="4" spans="1:12" x14ac:dyDescent="0.3">
      <c r="A4" s="64" t="s">
        <v>76</v>
      </c>
      <c r="B4" s="65">
        <f>(306*1000*158.987/10^9)*365</f>
        <v>17.757258029999999</v>
      </c>
      <c r="C4" s="65">
        <f>(279*1000*158.987/10^9)*365</f>
        <v>16.190441145000001</v>
      </c>
      <c r="E4" s="69">
        <f>(70*1000*158.987/10^9)*365</f>
        <v>4.0621178499999999</v>
      </c>
      <c r="F4" s="70">
        <f t="shared" si="0"/>
        <v>5.4888112708214962E-2</v>
      </c>
      <c r="G4" s="69">
        <f>(105*1000*158.987/10^9)*365</f>
        <v>6.093176774999999</v>
      </c>
      <c r="H4" s="70">
        <f t="shared" si="1"/>
        <v>7.8111010784568571E-2</v>
      </c>
      <c r="I4" s="69">
        <f>(240*1000*158.987/10^9)*365</f>
        <v>13.927261199999998</v>
      </c>
      <c r="J4" s="70">
        <f t="shared" si="2"/>
        <v>0.32167635750141049</v>
      </c>
      <c r="K4" s="69">
        <f>(170*1000*158.987/10^9)*365</f>
        <v>9.8651433500000003</v>
      </c>
      <c r="L4" s="70">
        <f t="shared" si="3"/>
        <v>0.24340910991217665</v>
      </c>
    </row>
    <row r="5" spans="1:12" x14ac:dyDescent="0.3">
      <c r="A5" s="64" t="s">
        <v>79</v>
      </c>
      <c r="B5" s="66">
        <v>45.2</v>
      </c>
      <c r="C5" s="64">
        <v>42.4</v>
      </c>
      <c r="E5" s="1">
        <v>37.1</v>
      </c>
      <c r="F5" s="70">
        <f t="shared" si="0"/>
        <v>0.50130229025107564</v>
      </c>
      <c r="G5" s="1">
        <v>34.6</v>
      </c>
      <c r="H5" s="70">
        <f t="shared" si="1"/>
        <v>0.4435520374585018</v>
      </c>
      <c r="I5" s="1">
        <v>9</v>
      </c>
      <c r="J5" s="70">
        <f t="shared" si="2"/>
        <v>0.20787196965277671</v>
      </c>
      <c r="K5" s="1">
        <v>7.8</v>
      </c>
      <c r="L5" s="70">
        <f t="shared" si="3"/>
        <v>0.19245448240901414</v>
      </c>
    </row>
    <row r="6" spans="1:12" x14ac:dyDescent="0.3">
      <c r="B6" s="67">
        <f>SUM(B2:B5)</f>
        <v>120.87145252000001</v>
      </c>
      <c r="C6" s="67">
        <f>SUM(C2:C5)</f>
        <v>117.02690792999999</v>
      </c>
      <c r="E6" s="69">
        <f t="shared" ref="E6:L6" si="4">SUM(E2:E5)</f>
        <v>74.007242179999992</v>
      </c>
      <c r="F6" s="70">
        <f t="shared" si="4"/>
        <v>1.0000000000000002</v>
      </c>
      <c r="G6" s="70">
        <f t="shared" si="4"/>
        <v>78.006630740000006</v>
      </c>
      <c r="H6" s="70">
        <f t="shared" si="4"/>
        <v>1</v>
      </c>
      <c r="I6" s="69">
        <f t="shared" si="4"/>
        <v>43.295880704999995</v>
      </c>
      <c r="J6" s="69">
        <f t="shared" si="4"/>
        <v>1</v>
      </c>
      <c r="K6" s="69">
        <f t="shared" si="4"/>
        <v>40.52906381999999</v>
      </c>
      <c r="L6" s="69">
        <f t="shared" si="4"/>
        <v>1.0000000000000002</v>
      </c>
    </row>
    <row r="8" spans="1:12" x14ac:dyDescent="0.3">
      <c r="A8" s="64"/>
      <c r="B8" s="64" t="s">
        <v>77</v>
      </c>
      <c r="C8" s="64" t="s">
        <v>78</v>
      </c>
    </row>
    <row r="9" spans="1:12" x14ac:dyDescent="0.3">
      <c r="A9" s="64" t="s">
        <v>85</v>
      </c>
      <c r="B9" s="66">
        <v>45.2</v>
      </c>
      <c r="C9" s="64">
        <v>42.4</v>
      </c>
    </row>
    <row r="10" spans="1:12" x14ac:dyDescent="0.3">
      <c r="A10" s="64" t="s">
        <v>74</v>
      </c>
      <c r="B10" s="65">
        <f>(309*1000*158.987/10^9)*365</f>
        <v>17.931348794999998</v>
      </c>
      <c r="C10" s="65">
        <f>(336*1000*158.987/10^9)*365</f>
        <v>19.49816568</v>
      </c>
    </row>
    <row r="11" spans="1:12" x14ac:dyDescent="0.3">
      <c r="A11" s="64" t="s">
        <v>76</v>
      </c>
      <c r="B11" s="65">
        <f>(306*1000*158.987/10^9)*365</f>
        <v>17.757258029999999</v>
      </c>
      <c r="C11" s="65">
        <f>(279*1000*158.987/10^9)*365</f>
        <v>16.190441145000001</v>
      </c>
    </row>
    <row r="12" spans="1:12" x14ac:dyDescent="0.3">
      <c r="A12" s="64" t="s">
        <v>75</v>
      </c>
      <c r="B12" s="65">
        <f>(689*1000*158.987/10^9)*365</f>
        <v>39.982845695000002</v>
      </c>
      <c r="C12" s="65">
        <f>(671*1000*158.987/10^9)*365</f>
        <v>38.938301105000001</v>
      </c>
    </row>
    <row r="13" spans="1:12" x14ac:dyDescent="0.3">
      <c r="B13" s="67">
        <f>SUM(B9:B12)</f>
        <v>120.87145251999999</v>
      </c>
      <c r="C13" s="67">
        <f>SUM(C9:C12)</f>
        <v>117.02690792999999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9902-91C3-489D-A173-3C602E7F0932}">
  <dimension ref="A1:H62"/>
  <sheetViews>
    <sheetView workbookViewId="0">
      <selection activeCell="H1" sqref="H1"/>
    </sheetView>
  </sheetViews>
  <sheetFormatPr defaultRowHeight="14.4" x14ac:dyDescent="0.3"/>
  <cols>
    <col min="2" max="2" width="9.5546875" bestFit="1" customWidth="1"/>
    <col min="3" max="3" width="19.33203125" bestFit="1" customWidth="1"/>
    <col min="4" max="4" width="24.6640625" bestFit="1" customWidth="1"/>
    <col min="5" max="5" width="19.5546875" bestFit="1" customWidth="1"/>
    <col min="8" max="8" width="17" bestFit="1" customWidth="1"/>
  </cols>
  <sheetData>
    <row r="1" spans="1:8" ht="15.6" x14ac:dyDescent="0.3">
      <c r="A1" s="11" t="s">
        <v>5</v>
      </c>
      <c r="B1" s="11" t="s">
        <v>0</v>
      </c>
      <c r="C1" s="11" t="s">
        <v>2</v>
      </c>
      <c r="D1" s="11" t="s">
        <v>3</v>
      </c>
      <c r="E1" s="22" t="s">
        <v>1</v>
      </c>
      <c r="G1" s="1" t="s">
        <v>17</v>
      </c>
      <c r="H1" s="23" t="s">
        <v>18</v>
      </c>
    </row>
    <row r="2" spans="1:8" x14ac:dyDescent="0.3">
      <c r="A2" s="4">
        <v>1960</v>
      </c>
      <c r="B2" s="4">
        <v>12534</v>
      </c>
      <c r="C2" s="44">
        <v>54</v>
      </c>
      <c r="D2" s="4">
        <v>0</v>
      </c>
      <c r="E2" s="44">
        <f>((0.46*D2/B2)*1000)/0.791</f>
        <v>0</v>
      </c>
    </row>
    <row r="3" spans="1:8" x14ac:dyDescent="0.3">
      <c r="A3" s="4">
        <v>1961</v>
      </c>
      <c r="B3" s="4">
        <v>15315</v>
      </c>
      <c r="C3" s="44">
        <v>57.4</v>
      </c>
      <c r="D3" s="4">
        <v>0</v>
      </c>
      <c r="E3" s="44">
        <f t="shared" ref="E3:E62" si="0">((0.46*D3/B3)*1000)/0.791</f>
        <v>0</v>
      </c>
    </row>
    <row r="4" spans="1:8" x14ac:dyDescent="0.3">
      <c r="A4" s="4">
        <v>1962</v>
      </c>
      <c r="B4" s="4">
        <v>21859</v>
      </c>
      <c r="C4" s="44">
        <v>55.7</v>
      </c>
      <c r="D4" s="4">
        <v>0</v>
      </c>
      <c r="E4" s="44">
        <f t="shared" si="0"/>
        <v>0</v>
      </c>
    </row>
    <row r="5" spans="1:8" x14ac:dyDescent="0.3">
      <c r="A5" s="4">
        <v>1963</v>
      </c>
      <c r="B5" s="4">
        <v>22829</v>
      </c>
      <c r="C5" s="44">
        <v>60.2</v>
      </c>
      <c r="D5" s="4">
        <v>0</v>
      </c>
      <c r="E5" s="44">
        <f t="shared" si="0"/>
        <v>0</v>
      </c>
    </row>
    <row r="6" spans="1:8" x14ac:dyDescent="0.3">
      <c r="A6" s="4">
        <v>1964</v>
      </c>
      <c r="B6" s="4">
        <v>24576</v>
      </c>
      <c r="C6" s="44">
        <v>59.5</v>
      </c>
      <c r="D6" s="4">
        <v>0</v>
      </c>
      <c r="E6" s="44">
        <f t="shared" si="0"/>
        <v>0</v>
      </c>
    </row>
    <row r="7" spans="1:8" x14ac:dyDescent="0.3">
      <c r="A7" s="4">
        <v>1965</v>
      </c>
      <c r="B7" s="4">
        <v>25109</v>
      </c>
      <c r="C7" s="44">
        <v>56.8</v>
      </c>
      <c r="D7" s="4">
        <v>0</v>
      </c>
      <c r="E7" s="44">
        <f t="shared" si="0"/>
        <v>0</v>
      </c>
    </row>
    <row r="8" spans="1:8" x14ac:dyDescent="0.3">
      <c r="A8" s="4">
        <v>1966</v>
      </c>
      <c r="B8" s="4">
        <v>29715</v>
      </c>
      <c r="C8" s="44">
        <v>62.1</v>
      </c>
      <c r="D8" s="4">
        <v>0</v>
      </c>
      <c r="E8" s="44">
        <f t="shared" si="0"/>
        <v>0</v>
      </c>
    </row>
    <row r="9" spans="1:8" x14ac:dyDescent="0.3">
      <c r="A9" s="4">
        <v>1967</v>
      </c>
      <c r="B9" s="4">
        <v>31502</v>
      </c>
      <c r="C9" s="44">
        <v>63.5</v>
      </c>
      <c r="D9" s="4">
        <v>0</v>
      </c>
      <c r="E9" s="44">
        <f t="shared" si="0"/>
        <v>0</v>
      </c>
    </row>
    <row r="10" spans="1:8" x14ac:dyDescent="0.3">
      <c r="A10" s="4">
        <v>1968</v>
      </c>
      <c r="B10" s="4">
        <v>25306</v>
      </c>
      <c r="C10" s="44">
        <v>63.4</v>
      </c>
      <c r="D10" s="4">
        <v>0</v>
      </c>
      <c r="E10" s="44">
        <f t="shared" si="0"/>
        <v>0</v>
      </c>
    </row>
    <row r="11" spans="1:8" x14ac:dyDescent="0.3">
      <c r="A11" s="4">
        <v>1969</v>
      </c>
      <c r="B11" s="4">
        <v>28699</v>
      </c>
      <c r="C11" s="44">
        <v>64.599999999999994</v>
      </c>
      <c r="D11" s="4">
        <v>0</v>
      </c>
      <c r="E11" s="44">
        <f t="shared" si="0"/>
        <v>0</v>
      </c>
    </row>
    <row r="12" spans="1:8" x14ac:dyDescent="0.3">
      <c r="A12" s="4">
        <v>1970</v>
      </c>
      <c r="B12" s="4">
        <v>31446</v>
      </c>
      <c r="C12" s="44">
        <v>61.9</v>
      </c>
      <c r="D12" s="4">
        <v>0</v>
      </c>
      <c r="E12" s="44">
        <f t="shared" si="0"/>
        <v>0</v>
      </c>
    </row>
    <row r="13" spans="1:8" x14ac:dyDescent="0.3">
      <c r="A13" s="4">
        <v>1971</v>
      </c>
      <c r="B13" s="4">
        <v>30633</v>
      </c>
      <c r="C13" s="44">
        <v>67.7</v>
      </c>
      <c r="D13" s="4">
        <v>0</v>
      </c>
      <c r="E13" s="44">
        <f t="shared" si="0"/>
        <v>0</v>
      </c>
    </row>
    <row r="14" spans="1:8" x14ac:dyDescent="0.3">
      <c r="A14" s="4">
        <v>1972</v>
      </c>
      <c r="B14" s="4">
        <v>35780</v>
      </c>
      <c r="C14" s="44">
        <v>71.099999999999994</v>
      </c>
      <c r="D14" s="4">
        <v>0</v>
      </c>
      <c r="E14" s="44">
        <f t="shared" si="0"/>
        <v>0</v>
      </c>
    </row>
    <row r="15" spans="1:8" x14ac:dyDescent="0.3">
      <c r="A15" s="4">
        <v>1973</v>
      </c>
      <c r="B15" s="4">
        <v>43878</v>
      </c>
      <c r="C15" s="44">
        <v>72.2</v>
      </c>
      <c r="D15" s="4">
        <v>0</v>
      </c>
      <c r="E15" s="44">
        <f t="shared" si="0"/>
        <v>0</v>
      </c>
    </row>
    <row r="16" spans="1:8" x14ac:dyDescent="0.3">
      <c r="A16" s="4">
        <v>1974</v>
      </c>
      <c r="B16" s="4">
        <v>45384</v>
      </c>
      <c r="C16" s="44">
        <v>79</v>
      </c>
      <c r="D16" s="4">
        <v>0</v>
      </c>
      <c r="E16" s="44">
        <f t="shared" si="0"/>
        <v>0</v>
      </c>
    </row>
    <row r="17" spans="1:5" x14ac:dyDescent="0.3">
      <c r="A17" s="4">
        <v>1975</v>
      </c>
      <c r="B17" s="4">
        <v>52517</v>
      </c>
      <c r="C17" s="44">
        <v>81.099999999999994</v>
      </c>
      <c r="D17" s="4">
        <v>0</v>
      </c>
      <c r="E17" s="44">
        <f t="shared" si="0"/>
        <v>0</v>
      </c>
    </row>
    <row r="18" spans="1:5" x14ac:dyDescent="0.3">
      <c r="A18" s="4">
        <v>1976</v>
      </c>
      <c r="B18" s="4">
        <v>75594</v>
      </c>
      <c r="C18" s="44">
        <v>82.3</v>
      </c>
      <c r="D18" s="4">
        <v>0</v>
      </c>
      <c r="E18" s="44">
        <f t="shared" si="0"/>
        <v>0</v>
      </c>
    </row>
    <row r="19" spans="1:5" x14ac:dyDescent="0.3">
      <c r="A19" s="4">
        <v>1977</v>
      </c>
      <c r="B19" s="4">
        <v>76643</v>
      </c>
      <c r="C19" s="44">
        <v>78.900000000000006</v>
      </c>
      <c r="D19" s="4">
        <v>0</v>
      </c>
      <c r="E19" s="44">
        <f t="shared" si="0"/>
        <v>0</v>
      </c>
    </row>
    <row r="20" spans="1:5" x14ac:dyDescent="0.3">
      <c r="A20" s="4">
        <v>1978</v>
      </c>
      <c r="B20" s="4">
        <v>60629</v>
      </c>
      <c r="C20" s="44">
        <v>78.900000000000006</v>
      </c>
      <c r="D20" s="4">
        <v>0</v>
      </c>
      <c r="E20" s="44">
        <f t="shared" si="0"/>
        <v>0</v>
      </c>
    </row>
    <row r="21" spans="1:5" x14ac:dyDescent="0.3">
      <c r="A21" s="4">
        <v>1979</v>
      </c>
      <c r="B21" s="4">
        <v>53706</v>
      </c>
      <c r="C21" s="44">
        <v>79</v>
      </c>
      <c r="D21" s="4">
        <v>0</v>
      </c>
      <c r="E21" s="44">
        <f t="shared" si="0"/>
        <v>0</v>
      </c>
    </row>
    <row r="22" spans="1:5" x14ac:dyDescent="0.3">
      <c r="A22" s="4">
        <v>1980</v>
      </c>
      <c r="B22" s="4">
        <v>66000</v>
      </c>
      <c r="C22" s="44">
        <v>70.099999999999994</v>
      </c>
      <c r="D22" s="4">
        <v>0</v>
      </c>
      <c r="E22" s="44">
        <f t="shared" si="0"/>
        <v>0</v>
      </c>
    </row>
    <row r="23" spans="1:5" x14ac:dyDescent="0.3">
      <c r="A23" s="4">
        <v>1981</v>
      </c>
      <c r="B23" s="4">
        <v>78000</v>
      </c>
      <c r="C23" s="44">
        <v>70.3</v>
      </c>
      <c r="D23" s="4">
        <v>0</v>
      </c>
      <c r="E23" s="44">
        <f t="shared" si="0"/>
        <v>0</v>
      </c>
    </row>
    <row r="24" spans="1:5" x14ac:dyDescent="0.3">
      <c r="A24" s="4">
        <v>1982</v>
      </c>
      <c r="B24" s="4">
        <v>76964</v>
      </c>
      <c r="C24" s="44">
        <v>83.3</v>
      </c>
      <c r="D24" s="4">
        <v>0</v>
      </c>
      <c r="E24" s="44">
        <f t="shared" si="0"/>
        <v>0</v>
      </c>
    </row>
    <row r="25" spans="1:5" x14ac:dyDescent="0.3">
      <c r="A25" s="4">
        <v>1983</v>
      </c>
      <c r="B25" s="4">
        <v>73446</v>
      </c>
      <c r="C25" s="44">
        <v>75.3</v>
      </c>
      <c r="D25" s="4">
        <v>0</v>
      </c>
      <c r="E25" s="44">
        <f t="shared" si="0"/>
        <v>0</v>
      </c>
    </row>
    <row r="26" spans="1:5" x14ac:dyDescent="0.3">
      <c r="A26" s="4">
        <v>1984</v>
      </c>
      <c r="B26" s="4">
        <v>76146</v>
      </c>
      <c r="C26" s="44">
        <v>72.7</v>
      </c>
      <c r="D26" s="4">
        <v>0</v>
      </c>
      <c r="E26" s="44">
        <f t="shared" si="0"/>
        <v>0</v>
      </c>
    </row>
    <row r="27" spans="1:5" x14ac:dyDescent="0.3">
      <c r="A27" s="4">
        <v>1985</v>
      </c>
      <c r="B27" s="4">
        <v>84000</v>
      </c>
      <c r="C27" s="44">
        <v>66.3</v>
      </c>
      <c r="D27" s="4">
        <v>0</v>
      </c>
      <c r="E27" s="44">
        <f t="shared" si="0"/>
        <v>0</v>
      </c>
    </row>
    <row r="28" spans="1:5" x14ac:dyDescent="0.3">
      <c r="A28" s="4">
        <v>1986</v>
      </c>
      <c r="B28" s="4">
        <v>81000</v>
      </c>
      <c r="C28" s="44">
        <v>70.3</v>
      </c>
      <c r="D28" s="4">
        <v>0</v>
      </c>
      <c r="E28" s="44">
        <f t="shared" si="0"/>
        <v>0</v>
      </c>
    </row>
    <row r="29" spans="1:5" x14ac:dyDescent="0.3">
      <c r="A29" s="4">
        <v>1987</v>
      </c>
      <c r="B29" s="4">
        <v>88000</v>
      </c>
      <c r="C29" s="44">
        <v>72.900000000000006</v>
      </c>
      <c r="D29" s="4">
        <v>0</v>
      </c>
      <c r="E29" s="44">
        <f t="shared" si="0"/>
        <v>0</v>
      </c>
    </row>
    <row r="30" spans="1:5" x14ac:dyDescent="0.3">
      <c r="A30" s="4">
        <v>1988</v>
      </c>
      <c r="B30" s="4">
        <v>97000</v>
      </c>
      <c r="C30" s="44">
        <v>73.3</v>
      </c>
      <c r="D30" s="4">
        <v>0</v>
      </c>
      <c r="E30" s="44">
        <f t="shared" si="0"/>
        <v>0</v>
      </c>
    </row>
    <row r="31" spans="1:5" x14ac:dyDescent="0.3">
      <c r="A31" s="4">
        <v>1989</v>
      </c>
      <c r="B31" s="4">
        <v>100000</v>
      </c>
      <c r="C31" s="44">
        <v>70.099999999999994</v>
      </c>
      <c r="D31" s="4">
        <v>0</v>
      </c>
      <c r="E31" s="44">
        <f t="shared" si="0"/>
        <v>0</v>
      </c>
    </row>
    <row r="32" spans="1:5" x14ac:dyDescent="0.3">
      <c r="A32" s="4">
        <v>1990</v>
      </c>
      <c r="B32" s="4">
        <v>110000</v>
      </c>
      <c r="C32" s="44">
        <v>80.3</v>
      </c>
      <c r="D32" s="4">
        <v>0</v>
      </c>
      <c r="E32" s="44">
        <f t="shared" si="0"/>
        <v>0</v>
      </c>
    </row>
    <row r="33" spans="1:5" x14ac:dyDescent="0.3">
      <c r="A33" s="4">
        <v>1991</v>
      </c>
      <c r="B33" s="4">
        <v>120000</v>
      </c>
      <c r="C33" s="44">
        <v>82.8</v>
      </c>
      <c r="D33" s="4">
        <v>0</v>
      </c>
      <c r="E33" s="44">
        <f t="shared" si="0"/>
        <v>0</v>
      </c>
    </row>
    <row r="34" spans="1:5" x14ac:dyDescent="0.3">
      <c r="A34" s="4">
        <v>1992</v>
      </c>
      <c r="B34" s="4">
        <v>130000</v>
      </c>
      <c r="C34" s="44">
        <v>80</v>
      </c>
      <c r="D34" s="4">
        <v>0</v>
      </c>
      <c r="E34" s="44">
        <f t="shared" si="0"/>
        <v>0</v>
      </c>
    </row>
    <row r="35" spans="1:5" x14ac:dyDescent="0.3">
      <c r="A35" s="4">
        <v>1993</v>
      </c>
      <c r="B35" s="4">
        <v>135000</v>
      </c>
      <c r="C35" s="44">
        <v>77.900000000000006</v>
      </c>
      <c r="D35" s="4">
        <v>0</v>
      </c>
      <c r="E35" s="44">
        <f t="shared" si="0"/>
        <v>0</v>
      </c>
    </row>
    <row r="36" spans="1:5" x14ac:dyDescent="0.3">
      <c r="A36" s="4">
        <v>1994</v>
      </c>
      <c r="B36" s="4">
        <v>140000</v>
      </c>
      <c r="C36" s="44">
        <v>77.5</v>
      </c>
      <c r="D36" s="4">
        <v>0</v>
      </c>
      <c r="E36" s="44">
        <f t="shared" si="0"/>
        <v>0</v>
      </c>
    </row>
    <row r="37" spans="1:5" x14ac:dyDescent="0.3">
      <c r="A37" s="4">
        <v>1995</v>
      </c>
      <c r="B37" s="4">
        <v>150000</v>
      </c>
      <c r="C37" s="44">
        <v>86.1</v>
      </c>
      <c r="D37" s="4">
        <v>0</v>
      </c>
      <c r="E37" s="44">
        <f t="shared" si="0"/>
        <v>0</v>
      </c>
    </row>
    <row r="38" spans="1:5" x14ac:dyDescent="0.3">
      <c r="A38" s="4">
        <v>1996</v>
      </c>
      <c r="B38" s="4">
        <v>165000</v>
      </c>
      <c r="C38" s="44">
        <v>79</v>
      </c>
      <c r="D38" s="4">
        <v>0</v>
      </c>
      <c r="E38" s="44">
        <f t="shared" si="0"/>
        <v>0</v>
      </c>
    </row>
    <row r="39" spans="1:5" x14ac:dyDescent="0.3">
      <c r="A39" s="4">
        <v>1997</v>
      </c>
      <c r="B39" s="4">
        <v>167702</v>
      </c>
      <c r="C39" s="44">
        <v>88.2</v>
      </c>
      <c r="D39" s="4">
        <v>0</v>
      </c>
      <c r="E39" s="44">
        <f t="shared" si="0"/>
        <v>0</v>
      </c>
    </row>
    <row r="40" spans="1:5" x14ac:dyDescent="0.3">
      <c r="A40" s="4">
        <v>1998</v>
      </c>
      <c r="B40" s="4">
        <v>181218</v>
      </c>
      <c r="C40" s="44">
        <v>97.5</v>
      </c>
      <c r="D40" s="4">
        <v>0</v>
      </c>
      <c r="E40" s="44">
        <f t="shared" si="0"/>
        <v>0</v>
      </c>
    </row>
    <row r="41" spans="1:5" x14ac:dyDescent="0.3">
      <c r="A41" s="4">
        <v>1999</v>
      </c>
      <c r="B41" s="4">
        <v>180000</v>
      </c>
      <c r="C41" s="44">
        <v>87.4</v>
      </c>
      <c r="D41" s="4">
        <v>0</v>
      </c>
      <c r="E41" s="44">
        <f t="shared" si="0"/>
        <v>0</v>
      </c>
    </row>
    <row r="42" spans="1:5" x14ac:dyDescent="0.3">
      <c r="A42" s="4">
        <v>2000</v>
      </c>
      <c r="B42" s="4">
        <v>180000</v>
      </c>
      <c r="C42" s="44">
        <v>82.8</v>
      </c>
      <c r="D42" s="4">
        <v>0</v>
      </c>
      <c r="E42" s="44">
        <f t="shared" si="0"/>
        <v>0</v>
      </c>
    </row>
    <row r="43" spans="1:5" x14ac:dyDescent="0.3">
      <c r="A43" s="4">
        <v>2001</v>
      </c>
      <c r="B43" s="4">
        <v>179471</v>
      </c>
      <c r="C43" s="44">
        <v>64.599999999999994</v>
      </c>
      <c r="D43" s="4">
        <v>0</v>
      </c>
      <c r="E43" s="44">
        <f t="shared" si="0"/>
        <v>0</v>
      </c>
    </row>
    <row r="44" spans="1:5" x14ac:dyDescent="0.3">
      <c r="A44" s="4">
        <v>2002</v>
      </c>
      <c r="B44" s="4">
        <v>185000</v>
      </c>
      <c r="C44" s="44">
        <v>92</v>
      </c>
      <c r="D44" s="4">
        <v>0</v>
      </c>
      <c r="E44" s="44">
        <f t="shared" si="0"/>
        <v>0</v>
      </c>
    </row>
    <row r="45" spans="1:5" x14ac:dyDescent="0.3">
      <c r="A45" s="4">
        <v>2003</v>
      </c>
      <c r="B45" s="4">
        <v>187000</v>
      </c>
      <c r="C45" s="44">
        <v>88.3</v>
      </c>
      <c r="D45" s="4">
        <v>35053</v>
      </c>
      <c r="E45" s="44">
        <f>((0.46*D45/B45)*1000)/0.791</f>
        <v>109.00964730220326</v>
      </c>
    </row>
    <row r="46" spans="1:5" x14ac:dyDescent="0.3">
      <c r="A46" s="4">
        <v>2004</v>
      </c>
      <c r="B46" s="4">
        <v>194000</v>
      </c>
      <c r="C46" s="44">
        <v>91.9</v>
      </c>
      <c r="D46" s="4">
        <v>44424</v>
      </c>
      <c r="E46" s="44">
        <f t="shared" si="0"/>
        <v>133.16720320095925</v>
      </c>
    </row>
    <row r="47" spans="1:5" x14ac:dyDescent="0.3">
      <c r="A47" s="4">
        <v>2005</v>
      </c>
      <c r="B47" s="4">
        <v>200000</v>
      </c>
      <c r="C47" s="44">
        <v>91.3</v>
      </c>
      <c r="D47" s="4">
        <v>50734</v>
      </c>
      <c r="E47" s="44">
        <f t="shared" si="0"/>
        <v>147.51984829329962</v>
      </c>
    </row>
    <row r="48" spans="1:5" x14ac:dyDescent="0.3">
      <c r="A48" s="4">
        <v>2006</v>
      </c>
      <c r="B48" s="4">
        <v>197000</v>
      </c>
      <c r="C48" s="44">
        <v>89.3</v>
      </c>
      <c r="D48" s="4">
        <v>61247</v>
      </c>
      <c r="E48" s="44">
        <f t="shared" si="0"/>
        <v>180.80063146951429</v>
      </c>
    </row>
    <row r="49" spans="1:5" x14ac:dyDescent="0.3">
      <c r="A49" s="4">
        <v>2007</v>
      </c>
      <c r="B49" s="4">
        <v>210000</v>
      </c>
      <c r="C49" s="44">
        <v>96.3</v>
      </c>
      <c r="D49" s="4">
        <v>125005</v>
      </c>
      <c r="E49" s="44">
        <f t="shared" si="0"/>
        <v>346.17000782613928</v>
      </c>
    </row>
    <row r="50" spans="1:5" x14ac:dyDescent="0.3">
      <c r="A50" s="4">
        <v>2008</v>
      </c>
      <c r="B50" s="4">
        <v>230000</v>
      </c>
      <c r="C50" s="44">
        <v>87.3</v>
      </c>
      <c r="D50" s="4">
        <v>115405</v>
      </c>
      <c r="E50" s="44">
        <f t="shared" si="0"/>
        <v>291.79519595448795</v>
      </c>
    </row>
    <row r="51" spans="1:5" x14ac:dyDescent="0.3">
      <c r="A51" s="4">
        <v>2009</v>
      </c>
      <c r="B51" s="4">
        <v>230000</v>
      </c>
      <c r="C51" s="44">
        <v>91.1</v>
      </c>
      <c r="D51" s="4">
        <v>124150</v>
      </c>
      <c r="E51" s="44">
        <f t="shared" si="0"/>
        <v>313.90644753476607</v>
      </c>
    </row>
    <row r="52" spans="1:5" x14ac:dyDescent="0.3">
      <c r="A52" s="4">
        <v>2010</v>
      </c>
      <c r="B52" s="4">
        <v>230000</v>
      </c>
      <c r="C52" s="44">
        <v>102.4</v>
      </c>
      <c r="D52" s="4">
        <v>47853</v>
      </c>
      <c r="E52" s="44">
        <f>((0.46*D52/B52)*1000)/0.791</f>
        <v>120.99367888748419</v>
      </c>
    </row>
    <row r="53" spans="1:5" x14ac:dyDescent="0.3">
      <c r="A53" s="4">
        <v>2011</v>
      </c>
      <c r="B53" s="4">
        <v>231505</v>
      </c>
      <c r="C53" s="44">
        <v>88.5</v>
      </c>
      <c r="D53" s="4">
        <v>59690</v>
      </c>
      <c r="E53" s="44">
        <f>((0.46*D53/B53)*1000)/0.791</f>
        <v>149.94174189879553</v>
      </c>
    </row>
    <row r="54" spans="1:5" x14ac:dyDescent="0.3">
      <c r="A54" s="4">
        <v>2012</v>
      </c>
      <c r="B54" s="4">
        <v>252871</v>
      </c>
      <c r="C54" s="44">
        <v>99.5</v>
      </c>
      <c r="D54" s="4">
        <v>63210</v>
      </c>
      <c r="E54" s="44">
        <f t="shared" si="0"/>
        <v>145.36776473141734</v>
      </c>
    </row>
    <row r="55" spans="1:5" x14ac:dyDescent="0.3">
      <c r="A55" s="4">
        <v>2013</v>
      </c>
      <c r="B55" s="4">
        <v>263056</v>
      </c>
      <c r="C55" s="44">
        <v>101.7</v>
      </c>
      <c r="D55" s="4">
        <v>53200</v>
      </c>
      <c r="E55" s="44">
        <f t="shared" si="0"/>
        <v>117.61014041628069</v>
      </c>
    </row>
    <row r="56" spans="1:5" x14ac:dyDescent="0.3">
      <c r="A56" s="4">
        <v>2014</v>
      </c>
      <c r="B56" s="4">
        <v>270178</v>
      </c>
      <c r="C56" s="44">
        <v>102.6</v>
      </c>
      <c r="D56" s="4">
        <v>33063</v>
      </c>
      <c r="E56" s="44">
        <f t="shared" si="0"/>
        <v>71.166174766705055</v>
      </c>
    </row>
    <row r="57" spans="1:5" x14ac:dyDescent="0.3">
      <c r="A57" s="4">
        <v>2015</v>
      </c>
      <c r="B57" s="4">
        <v>271313</v>
      </c>
      <c r="C57" s="44">
        <v>104</v>
      </c>
      <c r="D57" s="4">
        <v>57718</v>
      </c>
      <c r="E57" s="44">
        <f t="shared" si="0"/>
        <v>123.71490286574421</v>
      </c>
    </row>
    <row r="58" spans="1:5" x14ac:dyDescent="0.3">
      <c r="A58" s="4">
        <v>2016</v>
      </c>
      <c r="B58" s="4">
        <v>268735</v>
      </c>
      <c r="C58" s="44">
        <v>104.1</v>
      </c>
      <c r="D58" s="4">
        <v>82830</v>
      </c>
      <c r="E58" s="44">
        <f t="shared" si="0"/>
        <v>179.24406188595782</v>
      </c>
    </row>
    <row r="59" spans="1:5" x14ac:dyDescent="0.3">
      <c r="A59" s="4">
        <v>2017</v>
      </c>
      <c r="B59" s="4">
        <v>263002</v>
      </c>
      <c r="C59" s="44">
        <v>98.2</v>
      </c>
      <c r="D59" s="4">
        <v>69602</v>
      </c>
      <c r="E59" s="44">
        <f t="shared" si="0"/>
        <v>153.90191232724953</v>
      </c>
    </row>
    <row r="60" spans="1:5" x14ac:dyDescent="0.3">
      <c r="A60" s="4">
        <v>2018</v>
      </c>
      <c r="B60" s="4">
        <v>263784</v>
      </c>
      <c r="C60" s="44">
        <v>98.3</v>
      </c>
      <c r="D60" s="4">
        <v>68144</v>
      </c>
      <c r="E60" s="44">
        <f t="shared" si="0"/>
        <v>150.23133320243667</v>
      </c>
    </row>
    <row r="61" spans="1:5" x14ac:dyDescent="0.3">
      <c r="A61" s="4">
        <v>2019</v>
      </c>
      <c r="B61" s="4">
        <v>263080</v>
      </c>
      <c r="C61" s="44">
        <v>104.3</v>
      </c>
      <c r="D61" s="4">
        <v>123969</v>
      </c>
      <c r="E61" s="44">
        <f t="shared" si="0"/>
        <v>274.03536478403174</v>
      </c>
    </row>
    <row r="62" spans="1:5" x14ac:dyDescent="0.3">
      <c r="A62" s="4">
        <v>2020</v>
      </c>
      <c r="B62" s="4">
        <v>528025</v>
      </c>
      <c r="C62" s="44">
        <v>101.1</v>
      </c>
      <c r="D62" s="4">
        <v>143596</v>
      </c>
      <c r="E62" s="44">
        <f t="shared" si="0"/>
        <v>158.15000331303989</v>
      </c>
    </row>
  </sheetData>
  <hyperlinks>
    <hyperlink ref="H1" r:id="rId1" xr:uid="{C445C54C-8F86-4FBA-8A23-D57A25AF6CB3}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D5CC-A5E1-4BDE-81A5-3F1C1E4677DD}">
  <dimension ref="A1:J10"/>
  <sheetViews>
    <sheetView workbookViewId="0">
      <selection activeCell="J1" sqref="J1"/>
    </sheetView>
  </sheetViews>
  <sheetFormatPr defaultRowHeight="14.4" x14ac:dyDescent="0.3"/>
  <cols>
    <col min="1" max="1" width="10.44140625" customWidth="1"/>
    <col min="2" max="2" width="8.5546875" customWidth="1"/>
    <col min="3" max="3" width="11.44140625" bestFit="1" customWidth="1"/>
    <col min="4" max="4" width="16.109375" customWidth="1"/>
    <col min="5" max="5" width="12.88671875" customWidth="1"/>
    <col min="6" max="6" width="9.88671875" customWidth="1"/>
    <col min="7" max="7" width="12.109375" customWidth="1"/>
    <col min="10" max="10" width="22.5546875" customWidth="1"/>
  </cols>
  <sheetData>
    <row r="1" spans="1:10" ht="31.2" x14ac:dyDescent="0.3">
      <c r="A1" s="13" t="s">
        <v>5</v>
      </c>
      <c r="B1" s="14" t="s">
        <v>0</v>
      </c>
      <c r="C1" s="14" t="s">
        <v>10</v>
      </c>
      <c r="D1" s="14" t="s">
        <v>11</v>
      </c>
      <c r="E1" s="14" t="s">
        <v>12</v>
      </c>
      <c r="F1" s="15" t="s">
        <v>4</v>
      </c>
      <c r="G1" s="15" t="s">
        <v>1</v>
      </c>
      <c r="I1" s="18" t="s">
        <v>17</v>
      </c>
      <c r="J1" s="19" t="s">
        <v>19</v>
      </c>
    </row>
    <row r="2" spans="1:10" x14ac:dyDescent="0.3">
      <c r="A2" s="5">
        <v>2012</v>
      </c>
      <c r="B2" s="6">
        <v>251810</v>
      </c>
      <c r="C2" s="6">
        <v>1289458</v>
      </c>
      <c r="D2" s="6">
        <v>13049375</v>
      </c>
      <c r="E2" s="42">
        <v>61.5</v>
      </c>
      <c r="F2" s="16">
        <v>229989000</v>
      </c>
      <c r="G2" s="16">
        <f>F2/B2</f>
        <v>913.34339382868041</v>
      </c>
    </row>
    <row r="3" spans="1:10" x14ac:dyDescent="0.3">
      <c r="A3" s="5">
        <v>2013</v>
      </c>
      <c r="B3" s="6">
        <v>278780</v>
      </c>
      <c r="C3" s="6">
        <v>1078131</v>
      </c>
      <c r="D3" s="6">
        <v>11506759</v>
      </c>
      <c r="E3" s="42">
        <v>47.88</v>
      </c>
      <c r="F3" s="16">
        <v>304786000</v>
      </c>
      <c r="G3" s="16">
        <f t="shared" ref="G3:G10" si="0">F3/B3</f>
        <v>1093.2850276203458</v>
      </c>
    </row>
    <row r="4" spans="1:10" x14ac:dyDescent="0.3">
      <c r="A4" s="5">
        <v>2014</v>
      </c>
      <c r="B4" s="6">
        <v>265250</v>
      </c>
      <c r="C4" s="6">
        <v>1495694</v>
      </c>
      <c r="D4" s="6">
        <v>14527814</v>
      </c>
      <c r="E4" s="42">
        <v>56.7</v>
      </c>
      <c r="F4" s="16">
        <v>299864000</v>
      </c>
      <c r="G4" s="16">
        <f t="shared" si="0"/>
        <v>1130.4957587181905</v>
      </c>
    </row>
    <row r="5" spans="1:10" x14ac:dyDescent="0.3">
      <c r="A5" s="5">
        <v>2015</v>
      </c>
      <c r="B5" s="6">
        <v>271370</v>
      </c>
      <c r="C5" s="6">
        <v>1485123</v>
      </c>
      <c r="D5" s="6">
        <v>14250792</v>
      </c>
      <c r="E5" s="42">
        <v>61.61</v>
      </c>
      <c r="F5" s="16">
        <v>336144000</v>
      </c>
      <c r="G5" s="16">
        <f t="shared" si="0"/>
        <v>1238.692559973468</v>
      </c>
    </row>
    <row r="6" spans="1:10" x14ac:dyDescent="0.3">
      <c r="A6" s="5">
        <v>2016</v>
      </c>
      <c r="B6" s="6">
        <v>274180</v>
      </c>
      <c r="C6" s="7">
        <v>1362892</v>
      </c>
      <c r="D6" s="8">
        <v>12818013</v>
      </c>
      <c r="E6" s="42">
        <v>59.8</v>
      </c>
      <c r="F6" s="16">
        <v>400108680</v>
      </c>
      <c r="G6" s="16">
        <f t="shared" si="0"/>
        <v>1459.2919979575461</v>
      </c>
    </row>
    <row r="7" spans="1:10" x14ac:dyDescent="0.3">
      <c r="A7" s="5">
        <v>2017</v>
      </c>
      <c r="B7" s="6">
        <v>269530</v>
      </c>
      <c r="C7" s="6">
        <v>1338204</v>
      </c>
      <c r="D7" s="6">
        <v>13823322</v>
      </c>
      <c r="E7" s="42">
        <v>54.25</v>
      </c>
      <c r="F7" s="16">
        <v>553143311.01489425</v>
      </c>
      <c r="G7" s="16">
        <f t="shared" si="0"/>
        <v>2052.2513672500063</v>
      </c>
    </row>
    <row r="8" spans="1:10" x14ac:dyDescent="0.3">
      <c r="A8" s="5">
        <v>2018</v>
      </c>
      <c r="B8" s="6">
        <v>273460</v>
      </c>
      <c r="C8" s="6">
        <v>1356377</v>
      </c>
      <c r="D8" s="6">
        <v>14407920</v>
      </c>
      <c r="E8" s="43">
        <v>56.13</v>
      </c>
      <c r="F8" s="16">
        <v>528162160.00000012</v>
      </c>
      <c r="G8" s="16">
        <f t="shared" si="0"/>
        <v>1931.4055437723987</v>
      </c>
    </row>
    <row r="9" spans="1:10" x14ac:dyDescent="0.3">
      <c r="A9" s="5">
        <v>2019</v>
      </c>
      <c r="B9" s="6">
        <v>275290</v>
      </c>
      <c r="C9" s="6">
        <v>1386737</v>
      </c>
      <c r="D9" s="6">
        <v>15414552</v>
      </c>
      <c r="E9" s="43">
        <v>56.47</v>
      </c>
      <c r="F9" s="16">
        <v>519666700</v>
      </c>
      <c r="G9" s="16">
        <f t="shared" si="0"/>
        <v>1887.7064186857497</v>
      </c>
    </row>
    <row r="10" spans="1:10" x14ac:dyDescent="0.3">
      <c r="A10" s="5">
        <v>2020</v>
      </c>
      <c r="B10" s="6">
        <v>276880</v>
      </c>
      <c r="C10" s="6">
        <v>1404005</v>
      </c>
      <c r="D10" s="6">
        <v>14352235</v>
      </c>
      <c r="E10" s="42">
        <v>55.09</v>
      </c>
      <c r="F10" s="16">
        <v>385149699.99999982</v>
      </c>
      <c r="G10" s="16">
        <f t="shared" si="0"/>
        <v>1391.0347442935561</v>
      </c>
    </row>
  </sheetData>
  <hyperlinks>
    <hyperlink ref="J1" r:id="rId1" xr:uid="{5AA17529-A772-4927-9F15-3427E497791A}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D4A0-BE68-497E-8A5C-41CCB268AB69}">
  <dimension ref="A1:I10"/>
  <sheetViews>
    <sheetView workbookViewId="0">
      <selection activeCell="I1" sqref="I1"/>
    </sheetView>
  </sheetViews>
  <sheetFormatPr defaultRowHeight="14.4" x14ac:dyDescent="0.3"/>
  <cols>
    <col min="2" max="2" width="19.6640625" bestFit="1" customWidth="1"/>
    <col min="3" max="3" width="16.44140625" bestFit="1" customWidth="1"/>
    <col min="4" max="4" width="14.88671875" bestFit="1" customWidth="1"/>
    <col min="5" max="5" width="11" bestFit="1" customWidth="1"/>
    <col min="6" max="6" width="19.5546875" bestFit="1" customWidth="1"/>
    <col min="9" max="9" width="24.6640625" bestFit="1" customWidth="1"/>
  </cols>
  <sheetData>
    <row r="1" spans="1:9" ht="15.6" x14ac:dyDescent="0.3">
      <c r="A1" s="11" t="s">
        <v>5</v>
      </c>
      <c r="B1" s="11" t="s">
        <v>6</v>
      </c>
      <c r="C1" s="11" t="s">
        <v>7</v>
      </c>
      <c r="D1" s="11" t="s">
        <v>8</v>
      </c>
      <c r="E1" s="11" t="s">
        <v>4</v>
      </c>
      <c r="F1" s="11" t="s">
        <v>1</v>
      </c>
      <c r="H1" s="50" t="s">
        <v>20</v>
      </c>
      <c r="I1" s="49" t="s">
        <v>43</v>
      </c>
    </row>
    <row r="2" spans="1:9" x14ac:dyDescent="0.3">
      <c r="A2" s="4">
        <v>2012</v>
      </c>
      <c r="B2" s="4">
        <v>3696300</v>
      </c>
      <c r="C2" s="4">
        <v>21196637</v>
      </c>
      <c r="D2" s="44">
        <v>5.7350000000000003</v>
      </c>
      <c r="E2" s="4">
        <v>20500000</v>
      </c>
      <c r="F2" s="44">
        <f>E2/(0.03*B2)</f>
        <v>184.8695542389236</v>
      </c>
    </row>
    <row r="3" spans="1:9" x14ac:dyDescent="0.3">
      <c r="A3" s="4">
        <v>2013</v>
      </c>
      <c r="B3" s="4">
        <v>4863801</v>
      </c>
      <c r="C3" s="4">
        <v>32045751</v>
      </c>
      <c r="D3" s="44">
        <v>6.5890000000000004</v>
      </c>
      <c r="E3" s="4">
        <v>167594000</v>
      </c>
      <c r="F3" s="44">
        <f t="shared" ref="F3:F10" si="0">E3/(0.03*B3)</f>
        <v>1148.5804346573116</v>
      </c>
    </row>
    <row r="4" spans="1:9" x14ac:dyDescent="0.3">
      <c r="A4" s="4">
        <v>2014</v>
      </c>
      <c r="B4" s="4">
        <v>4836655</v>
      </c>
      <c r="C4" s="4">
        <v>33087165</v>
      </c>
      <c r="D4" s="44">
        <v>6.8410000000000002</v>
      </c>
      <c r="E4" s="4">
        <v>371257000</v>
      </c>
      <c r="F4" s="44">
        <f t="shared" si="0"/>
        <v>2558.6347038052813</v>
      </c>
    </row>
    <row r="5" spans="1:9" x14ac:dyDescent="0.3">
      <c r="A5" s="4">
        <v>2015</v>
      </c>
      <c r="B5" s="4">
        <v>6034480</v>
      </c>
      <c r="C5" s="4">
        <v>33817449</v>
      </c>
      <c r="D5" s="44">
        <v>7.30891</v>
      </c>
      <c r="E5" s="4">
        <v>479265000</v>
      </c>
      <c r="F5" s="44">
        <f t="shared" si="0"/>
        <v>2647.3697816547574</v>
      </c>
    </row>
    <row r="6" spans="1:9" x14ac:dyDescent="0.3">
      <c r="A6" s="4">
        <v>2016</v>
      </c>
      <c r="B6" s="4">
        <v>6904538</v>
      </c>
      <c r="C6" s="4">
        <v>39792854</v>
      </c>
      <c r="D6" s="44">
        <v>7.4426600000000001</v>
      </c>
      <c r="E6" s="4">
        <v>489836800</v>
      </c>
      <c r="F6" s="44">
        <f t="shared" si="0"/>
        <v>2364.8060642628566</v>
      </c>
    </row>
    <row r="7" spans="1:9" x14ac:dyDescent="0.3">
      <c r="A7" s="4">
        <v>2017</v>
      </c>
      <c r="B7" s="4">
        <v>8486694</v>
      </c>
      <c r="C7" s="4">
        <v>49490326</v>
      </c>
      <c r="D7" s="44">
        <v>7.5710800000000003</v>
      </c>
      <c r="E7" s="4">
        <v>551963526.95288134</v>
      </c>
      <c r="F7" s="44">
        <f t="shared" si="0"/>
        <v>2167.9565955556677</v>
      </c>
    </row>
    <row r="8" spans="1:9" x14ac:dyDescent="0.3">
      <c r="A8" s="4">
        <v>2018</v>
      </c>
      <c r="B8" s="4">
        <v>9139766</v>
      </c>
      <c r="C8" s="4">
        <v>43462323</v>
      </c>
      <c r="D8" s="44">
        <v>6.0883400000000005</v>
      </c>
      <c r="E8" s="4">
        <v>585618640.00000012</v>
      </c>
      <c r="F8" s="44">
        <f t="shared" si="0"/>
        <v>2135.7900556024451</v>
      </c>
    </row>
    <row r="9" spans="1:9" x14ac:dyDescent="0.3">
      <c r="A9" s="4">
        <v>2019</v>
      </c>
      <c r="B9" s="4">
        <v>9039594</v>
      </c>
      <c r="C9" s="4">
        <v>56860703.899999999</v>
      </c>
      <c r="D9" s="44">
        <v>7.8615500000000003</v>
      </c>
      <c r="E9" s="4">
        <v>553828790.00000012</v>
      </c>
      <c r="F9" s="44">
        <f t="shared" si="0"/>
        <v>2042.2332758160012</v>
      </c>
    </row>
    <row r="10" spans="1:9" x14ac:dyDescent="0.3">
      <c r="A10" s="4">
        <v>2020</v>
      </c>
      <c r="B10" s="4">
        <v>9504473</v>
      </c>
      <c r="C10" s="4">
        <v>58395811</v>
      </c>
      <c r="D10" s="44">
        <v>7.5539399999999999</v>
      </c>
      <c r="E10" s="4">
        <v>423574830</v>
      </c>
      <c r="F10" s="44">
        <f t="shared" si="0"/>
        <v>1485.528024541708</v>
      </c>
    </row>
  </sheetData>
  <hyperlinks>
    <hyperlink ref="I1" r:id="rId1" xr:uid="{66384833-C2F4-4429-BC75-7AD8794DFB85}"/>
  </hyperlink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628E3-6B31-4CB3-AB70-3CB28DE43A62}">
  <dimension ref="A1:H22"/>
  <sheetViews>
    <sheetView tabSelected="1" workbookViewId="0">
      <selection activeCell="H1" sqref="H1"/>
    </sheetView>
  </sheetViews>
  <sheetFormatPr defaultRowHeight="14.4" x14ac:dyDescent="0.3"/>
  <cols>
    <col min="2" max="2" width="9.5546875" bestFit="1" customWidth="1"/>
    <col min="3" max="3" width="19.33203125" bestFit="1" customWidth="1"/>
    <col min="4" max="4" width="22.33203125" bestFit="1" customWidth="1"/>
    <col min="5" max="5" width="19.5546875" bestFit="1" customWidth="1"/>
  </cols>
  <sheetData>
    <row r="1" spans="1:8" ht="15.6" x14ac:dyDescent="0.3">
      <c r="A1" s="11" t="s">
        <v>5</v>
      </c>
      <c r="B1" s="11" t="s">
        <v>0</v>
      </c>
      <c r="C1" s="11" t="s">
        <v>2</v>
      </c>
      <c r="D1" s="11" t="s">
        <v>9</v>
      </c>
      <c r="E1" s="11" t="s">
        <v>1</v>
      </c>
      <c r="G1" s="20" t="s">
        <v>20</v>
      </c>
      <c r="H1" s="21" t="s">
        <v>21</v>
      </c>
    </row>
    <row r="2" spans="1:8" ht="15.6" x14ac:dyDescent="0.3">
      <c r="A2" s="10">
        <v>2000</v>
      </c>
      <c r="B2" s="10">
        <v>183200</v>
      </c>
      <c r="C2" s="10">
        <v>106.1</v>
      </c>
      <c r="D2" s="10">
        <v>0</v>
      </c>
      <c r="E2" s="4">
        <f>D2/B2</f>
        <v>0</v>
      </c>
    </row>
    <row r="3" spans="1:8" ht="15.6" x14ac:dyDescent="0.3">
      <c r="A3" s="10">
        <v>2001</v>
      </c>
      <c r="B3" s="10">
        <v>174160</v>
      </c>
      <c r="C3" s="10">
        <v>103.2</v>
      </c>
      <c r="D3" s="10">
        <v>0</v>
      </c>
      <c r="E3" s="4">
        <f t="shared" ref="E3:E22" si="0">D3/B3</f>
        <v>0</v>
      </c>
    </row>
    <row r="4" spans="1:8" ht="15.6" x14ac:dyDescent="0.3">
      <c r="A4" s="10">
        <v>2002</v>
      </c>
      <c r="B4" s="10">
        <v>160622</v>
      </c>
      <c r="C4" s="10">
        <v>120.7</v>
      </c>
      <c r="D4" s="10">
        <v>0</v>
      </c>
      <c r="E4" s="4">
        <f t="shared" si="0"/>
        <v>0</v>
      </c>
    </row>
    <row r="5" spans="1:8" ht="15.6" x14ac:dyDescent="0.3">
      <c r="A5" s="10">
        <v>2003</v>
      </c>
      <c r="B5" s="10">
        <v>170002</v>
      </c>
      <c r="C5" s="10">
        <v>126</v>
      </c>
      <c r="D5" s="10">
        <v>0</v>
      </c>
      <c r="E5" s="4">
        <f t="shared" si="0"/>
        <v>0</v>
      </c>
    </row>
    <row r="6" spans="1:8" ht="15.6" x14ac:dyDescent="0.3">
      <c r="A6" s="10">
        <v>2004</v>
      </c>
      <c r="B6" s="10">
        <v>172237</v>
      </c>
      <c r="C6" s="10">
        <v>127</v>
      </c>
      <c r="D6" s="10">
        <v>0</v>
      </c>
      <c r="E6" s="4">
        <f t="shared" si="0"/>
        <v>0</v>
      </c>
    </row>
    <row r="7" spans="1:8" ht="15.6" x14ac:dyDescent="0.3">
      <c r="A7" s="10">
        <v>2005</v>
      </c>
      <c r="B7" s="10">
        <v>176367</v>
      </c>
      <c r="C7" s="10">
        <v>119.6</v>
      </c>
      <c r="D7" s="10">
        <f>27.034*10^6</f>
        <v>27034000</v>
      </c>
      <c r="E7" s="12">
        <f t="shared" si="0"/>
        <v>153.28264357844722</v>
      </c>
    </row>
    <row r="8" spans="1:8" ht="15.6" x14ac:dyDescent="0.3">
      <c r="A8" s="10">
        <v>2006</v>
      </c>
      <c r="B8" s="10">
        <v>179608</v>
      </c>
      <c r="C8" s="10">
        <v>118.4</v>
      </c>
      <c r="D8" s="10">
        <f>265.684*10^6</f>
        <v>265684000.00000003</v>
      </c>
      <c r="E8" s="12">
        <f t="shared" si="0"/>
        <v>1479.2436862500558</v>
      </c>
    </row>
    <row r="9" spans="1:8" ht="15.6" x14ac:dyDescent="0.3">
      <c r="A9" s="10">
        <v>2007</v>
      </c>
      <c r="B9" s="10">
        <v>184866</v>
      </c>
      <c r="C9" s="10">
        <v>113.9</v>
      </c>
      <c r="D9" s="10">
        <f>271.773*10^6</f>
        <v>271773000</v>
      </c>
      <c r="E9" s="12">
        <f t="shared" si="0"/>
        <v>1470.1080782837298</v>
      </c>
    </row>
    <row r="10" spans="1:8" ht="15.6" x14ac:dyDescent="0.3">
      <c r="A10" s="10">
        <v>2008</v>
      </c>
      <c r="B10" s="10">
        <v>157495</v>
      </c>
      <c r="C10" s="10">
        <v>120.9</v>
      </c>
      <c r="D10" s="10">
        <f>255.584*10^6</f>
        <v>255584000</v>
      </c>
      <c r="E10" s="12">
        <f t="shared" si="0"/>
        <v>1622.8070732404203</v>
      </c>
    </row>
    <row r="11" spans="1:8" ht="15.6" x14ac:dyDescent="0.3">
      <c r="A11" s="10">
        <v>2009</v>
      </c>
      <c r="B11" s="10">
        <v>192744</v>
      </c>
      <c r="C11" s="10">
        <v>120.3</v>
      </c>
      <c r="D11" s="10">
        <f>326.846*10^6</f>
        <v>326846000</v>
      </c>
      <c r="E11" s="12">
        <f t="shared" si="0"/>
        <v>1695.7518781388785</v>
      </c>
    </row>
    <row r="12" spans="1:8" ht="15.6" x14ac:dyDescent="0.3">
      <c r="A12" s="10">
        <v>2010</v>
      </c>
      <c r="B12" s="10">
        <v>172421</v>
      </c>
      <c r="C12" s="10">
        <v>114.6</v>
      </c>
      <c r="D12" s="10">
        <f>291.286*10^6</f>
        <v>291286000</v>
      </c>
      <c r="E12" s="12">
        <f t="shared" si="0"/>
        <v>1689.3881835739267</v>
      </c>
    </row>
    <row r="13" spans="1:8" ht="15.6" x14ac:dyDescent="0.3">
      <c r="A13" s="10">
        <v>2011</v>
      </c>
      <c r="B13" s="10">
        <v>185545</v>
      </c>
      <c r="C13" s="10">
        <v>121.5</v>
      </c>
      <c r="D13" s="10">
        <f>337.398*10^6</f>
        <v>337398000</v>
      </c>
      <c r="E13" s="12">
        <f t="shared" si="0"/>
        <v>1818.4160176776522</v>
      </c>
    </row>
    <row r="14" spans="1:8" ht="15.6" x14ac:dyDescent="0.3">
      <c r="A14" s="10">
        <v>2012</v>
      </c>
      <c r="B14" s="10">
        <v>207193</v>
      </c>
      <c r="C14" s="10">
        <v>103.9</v>
      </c>
      <c r="D14" s="10">
        <f>369.722*10^6</f>
        <v>369722000</v>
      </c>
      <c r="E14" s="12">
        <f t="shared" si="0"/>
        <v>1784.4328717669034</v>
      </c>
    </row>
    <row r="15" spans="1:8" ht="15.6" x14ac:dyDescent="0.3">
      <c r="A15" s="10">
        <v>2013</v>
      </c>
      <c r="B15" s="10">
        <v>193472</v>
      </c>
      <c r="C15" s="10">
        <v>108.8</v>
      </c>
      <c r="D15" s="10">
        <f>387.859*10^6</f>
        <v>387859000</v>
      </c>
      <c r="E15" s="12">
        <f t="shared" si="0"/>
        <v>2004.7293665233212</v>
      </c>
    </row>
    <row r="16" spans="1:8" ht="15.6" x14ac:dyDescent="0.3">
      <c r="A16" s="10">
        <v>2014</v>
      </c>
      <c r="B16" s="10">
        <v>197253</v>
      </c>
      <c r="C16" s="10">
        <v>119</v>
      </c>
      <c r="D16" s="10">
        <f>406.468*10^6</f>
        <v>406468000</v>
      </c>
      <c r="E16" s="12">
        <f t="shared" si="0"/>
        <v>2060.6429306525124</v>
      </c>
    </row>
    <row r="17" spans="1:5" ht="15.6" x14ac:dyDescent="0.3">
      <c r="A17" s="10">
        <v>2015</v>
      </c>
      <c r="B17" s="10">
        <v>199314</v>
      </c>
      <c r="C17" s="10">
        <v>116.2</v>
      </c>
      <c r="D17" s="10">
        <f>456.403*10^6</f>
        <v>456403000</v>
      </c>
      <c r="E17" s="12">
        <f t="shared" si="0"/>
        <v>2289.8692515327575</v>
      </c>
    </row>
    <row r="18" spans="1:5" ht="15.6" x14ac:dyDescent="0.3">
      <c r="A18" s="10">
        <v>2016</v>
      </c>
      <c r="B18" s="10">
        <v>191293</v>
      </c>
      <c r="C18" s="10">
        <v>117.5</v>
      </c>
      <c r="D18" s="10">
        <f>434.431*10^6</f>
        <v>434431000</v>
      </c>
      <c r="E18" s="12">
        <f t="shared" si="0"/>
        <v>2271.0240311982143</v>
      </c>
    </row>
    <row r="19" spans="1:5" ht="15.6" x14ac:dyDescent="0.3">
      <c r="A19" s="10">
        <v>2017</v>
      </c>
      <c r="B19" s="10">
        <v>173282</v>
      </c>
      <c r="C19" s="10">
        <v>123.9</v>
      </c>
      <c r="D19" s="10">
        <f>402.753*10^6</f>
        <v>402753000</v>
      </c>
      <c r="E19" s="12">
        <f t="shared" si="0"/>
        <v>2324.2633395274756</v>
      </c>
    </row>
    <row r="20" spans="1:5" ht="15.6" x14ac:dyDescent="0.3">
      <c r="A20" s="10">
        <v>2018</v>
      </c>
      <c r="B20" s="10">
        <v>208174</v>
      </c>
      <c r="C20" s="10">
        <v>120</v>
      </c>
      <c r="D20" s="10">
        <f>466.613*10^6</f>
        <v>466613000</v>
      </c>
      <c r="E20" s="12">
        <f t="shared" si="0"/>
        <v>2241.4566660582013</v>
      </c>
    </row>
    <row r="21" spans="1:5" ht="15.6" x14ac:dyDescent="0.3">
      <c r="A21" s="10">
        <v>2019</v>
      </c>
      <c r="B21" s="10">
        <v>201500</v>
      </c>
      <c r="C21" s="10">
        <v>111.7</v>
      </c>
      <c r="D21" s="10">
        <f>443.57*10^6</f>
        <v>443570000</v>
      </c>
      <c r="E21" s="12">
        <f t="shared" si="0"/>
        <v>2201.3399503722085</v>
      </c>
    </row>
    <row r="22" spans="1:5" ht="15.6" x14ac:dyDescent="0.3">
      <c r="A22" s="10">
        <v>2020</v>
      </c>
      <c r="B22" s="10">
        <v>196907</v>
      </c>
      <c r="C22" s="10">
        <v>112.5</v>
      </c>
      <c r="D22" s="10">
        <f>394.172*10^6</f>
        <v>394172000</v>
      </c>
      <c r="E22" s="12">
        <f t="shared" si="0"/>
        <v>2001.818117182223</v>
      </c>
    </row>
  </sheetData>
  <hyperlinks>
    <hyperlink ref="H1" r:id="rId1" xr:uid="{022BAE22-4A0B-4B04-84C8-8AAB7437400C}"/>
  </hyperlink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FD86-1AE7-4745-91E0-B06E452DA004}">
  <dimension ref="A1:V17"/>
  <sheetViews>
    <sheetView workbookViewId="0">
      <selection activeCell="N11" sqref="N11:V11"/>
    </sheetView>
  </sheetViews>
  <sheetFormatPr defaultRowHeight="14.4" x14ac:dyDescent="0.3"/>
  <cols>
    <col min="1" max="1" width="31" bestFit="1" customWidth="1"/>
    <col min="2" max="2" width="6.109375" bestFit="1" customWidth="1"/>
    <col min="3" max="10" width="7.109375" bestFit="1" customWidth="1"/>
    <col min="12" max="12" width="11" bestFit="1" customWidth="1"/>
  </cols>
  <sheetData>
    <row r="1" spans="1:22" ht="21" x14ac:dyDescent="0.4">
      <c r="A1" s="30" t="s">
        <v>23</v>
      </c>
      <c r="B1" s="24"/>
      <c r="C1" s="24"/>
      <c r="D1" s="24"/>
    </row>
    <row r="2" spans="1:22" ht="15.6" x14ac:dyDescent="0.3">
      <c r="B2" s="26">
        <v>2000</v>
      </c>
      <c r="C2" s="26">
        <v>2001</v>
      </c>
      <c r="D2" s="26">
        <v>2002</v>
      </c>
      <c r="E2" s="26">
        <v>2003</v>
      </c>
      <c r="F2" s="26">
        <v>2004</v>
      </c>
      <c r="G2" s="26">
        <v>2005</v>
      </c>
      <c r="H2" s="26">
        <v>2006</v>
      </c>
      <c r="I2" s="26">
        <v>2007</v>
      </c>
      <c r="J2" s="26">
        <v>2008</v>
      </c>
      <c r="K2" s="26">
        <v>2009</v>
      </c>
      <c r="L2" s="26">
        <v>2010</v>
      </c>
      <c r="M2" s="26">
        <v>2011</v>
      </c>
      <c r="N2" s="26">
        <v>2012</v>
      </c>
      <c r="O2" s="26">
        <v>2013</v>
      </c>
      <c r="P2" s="26">
        <v>2014</v>
      </c>
      <c r="Q2" s="26">
        <v>2015</v>
      </c>
      <c r="R2" s="26">
        <v>2016</v>
      </c>
      <c r="S2" s="26">
        <v>2017</v>
      </c>
      <c r="T2" s="27">
        <v>2018</v>
      </c>
      <c r="U2" s="27">
        <v>2019</v>
      </c>
      <c r="V2" s="27">
        <v>2020</v>
      </c>
    </row>
    <row r="3" spans="1:22" ht="15.6" x14ac:dyDescent="0.3">
      <c r="A3" s="29" t="s">
        <v>24</v>
      </c>
      <c r="B3" s="53">
        <f>Brazil_E1G_cane!B32</f>
        <v>67.900000000000006</v>
      </c>
      <c r="C3" s="53">
        <f>Brazil_E1G_cane!B33</f>
        <v>69.400000000000006</v>
      </c>
      <c r="D3" s="53">
        <f>Brazil_E1G_cane!B34</f>
        <v>71.400000000000006</v>
      </c>
      <c r="E3" s="53">
        <f>Brazil_E1G_cane!B35</f>
        <v>73.7</v>
      </c>
      <c r="F3" s="53">
        <f>Brazil_E1G_cane!B36</f>
        <v>73.7</v>
      </c>
      <c r="G3" s="53">
        <f>Brazil_E1G_cane!B37</f>
        <v>72.900000000000006</v>
      </c>
      <c r="H3" s="53">
        <f>Brazil_E1G_cane!B38</f>
        <v>75.099999999999994</v>
      </c>
      <c r="I3" s="53">
        <f>Brazil_E1G_cane!B39</f>
        <v>77.599999999999994</v>
      </c>
      <c r="J3" s="53">
        <f>Brazil_E1G_cane!B40</f>
        <v>79.3</v>
      </c>
      <c r="K3" s="53">
        <f>Brazil_E1G_cane!B41</f>
        <v>80.3</v>
      </c>
      <c r="L3" s="53">
        <f>Brazil_E1G_cane!B42</f>
        <v>79</v>
      </c>
      <c r="M3" s="53">
        <f>Brazil_E1G_cane!B43</f>
        <v>76.400000000000006</v>
      </c>
      <c r="N3" s="53">
        <f>Brazil_E1G_cane!B44</f>
        <v>74.3</v>
      </c>
      <c r="O3" s="53">
        <f>Brazil_E1G_cane!B45</f>
        <v>75.3</v>
      </c>
      <c r="P3" s="53">
        <f>Brazil_E1G_cane!B46</f>
        <v>70.599999999999994</v>
      </c>
      <c r="Q3" s="53">
        <f>Brazil_E1G_cane!B47</f>
        <v>74.2</v>
      </c>
      <c r="R3" s="53">
        <f>Brazil_E1G_cane!B48</f>
        <v>75.2</v>
      </c>
      <c r="S3" s="53">
        <f>Brazil_E1G_cane!B49</f>
        <v>74.5</v>
      </c>
      <c r="T3" s="53">
        <f>Brazil_E1G_cane!B50</f>
        <v>74.599999999999994</v>
      </c>
      <c r="U3" s="53">
        <f>Brazil_E1G_cane!B51</f>
        <v>74.7</v>
      </c>
      <c r="V3" s="53">
        <f>Brazil_E1G_cane!B52</f>
        <v>75</v>
      </c>
    </row>
    <row r="4" spans="1:22" ht="15.6" x14ac:dyDescent="0.3">
      <c r="A4" s="29" t="s">
        <v>25</v>
      </c>
      <c r="B4" s="53">
        <v>0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2">
        <v>0</v>
      </c>
      <c r="N4" s="53">
        <f>Argentina_E1G_cane!E2</f>
        <v>61.5</v>
      </c>
      <c r="O4" s="53">
        <f>Argentina_E1G_cane!E3</f>
        <v>47.88</v>
      </c>
      <c r="P4" s="53">
        <f>Argentina_E1G_cane!E4</f>
        <v>56.7</v>
      </c>
      <c r="Q4" s="53">
        <f>Argentina_E1G_cane!E5</f>
        <v>61.61</v>
      </c>
      <c r="R4" s="53">
        <f>Argentina_E1G_cane!E6</f>
        <v>59.8</v>
      </c>
      <c r="S4" s="53">
        <f>Argentina_E1G_cane!E7</f>
        <v>54.25</v>
      </c>
      <c r="T4" s="53">
        <f>Argentina_E1G_cane!E8</f>
        <v>56.13</v>
      </c>
      <c r="U4" s="53">
        <f>Argentina_E1G_cane!E9</f>
        <v>56.47</v>
      </c>
      <c r="V4" s="53">
        <f>Argentina_E1G_cane!E10</f>
        <v>55.09</v>
      </c>
    </row>
    <row r="5" spans="1:22" ht="15.6" x14ac:dyDescent="0.3">
      <c r="A5" s="29" t="s">
        <v>26</v>
      </c>
      <c r="B5" s="53">
        <v>5.4550000000000001</v>
      </c>
      <c r="C5" s="53">
        <v>6.0789999999999997</v>
      </c>
      <c r="D5" s="53">
        <v>6.52</v>
      </c>
      <c r="E5" s="53">
        <v>6.4219999999999997</v>
      </c>
      <c r="F5" s="53">
        <v>7.359</v>
      </c>
      <c r="G5" s="53">
        <v>5.9029999999999996</v>
      </c>
      <c r="H5" s="53">
        <v>7.6660000000000004</v>
      </c>
      <c r="I5" s="53">
        <v>6.452</v>
      </c>
      <c r="J5" s="53">
        <v>5.56</v>
      </c>
      <c r="K5" s="53">
        <v>7.8040000000000003</v>
      </c>
      <c r="L5" s="53">
        <v>6.35</v>
      </c>
      <c r="M5" s="2">
        <v>5.7</v>
      </c>
      <c r="N5" s="53">
        <f>Argentina_E1G_corn!D2</f>
        <v>5.7350000000000003</v>
      </c>
      <c r="O5" s="53">
        <f>Argentina_E1G_corn!D3</f>
        <v>6.5890000000000004</v>
      </c>
      <c r="P5" s="53">
        <f>Argentina_E1G_corn!D4</f>
        <v>6.8410000000000002</v>
      </c>
      <c r="Q5" s="53">
        <f>Argentina_E1G_corn!D5</f>
        <v>7.30891</v>
      </c>
      <c r="R5" s="53">
        <f>Argentina_E1G_corn!D6</f>
        <v>7.4426600000000001</v>
      </c>
      <c r="S5" s="53">
        <f>Argentina_E1G_corn!D7</f>
        <v>7.5710800000000003</v>
      </c>
      <c r="T5" s="53">
        <f>Argentina_E1G_corn!D8</f>
        <v>6.0883400000000005</v>
      </c>
      <c r="U5" s="53">
        <f>Argentina_E1G_corn!D9</f>
        <v>7.8615500000000003</v>
      </c>
      <c r="V5" s="53">
        <f>Argentina_E1G_corn!D10</f>
        <v>7.5539399999999999</v>
      </c>
    </row>
    <row r="6" spans="1:22" ht="15.6" x14ac:dyDescent="0.3">
      <c r="A6" s="29" t="s">
        <v>27</v>
      </c>
      <c r="B6" s="53">
        <f>Colombia_E1G_cane!C2</f>
        <v>106.1</v>
      </c>
      <c r="C6" s="53">
        <f>Colombia_E1G_cane!C3</f>
        <v>103.2</v>
      </c>
      <c r="D6" s="53">
        <f>Colombia_E1G_cane!C4</f>
        <v>120.7</v>
      </c>
      <c r="E6" s="53">
        <f>Colombia_E1G_cane!C5</f>
        <v>126</v>
      </c>
      <c r="F6" s="53">
        <f>Colombia_E1G_cane!C6</f>
        <v>127</v>
      </c>
      <c r="G6" s="53">
        <f>Colombia_E1G_cane!C7</f>
        <v>119.6</v>
      </c>
      <c r="H6" s="53">
        <f>Colombia_E1G_cane!C8</f>
        <v>118.4</v>
      </c>
      <c r="I6" s="53">
        <f>Colombia_E1G_cane!C9</f>
        <v>113.9</v>
      </c>
      <c r="J6" s="53">
        <f>Colombia_E1G_cane!C10</f>
        <v>120.9</v>
      </c>
      <c r="K6" s="53">
        <f>Colombia_E1G_cane!C11</f>
        <v>120.3</v>
      </c>
      <c r="L6" s="53">
        <f>Colombia_E1G_cane!C12</f>
        <v>114.6</v>
      </c>
      <c r="M6" s="53">
        <f>Colombia_E1G_cane!C13</f>
        <v>121.5</v>
      </c>
      <c r="N6" s="53">
        <f>Colombia_E1G_cane!C14</f>
        <v>103.9</v>
      </c>
      <c r="O6" s="53">
        <f>Colombia_E1G_cane!C15</f>
        <v>108.8</v>
      </c>
      <c r="P6" s="53">
        <f>Colombia_E1G_cane!C16</f>
        <v>119</v>
      </c>
      <c r="Q6" s="53">
        <f>Colombia_E1G_cane!C17</f>
        <v>116.2</v>
      </c>
      <c r="R6" s="53">
        <f>Colombia_E1G_cane!C18</f>
        <v>117.5</v>
      </c>
      <c r="S6" s="53">
        <f>Colombia_E1G_cane!C19</f>
        <v>123.9</v>
      </c>
      <c r="T6" s="53">
        <f>Colombia_E1G_cane!C20</f>
        <v>120</v>
      </c>
      <c r="U6" s="53">
        <f>Colombia_E1G_cane!C21</f>
        <v>111.7</v>
      </c>
      <c r="V6" s="53">
        <f>Colombia_E1G_cane!C22</f>
        <v>112.5</v>
      </c>
    </row>
    <row r="7" spans="1:22" ht="15.6" x14ac:dyDescent="0.3">
      <c r="A7" s="29" t="s">
        <v>28</v>
      </c>
      <c r="B7" s="53">
        <f>Guatemala_E1G_cane!$C$42</f>
        <v>82.8</v>
      </c>
      <c r="C7" s="53">
        <f>Guatemala_E1G_cane!$C$43</f>
        <v>64.599999999999994</v>
      </c>
      <c r="D7" s="53">
        <f>Guatemala_E1G_cane!$C$44</f>
        <v>92</v>
      </c>
      <c r="E7" s="53">
        <f>Guatemala_E1G_cane!$C$45</f>
        <v>88.3</v>
      </c>
      <c r="F7" s="53">
        <f>Guatemala_E1G_cane!$C$46</f>
        <v>91.9</v>
      </c>
      <c r="G7" s="53">
        <f>Guatemala_E1G_cane!$C$47</f>
        <v>91.3</v>
      </c>
      <c r="H7" s="53">
        <f>Guatemala_E1G_cane!$C$48</f>
        <v>89.3</v>
      </c>
      <c r="I7" s="53">
        <f>Guatemala_E1G_cane!$C$49</f>
        <v>96.3</v>
      </c>
      <c r="J7" s="53">
        <f>Guatemala_E1G_cane!$C$50</f>
        <v>87.3</v>
      </c>
      <c r="K7" s="53">
        <f>Guatemala_E1G_cane!$C$51</f>
        <v>91.1</v>
      </c>
      <c r="L7" s="53">
        <f>Guatemala_E1G_cane!$C$52</f>
        <v>102.4</v>
      </c>
      <c r="M7" s="53">
        <f>Guatemala_E1G_cane!$C$53</f>
        <v>88.5</v>
      </c>
      <c r="N7" s="53">
        <f>Guatemala_E1G_cane!$C$54</f>
        <v>99.5</v>
      </c>
      <c r="O7" s="53">
        <f>Guatemala_E1G_cane!$C$55</f>
        <v>101.7</v>
      </c>
      <c r="P7" s="53">
        <f>Guatemala_E1G_cane!$C$56</f>
        <v>102.6</v>
      </c>
      <c r="Q7" s="53">
        <f>Guatemala_E1G_cane!$C$57</f>
        <v>104</v>
      </c>
      <c r="R7" s="53">
        <f>Guatemala_E1G_cane!$C$58</f>
        <v>104.1</v>
      </c>
      <c r="S7" s="53">
        <f>Guatemala_E1G_cane!$C$59</f>
        <v>98.2</v>
      </c>
      <c r="T7" s="53">
        <f>Guatemala_E1G_cane!$C$60</f>
        <v>98.3</v>
      </c>
      <c r="U7" s="53">
        <f>Guatemala_E1G_cane!$C$61</f>
        <v>104.3</v>
      </c>
      <c r="V7" s="53">
        <f>Guatemala_E1G_cane!$C$62</f>
        <v>101.1</v>
      </c>
    </row>
    <row r="11" spans="1:22" ht="21" x14ac:dyDescent="0.4">
      <c r="A11" s="30" t="s">
        <v>22</v>
      </c>
    </row>
    <row r="12" spans="1:22" ht="15.6" x14ac:dyDescent="0.3">
      <c r="B12" s="26">
        <v>2000</v>
      </c>
      <c r="C12" s="26">
        <v>2001</v>
      </c>
      <c r="D12" s="26">
        <v>2002</v>
      </c>
      <c r="E12" s="26">
        <v>2003</v>
      </c>
      <c r="F12" s="26">
        <v>2004</v>
      </c>
      <c r="G12" s="26">
        <v>2005</v>
      </c>
      <c r="H12" s="26">
        <v>2006</v>
      </c>
      <c r="I12" s="26">
        <v>2007</v>
      </c>
      <c r="J12" s="26">
        <v>2008</v>
      </c>
      <c r="K12" s="26">
        <v>2009</v>
      </c>
      <c r="L12" s="26">
        <v>2010</v>
      </c>
      <c r="M12" s="26">
        <v>2011</v>
      </c>
      <c r="N12" s="26">
        <v>2012</v>
      </c>
      <c r="O12" s="26">
        <v>2013</v>
      </c>
      <c r="P12" s="26">
        <v>2014</v>
      </c>
      <c r="Q12" s="26">
        <v>2015</v>
      </c>
      <c r="R12" s="26">
        <v>2016</v>
      </c>
      <c r="S12" s="26">
        <v>2017</v>
      </c>
      <c r="T12" s="27">
        <v>2018</v>
      </c>
      <c r="U12" s="27">
        <v>2019</v>
      </c>
      <c r="V12" s="27">
        <v>2020</v>
      </c>
    </row>
    <row r="13" spans="1:22" ht="15.6" x14ac:dyDescent="0.3">
      <c r="A13" s="29" t="s">
        <v>24</v>
      </c>
      <c r="B13" s="53">
        <f>Brazil_E1G_cane!G32</f>
        <v>5375.6</v>
      </c>
      <c r="C13" s="53">
        <f>Brazil_E1G_cane!G33</f>
        <v>5340.7</v>
      </c>
      <c r="D13" s="53">
        <f>Brazil_E1G_cane!G34</f>
        <v>5805.4</v>
      </c>
      <c r="E13" s="53">
        <f>Brazil_E1G_cane!G35</f>
        <v>5975.3</v>
      </c>
      <c r="F13" s="53">
        <f>Brazil_E1G_cane!G36</f>
        <v>5777.9</v>
      </c>
      <c r="G13" s="53">
        <f>Brazil_E1G_cane!G37</f>
        <v>6110.5</v>
      </c>
      <c r="H13" s="53">
        <f>Brazil_E1G_cane!G38</f>
        <v>6223.7</v>
      </c>
      <c r="I13" s="53">
        <f>Brazil_E1G_cane!G39</f>
        <v>6421.2</v>
      </c>
      <c r="J13" s="53">
        <f>Brazil_E1G_cane!G40</f>
        <v>6257.6</v>
      </c>
      <c r="K13" s="53">
        <f>Brazil_E1G_cane!G41</f>
        <v>6203.3</v>
      </c>
      <c r="L13" s="53">
        <f>Brazil_E1G_cane!G42</f>
        <v>6545.2</v>
      </c>
      <c r="M13" s="53">
        <f>Brazil_E1G_cane!G43</f>
        <v>6123.1</v>
      </c>
      <c r="N13" s="53">
        <f>Brazil_E1G_cane!G44</f>
        <v>5920.3</v>
      </c>
      <c r="O13" s="53">
        <f>Brazil_E1G_cane!G45</f>
        <v>5756.3</v>
      </c>
      <c r="P13" s="53">
        <f>Brazil_E1G_cane!G46</f>
        <v>5586.9</v>
      </c>
      <c r="Q13" s="53">
        <f>Brazil_E1G_cane!G47</f>
        <v>5647.7</v>
      </c>
      <c r="R13" s="53">
        <f>Brazil_E1G_cane!G48</f>
        <v>6027.9</v>
      </c>
      <c r="S13" s="53">
        <f>Brazil_E1G_cane!G49</f>
        <v>5943.4</v>
      </c>
      <c r="T13" s="53">
        <f>Brazil_E1G_cane!G50</f>
        <v>6181.7</v>
      </c>
      <c r="U13" s="53">
        <f>Brazil_E1G_cane!G51</f>
        <v>6275.4</v>
      </c>
      <c r="V13" s="53">
        <f>Brazil_E1G_cane!G52</f>
        <v>6132.4</v>
      </c>
    </row>
    <row r="14" spans="1:22" ht="15.6" x14ac:dyDescent="0.3">
      <c r="A14" s="29" t="s">
        <v>25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53">
        <f>Argentina_E1G_cane!G2</f>
        <v>913.34339382868041</v>
      </c>
      <c r="O14" s="53">
        <f>Argentina_E1G_cane!G3</f>
        <v>1093.2850276203458</v>
      </c>
      <c r="P14" s="53">
        <f>Argentina_E1G_cane!G4</f>
        <v>1130.4957587181905</v>
      </c>
      <c r="Q14" s="53">
        <f>Argentina_E1G_cane!G5</f>
        <v>1238.692559973468</v>
      </c>
      <c r="R14" s="53">
        <f>Argentina_E1G_cane!G6</f>
        <v>1459.2919979575461</v>
      </c>
      <c r="S14" s="53">
        <f>Argentina_E1G_cane!G7</f>
        <v>2052.2513672500063</v>
      </c>
      <c r="T14" s="53">
        <f>Argentina_E1G_cane!G8</f>
        <v>1931.4055437723987</v>
      </c>
      <c r="U14" s="53">
        <f>Argentina_E1G_cane!G9</f>
        <v>1887.7064186857497</v>
      </c>
      <c r="V14" s="53">
        <f>Argentina_E1G_cane!G10</f>
        <v>1391.0347442935561</v>
      </c>
    </row>
    <row r="15" spans="1:22" ht="15.6" x14ac:dyDescent="0.3">
      <c r="A15" s="29" t="s">
        <v>26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53">
        <f>Argentina_E1G_corn!F2</f>
        <v>184.8695542389236</v>
      </c>
      <c r="O15" s="53">
        <f>Argentina_E1G_corn!F3</f>
        <v>1148.5804346573116</v>
      </c>
      <c r="P15" s="53">
        <f>Argentina_E1G_corn!F4</f>
        <v>2558.6347038052813</v>
      </c>
      <c r="Q15" s="53">
        <f>Argentina_E1G_corn!F5</f>
        <v>2647.3697816547574</v>
      </c>
      <c r="R15" s="53">
        <f>Argentina_E1G_corn!F6</f>
        <v>2364.8060642628566</v>
      </c>
      <c r="S15" s="53">
        <f>Argentina_E1G_corn!F7</f>
        <v>2167.9565955556677</v>
      </c>
      <c r="T15" s="53">
        <f>Argentina_E1G_corn!F8</f>
        <v>2135.7900556024451</v>
      </c>
      <c r="U15" s="53">
        <f>Argentina_E1G_corn!F9</f>
        <v>2042.2332758160012</v>
      </c>
      <c r="V15" s="53">
        <f>Argentina_E1G_corn!F10</f>
        <v>1485.528024541708</v>
      </c>
    </row>
    <row r="16" spans="1:22" ht="15.6" x14ac:dyDescent="0.3">
      <c r="A16" s="29" t="s">
        <v>27</v>
      </c>
      <c r="B16" s="53">
        <f>Colombia_E1G_cane!E2</f>
        <v>0</v>
      </c>
      <c r="C16" s="53">
        <f>Colombia_E1G_cane!E3</f>
        <v>0</v>
      </c>
      <c r="D16" s="53">
        <f>Colombia_E1G_cane!E4</f>
        <v>0</v>
      </c>
      <c r="E16" s="53">
        <f>Colombia_E1G_cane!E5</f>
        <v>0</v>
      </c>
      <c r="F16" s="53">
        <f>Colombia_E1G_cane!E6</f>
        <v>0</v>
      </c>
      <c r="G16" s="53">
        <f>Colombia_E1G_cane!E7</f>
        <v>153.28264357844722</v>
      </c>
      <c r="H16" s="53">
        <f>Colombia_E1G_cane!E8</f>
        <v>1479.2436862500558</v>
      </c>
      <c r="I16" s="53">
        <f>Colombia_E1G_cane!E9</f>
        <v>1470.1080782837298</v>
      </c>
      <c r="J16" s="53">
        <f>Colombia_E1G_cane!E10</f>
        <v>1622.8070732404203</v>
      </c>
      <c r="K16" s="53">
        <f>Colombia_E1G_cane!E11</f>
        <v>1695.7518781388785</v>
      </c>
      <c r="L16" s="53">
        <f>Colombia_E1G_cane!E12</f>
        <v>1689.3881835739267</v>
      </c>
      <c r="M16" s="53">
        <f>Colombia_E1G_cane!E13</f>
        <v>1818.4160176776522</v>
      </c>
      <c r="N16" s="53">
        <f>Colombia_E1G_cane!E14</f>
        <v>1784.4328717669034</v>
      </c>
      <c r="O16" s="53">
        <f>Colombia_E1G_cane!E15</f>
        <v>2004.7293665233212</v>
      </c>
      <c r="P16" s="53">
        <f>Colombia_E1G_cane!E16</f>
        <v>2060.6429306525124</v>
      </c>
      <c r="Q16" s="53">
        <f>Colombia_E1G_cane!E17</f>
        <v>2289.8692515327575</v>
      </c>
      <c r="R16" s="53">
        <f>Colombia_E1G_cane!E18</f>
        <v>2271.0240311982143</v>
      </c>
      <c r="S16" s="53">
        <f>Colombia_E1G_cane!E19</f>
        <v>2324.2633395274756</v>
      </c>
      <c r="T16" s="53">
        <f>Colombia_E1G_cane!E20</f>
        <v>2241.4566660582013</v>
      </c>
      <c r="U16" s="53">
        <f>Colombia_E1G_cane!E21</f>
        <v>2201.3399503722085</v>
      </c>
      <c r="V16" s="53">
        <f>Colombia_E1G_cane!E22</f>
        <v>2001.818117182223</v>
      </c>
    </row>
    <row r="17" spans="1:22" ht="15.6" x14ac:dyDescent="0.3">
      <c r="A17" s="29" t="s">
        <v>28</v>
      </c>
      <c r="B17" s="53">
        <f>Guatemala_E1G_cane!$E$42</f>
        <v>0</v>
      </c>
      <c r="C17" s="53">
        <f>Guatemala_E1G_cane!$E$43</f>
        <v>0</v>
      </c>
      <c r="D17" s="53">
        <f>Guatemala_E1G_cane!$E$44</f>
        <v>0</v>
      </c>
      <c r="E17" s="53">
        <f>Guatemala_E1G_cane!$E$45</f>
        <v>109.00964730220326</v>
      </c>
      <c r="F17" s="53">
        <f>Guatemala_E1G_cane!$E$46</f>
        <v>133.16720320095925</v>
      </c>
      <c r="G17" s="53">
        <f>Guatemala_E1G_cane!$E$47</f>
        <v>147.51984829329962</v>
      </c>
      <c r="H17" s="53">
        <f>Guatemala_E1G_cane!$E$48</f>
        <v>180.80063146951429</v>
      </c>
      <c r="I17" s="53">
        <f>Guatemala_E1G_cane!$E$49</f>
        <v>346.17000782613928</v>
      </c>
      <c r="J17" s="53">
        <f>Guatemala_E1G_cane!$E$50</f>
        <v>291.79519595448795</v>
      </c>
      <c r="K17" s="53">
        <f>Guatemala_E1G_cane!$E$51</f>
        <v>313.90644753476607</v>
      </c>
      <c r="L17" s="53">
        <f>Guatemala_E1G_cane!$E$52</f>
        <v>120.99367888748419</v>
      </c>
      <c r="M17" s="53">
        <f>Guatemala_E1G_cane!$E$53</f>
        <v>149.94174189879553</v>
      </c>
      <c r="N17" s="53">
        <f>Guatemala_E1G_cane!$E$54</f>
        <v>145.36776473141734</v>
      </c>
      <c r="O17" s="53">
        <f>Guatemala_E1G_cane!$E$55</f>
        <v>117.61014041628069</v>
      </c>
      <c r="P17" s="53">
        <f>Guatemala_E1G_cane!$E$56</f>
        <v>71.166174766705055</v>
      </c>
      <c r="Q17" s="53">
        <f>Guatemala_E1G_cane!$E$57</f>
        <v>123.71490286574421</v>
      </c>
      <c r="R17" s="53">
        <f>Guatemala_E1G_cane!$E$58</f>
        <v>179.24406188595782</v>
      </c>
      <c r="S17" s="53">
        <f>Guatemala_E1G_cane!$E$59</f>
        <v>153.90191232724953</v>
      </c>
      <c r="T17" s="53">
        <f>Guatemala_E1G_cane!$E$60</f>
        <v>150.23133320243667</v>
      </c>
      <c r="U17" s="53">
        <f>Guatemala_E1G_cane!$E$61</f>
        <v>274.03536478403174</v>
      </c>
      <c r="V17" s="53">
        <f>Guatemala_E1G_cane!$E$62</f>
        <v>158.15000331303989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12F4-0019-412F-B3ED-442DC50371C1}">
  <dimension ref="A1:J24"/>
  <sheetViews>
    <sheetView workbookViewId="0">
      <selection activeCell="J1" sqref="J1"/>
    </sheetView>
  </sheetViews>
  <sheetFormatPr defaultRowHeight="14.4" x14ac:dyDescent="0.3"/>
  <cols>
    <col min="2" max="2" width="19.88671875" bestFit="1" customWidth="1"/>
    <col min="3" max="3" width="17.33203125" bestFit="1" customWidth="1"/>
    <col min="4" max="4" width="22.5546875" bestFit="1" customWidth="1"/>
    <col min="5" max="5" width="26.33203125" bestFit="1" customWidth="1"/>
    <col min="6" max="6" width="23.109375" bestFit="1" customWidth="1"/>
    <col min="7" max="7" width="21" bestFit="1" customWidth="1"/>
    <col min="10" max="10" width="18.33203125" bestFit="1" customWidth="1"/>
  </cols>
  <sheetData>
    <row r="1" spans="1:10" ht="15.6" x14ac:dyDescent="0.3">
      <c r="A1" s="26" t="s">
        <v>5</v>
      </c>
      <c r="B1" s="27" t="s">
        <v>32</v>
      </c>
      <c r="C1" s="27" t="s">
        <v>33</v>
      </c>
      <c r="D1" s="27" t="s">
        <v>34</v>
      </c>
      <c r="E1" s="27" t="s">
        <v>29</v>
      </c>
      <c r="F1" s="27" t="s">
        <v>30</v>
      </c>
      <c r="G1" s="27" t="s">
        <v>31</v>
      </c>
      <c r="I1" s="47" t="s">
        <v>20</v>
      </c>
      <c r="J1" s="48" t="s">
        <v>42</v>
      </c>
    </row>
    <row r="2" spans="1:10" ht="15.6" x14ac:dyDescent="0.3">
      <c r="A2" s="9">
        <v>2000</v>
      </c>
      <c r="B2" s="9">
        <v>10612893</v>
      </c>
      <c r="C2" s="29">
        <v>27266252</v>
      </c>
      <c r="D2" s="28">
        <v>2.569</v>
      </c>
      <c r="E2" s="9">
        <v>0</v>
      </c>
      <c r="F2" s="9">
        <f>E2*1000/0.88</f>
        <v>0</v>
      </c>
      <c r="G2" s="9">
        <f>F2/B2</f>
        <v>0</v>
      </c>
    </row>
    <row r="3" spans="1:10" ht="15.6" x14ac:dyDescent="0.3">
      <c r="A3" s="9">
        <v>2001</v>
      </c>
      <c r="B3" s="9">
        <v>11394403</v>
      </c>
      <c r="C3" s="29">
        <v>29962194</v>
      </c>
      <c r="D3" s="28">
        <v>2.63</v>
      </c>
      <c r="E3" s="9">
        <v>0</v>
      </c>
      <c r="F3" s="9">
        <f t="shared" ref="F3:F22" si="0">E3*1000/0.88</f>
        <v>0</v>
      </c>
      <c r="G3" s="9">
        <f t="shared" ref="G3:G22" si="1">F3/B3</f>
        <v>0</v>
      </c>
    </row>
    <row r="4" spans="1:10" ht="15.6" x14ac:dyDescent="0.3">
      <c r="A4" s="9">
        <v>2002</v>
      </c>
      <c r="B4" s="9">
        <v>12403394</v>
      </c>
      <c r="C4" s="29">
        <v>34785121</v>
      </c>
      <c r="D4" s="28">
        <v>2.8039999999999998</v>
      </c>
      <c r="E4" s="9">
        <v>0</v>
      </c>
      <c r="F4" s="9">
        <f t="shared" si="0"/>
        <v>0</v>
      </c>
      <c r="G4" s="9">
        <f t="shared" si="1"/>
        <v>0</v>
      </c>
    </row>
    <row r="5" spans="1:10" ht="15.6" x14ac:dyDescent="0.3">
      <c r="A5" s="9">
        <v>2003</v>
      </c>
      <c r="B5" s="9">
        <v>14291714</v>
      </c>
      <c r="C5" s="29">
        <v>31560148</v>
      </c>
      <c r="D5" s="28">
        <v>2.2080000000000002</v>
      </c>
      <c r="E5" s="9">
        <v>0</v>
      </c>
      <c r="F5" s="9">
        <f t="shared" si="0"/>
        <v>0</v>
      </c>
      <c r="G5" s="9">
        <f t="shared" si="1"/>
        <v>0</v>
      </c>
    </row>
    <row r="6" spans="1:10" ht="15.6" x14ac:dyDescent="0.3">
      <c r="A6" s="9">
        <v>2004</v>
      </c>
      <c r="B6" s="9">
        <v>14027875</v>
      </c>
      <c r="C6" s="29">
        <v>38287103</v>
      </c>
      <c r="D6" s="28">
        <v>2.7290000000000001</v>
      </c>
      <c r="E6" s="9">
        <v>0</v>
      </c>
      <c r="F6" s="9">
        <f t="shared" si="0"/>
        <v>0</v>
      </c>
      <c r="G6" s="9">
        <f t="shared" si="1"/>
        <v>0</v>
      </c>
    </row>
    <row r="7" spans="1:10" ht="15.6" x14ac:dyDescent="0.3">
      <c r="A7" s="9">
        <v>2005</v>
      </c>
      <c r="B7" s="9">
        <v>15107896</v>
      </c>
      <c r="C7" s="29">
        <v>40489266</v>
      </c>
      <c r="D7" s="28">
        <v>2.68</v>
      </c>
      <c r="E7" s="9">
        <v>0</v>
      </c>
      <c r="F7" s="9">
        <f t="shared" si="0"/>
        <v>0</v>
      </c>
      <c r="G7" s="9">
        <f t="shared" si="1"/>
        <v>0</v>
      </c>
    </row>
    <row r="8" spans="1:10" ht="15.6" x14ac:dyDescent="0.3">
      <c r="A8" s="9">
        <v>2006</v>
      </c>
      <c r="B8" s="9">
        <v>15952040</v>
      </c>
      <c r="C8" s="29">
        <v>47431082</v>
      </c>
      <c r="D8" s="28">
        <v>2.9729999999999999</v>
      </c>
      <c r="E8" s="9">
        <v>0</v>
      </c>
      <c r="F8" s="9">
        <f t="shared" si="0"/>
        <v>0</v>
      </c>
      <c r="G8" s="9">
        <f t="shared" si="1"/>
        <v>0</v>
      </c>
    </row>
    <row r="9" spans="1:10" ht="15.6" x14ac:dyDescent="0.3">
      <c r="A9" s="9">
        <v>2007</v>
      </c>
      <c r="B9" s="9">
        <v>16352459</v>
      </c>
      <c r="C9" s="29">
        <v>46150651</v>
      </c>
      <c r="D9" s="28">
        <v>2.8220000000000001</v>
      </c>
      <c r="E9" s="62">
        <v>0</v>
      </c>
      <c r="F9" s="9">
        <f t="shared" si="0"/>
        <v>0</v>
      </c>
      <c r="G9" s="28">
        <f t="shared" si="1"/>
        <v>0</v>
      </c>
    </row>
    <row r="10" spans="1:10" ht="15.6" x14ac:dyDescent="0.3">
      <c r="A10" s="9">
        <v>2008</v>
      </c>
      <c r="B10" s="9">
        <v>16711510</v>
      </c>
      <c r="C10" s="29">
        <v>30966368</v>
      </c>
      <c r="D10" s="28">
        <v>1.853</v>
      </c>
      <c r="E10" s="63">
        <v>711864</v>
      </c>
      <c r="F10" s="9">
        <f t="shared" si="0"/>
        <v>808936363.63636363</v>
      </c>
      <c r="G10" s="28">
        <f t="shared" si="1"/>
        <v>48.405940793881797</v>
      </c>
    </row>
    <row r="11" spans="1:10" ht="15.6" x14ac:dyDescent="0.3">
      <c r="A11" s="9">
        <v>2009</v>
      </c>
      <c r="B11" s="9">
        <v>18217927</v>
      </c>
      <c r="C11" s="29">
        <v>53247361</v>
      </c>
      <c r="D11" s="28">
        <v>2.923</v>
      </c>
      <c r="E11" s="63">
        <v>1179103</v>
      </c>
      <c r="F11" s="9">
        <f t="shared" si="0"/>
        <v>1339889772.7272727</v>
      </c>
      <c r="G11" s="28">
        <f t="shared" si="1"/>
        <v>73.547872528376729</v>
      </c>
    </row>
    <row r="12" spans="1:10" ht="15.6" x14ac:dyDescent="0.3">
      <c r="A12" s="9">
        <v>2010</v>
      </c>
      <c r="B12" s="9">
        <v>18733631</v>
      </c>
      <c r="C12" s="29">
        <v>48846100</v>
      </c>
      <c r="D12" s="28">
        <v>2.6070000000000002</v>
      </c>
      <c r="E12" s="63">
        <v>1820385</v>
      </c>
      <c r="F12" s="9">
        <f t="shared" si="0"/>
        <v>2068619318.1818182</v>
      </c>
      <c r="G12" s="28">
        <f t="shared" si="1"/>
        <v>110.42276418179787</v>
      </c>
    </row>
    <row r="13" spans="1:10" ht="15.6" x14ac:dyDescent="0.3">
      <c r="A13" s="9">
        <v>2011</v>
      </c>
      <c r="B13" s="9">
        <v>17573258</v>
      </c>
      <c r="C13" s="29">
        <v>40097644</v>
      </c>
      <c r="D13" s="28">
        <v>2.282</v>
      </c>
      <c r="E13" s="63">
        <v>2429964</v>
      </c>
      <c r="F13" s="9">
        <f t="shared" si="0"/>
        <v>2761322727.2727275</v>
      </c>
      <c r="G13" s="28">
        <f t="shared" si="1"/>
        <v>157.13208827143649</v>
      </c>
    </row>
    <row r="14" spans="1:10" ht="15.6" x14ac:dyDescent="0.3">
      <c r="A14" s="9">
        <v>2012</v>
      </c>
      <c r="B14" s="9">
        <v>19286625</v>
      </c>
      <c r="C14" s="29">
        <v>49117029</v>
      </c>
      <c r="D14" s="28">
        <v>2.5470000000000002</v>
      </c>
      <c r="E14" s="63">
        <v>2456578</v>
      </c>
      <c r="F14" s="9">
        <f t="shared" si="0"/>
        <v>2791565909.090909</v>
      </c>
      <c r="G14" s="28">
        <f t="shared" si="1"/>
        <v>144.74102695992218</v>
      </c>
    </row>
    <row r="15" spans="1:10" ht="15.6" x14ac:dyDescent="0.3">
      <c r="A15" s="9">
        <v>2013</v>
      </c>
      <c r="B15" s="9">
        <v>19252952</v>
      </c>
      <c r="C15" s="29">
        <v>53398720</v>
      </c>
      <c r="D15" s="28">
        <v>2.774</v>
      </c>
      <c r="E15" s="63">
        <v>1997809</v>
      </c>
      <c r="F15" s="9">
        <f t="shared" si="0"/>
        <v>2270237500</v>
      </c>
      <c r="G15" s="28">
        <f t="shared" si="1"/>
        <v>117.91633303817514</v>
      </c>
    </row>
    <row r="16" spans="1:10" ht="15.6" x14ac:dyDescent="0.3">
      <c r="A16" s="9">
        <v>2014</v>
      </c>
      <c r="B16" s="9">
        <v>19334915</v>
      </c>
      <c r="C16" s="29">
        <v>61398276</v>
      </c>
      <c r="D16" s="28">
        <v>3.1760000000000002</v>
      </c>
      <c r="E16" s="63">
        <v>2584290</v>
      </c>
      <c r="F16" s="9">
        <f t="shared" si="0"/>
        <v>2936693181.818182</v>
      </c>
      <c r="G16" s="28">
        <f t="shared" si="1"/>
        <v>151.88549739257618</v>
      </c>
    </row>
    <row r="17" spans="1:7" ht="15.6" x14ac:dyDescent="0.3">
      <c r="A17" s="9">
        <v>2015</v>
      </c>
      <c r="B17" s="9">
        <v>19590871</v>
      </c>
      <c r="C17" s="29">
        <v>59095246</v>
      </c>
      <c r="D17" s="28">
        <v>3.016</v>
      </c>
      <c r="E17" s="63">
        <v>1810659</v>
      </c>
      <c r="F17" s="9">
        <f t="shared" si="0"/>
        <v>2057567045.4545455</v>
      </c>
      <c r="G17" s="28">
        <f t="shared" si="1"/>
        <v>105.0268283352254</v>
      </c>
    </row>
    <row r="18" spans="1:7" ht="15.6" x14ac:dyDescent="0.3">
      <c r="A18" s="9">
        <v>2016</v>
      </c>
      <c r="B18" s="9">
        <v>17335666</v>
      </c>
      <c r="C18" s="29">
        <v>54972546</v>
      </c>
      <c r="D18" s="28">
        <v>3.1709999999999998</v>
      </c>
      <c r="E18" s="63">
        <v>2659275</v>
      </c>
      <c r="F18" s="9">
        <f t="shared" si="0"/>
        <v>3021903409.090909</v>
      </c>
      <c r="G18" s="28">
        <f t="shared" si="1"/>
        <v>174.31712223175671</v>
      </c>
    </row>
    <row r="19" spans="1:7" ht="15.6" x14ac:dyDescent="0.3">
      <c r="A19" s="9">
        <v>2017</v>
      </c>
      <c r="B19" s="9">
        <v>16318060</v>
      </c>
      <c r="C19" s="29">
        <v>37785927</v>
      </c>
      <c r="D19" s="28">
        <v>2.3159999999999998</v>
      </c>
      <c r="E19" s="63">
        <v>2871435</v>
      </c>
      <c r="F19" s="9">
        <f t="shared" si="0"/>
        <v>3262994318.181818</v>
      </c>
      <c r="G19" s="28">
        <f t="shared" si="1"/>
        <v>199.96214734973509</v>
      </c>
    </row>
    <row r="20" spans="1:7" ht="15.6" x14ac:dyDescent="0.3">
      <c r="A20" s="9">
        <v>2018</v>
      </c>
      <c r="B20" s="9">
        <v>16575887</v>
      </c>
      <c r="C20" s="29">
        <v>55263891</v>
      </c>
      <c r="D20" s="28">
        <v>3.3340000000000001</v>
      </c>
      <c r="E20" s="63">
        <v>2428997</v>
      </c>
      <c r="F20" s="9">
        <f t="shared" si="0"/>
        <v>2760223863.6363635</v>
      </c>
      <c r="G20" s="28">
        <f t="shared" si="1"/>
        <v>166.52043197666367</v>
      </c>
    </row>
    <row r="21" spans="1:7" ht="15.6" x14ac:dyDescent="0.3">
      <c r="A21" s="9">
        <v>2019</v>
      </c>
      <c r="B21" s="9">
        <v>16721424</v>
      </c>
      <c r="C21" s="29">
        <v>48796661</v>
      </c>
      <c r="D21" s="28">
        <v>2.9180000000000001</v>
      </c>
      <c r="E21" s="63">
        <v>2147270</v>
      </c>
      <c r="F21" s="9">
        <f>E21*1000/0.88</f>
        <v>2440079545.4545455</v>
      </c>
      <c r="G21" s="28">
        <f>F21/B21</f>
        <v>145.92534376585064</v>
      </c>
    </row>
    <row r="22" spans="1:7" ht="15.6" x14ac:dyDescent="0.3">
      <c r="A22" s="9">
        <v>2020</v>
      </c>
      <c r="B22" s="9">
        <v>16466714</v>
      </c>
      <c r="C22" s="29">
        <v>46217911</v>
      </c>
      <c r="D22" s="28">
        <v>2.8069999999999999</v>
      </c>
      <c r="E22" s="63">
        <v>1157364</v>
      </c>
      <c r="F22" s="9">
        <f t="shared" si="0"/>
        <v>1315186363.6363637</v>
      </c>
      <c r="G22" s="28">
        <f t="shared" si="1"/>
        <v>79.869387640810658</v>
      </c>
    </row>
    <row r="24" spans="1:7" ht="15.6" x14ac:dyDescent="0.3">
      <c r="F24" s="61"/>
    </row>
  </sheetData>
  <hyperlinks>
    <hyperlink ref="J1" r:id="rId1" xr:uid="{7F7A703C-F736-4F21-A1A2-468CEBFA0AA5}"/>
  </hyperlinks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999F-1AEF-4032-9B81-23C56C1FB339}">
  <dimension ref="A1:R39"/>
  <sheetViews>
    <sheetView workbookViewId="0">
      <selection activeCell="G24" sqref="G24"/>
    </sheetView>
  </sheetViews>
  <sheetFormatPr defaultRowHeight="14.4" x14ac:dyDescent="0.3"/>
  <cols>
    <col min="1" max="1" width="22.33203125" bestFit="1" customWidth="1"/>
    <col min="2" max="2" width="23" bestFit="1" customWidth="1"/>
    <col min="3" max="3" width="26.33203125" bestFit="1" customWidth="1"/>
    <col min="4" max="4" width="23.33203125" bestFit="1" customWidth="1"/>
    <col min="5" max="5" width="32.109375" bestFit="1" customWidth="1"/>
    <col min="6" max="7" width="29.109375" bestFit="1" customWidth="1"/>
    <col min="8" max="8" width="20.88671875" bestFit="1" customWidth="1"/>
  </cols>
  <sheetData>
    <row r="1" spans="1:8" ht="15.6" x14ac:dyDescent="0.3">
      <c r="A1" s="34" t="s">
        <v>5</v>
      </c>
      <c r="B1" s="34" t="s">
        <v>35</v>
      </c>
      <c r="C1" s="34" t="s">
        <v>36</v>
      </c>
      <c r="D1" s="34" t="s">
        <v>41</v>
      </c>
      <c r="E1" s="34" t="s">
        <v>37</v>
      </c>
      <c r="F1" s="34" t="s">
        <v>38</v>
      </c>
      <c r="G1" s="34" t="s">
        <v>39</v>
      </c>
      <c r="H1" s="34" t="s">
        <v>40</v>
      </c>
    </row>
    <row r="2" spans="1:8" ht="15.6" x14ac:dyDescent="0.3">
      <c r="A2" s="9">
        <v>2000</v>
      </c>
      <c r="B2" s="37">
        <v>13970</v>
      </c>
      <c r="C2" s="37">
        <v>38433</v>
      </c>
      <c r="D2" s="38">
        <f>C2/B2</f>
        <v>2.7511095204008589</v>
      </c>
      <c r="E2" s="36">
        <v>0</v>
      </c>
      <c r="F2" s="2">
        <v>0</v>
      </c>
      <c r="G2" s="9">
        <f>F2*1000</f>
        <v>0</v>
      </c>
      <c r="H2" s="3">
        <f>G2/(B2*1000)</f>
        <v>0</v>
      </c>
    </row>
    <row r="3" spans="1:8" ht="15.6" x14ac:dyDescent="0.3">
      <c r="A3" s="9">
        <v>2001</v>
      </c>
      <c r="B3" s="37">
        <v>16387</v>
      </c>
      <c r="C3" s="37">
        <v>42228</v>
      </c>
      <c r="D3" s="38">
        <f t="shared" ref="D3:D22" si="0">C3/B3</f>
        <v>2.57692072984683</v>
      </c>
      <c r="E3" s="36">
        <v>0</v>
      </c>
      <c r="F3" s="2">
        <v>0</v>
      </c>
      <c r="G3" s="9">
        <f t="shared" ref="G3:G22" si="1">F3*1000</f>
        <v>0</v>
      </c>
      <c r="H3" s="3">
        <f t="shared" ref="H3:H22" si="2">G3/(B3*1000)</f>
        <v>0</v>
      </c>
    </row>
    <row r="4" spans="1:8" ht="15.6" x14ac:dyDescent="0.3">
      <c r="A4" s="9">
        <v>2002</v>
      </c>
      <c r="B4" s="37">
        <v>18475</v>
      </c>
      <c r="C4" s="37">
        <v>52016</v>
      </c>
      <c r="D4" s="38">
        <f t="shared" si="0"/>
        <v>2.8154803788903924</v>
      </c>
      <c r="E4" s="36">
        <v>0</v>
      </c>
      <c r="F4" s="2">
        <v>0</v>
      </c>
      <c r="G4" s="9">
        <f t="shared" si="1"/>
        <v>0</v>
      </c>
      <c r="H4" s="3">
        <f t="shared" si="2"/>
        <v>0</v>
      </c>
    </row>
    <row r="5" spans="1:8" ht="15.6" x14ac:dyDescent="0.3">
      <c r="A5" s="9">
        <v>2003</v>
      </c>
      <c r="B5" s="37">
        <v>21376</v>
      </c>
      <c r="C5" s="37">
        <v>49792</v>
      </c>
      <c r="D5" s="38">
        <f t="shared" si="0"/>
        <v>2.3293413173652695</v>
      </c>
      <c r="E5" s="36">
        <v>0</v>
      </c>
      <c r="F5" s="2">
        <v>0</v>
      </c>
      <c r="G5" s="9">
        <f t="shared" si="1"/>
        <v>0</v>
      </c>
      <c r="H5" s="3">
        <f t="shared" si="2"/>
        <v>0</v>
      </c>
    </row>
    <row r="6" spans="1:8" ht="15.6" x14ac:dyDescent="0.3">
      <c r="A6" s="9">
        <v>2004</v>
      </c>
      <c r="B6" s="37">
        <v>23300</v>
      </c>
      <c r="C6" s="37">
        <v>52304</v>
      </c>
      <c r="D6" s="38">
        <f t="shared" si="0"/>
        <v>2.2448068669527896</v>
      </c>
      <c r="E6" s="36">
        <v>0</v>
      </c>
      <c r="F6" s="2">
        <v>0</v>
      </c>
      <c r="G6" s="9">
        <f t="shared" si="1"/>
        <v>0</v>
      </c>
      <c r="H6" s="3">
        <f t="shared" si="2"/>
        <v>0</v>
      </c>
    </row>
    <row r="7" spans="1:8" ht="15.6" x14ac:dyDescent="0.3">
      <c r="A7" s="9">
        <v>2005</v>
      </c>
      <c r="B7" s="37">
        <v>22750</v>
      </c>
      <c r="C7" s="37">
        <v>55027</v>
      </c>
      <c r="D7" s="38">
        <f t="shared" si="0"/>
        <v>2.4187692307692306</v>
      </c>
      <c r="E7" s="39">
        <v>736.15956521739133</v>
      </c>
      <c r="F7" s="39">
        <v>736.15956521739133</v>
      </c>
      <c r="G7" s="53">
        <f t="shared" si="1"/>
        <v>736159.56521739135</v>
      </c>
      <c r="H7" s="3">
        <f t="shared" si="2"/>
        <v>3.2358662207357863E-2</v>
      </c>
    </row>
    <row r="8" spans="1:8" ht="15.6" x14ac:dyDescent="0.3">
      <c r="A8" s="9">
        <v>2006</v>
      </c>
      <c r="B8" s="37">
        <v>20686</v>
      </c>
      <c r="C8" s="37">
        <v>58391</v>
      </c>
      <c r="D8" s="38">
        <f t="shared" si="0"/>
        <v>2.8227303490283284</v>
      </c>
      <c r="E8" s="39">
        <v>69001.981</v>
      </c>
      <c r="F8" s="39">
        <v>69001.981</v>
      </c>
      <c r="G8" s="53">
        <f t="shared" si="1"/>
        <v>69001981</v>
      </c>
      <c r="H8" s="3">
        <f t="shared" si="2"/>
        <v>3.3356850526926425</v>
      </c>
    </row>
    <row r="9" spans="1:8" ht="15.6" x14ac:dyDescent="0.3">
      <c r="A9" s="9">
        <v>2007</v>
      </c>
      <c r="B9" s="37">
        <v>21314</v>
      </c>
      <c r="C9" s="37">
        <v>60018</v>
      </c>
      <c r="D9" s="38">
        <f t="shared" si="0"/>
        <v>2.8158956554377403</v>
      </c>
      <c r="E9" s="39">
        <v>404329.14</v>
      </c>
      <c r="F9" s="39">
        <v>404329.14</v>
      </c>
      <c r="G9" s="53">
        <f t="shared" si="1"/>
        <v>404329140</v>
      </c>
      <c r="H9" s="3">
        <f t="shared" si="2"/>
        <v>18.970120108848644</v>
      </c>
    </row>
    <row r="10" spans="1:8" ht="15.6" x14ac:dyDescent="0.3">
      <c r="A10" s="9">
        <v>2008</v>
      </c>
      <c r="B10" s="37">
        <v>21741</v>
      </c>
      <c r="C10" s="37">
        <v>57164</v>
      </c>
      <c r="D10" s="38">
        <f t="shared" si="0"/>
        <v>2.6293178786624352</v>
      </c>
      <c r="E10" s="39">
        <v>1167128.415</v>
      </c>
      <c r="F10" s="40">
        <v>801319.90688929986</v>
      </c>
      <c r="G10" s="53">
        <f t="shared" si="1"/>
        <v>801319906.88929987</v>
      </c>
      <c r="H10" s="3">
        <f t="shared" si="2"/>
        <v>36.85754596795455</v>
      </c>
    </row>
    <row r="11" spans="1:8" ht="15.6" x14ac:dyDescent="0.3">
      <c r="A11" s="9">
        <v>2009</v>
      </c>
      <c r="B11" s="37">
        <v>23466</v>
      </c>
      <c r="C11" s="37">
        <v>68688</v>
      </c>
      <c r="D11" s="38">
        <f t="shared" si="0"/>
        <v>2.9271286116082842</v>
      </c>
      <c r="E11" s="39">
        <v>1608448.4170000001</v>
      </c>
      <c r="F11" s="40">
        <v>1250576.7653922001</v>
      </c>
      <c r="G11" s="53">
        <f t="shared" si="1"/>
        <v>1250576765.3922</v>
      </c>
      <c r="H11" s="3">
        <f t="shared" si="2"/>
        <v>53.293137534824851</v>
      </c>
    </row>
    <row r="12" spans="1:8" ht="15.6" x14ac:dyDescent="0.3">
      <c r="A12" s="9">
        <v>2010</v>
      </c>
      <c r="B12" s="37">
        <v>24182</v>
      </c>
      <c r="C12" s="37">
        <v>75323</v>
      </c>
      <c r="D12" s="38">
        <f t="shared" si="0"/>
        <v>3.1148374824249441</v>
      </c>
      <c r="E12" s="39">
        <v>2386398.5179999997</v>
      </c>
      <c r="F12" s="40">
        <v>1960821.5231617999</v>
      </c>
      <c r="G12" s="53">
        <f t="shared" si="1"/>
        <v>1960821523.1617999</v>
      </c>
      <c r="H12" s="3">
        <f t="shared" si="2"/>
        <v>81.085994672144565</v>
      </c>
    </row>
    <row r="13" spans="1:8" ht="15.6" x14ac:dyDescent="0.3">
      <c r="A13" s="9">
        <v>2011</v>
      </c>
      <c r="B13" s="37">
        <v>25043</v>
      </c>
      <c r="C13" s="37">
        <v>66385</v>
      </c>
      <c r="D13" s="38">
        <f t="shared" si="0"/>
        <v>2.6508405542466957</v>
      </c>
      <c r="E13" s="39">
        <v>2672759.9180000001</v>
      </c>
      <c r="F13" s="40">
        <v>2152297.5608122004</v>
      </c>
      <c r="G13" s="53">
        <f t="shared" si="1"/>
        <v>2152297560.8122005</v>
      </c>
      <c r="H13" s="3">
        <f t="shared" si="2"/>
        <v>85.944078617266328</v>
      </c>
    </row>
    <row r="14" spans="1:8" ht="15.6" x14ac:dyDescent="0.3">
      <c r="A14" s="9">
        <v>2012</v>
      </c>
      <c r="B14" s="37">
        <v>27736</v>
      </c>
      <c r="C14" s="37">
        <v>81499</v>
      </c>
      <c r="D14" s="38">
        <f t="shared" si="0"/>
        <v>2.9383833285261032</v>
      </c>
      <c r="E14" s="39">
        <v>2717483.4889999996</v>
      </c>
      <c r="F14" s="40">
        <v>2041667.3455095999</v>
      </c>
      <c r="G14" s="53">
        <f t="shared" si="1"/>
        <v>2041667345.5095999</v>
      </c>
      <c r="H14" s="3">
        <f t="shared" si="2"/>
        <v>73.610734983761176</v>
      </c>
    </row>
    <row r="15" spans="1:8" ht="15.6" x14ac:dyDescent="0.3">
      <c r="A15" s="9">
        <v>2013</v>
      </c>
      <c r="B15" s="37">
        <v>30173</v>
      </c>
      <c r="C15" s="37">
        <v>86122</v>
      </c>
      <c r="D15" s="38">
        <f t="shared" si="0"/>
        <v>2.8542736883969111</v>
      </c>
      <c r="E15" s="39">
        <v>2917488.2689999999</v>
      </c>
      <c r="F15" s="40">
        <v>2142984.2165656001</v>
      </c>
      <c r="G15" s="53">
        <f t="shared" si="1"/>
        <v>2142984216.5656002</v>
      </c>
      <c r="H15" s="3">
        <f t="shared" si="2"/>
        <v>71.02323986894244</v>
      </c>
    </row>
    <row r="16" spans="1:8" ht="15.6" x14ac:dyDescent="0.3">
      <c r="A16" s="9">
        <v>2014</v>
      </c>
      <c r="B16" s="37">
        <v>32093</v>
      </c>
      <c r="C16" s="37">
        <v>96229</v>
      </c>
      <c r="D16" s="38">
        <f t="shared" si="0"/>
        <v>2.9984420278565418</v>
      </c>
      <c r="E16" s="39">
        <v>3422209.8970000008</v>
      </c>
      <c r="F16" s="40">
        <v>2553561.3082643999</v>
      </c>
      <c r="G16" s="53">
        <f t="shared" si="1"/>
        <v>2553561308.2644</v>
      </c>
      <c r="H16" s="3">
        <f t="shared" si="2"/>
        <v>79.567547697765875</v>
      </c>
    </row>
    <row r="17" spans="1:18" ht="15.6" x14ac:dyDescent="0.3">
      <c r="A17" s="9">
        <v>2015</v>
      </c>
      <c r="B17" s="37">
        <v>33229</v>
      </c>
      <c r="C17" s="37">
        <v>95574</v>
      </c>
      <c r="D17" s="38">
        <f t="shared" si="0"/>
        <v>2.8762225766649614</v>
      </c>
      <c r="E17" s="39">
        <v>3937268.5340000005</v>
      </c>
      <c r="F17" s="40">
        <v>3008602.7936172998</v>
      </c>
      <c r="G17" s="53">
        <f t="shared" si="1"/>
        <v>3008602793.6172996</v>
      </c>
      <c r="H17" s="3">
        <f t="shared" si="2"/>
        <v>90.541478636651703</v>
      </c>
    </row>
    <row r="18" spans="1:18" ht="15.6" x14ac:dyDescent="0.3">
      <c r="A18" s="9">
        <v>2016</v>
      </c>
      <c r="B18" s="37">
        <v>33909</v>
      </c>
      <c r="C18" s="37">
        <v>114074</v>
      </c>
      <c r="D18" s="38">
        <f t="shared" si="0"/>
        <v>3.3641216196290071</v>
      </c>
      <c r="E18" s="39">
        <v>3801338.9980000006</v>
      </c>
      <c r="F18" s="40">
        <v>2910790.4933989998</v>
      </c>
      <c r="G18" s="53">
        <f t="shared" si="1"/>
        <v>2910790493.3989997</v>
      </c>
      <c r="H18" s="3">
        <f t="shared" si="2"/>
        <v>85.841236645108964</v>
      </c>
    </row>
    <row r="19" spans="1:18" ht="15.6" x14ac:dyDescent="0.3">
      <c r="A19" s="9">
        <v>2017</v>
      </c>
      <c r="B19" s="37">
        <v>35151</v>
      </c>
      <c r="C19" s="37">
        <v>119281</v>
      </c>
      <c r="D19" s="38">
        <f t="shared" si="0"/>
        <v>3.3933885237973316</v>
      </c>
      <c r="E19" s="39">
        <v>4291293.7719999989</v>
      </c>
      <c r="F19" s="40">
        <v>3007545.0737780668</v>
      </c>
      <c r="G19" s="53">
        <f t="shared" si="1"/>
        <v>3007545073.7780666</v>
      </c>
      <c r="H19" s="3">
        <f t="shared" si="2"/>
        <v>85.560725833633938</v>
      </c>
    </row>
    <row r="20" spans="1:18" ht="15.6" x14ac:dyDescent="0.3">
      <c r="A20" s="9">
        <v>2018</v>
      </c>
      <c r="B20" s="37">
        <v>35876</v>
      </c>
      <c r="C20" s="37">
        <v>115030</v>
      </c>
      <c r="D20" s="38">
        <f t="shared" si="0"/>
        <v>3.2063217750027873</v>
      </c>
      <c r="E20" s="39">
        <v>5350036.398</v>
      </c>
      <c r="F20" s="40">
        <v>3748425.2682605735</v>
      </c>
      <c r="G20" s="53">
        <f t="shared" si="1"/>
        <v>3748425268.2605734</v>
      </c>
      <c r="H20" s="3">
        <f t="shared" si="2"/>
        <v>104.48280935055674</v>
      </c>
    </row>
    <row r="21" spans="1:18" ht="15.6" x14ac:dyDescent="0.3">
      <c r="A21" s="9">
        <v>2019</v>
      </c>
      <c r="B21" s="37">
        <v>36948</v>
      </c>
      <c r="C21" s="37">
        <v>124845</v>
      </c>
      <c r="D21" s="38">
        <f t="shared" si="0"/>
        <v>3.3789379668723614</v>
      </c>
      <c r="E21" s="39">
        <v>5901104.3539999984</v>
      </c>
      <c r="F21" s="40">
        <v>4002055.7810767996</v>
      </c>
      <c r="G21" s="53">
        <f t="shared" si="1"/>
        <v>4002055781.0767994</v>
      </c>
      <c r="H21" s="3">
        <f t="shared" si="2"/>
        <v>108.31589750667965</v>
      </c>
    </row>
    <row r="22" spans="1:18" ht="15.6" x14ac:dyDescent="0.3">
      <c r="A22" s="9">
        <v>2020</v>
      </c>
      <c r="B22" s="37">
        <v>38530</v>
      </c>
      <c r="C22" s="37">
        <v>135914</v>
      </c>
      <c r="D22" s="38">
        <f t="shared" si="0"/>
        <v>3.5274850765637167</v>
      </c>
      <c r="E22" s="39">
        <v>6432036.5940000024</v>
      </c>
      <c r="F22" s="40">
        <v>4580166.014363437</v>
      </c>
      <c r="G22" s="53">
        <f t="shared" si="1"/>
        <v>4580166014.3634367</v>
      </c>
      <c r="H22" s="3">
        <f t="shared" si="2"/>
        <v>118.87272292663994</v>
      </c>
    </row>
    <row r="24" spans="1:18" x14ac:dyDescent="0.3">
      <c r="C24" s="32"/>
      <c r="D24" s="32"/>
      <c r="E24" s="32"/>
      <c r="F24" s="41"/>
      <c r="G24" s="4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x14ac:dyDescent="0.3">
      <c r="C25" s="33"/>
      <c r="D25" s="33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3"/>
    </row>
    <row r="26" spans="1:18" x14ac:dyDescent="0.3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x14ac:dyDescent="0.3">
      <c r="E27" s="35"/>
    </row>
    <row r="28" spans="1:18" x14ac:dyDescent="0.3">
      <c r="E28" s="35"/>
    </row>
    <row r="29" spans="1:18" x14ac:dyDescent="0.3">
      <c r="E29" s="35"/>
    </row>
    <row r="30" spans="1:18" x14ac:dyDescent="0.3">
      <c r="E30" s="35"/>
    </row>
    <row r="31" spans="1:18" x14ac:dyDescent="0.3">
      <c r="E31" s="35"/>
    </row>
    <row r="32" spans="1:18" x14ac:dyDescent="0.3">
      <c r="E32" s="35"/>
    </row>
    <row r="33" spans="5:5" x14ac:dyDescent="0.3">
      <c r="E33" s="35"/>
    </row>
    <row r="34" spans="5:5" x14ac:dyDescent="0.3">
      <c r="E34" s="35"/>
    </row>
    <row r="35" spans="5:5" x14ac:dyDescent="0.3">
      <c r="E35" s="35"/>
    </row>
    <row r="36" spans="5:5" x14ac:dyDescent="0.3">
      <c r="E36" s="35"/>
    </row>
    <row r="37" spans="5:5" x14ac:dyDescent="0.3">
      <c r="E37" s="35"/>
    </row>
    <row r="38" spans="5:5" x14ac:dyDescent="0.3">
      <c r="E38" s="35"/>
    </row>
    <row r="39" spans="5:5" x14ac:dyDescent="0.3">
      <c r="E39" s="35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5B90-BCC4-479A-AFB1-52BDC57B35F5}">
  <dimension ref="A1:O22"/>
  <sheetViews>
    <sheetView workbookViewId="0">
      <selection activeCell="I2" sqref="I2"/>
    </sheetView>
  </sheetViews>
  <sheetFormatPr defaultRowHeight="14.4" x14ac:dyDescent="0.3"/>
  <cols>
    <col min="2" max="2" width="25.6640625" bestFit="1" customWidth="1"/>
    <col min="3" max="3" width="23.5546875" bestFit="1" customWidth="1"/>
    <col min="4" max="4" width="12.33203125" bestFit="1" customWidth="1"/>
    <col min="5" max="5" width="23.33203125" bestFit="1" customWidth="1"/>
    <col min="6" max="6" width="21" bestFit="1" customWidth="1"/>
    <col min="9" max="9" width="9.88671875" bestFit="1" customWidth="1"/>
    <col min="10" max="10" width="14" bestFit="1" customWidth="1"/>
    <col min="11" max="15" width="12.5546875" bestFit="1" customWidth="1"/>
  </cols>
  <sheetData>
    <row r="1" spans="1:10" ht="15.6" x14ac:dyDescent="0.3">
      <c r="A1" s="26" t="s">
        <v>5</v>
      </c>
      <c r="B1" s="27" t="s">
        <v>49</v>
      </c>
      <c r="C1" s="27" t="s">
        <v>50</v>
      </c>
      <c r="D1" s="27" t="s">
        <v>0</v>
      </c>
      <c r="E1" s="27" t="s">
        <v>68</v>
      </c>
      <c r="F1" s="27" t="s">
        <v>31</v>
      </c>
      <c r="H1" t="s">
        <v>20</v>
      </c>
      <c r="I1" s="49" t="s">
        <v>62</v>
      </c>
    </row>
    <row r="2" spans="1:10" ht="15.6" x14ac:dyDescent="0.3">
      <c r="A2" s="9">
        <v>2000</v>
      </c>
      <c r="B2" s="9" t="s">
        <v>67</v>
      </c>
      <c r="C2" s="9">
        <v>18.3</v>
      </c>
      <c r="D2" s="55">
        <v>157327</v>
      </c>
      <c r="E2" s="2">
        <v>0</v>
      </c>
      <c r="F2" s="53">
        <v>0</v>
      </c>
      <c r="I2" s="49" t="s">
        <v>69</v>
      </c>
    </row>
    <row r="3" spans="1:10" ht="15.6" x14ac:dyDescent="0.3">
      <c r="A3" s="9">
        <v>2001</v>
      </c>
      <c r="B3" s="52" t="s">
        <v>63</v>
      </c>
      <c r="C3" s="9">
        <v>20.399999999999999</v>
      </c>
      <c r="D3" s="55">
        <v>161210</v>
      </c>
      <c r="E3" s="2">
        <v>0</v>
      </c>
      <c r="F3" s="53">
        <v>0</v>
      </c>
    </row>
    <row r="4" spans="1:10" ht="15.6" x14ac:dyDescent="0.3">
      <c r="A4" s="9">
        <v>2002</v>
      </c>
      <c r="B4" s="52" t="s">
        <v>64</v>
      </c>
      <c r="C4" s="9">
        <v>17.8</v>
      </c>
      <c r="D4" s="55">
        <v>183905</v>
      </c>
      <c r="E4" s="2">
        <v>0</v>
      </c>
      <c r="F4" s="53">
        <v>0</v>
      </c>
    </row>
    <row r="5" spans="1:10" ht="15.6" x14ac:dyDescent="0.3">
      <c r="A5" s="9">
        <v>2003</v>
      </c>
      <c r="B5" s="9" t="s">
        <v>65</v>
      </c>
      <c r="C5" s="9">
        <v>17.2</v>
      </c>
      <c r="D5" s="55">
        <v>210277</v>
      </c>
      <c r="E5" s="2">
        <v>0</v>
      </c>
      <c r="F5" s="53">
        <v>0</v>
      </c>
    </row>
    <row r="6" spans="1:10" ht="15.6" x14ac:dyDescent="0.3">
      <c r="A6" s="9">
        <v>2004</v>
      </c>
      <c r="B6" s="9" t="s">
        <v>66</v>
      </c>
      <c r="C6" s="9">
        <v>19.8</v>
      </c>
      <c r="D6" s="55">
        <v>242535</v>
      </c>
      <c r="E6" s="2">
        <v>0</v>
      </c>
      <c r="F6" s="53">
        <v>0</v>
      </c>
    </row>
    <row r="7" spans="1:10" ht="15.6" x14ac:dyDescent="0.3">
      <c r="A7" s="9">
        <v>2005</v>
      </c>
      <c r="B7" s="9" t="s">
        <v>56</v>
      </c>
      <c r="C7" s="9">
        <v>19.3</v>
      </c>
      <c r="D7" s="56">
        <v>270026</v>
      </c>
      <c r="E7" s="2">
        <v>0</v>
      </c>
      <c r="F7" s="53">
        <v>0</v>
      </c>
    </row>
    <row r="8" spans="1:10" ht="15.6" x14ac:dyDescent="0.3">
      <c r="A8" s="9">
        <v>2006</v>
      </c>
      <c r="B8" s="9" t="s">
        <v>59</v>
      </c>
      <c r="C8" s="9">
        <v>19.600000000000001</v>
      </c>
      <c r="D8" s="56">
        <v>292569</v>
      </c>
      <c r="E8" s="2">
        <v>0</v>
      </c>
      <c r="F8" s="53">
        <v>0</v>
      </c>
    </row>
    <row r="9" spans="1:10" ht="15.6" x14ac:dyDescent="0.3">
      <c r="A9" s="9">
        <v>2007</v>
      </c>
      <c r="B9" s="9" t="s">
        <v>60</v>
      </c>
      <c r="C9" s="9">
        <v>18.3</v>
      </c>
      <c r="D9" s="56">
        <v>306878</v>
      </c>
      <c r="E9" s="2">
        <v>0</v>
      </c>
      <c r="F9" s="53">
        <f t="shared" ref="F9:F22" si="0">E9/D9</f>
        <v>0</v>
      </c>
    </row>
    <row r="10" spans="1:10" ht="15.6" x14ac:dyDescent="0.3">
      <c r="A10" s="9">
        <v>2008</v>
      </c>
      <c r="B10" s="9" t="s">
        <v>61</v>
      </c>
      <c r="C10" s="9">
        <v>17.2</v>
      </c>
      <c r="D10" s="56">
        <v>336956</v>
      </c>
      <c r="E10" s="53">
        <v>126258063.11999999</v>
      </c>
      <c r="F10" s="28">
        <f t="shared" si="0"/>
        <v>374.70192879782519</v>
      </c>
    </row>
    <row r="11" spans="1:10" ht="15.6" x14ac:dyDescent="0.3">
      <c r="A11" s="9">
        <v>2009</v>
      </c>
      <c r="B11" s="9" t="s">
        <v>57</v>
      </c>
      <c r="C11" s="9">
        <v>16.399999999999999</v>
      </c>
      <c r="D11" s="57">
        <v>360620</v>
      </c>
      <c r="E11" s="53">
        <v>251378652.41999999</v>
      </c>
      <c r="F11" s="28">
        <f t="shared" si="0"/>
        <v>697.07351899506398</v>
      </c>
    </row>
    <row r="12" spans="1:10" ht="15.6" x14ac:dyDescent="0.3">
      <c r="A12" s="9">
        <v>2010</v>
      </c>
      <c r="B12" s="9" t="s">
        <v>58</v>
      </c>
      <c r="C12" s="9">
        <v>15.1</v>
      </c>
      <c r="D12" s="57">
        <v>404100</v>
      </c>
      <c r="E12" s="53">
        <v>397189340.09999996</v>
      </c>
      <c r="F12" s="28">
        <f t="shared" si="0"/>
        <v>982.89863919821812</v>
      </c>
    </row>
    <row r="13" spans="1:10" ht="15.6" x14ac:dyDescent="0.3">
      <c r="A13" s="9">
        <v>2011</v>
      </c>
      <c r="B13" s="9" t="s">
        <v>52</v>
      </c>
      <c r="C13" s="9">
        <v>17.3</v>
      </c>
      <c r="D13" s="57">
        <v>427360</v>
      </c>
      <c r="E13" s="53">
        <v>518958082.44</v>
      </c>
      <c r="F13" s="28">
        <f t="shared" si="0"/>
        <v>1214.3347118120555</v>
      </c>
    </row>
    <row r="14" spans="1:10" ht="15.6" x14ac:dyDescent="0.3">
      <c r="A14" s="9">
        <v>2012</v>
      </c>
      <c r="B14" s="9" t="s">
        <v>53</v>
      </c>
      <c r="C14" s="9">
        <v>15.6</v>
      </c>
      <c r="D14" s="57">
        <v>452430</v>
      </c>
      <c r="E14" s="53">
        <v>559738752.29999995</v>
      </c>
      <c r="F14" s="28">
        <f t="shared" si="0"/>
        <v>1237.1831052317484</v>
      </c>
    </row>
    <row r="15" spans="1:10" ht="15.6" x14ac:dyDescent="0.3">
      <c r="A15" s="9">
        <v>2013</v>
      </c>
      <c r="B15" s="9" t="s">
        <v>54</v>
      </c>
      <c r="C15" s="9">
        <v>14.9</v>
      </c>
      <c r="D15" s="57">
        <v>476780</v>
      </c>
      <c r="E15" s="53">
        <v>597285205.01999998</v>
      </c>
      <c r="F15" s="28">
        <f t="shared" si="0"/>
        <v>1252.7480284827384</v>
      </c>
      <c r="J15" s="58"/>
    </row>
    <row r="16" spans="1:10" ht="15.6" x14ac:dyDescent="0.3">
      <c r="A16" s="9">
        <v>2014</v>
      </c>
      <c r="B16" s="9" t="s">
        <v>55</v>
      </c>
      <c r="C16" s="3">
        <v>15.65</v>
      </c>
      <c r="D16" s="57">
        <v>480816</v>
      </c>
      <c r="E16" s="59">
        <v>595533821.39999998</v>
      </c>
      <c r="F16" s="28">
        <f t="shared" si="0"/>
        <v>1238.589858490566</v>
      </c>
    </row>
    <row r="17" spans="1:15" ht="15.6" x14ac:dyDescent="0.3">
      <c r="A17" s="9">
        <v>2015</v>
      </c>
      <c r="B17" s="9" t="s">
        <v>51</v>
      </c>
      <c r="C17" s="28">
        <v>15.72</v>
      </c>
      <c r="D17" s="57">
        <v>499844</v>
      </c>
      <c r="E17" s="60">
        <f>583*10^6</f>
        <v>583000000</v>
      </c>
      <c r="F17" s="28">
        <f t="shared" si="0"/>
        <v>1166.3639055385281</v>
      </c>
      <c r="J17" s="25"/>
      <c r="K17" s="25"/>
      <c r="L17" s="25"/>
      <c r="M17" s="25"/>
      <c r="N17" s="25"/>
      <c r="O17" s="25"/>
    </row>
    <row r="18" spans="1:15" ht="15.6" x14ac:dyDescent="0.3">
      <c r="A18" s="9">
        <v>2016</v>
      </c>
      <c r="B18" s="51" t="s">
        <v>44</v>
      </c>
      <c r="C18" s="54">
        <v>13.61</v>
      </c>
      <c r="D18" s="57">
        <v>505965</v>
      </c>
      <c r="E18" s="53">
        <f>530*10^6</f>
        <v>530000000</v>
      </c>
      <c r="F18" s="28">
        <f t="shared" si="0"/>
        <v>1047.5032858004013</v>
      </c>
    </row>
    <row r="19" spans="1:15" ht="15.6" x14ac:dyDescent="0.3">
      <c r="A19" s="9">
        <v>2017</v>
      </c>
      <c r="B19" s="51" t="s">
        <v>45</v>
      </c>
      <c r="C19" s="54">
        <v>17.72</v>
      </c>
      <c r="D19" s="57">
        <v>523457.99999999994</v>
      </c>
      <c r="E19" s="53">
        <f>545*10^6</f>
        <v>545000000</v>
      </c>
      <c r="F19" s="28">
        <f t="shared" si="0"/>
        <v>1041.153253938234</v>
      </c>
    </row>
    <row r="20" spans="1:15" ht="15.6" x14ac:dyDescent="0.3">
      <c r="A20" s="9">
        <v>2018</v>
      </c>
      <c r="B20" s="51" t="s">
        <v>46</v>
      </c>
      <c r="C20" s="54">
        <v>16.66</v>
      </c>
      <c r="D20" s="57">
        <v>547756</v>
      </c>
      <c r="E20" s="53">
        <f>627*10^6</f>
        <v>627000000</v>
      </c>
      <c r="F20" s="28">
        <f t="shared" si="0"/>
        <v>1144.6702546389267</v>
      </c>
    </row>
    <row r="21" spans="1:15" ht="15.6" x14ac:dyDescent="0.3">
      <c r="A21" s="9">
        <v>2019</v>
      </c>
      <c r="B21" s="51" t="s">
        <v>47</v>
      </c>
      <c r="C21" s="54">
        <v>15.03</v>
      </c>
      <c r="D21" s="57">
        <v>568387</v>
      </c>
      <c r="E21" s="53">
        <f>610*10^6</f>
        <v>610000000</v>
      </c>
      <c r="F21" s="28">
        <f t="shared" si="0"/>
        <v>1073.2124415231171</v>
      </c>
    </row>
    <row r="22" spans="1:15" ht="15.6" x14ac:dyDescent="0.3">
      <c r="A22" s="9">
        <v>2020</v>
      </c>
      <c r="B22" s="51" t="s">
        <v>48</v>
      </c>
      <c r="C22" s="54">
        <v>15</v>
      </c>
      <c r="D22" s="57">
        <v>590189</v>
      </c>
      <c r="E22" s="53">
        <f>570*10^6</f>
        <v>570000000</v>
      </c>
      <c r="F22" s="28">
        <f t="shared" si="0"/>
        <v>965.79231398755314</v>
      </c>
    </row>
  </sheetData>
  <hyperlinks>
    <hyperlink ref="I1" r:id="rId1" location="results" xr:uid="{954D5F95-75FC-41CA-9EBB-0F296E6AC9E5}"/>
    <hyperlink ref="I2" r:id="rId2" xr:uid="{5D34FAAE-3C77-40C7-A3A1-229981CDBEC8}"/>
  </hyperlinks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Brazil_E1G_cane</vt:lpstr>
      <vt:lpstr>Guatemala_E1G_cane</vt:lpstr>
      <vt:lpstr>Argentina_E1G_cane</vt:lpstr>
      <vt:lpstr>Argentina_E1G_corn</vt:lpstr>
      <vt:lpstr>Colombia_E1G_cane</vt:lpstr>
      <vt:lpstr>Plots_E1G</vt:lpstr>
      <vt:lpstr>Argentina_B100_Soybean</vt:lpstr>
      <vt:lpstr>Brazil_B100_Soybean</vt:lpstr>
      <vt:lpstr>Colombia_B100_Palm</vt:lpstr>
      <vt:lpstr>Plots_B100</vt:lpstr>
      <vt:lpstr>Biofuels_consumption_produtctio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Canabarro</dc:creator>
  <cp:lastModifiedBy>Nicholas Canabarro</cp:lastModifiedBy>
  <dcterms:created xsi:type="dcterms:W3CDTF">2022-02-05T08:13:50Z</dcterms:created>
  <dcterms:modified xsi:type="dcterms:W3CDTF">2022-05-25T17:11:11Z</dcterms:modified>
</cp:coreProperties>
</file>