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74da24a3820722/Área de Trabalho/Pós-doc_IEA/Brazil/Dados agícolas/"/>
    </mc:Choice>
  </mc:AlternateContent>
  <xr:revisionPtr revIDLastSave="11" documentId="13_ncr:1_{70BE1791-8570-4D9A-A294-EA9DD1ED192B}" xr6:coauthVersionLast="47" xr6:coauthVersionMax="47" xr10:uidLastSave="{B39FC6E4-C5A1-4695-93E6-C775AE9A5101}"/>
  <bookViews>
    <workbookView xWindow="-108" yWindow="-108" windowWidth="23256" windowHeight="12456" activeTab="5" xr2:uid="{C5E2F98F-1A88-42EE-AE16-891298B31C1C}"/>
  </bookViews>
  <sheets>
    <sheet name="Agriculture_data" sheetId="1" r:id="rId1"/>
    <sheet name="processing_data" sheetId="2" r:id="rId2"/>
    <sheet name="biofuels_annual_production" sheetId="5" r:id="rId3"/>
    <sheet name="economic" sheetId="3" r:id="rId4"/>
    <sheet name="energy_matrix" sheetId="6" r:id="rId5"/>
    <sheet name="indicator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7" l="1"/>
  <c r="E5" i="7"/>
  <c r="P6" i="7"/>
  <c r="E54" i="7" l="1"/>
  <c r="E53" i="7"/>
  <c r="E15" i="7"/>
  <c r="O5" i="7"/>
  <c r="O4" i="7" l="1"/>
  <c r="K23" i="7" l="1"/>
  <c r="L14" i="7"/>
  <c r="H68" i="7"/>
  <c r="E12" i="7"/>
  <c r="E34" i="7"/>
  <c r="E20" i="7"/>
  <c r="H59" i="7"/>
  <c r="E13" i="7"/>
  <c r="B26" i="7"/>
  <c r="B25" i="7"/>
  <c r="B21" i="7"/>
  <c r="B20" i="7"/>
  <c r="B19" i="7"/>
  <c r="E38" i="7"/>
  <c r="E30" i="7"/>
  <c r="E37" i="7" l="1"/>
  <c r="E31" i="7"/>
  <c r="D70" i="7" l="1"/>
  <c r="D68" i="7"/>
  <c r="D67" i="7"/>
  <c r="B79" i="7"/>
  <c r="D66" i="7" s="1"/>
  <c r="D61" i="7"/>
  <c r="D60" i="7"/>
  <c r="D59" i="7"/>
  <c r="B76" i="7"/>
  <c r="D75" i="7"/>
  <c r="D69" i="7"/>
  <c r="P4" i="7"/>
  <c r="O6" i="7"/>
  <c r="D64" i="7"/>
  <c r="D63" i="7"/>
  <c r="D53" i="7"/>
  <c r="D71" i="7" l="1"/>
  <c r="D72" i="7"/>
  <c r="D73" i="7"/>
  <c r="E61" i="7"/>
  <c r="D52" i="7"/>
  <c r="E73" i="7" l="1"/>
  <c r="D50" i="7"/>
  <c r="D47" i="7"/>
  <c r="D48" i="7"/>
  <c r="D49" i="7"/>
  <c r="D46" i="7"/>
  <c r="C51" i="7"/>
  <c r="D51" i="7" s="1"/>
  <c r="E32" i="7"/>
  <c r="E33" i="7"/>
  <c r="E11" i="7"/>
  <c r="E10" i="7"/>
  <c r="E6" i="7"/>
  <c r="E7" i="7"/>
  <c r="E8" i="7"/>
  <c r="D9" i="7"/>
  <c r="E9" i="7" s="1"/>
  <c r="J58" i="6"/>
  <c r="J57" i="6"/>
  <c r="J56" i="6"/>
  <c r="J55" i="6"/>
  <c r="J54" i="6"/>
  <c r="J53" i="6"/>
  <c r="C66" i="6"/>
  <c r="D66" i="6"/>
  <c r="E66" i="6"/>
  <c r="F66" i="6"/>
  <c r="G66" i="6"/>
  <c r="B66" i="6"/>
  <c r="C59" i="6"/>
  <c r="D59" i="6"/>
  <c r="E59" i="6"/>
  <c r="F59" i="6"/>
  <c r="G59" i="6"/>
  <c r="B59" i="6"/>
  <c r="C53" i="6"/>
  <c r="D53" i="6"/>
  <c r="E53" i="6"/>
  <c r="F53" i="6"/>
  <c r="G53" i="6"/>
  <c r="B53" i="6"/>
  <c r="E51" i="7" l="1"/>
  <c r="E14" i="7"/>
  <c r="E35" i="7"/>
  <c r="D72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56" i="1"/>
  <c r="C72" i="1"/>
  <c r="B72" i="1"/>
  <c r="J22" i="3"/>
  <c r="B8" i="5"/>
  <c r="L15" i="7" l="1"/>
  <c r="H60" i="7"/>
  <c r="C32" i="5"/>
  <c r="C31" i="5"/>
  <c r="B32" i="5"/>
  <c r="B31" i="5"/>
  <c r="B50" i="2" l="1"/>
  <c r="P6" i="5" l="1"/>
  <c r="Q6" i="5"/>
  <c r="O6" i="5"/>
  <c r="F31" i="5"/>
  <c r="F32" i="5" s="1"/>
  <c r="E31" i="5"/>
  <c r="E32" i="5" s="1"/>
  <c r="D31" i="5"/>
  <c r="D32" i="5" s="1"/>
  <c r="C23" i="5"/>
  <c r="C22" i="5"/>
  <c r="B22" i="5"/>
  <c r="B23" i="5"/>
  <c r="D8" i="5" l="1"/>
  <c r="D7" i="5"/>
  <c r="C8" i="5"/>
  <c r="C7" i="5"/>
  <c r="C9" i="5" s="1"/>
  <c r="B7" i="5"/>
  <c r="D6" i="5"/>
  <c r="B6" i="5"/>
  <c r="C6" i="5"/>
  <c r="B9" i="5" l="1"/>
  <c r="D9" i="5"/>
  <c r="D48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2" i="1"/>
  <c r="C48" i="1"/>
  <c r="B48" i="1"/>
  <c r="D21" i="1"/>
  <c r="V64" i="3"/>
  <c r="Q64" i="3"/>
  <c r="R64" i="3" s="1"/>
  <c r="S64" i="3" s="1"/>
  <c r="W64" i="3" s="1"/>
  <c r="N54" i="3"/>
  <c r="O54" i="3"/>
  <c r="P54" i="3"/>
  <c r="M54" i="3"/>
  <c r="E55" i="3"/>
  <c r="F55" i="3"/>
  <c r="G55" i="3"/>
  <c r="D55" i="3"/>
  <c r="C21" i="1" l="1"/>
  <c r="B21" i="1"/>
  <c r="D2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</calcChain>
</file>

<file path=xl/sharedStrings.xml><?xml version="1.0" encoding="utf-8"?>
<sst xmlns="http://schemas.openxmlformats.org/spreadsheetml/2006/main" count="822" uniqueCount="439">
  <si>
    <t>Sugarcane</t>
  </si>
  <si>
    <t>Cultivo</t>
  </si>
  <si>
    <t>Ano Agricola</t>
  </si>
  <si>
    <t>Area Plantada (mil ha)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</si>
  <si>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</si>
  <si>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</si>
  <si>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</si>
  <si>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</si>
  <si>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</si>
  <si>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</si>
  <si>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</si>
  <si>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</si>
  <si>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</si>
  <si>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</si>
  <si>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</si>
  <si>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</si>
  <si>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</si>
  <si>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</si>
  <si>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</si>
  <si>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Producao (mil t)</t>
  </si>
  <si>
    <t>Rendimento (t/ha)</t>
  </si>
  <si>
    <t>2020/21</t>
  </si>
  <si>
    <t>Source:</t>
  </si>
  <si>
    <t>https://portaldeinformacoes.conab.gov.br/safra-serie-historica-cana-de-acucar.html</t>
  </si>
  <si>
    <t>MÉDIA</t>
  </si>
  <si>
    <t>Fertilizers</t>
  </si>
  <si>
    <t>N - 1st applic (kg/ha)</t>
  </si>
  <si>
    <t>P2O5 (kg/ha)</t>
  </si>
  <si>
    <t>K2O (kg/ha)</t>
  </si>
  <si>
    <t>N - 2nd applic. (covering) (kg/ha)</t>
  </si>
  <si>
    <t>Without filtercake</t>
  </si>
  <si>
    <t>Using Filtercake</t>
  </si>
  <si>
    <t>-</t>
  </si>
  <si>
    <t>Limestone (t/ha)</t>
  </si>
  <si>
    <t>Gypsum (t/ha)</t>
  </si>
  <si>
    <t>Filtercake (t/ha)</t>
  </si>
  <si>
    <t>other agricultural inputs for replanted areas</t>
  </si>
  <si>
    <t>Inputs for reformed areas</t>
  </si>
  <si>
    <t>Source: Chagas et al. (2016) DOI: 10.1002/bbb</t>
  </si>
  <si>
    <t>Sugarcane production cost (US$/t)</t>
  </si>
  <si>
    <t>exchange rate 1US$ = 2 R$</t>
  </si>
  <si>
    <t>Sugarcane straw (USS$/TSdb)</t>
  </si>
  <si>
    <t>exchange rate</t>
  </si>
  <si>
    <t>1 US$ = R$ 2.30</t>
  </si>
  <si>
    <t>LHV (kcal/kg)</t>
  </si>
  <si>
    <t>LHV (MJ/kg)</t>
  </si>
  <si>
    <t>Data</t>
  </si>
  <si>
    <t>À vista R$</t>
  </si>
  <si>
    <t>À vista US$</t>
  </si>
  <si>
    <t>Variação dólar</t>
  </si>
  <si>
    <t>US$/MJ</t>
  </si>
  <si>
    <t>04/01/2019</t>
  </si>
  <si>
    <t>11/01/2019</t>
  </si>
  <si>
    <t>Densidade (kg/m³)</t>
  </si>
  <si>
    <t>18/01/2019</t>
  </si>
  <si>
    <t>25/01/2019</t>
  </si>
  <si>
    <t>01/02/2019</t>
  </si>
  <si>
    <t>08/02/2019</t>
  </si>
  <si>
    <t>15/02/2019</t>
  </si>
  <si>
    <t>22/02/2019</t>
  </si>
  <si>
    <t>01/03/2019</t>
  </si>
  <si>
    <t>08/03/2019</t>
  </si>
  <si>
    <t>15/03/2019</t>
  </si>
  <si>
    <t>22/03/2019</t>
  </si>
  <si>
    <t>29/03/2019</t>
  </si>
  <si>
    <t>05/04/2019</t>
  </si>
  <si>
    <t>12/04/2019</t>
  </si>
  <si>
    <t>18/04/2019</t>
  </si>
  <si>
    <t>26/04/2019</t>
  </si>
  <si>
    <t>03/05/2019</t>
  </si>
  <si>
    <t>10/05/2019</t>
  </si>
  <si>
    <t>17/05/2019</t>
  </si>
  <si>
    <t>24/05/2019</t>
  </si>
  <si>
    <t>31/05/2019</t>
  </si>
  <si>
    <t>07/06/2019</t>
  </si>
  <si>
    <t>14/06/2019</t>
  </si>
  <si>
    <t>21/06/2019</t>
  </si>
  <si>
    <t>28/06/2019</t>
  </si>
  <si>
    <t>05/07/2019</t>
  </si>
  <si>
    <t>12/07/2019</t>
  </si>
  <si>
    <t>19/07/2019</t>
  </si>
  <si>
    <t>26/07/2019</t>
  </si>
  <si>
    <t>02/08/2019</t>
  </si>
  <si>
    <t>09/08/2019</t>
  </si>
  <si>
    <t>16/08/2019</t>
  </si>
  <si>
    <t>23/08/2019</t>
  </si>
  <si>
    <t>30/08/2019</t>
  </si>
  <si>
    <t>06/09/2019</t>
  </si>
  <si>
    <t>13/09/2019</t>
  </si>
  <si>
    <t>20/09/2019</t>
  </si>
  <si>
    <t>27/09/2019</t>
  </si>
  <si>
    <t>04/10/2019</t>
  </si>
  <si>
    <t>11/10/2019</t>
  </si>
  <si>
    <t>18/10/2019</t>
  </si>
  <si>
    <t>25/10/2019</t>
  </si>
  <si>
    <t>01/11/2019</t>
  </si>
  <si>
    <t>08/11/2019</t>
  </si>
  <si>
    <t>14/11/2019</t>
  </si>
  <si>
    <t>22/11/2019</t>
  </si>
  <si>
    <t>29/11/2019</t>
  </si>
  <si>
    <t>06/12/2019</t>
  </si>
  <si>
    <t>13/12/2019</t>
  </si>
  <si>
    <t>20/12/2019</t>
  </si>
  <si>
    <t>27/12/2019</t>
  </si>
  <si>
    <t>Média 2019</t>
  </si>
  <si>
    <t>INDICADOR SEMANAL DO ETANOL HIDRATADO COMBUSTÍVEL CEPEA/ESALQ - SÃO PAULO 2019</t>
  </si>
  <si>
    <t>INDICADOR SEMANAL DO ETANOL ANIDRO CEPEA/ESALQ - SÃO PAULO 2019</t>
  </si>
  <si>
    <t>Leilão</t>
  </si>
  <si>
    <t>64º Leilão de Biodiesel 
Edital ANP 0056/18 
MISTURA OBRIGATÓRIA: 10%
Jan a Fev/2019</t>
  </si>
  <si>
    <t>65º Leilão de Biodiesel 
Edital ANP 001/19 
MISTURA OBRIGATÓRIA: 10%
Mar a Abr/2019</t>
  </si>
  <si>
    <t>66º Leilão de Biodiesel 
Edital ANP 002/19 
MISTURA OBRIGATÓRIA: 10%
Mai a Jun/2019</t>
  </si>
  <si>
    <t>67º Leilão de Biodiesel 
Edital ANP 003/19 
MISTURA OBRIGATÓRIA: 10%
Jul a Ago/2019</t>
  </si>
  <si>
    <t>68º Leilão de Biodiesel
Editais ANP 004/19
MISTURA OBRIGATÓRIA: 11%
Set a Out/2019</t>
  </si>
  <si>
    <t>68º Leilão COMPLEMENTAR de Biodiesel
Edital ANP 005/19
MISTURA OBRIGATÓRIA: 11%
Set a Out/2019</t>
  </si>
  <si>
    <t>69º Leilão de Biodiesel 
Edital ANP 006/19 
MISTURA OBRIGATÓRIA: 11%
Nov a Dez/2019</t>
  </si>
  <si>
    <t>BRASIL</t>
  </si>
  <si>
    <t>Usinas com Volume Negociado - Leilão</t>
  </si>
  <si>
    <t>Capacidade de oferta habilitada (m³)</t>
  </si>
  <si>
    <t>Volume ofertado (m3) - Leilão</t>
  </si>
  <si>
    <t>Volume arrematado (m3) - Leilão</t>
  </si>
  <si>
    <t>Preço Médio (R$/m3)</t>
  </si>
  <si>
    <t>Média (R$/m³)</t>
  </si>
  <si>
    <t>Média (R$/L)</t>
  </si>
  <si>
    <t>Média (USD/L)</t>
  </si>
  <si>
    <t>Preço Médio (R$/m3) - (Leilão)</t>
  </si>
  <si>
    <t>Cavallet et al. (2017) http://dx.doi.org/10.1016/j.indcrop.2016.11.025</t>
  </si>
  <si>
    <t>Soybean</t>
  </si>
  <si>
    <t>Sugarcane (E1G)</t>
  </si>
  <si>
    <t>Technical parameters</t>
  </si>
  <si>
    <t>Sugar extraction efficiency (%)</t>
  </si>
  <si>
    <t>BEN20: cada tonelada de cana esmagada produz cerca de 730 kg de caldo (eficiência de 73%)</t>
  </si>
  <si>
    <t>Sugarcane bagasse moisture (%)</t>
  </si>
  <si>
    <t>Fermentation yield (%)</t>
  </si>
  <si>
    <t>Anyhydrous ethanol prod. (L/TC)</t>
  </si>
  <si>
    <t>Vinasse production (L/L EtOH)</t>
  </si>
  <si>
    <t>Lime (kg/TC)</t>
  </si>
  <si>
    <t>Sugarcane straw (Mtdb/y)</t>
  </si>
  <si>
    <t>Source: Longati et al. (2020) /Cavallet et al. (2017)</t>
  </si>
  <si>
    <t>water flow (% m/m)</t>
  </si>
  <si>
    <t>Sugar losses in clenaning step (%)</t>
  </si>
  <si>
    <t>Electric energy (kWh/TC)</t>
  </si>
  <si>
    <t>comments</t>
  </si>
  <si>
    <t>Ethanol cost (USS$/L)</t>
  </si>
  <si>
    <t>cavallet et al. (2017)</t>
  </si>
  <si>
    <t>Ethanol</t>
  </si>
  <si>
    <t>Anyhydrous ethanol (Mm³)</t>
  </si>
  <si>
    <t>Hydrated ethanol (Mm³)</t>
  </si>
  <si>
    <t>TOTAL (Mm³)</t>
  </si>
  <si>
    <t>2021* (até fev)</t>
  </si>
  <si>
    <t>Anyhydrous ethanol (ML)</t>
  </si>
  <si>
    <t>Hydrated ethanol (ML)</t>
  </si>
  <si>
    <t>TOTAL (ML)</t>
  </si>
  <si>
    <t>Source</t>
  </si>
  <si>
    <t>Raw materials</t>
  </si>
  <si>
    <t>raw materials</t>
  </si>
  <si>
    <t>ton</t>
  </si>
  <si>
    <t>sugarcane</t>
  </si>
  <si>
    <t>bagasse or straw</t>
  </si>
  <si>
    <t>molasses</t>
  </si>
  <si>
    <t>corn</t>
  </si>
  <si>
    <t>other rawmaterials</t>
  </si>
  <si>
    <t>Production and imports (PJ)</t>
  </si>
  <si>
    <t>Total final consumption (PJ)</t>
  </si>
  <si>
    <t>Industry</t>
  </si>
  <si>
    <t>transport</t>
  </si>
  <si>
    <t>other</t>
  </si>
  <si>
    <t>non-energy use</t>
  </si>
  <si>
    <t>Oil production</t>
  </si>
  <si>
    <t>Oil import</t>
  </si>
  <si>
    <t>Oil products import</t>
  </si>
  <si>
    <t>Coal production</t>
  </si>
  <si>
    <t>Coal import</t>
  </si>
  <si>
    <t>Natural Gas production</t>
  </si>
  <si>
    <t>Natural Gas import</t>
  </si>
  <si>
    <t>Biofuels/waste production</t>
  </si>
  <si>
    <t>Biofuels/waste import</t>
  </si>
  <si>
    <t>Heat production</t>
  </si>
  <si>
    <t>Electricity import</t>
  </si>
  <si>
    <t>other production</t>
  </si>
  <si>
    <t>Hydro production</t>
  </si>
  <si>
    <t>Nuclear production</t>
  </si>
  <si>
    <t>TOTAL</t>
  </si>
  <si>
    <t>Power Losses</t>
  </si>
  <si>
    <t>Exports</t>
  </si>
  <si>
    <t>Oil</t>
  </si>
  <si>
    <t>Biofuels and waste</t>
  </si>
  <si>
    <t>Oil products</t>
  </si>
  <si>
    <t>global balance (%)</t>
  </si>
  <si>
    <t>Share of liquid fuels in sectors</t>
  </si>
  <si>
    <t>Setor de transportes</t>
  </si>
  <si>
    <t>Fontes</t>
  </si>
  <si>
    <t>Consumo</t>
  </si>
  <si>
    <t>1 TOE</t>
  </si>
  <si>
    <t>mil TOE</t>
  </si>
  <si>
    <t>J</t>
  </si>
  <si>
    <t>PJ</t>
  </si>
  <si>
    <t>Biodiesel</t>
  </si>
  <si>
    <t>Diesel oil</t>
  </si>
  <si>
    <t>Fuel oil</t>
  </si>
  <si>
    <t>Gasoline</t>
  </si>
  <si>
    <t>Ethanol*</t>
  </si>
  <si>
    <t>Setor Agropecuário</t>
  </si>
  <si>
    <t>Setor Comercial</t>
  </si>
  <si>
    <t>Setor Industrial</t>
  </si>
  <si>
    <t>Activity</t>
  </si>
  <si>
    <t xml:space="preserve">Ethanol production, biofuel, Sugarcane juice fermentation </t>
  </si>
  <si>
    <t>production amount</t>
  </si>
  <si>
    <t>reference product</t>
  </si>
  <si>
    <t>1G Sugarcane Ethanol, biofuel</t>
  </si>
  <si>
    <t>type</t>
  </si>
  <si>
    <t>process</t>
  </si>
  <si>
    <t>unit</t>
  </si>
  <si>
    <t>L</t>
  </si>
  <si>
    <t>location</t>
  </si>
  <si>
    <t>BR</t>
  </si>
  <si>
    <t>name</t>
  </si>
  <si>
    <t>amount</t>
  </si>
  <si>
    <t xml:space="preserve">Agricultural yield </t>
  </si>
  <si>
    <t>tonne/ha</t>
  </si>
  <si>
    <t>sugarcane yield</t>
  </si>
  <si>
    <t>g/MJEtOH</t>
  </si>
  <si>
    <t>Per ton of sugarcane</t>
  </si>
  <si>
    <t>N fertilizer</t>
  </si>
  <si>
    <t>kilogram</t>
  </si>
  <si>
    <t>P2O5 fertilizer</t>
  </si>
  <si>
    <t>K2O fertilizer</t>
  </si>
  <si>
    <t>Limestone</t>
  </si>
  <si>
    <t xml:space="preserve">Pesticides, herbicides, insecticides </t>
  </si>
  <si>
    <t>gram</t>
  </si>
  <si>
    <t>Diesel for machinery (farming)</t>
  </si>
  <si>
    <t>MJ</t>
  </si>
  <si>
    <t>Sugarcane transportation</t>
  </si>
  <si>
    <t>kilometer</t>
  </si>
  <si>
    <t>Default Straw burning</t>
  </si>
  <si>
    <t>%</t>
  </si>
  <si>
    <t xml:space="preserve">Surplus electricity </t>
  </si>
  <si>
    <t>kWh</t>
  </si>
  <si>
    <t xml:space="preserve">Ethanol yield </t>
  </si>
  <si>
    <t>Vinasse</t>
  </si>
  <si>
    <t>m³</t>
  </si>
  <si>
    <t>Filter cake</t>
  </si>
  <si>
    <t>Per liter of ethanol</t>
  </si>
  <si>
    <t>Ethanol production, biofuel, Sugarcane juice fermentation process</t>
  </si>
  <si>
    <t>Ethanol, biofuel</t>
  </si>
  <si>
    <t>Sulfuric acid</t>
  </si>
  <si>
    <t>Lime</t>
  </si>
  <si>
    <t>Cyclohexane</t>
  </si>
  <si>
    <t>Inorganic chemicals</t>
  </si>
  <si>
    <t>Inorganic materials</t>
  </si>
  <si>
    <t>Zeolites</t>
  </si>
  <si>
    <t>ethanol transportation (100% truck)</t>
  </si>
  <si>
    <t xml:space="preserve">Source: Adapted from Pereira et al. (2019)/ Report 1G sugarcane ethanol Phase 1 </t>
  </si>
  <si>
    <t>2021* (até mar)</t>
  </si>
  <si>
    <t>B100 (Mm³)</t>
  </si>
  <si>
    <t>B100 (ML)</t>
  </si>
  <si>
    <t>Ethanol x sugar production</t>
  </si>
  <si>
    <t>CANA-DE-AÇÚCAR DESTINADA AO AÇÚCAR (Em mil t)</t>
  </si>
  <si>
    <t>AÇÚCAR (Em mil t)</t>
  </si>
  <si>
    <t>Safra 2018/19</t>
  </si>
  <si>
    <t>Safra 2019/20</t>
  </si>
  <si>
    <t>CANA-DE-AÇÚCAR DESTINADA AO ETANOL TOTAL (Em mil t)</t>
  </si>
  <si>
    <t>ETANOL TOTAL (Em mil l)</t>
  </si>
  <si>
    <t>Safra 2020/21*</t>
  </si>
  <si>
    <t>Safra cana de açúcar e milho</t>
  </si>
  <si>
    <t>*Dados ainda não consolidade totalmente</t>
  </si>
  <si>
    <t>Sugarcane x corn ethanol</t>
  </si>
  <si>
    <t>mil l</t>
  </si>
  <si>
    <t>TOTAL (mil l)</t>
  </si>
  <si>
    <t>Sugarcane production cost (R$/t)</t>
  </si>
  <si>
    <t>Preços 2020</t>
  </si>
  <si>
    <t>Jan 20/Jan21</t>
  </si>
  <si>
    <t>Biodiesel (Soybean)</t>
  </si>
  <si>
    <t>https://portaldeinformacoes.conab.gov.br/safra-serie-historica-graos.html</t>
  </si>
  <si>
    <t>*Dados ainda não consolidados totalmente</t>
  </si>
  <si>
    <t>Soybean production cost (R$/60kg)</t>
  </si>
  <si>
    <t>Inputs per ton of soybean</t>
  </si>
  <si>
    <t>Energy input (MJ)</t>
  </si>
  <si>
    <t>Diesel (L)</t>
  </si>
  <si>
    <t>N (kg)</t>
  </si>
  <si>
    <t>K2O</t>
  </si>
  <si>
    <t>P2O5</t>
  </si>
  <si>
    <t>Soil correctives (kg)</t>
  </si>
  <si>
    <t>CaCO3, CaSO4 and sulphur</t>
  </si>
  <si>
    <t>Pesticides/Herbicides (kg)</t>
  </si>
  <si>
    <t>N2O (kg)</t>
  </si>
  <si>
    <t>CO2</t>
  </si>
  <si>
    <t>Field emissions*</t>
  </si>
  <si>
    <t>*Emissions from agricultural residues, from limestone and N fertilizer, and N fixation</t>
  </si>
  <si>
    <t xml:space="preserve">Source: Technical Report Comparison of Biofuel Life Cycle Analysis Tools Phase 2, Part 1: FAME and HVO/HEFA </t>
  </si>
  <si>
    <t xml:space="preserve">Ref. </t>
  </si>
  <si>
    <t>Technical paramters (Sugarcane E1G)</t>
  </si>
  <si>
    <t>Outputs</t>
  </si>
  <si>
    <t xml:space="preserve">Soybean oil extraction </t>
  </si>
  <si>
    <t>Electricity (MJ/MJ soybean)</t>
  </si>
  <si>
    <t>n-hexane (MJ/MJ soybean)</t>
  </si>
  <si>
    <t>Diesel (MJ/MJ soybean)</t>
  </si>
  <si>
    <t>Forest resources (MJ/MJ soybean)</t>
  </si>
  <si>
    <t>Soybean Meal (kg/kg soybean)</t>
  </si>
  <si>
    <t>Soybean oil transterification</t>
  </si>
  <si>
    <t>Electricity (MJ/MJ FAME)</t>
  </si>
  <si>
    <t>Diesel (MJ/MJ FAME)</t>
  </si>
  <si>
    <t>Forest resources (MJ/MJ FAME)</t>
  </si>
  <si>
    <t>H3PO4 (g/MJ FAME)</t>
  </si>
  <si>
    <t>HCl (g/MJ FAME)</t>
  </si>
  <si>
    <t>NaOH (g/MJ FAME)</t>
  </si>
  <si>
    <t>Sodium methylate (g/MJ FAME)</t>
  </si>
  <si>
    <t>Methanol (MJ/MJ FAME)</t>
  </si>
  <si>
    <t>Soybean oil (kg/kg soybean)</t>
  </si>
  <si>
    <t>Biodiesel (t/kg soybean)</t>
  </si>
  <si>
    <t>Biodiesel (L/t soybean)</t>
  </si>
  <si>
    <t>Glycerin (t/t biodiesel)</t>
  </si>
  <si>
    <t>Crushing cappacity (TC/y)</t>
  </si>
  <si>
    <t>Óleo de Soja</t>
  </si>
  <si>
    <t>Óleo de Palma</t>
  </si>
  <si>
    <t>Óleo de Algodão</t>
  </si>
  <si>
    <t>Óleo de Girassol</t>
  </si>
  <si>
    <t>Óleo de Canola</t>
  </si>
  <si>
    <t>Sebo</t>
  </si>
  <si>
    <t>Outros Materiais Graxos</t>
  </si>
  <si>
    <t>Gordura de Frango</t>
  </si>
  <si>
    <t>Gordura de Porco</t>
  </si>
  <si>
    <t>Óleo de Fritura Usado</t>
  </si>
  <si>
    <t>Painel dinâmico - produtores de biodiesel (ANP)</t>
  </si>
  <si>
    <t>Painel dinâmico - Produtores de etanol (ANP)</t>
  </si>
  <si>
    <t>Óleo de milho</t>
  </si>
  <si>
    <t>Óleo de Palmiste</t>
  </si>
  <si>
    <t>Preço gasolina</t>
  </si>
  <si>
    <t>dist</t>
  </si>
  <si>
    <t>US$/L</t>
  </si>
  <si>
    <t>Preço diesel</t>
  </si>
  <si>
    <t>R$/L</t>
  </si>
  <si>
    <t>Média dólar 2019</t>
  </si>
  <si>
    <t>R$</t>
  </si>
  <si>
    <t>Média dólar 2020</t>
  </si>
  <si>
    <t xml:space="preserve">Inventory data </t>
  </si>
  <si>
    <t>Natural gas</t>
  </si>
  <si>
    <t>Bagasse</t>
  </si>
  <si>
    <t xml:space="preserve">Sugarcane </t>
  </si>
  <si>
    <t/>
  </si>
  <si>
    <t>2018</t>
  </si>
  <si>
    <t>2019</t>
  </si>
  <si>
    <t>2020</t>
  </si>
  <si>
    <t>Gasolina corriente</t>
  </si>
  <si>
    <t> </t>
  </si>
  <si>
    <t>         PRECIO FINAL (CONSUMIDOR)</t>
  </si>
  <si>
    <t>         PRECIO REFINERIA</t>
  </si>
  <si>
    <t>Diesel</t>
  </si>
  <si>
    <t>CEPAL</t>
  </si>
  <si>
    <t>Corn</t>
  </si>
  <si>
    <t>Média</t>
  </si>
  <si>
    <t xml:space="preserve">Faltam informações para os inventários </t>
  </si>
  <si>
    <t>Non-renewable energy</t>
  </si>
  <si>
    <t>Petroleum and oil products</t>
  </si>
  <si>
    <t>Domestic energy supply (TOE)</t>
  </si>
  <si>
    <t>Coal and coke</t>
  </si>
  <si>
    <t>Uranium</t>
  </si>
  <si>
    <t>other non-renewable</t>
  </si>
  <si>
    <t>Renewable energy</t>
  </si>
  <si>
    <t>Hydraulic</t>
  </si>
  <si>
    <t>Firewood and charcoal</t>
  </si>
  <si>
    <t>sugarcane products</t>
  </si>
  <si>
    <t>Wind</t>
  </si>
  <si>
    <t>Solar</t>
  </si>
  <si>
    <t>Other renewable</t>
  </si>
  <si>
    <t>Renewability index</t>
  </si>
  <si>
    <t>Diesel (L/ha)</t>
  </si>
  <si>
    <t>Ethanol (Sugarcane)</t>
  </si>
  <si>
    <t>Specific consumption (kJ/L)</t>
  </si>
  <si>
    <t>Specific consumption (MJ/unit)</t>
  </si>
  <si>
    <t>Seedings</t>
  </si>
  <si>
    <t>estimated</t>
  </si>
  <si>
    <t>Sugarcane production/transportation</t>
  </si>
  <si>
    <t>Energy demand (MJ/TC)</t>
  </si>
  <si>
    <t>Output</t>
  </si>
  <si>
    <t>L/TC</t>
  </si>
  <si>
    <t xml:space="preserve">ER </t>
  </si>
  <si>
    <t>Scenario</t>
  </si>
  <si>
    <t>Ethanol + electricity</t>
  </si>
  <si>
    <t>NEB</t>
  </si>
  <si>
    <t>Limestone (kg)</t>
  </si>
  <si>
    <t>Energy demand (MJ/TSoy)</t>
  </si>
  <si>
    <t>Specific consumption (MJ/kg)</t>
  </si>
  <si>
    <t>NaOH (kg/MJ FAME)</t>
  </si>
  <si>
    <t>H3PO4 (kg/MJ FAME)</t>
  </si>
  <si>
    <t>Sodium methylate (kg/MJ FAME)</t>
  </si>
  <si>
    <t>HCl (kg/MJ FAME)</t>
  </si>
  <si>
    <t>Soybean (kg)</t>
  </si>
  <si>
    <t>Soybean oil refining/transterification</t>
  </si>
  <si>
    <t>TOTAL INPUTS (MJ/ton soybean)</t>
  </si>
  <si>
    <t>Seeds (kg)</t>
  </si>
  <si>
    <t>ER (global)</t>
  </si>
  <si>
    <t>NEB (Global)</t>
  </si>
  <si>
    <t>kg</t>
  </si>
  <si>
    <t>assumindo que um caminhão carrega cerca de 38 tons de cana e que o consumo médio de diesel é 2.5 km/L</t>
  </si>
  <si>
    <t>Agriculture/transportation systems</t>
  </si>
  <si>
    <t>Soybean oil (kg/t soybean)</t>
  </si>
  <si>
    <t>Soybean Meal (kg/t soybean)</t>
  </si>
  <si>
    <t>Biofuel direct land use</t>
  </si>
  <si>
    <t>Ethanol from SC</t>
  </si>
  <si>
    <t>Land use for raw material (ha)</t>
  </si>
  <si>
    <t>LU_biofuel (ha/L)</t>
  </si>
  <si>
    <t>Biodiesel fom soybean</t>
  </si>
  <si>
    <t>chum et al. (2013)</t>
  </si>
  <si>
    <t>Electricity (MJ/MJ soybean oil)</t>
  </si>
  <si>
    <t>n-hexane (MJ/MJ soybean oil)</t>
  </si>
  <si>
    <t>Diesel (MJ/MJ soybean oil)</t>
  </si>
  <si>
    <t>Forest resources (MJ/MJ soybean oil)</t>
  </si>
  <si>
    <t>Biodiesel (MJ/t soybean)</t>
  </si>
  <si>
    <t>Glycerin (MJ/t soybean)</t>
  </si>
  <si>
    <t>10 a 14% of biodiesel production (média 12%)</t>
  </si>
  <si>
    <t>37.7 MJ/kg (FAME)</t>
  </si>
  <si>
    <t>Biodiesel Yield (ton/ton soybean)</t>
  </si>
  <si>
    <t>Estimação de acordo com a literatura (dados retirado de Brondani et al. (2015)</t>
  </si>
  <si>
    <t>Biodiesel Yield (L/há)</t>
  </si>
  <si>
    <t xml:space="preserve">Estimado de acordo com os valores de conversão da literatura </t>
  </si>
  <si>
    <t>81.6 kg/MJ</t>
  </si>
  <si>
    <t xml:space="preserve">Ethanol </t>
  </si>
  <si>
    <t>Biodiesel + coproducts</t>
  </si>
  <si>
    <t>Biodiesel Yield (L/ton)</t>
  </si>
  <si>
    <t>Sugar yield</t>
  </si>
  <si>
    <t>kg/TC</t>
  </si>
  <si>
    <t>Venturini et al. (2020)</t>
  </si>
  <si>
    <t>Agricultural subsystem (per ton of SC)</t>
  </si>
  <si>
    <t>Ethanol production subsystem (per L of EtOH)</t>
  </si>
  <si>
    <t xml:space="preserve">Process water </t>
  </si>
  <si>
    <t>Diesel for transport</t>
  </si>
  <si>
    <t>Water imbibition</t>
  </si>
  <si>
    <t xml:space="preserve">Electricity </t>
  </si>
  <si>
    <t>Milling subsystem (Ocampo Batlle, 2021)</t>
  </si>
  <si>
    <t>Juice</t>
  </si>
  <si>
    <t>Residual water</t>
  </si>
  <si>
    <t>Nogueira 2011</t>
  </si>
  <si>
    <t>Biofuel productivity (L) 1 ha</t>
  </si>
  <si>
    <t>Jan 19/Jan 20</t>
  </si>
  <si>
    <t>Corn production cost (R$/60kg)</t>
  </si>
  <si>
    <t xml:space="preserve">1US$=4.1 </t>
  </si>
  <si>
    <t>Brondani et al. (2015)</t>
  </si>
  <si>
    <t>FAME</t>
  </si>
  <si>
    <t>1 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</si>
</sst>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##,###.00"/>
    <numFmt numFmtId="165" formatCode="0.0000"/>
    <numFmt numFmtId="166" formatCode="0.000"/>
    <numFmt numFmtId="167" formatCode="0.0"/>
    <numFmt numFmtId="168" formatCode="#,##0.0"/>
    <numFmt numFmtId="169" formatCode="_ * #,##0.00_ ;_ * \-#,##0.00_ ;_ * &quot;-&quot;??_ ;_ @_ "/>
    <numFmt numFmtId="170" formatCode="_-* #,##0.00\ _E_s_c_._-;\-* #,##0.00\ _E_s_c_._-;_-* &quot;-&quot;??\ _E_s_c_._-;_-@_-"/>
    <numFmt numFmtId="171" formatCode="_(* #,##0.0_);_(* \(#,##0.0\);_(* &quot;-&quot;?_);_(@_)"/>
    <numFmt numFmtId="172" formatCode="_(* #,##0.00_);_(* \(#,##0.00\);_(* \-??_);_(@_)"/>
    <numFmt numFmtId="173" formatCode="_-* #,##0.00\ _E_s_c_._-;\-* #,##0.00\ _E_s_c_._-;_-* \-??\ _E_s_c_._-;_-@_-"/>
    <numFmt numFmtId="174" formatCode="###,###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u/>
      <sz val="7.5"/>
      <color indexed="12"/>
      <name val="Arial"/>
      <family val="2"/>
    </font>
    <font>
      <sz val="10"/>
      <name val="Mang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660000"/>
      <name val="Trebuchet MS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10"/>
      <name val="Calibri"/>
      <family val="2"/>
    </font>
    <font>
      <b/>
      <i/>
      <sz val="10"/>
      <color indexed="54"/>
      <name val="Calibri"/>
      <family val="2"/>
    </font>
    <font>
      <sz val="10"/>
      <color indexed="63"/>
      <name val="Calibri"/>
      <family val="2"/>
    </font>
    <font>
      <b/>
      <sz val="12"/>
      <color indexed="8"/>
      <name val="Calibri"/>
      <family val="2"/>
    </font>
    <font>
      <sz val="12"/>
      <color indexed="63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E1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FDFD2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49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9" fontId="10" fillId="0" borderId="0" applyFont="0" applyFill="0" applyBorder="0" applyAlignment="0" applyProtection="0"/>
    <xf numFmtId="0" fontId="12" fillId="0" borderId="0"/>
    <xf numFmtId="0" fontId="10" fillId="0" borderId="0"/>
    <xf numFmtId="0" fontId="15" fillId="0" borderId="0" applyNumberFormat="0" applyFill="0" applyBorder="0" applyAlignment="0" applyProtection="0"/>
    <xf numFmtId="0" fontId="10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9" fillId="0" borderId="0"/>
    <xf numFmtId="9" fontId="12" fillId="0" borderId="0" applyFont="0" applyFill="0" applyBorder="0" applyAlignment="0" applyProtection="0"/>
    <xf numFmtId="9" fontId="10" fillId="0" borderId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0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0" fontId="12" fillId="0" borderId="0" applyFont="0" applyFill="0" applyBorder="0" applyAlignment="0" applyProtection="0"/>
    <xf numFmtId="172" fontId="10" fillId="0" borderId="0" applyFill="0" applyBorder="0" applyAlignment="0" applyProtection="0"/>
    <xf numFmtId="170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16" fillId="0" borderId="0" applyFill="0" applyBorder="0" applyAlignment="0" applyProtection="0"/>
    <xf numFmtId="173" fontId="16" fillId="0" borderId="0" applyFill="0" applyBorder="0" applyAlignment="0" applyProtection="0"/>
  </cellStyleXfs>
  <cellXfs count="3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left" vertical="center" wrapText="1"/>
    </xf>
    <xf numFmtId="0" fontId="0" fillId="6" borderId="18" xfId="0" applyFill="1" applyBorder="1" applyAlignment="1">
      <alignment horizontal="center" vertical="center"/>
    </xf>
    <xf numFmtId="3" fontId="0" fillId="6" borderId="17" xfId="0" applyNumberFormat="1" applyFill="1" applyBorder="1" applyAlignment="1">
      <alignment horizontal="center" vertical="center" wrapText="1"/>
    </xf>
    <xf numFmtId="3" fontId="0" fillId="6" borderId="19" xfId="0" applyNumberFormat="1" applyFill="1" applyBorder="1" applyAlignment="1">
      <alignment horizontal="center" vertical="center" wrapText="1"/>
    </xf>
    <xf numFmtId="3" fontId="0" fillId="6" borderId="20" xfId="0" applyNumberFormat="1" applyFill="1" applyBorder="1" applyAlignment="1">
      <alignment horizontal="center" vertical="center" wrapText="1"/>
    </xf>
    <xf numFmtId="3" fontId="0" fillId="6" borderId="16" xfId="0" applyNumberForma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left" vertical="center" wrapText="1"/>
    </xf>
    <xf numFmtId="3" fontId="0" fillId="6" borderId="22" xfId="0" applyNumberFormat="1" applyFill="1" applyBorder="1" applyAlignment="1">
      <alignment horizontal="center" vertical="center" wrapText="1"/>
    </xf>
    <xf numFmtId="3" fontId="0" fillId="6" borderId="23" xfId="0" applyNumberFormat="1" applyFill="1" applyBorder="1" applyAlignment="1">
      <alignment horizontal="center" vertical="center" wrapText="1"/>
    </xf>
    <xf numFmtId="3" fontId="0" fillId="6" borderId="4" xfId="0" applyNumberForma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left" vertical="center" wrapText="1"/>
    </xf>
    <xf numFmtId="3" fontId="0" fillId="6" borderId="21" xfId="0" applyNumberForma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0" fillId="0" borderId="32" xfId="0" applyBorder="1"/>
    <xf numFmtId="0" fontId="0" fillId="7" borderId="3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2" fillId="7" borderId="7" xfId="0" applyFont="1" applyFill="1" applyBorder="1"/>
    <xf numFmtId="0" fontId="2" fillId="7" borderId="22" xfId="0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0" xfId="1" applyFill="1" applyBorder="1"/>
    <xf numFmtId="0" fontId="0" fillId="7" borderId="9" xfId="0" applyFill="1" applyBorder="1"/>
    <xf numFmtId="0" fontId="0" fillId="7" borderId="32" xfId="0" applyFill="1" applyBorder="1"/>
    <xf numFmtId="0" fontId="0" fillId="7" borderId="10" xfId="0" applyFill="1" applyBorder="1"/>
    <xf numFmtId="0" fontId="7" fillId="3" borderId="22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4" borderId="0" xfId="0" applyFont="1" applyFill="1"/>
    <xf numFmtId="0" fontId="8" fillId="0" borderId="0" xfId="0" applyFont="1" applyFill="1"/>
    <xf numFmtId="0" fontId="1" fillId="0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32" xfId="0" applyFont="1" applyBorder="1"/>
    <xf numFmtId="0" fontId="2" fillId="0" borderId="3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1"/>
    <xf numFmtId="3" fontId="0" fillId="0" borderId="0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1" borderId="0" xfId="0" applyFont="1" applyFill="1"/>
    <xf numFmtId="0" fontId="0" fillId="0" borderId="0" xfId="0" applyAlignment="1">
      <alignment horizontal="center"/>
    </xf>
    <xf numFmtId="0" fontId="4" fillId="12" borderId="0" xfId="0" applyFont="1" applyFill="1" applyAlignment="1">
      <alignment horizontal="center" vertical="center"/>
    </xf>
    <xf numFmtId="0" fontId="4" fillId="13" borderId="0" xfId="0" applyFont="1" applyFill="1"/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0" fillId="0" borderId="0" xfId="0" applyBorder="1"/>
    <xf numFmtId="3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0" xfId="0" applyBorder="1"/>
    <xf numFmtId="0" fontId="0" fillId="0" borderId="6" xfId="0" applyBorder="1"/>
    <xf numFmtId="0" fontId="2" fillId="6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/>
    </xf>
    <xf numFmtId="0" fontId="0" fillId="0" borderId="9" xfId="0" applyBorder="1"/>
    <xf numFmtId="0" fontId="0" fillId="0" borderId="32" xfId="0" applyBorder="1"/>
    <xf numFmtId="0" fontId="4" fillId="13" borderId="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/>
    </xf>
    <xf numFmtId="168" fontId="2" fillId="6" borderId="23" xfId="0" applyNumberFormat="1" applyFont="1" applyFill="1" applyBorder="1" applyAlignment="1">
      <alignment horizontal="center"/>
    </xf>
    <xf numFmtId="0" fontId="4" fillId="6" borderId="35" xfId="0" applyFont="1" applyFill="1" applyBorder="1" applyAlignment="1">
      <alignment horizontal="center" vertical="center"/>
    </xf>
    <xf numFmtId="168" fontId="4" fillId="5" borderId="2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7" fontId="4" fillId="5" borderId="0" xfId="0" applyNumberFormat="1" applyFont="1" applyFill="1"/>
    <xf numFmtId="0" fontId="11" fillId="3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1" fillId="4" borderId="0" xfId="0" applyFont="1" applyFill="1"/>
    <xf numFmtId="0" fontId="0" fillId="7" borderId="5" xfId="0" applyFill="1" applyBorder="1"/>
    <xf numFmtId="0" fontId="2" fillId="7" borderId="0" xfId="0" applyFont="1" applyFill="1" applyBorder="1"/>
    <xf numFmtId="0" fontId="2" fillId="7" borderId="22" xfId="0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71" fontId="5" fillId="7" borderId="44" xfId="25" applyNumberFormat="1" applyFont="1" applyFill="1" applyBorder="1" applyAlignment="1" applyProtection="1">
      <alignment vertical="center"/>
    </xf>
    <xf numFmtId="171" fontId="5" fillId="7" borderId="36" xfId="25" applyNumberFormat="1" applyFont="1" applyFill="1" applyBorder="1" applyAlignment="1" applyProtection="1">
      <alignment horizontal="center" vertical="center"/>
    </xf>
    <xf numFmtId="171" fontId="5" fillId="7" borderId="44" xfId="25" applyNumberFormat="1" applyFont="1" applyFill="1" applyBorder="1" applyAlignment="1" applyProtection="1">
      <alignment horizontal="center" vertical="center"/>
    </xf>
    <xf numFmtId="0" fontId="4" fillId="3" borderId="5" xfId="0" applyFont="1" applyFill="1" applyBorder="1"/>
    <xf numFmtId="0" fontId="4" fillId="3" borderId="30" xfId="0" applyFont="1" applyFill="1" applyBorder="1"/>
    <xf numFmtId="0" fontId="2" fillId="7" borderId="30" xfId="0" applyFont="1" applyFill="1" applyBorder="1"/>
    <xf numFmtId="0" fontId="3" fillId="7" borderId="30" xfId="1" applyFill="1" applyBorder="1"/>
    <xf numFmtId="171" fontId="5" fillId="7" borderId="11" xfId="25" applyNumberFormat="1" applyFont="1" applyFill="1" applyBorder="1" applyAlignment="1" applyProtection="1">
      <alignment horizontal="center" vertic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8" fillId="4" borderId="5" xfId="0" applyFont="1" applyFill="1" applyBorder="1"/>
    <xf numFmtId="0" fontId="3" fillId="0" borderId="30" xfId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 applyAlignment="1">
      <alignment horizontal="center"/>
    </xf>
    <xf numFmtId="0" fontId="0" fillId="0" borderId="10" xfId="0" applyBorder="1"/>
    <xf numFmtId="0" fontId="3" fillId="0" borderId="30" xfId="1" applyFill="1" applyBorder="1"/>
    <xf numFmtId="0" fontId="0" fillId="0" borderId="30" xfId="0" applyFill="1" applyBorder="1"/>
    <xf numFmtId="0" fontId="2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9" xfId="0" applyFont="1" applyBorder="1"/>
    <xf numFmtId="0" fontId="2" fillId="0" borderId="0" xfId="0" applyFont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33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3" fontId="2" fillId="3" borderId="39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3" fontId="2" fillId="3" borderId="3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0" fontId="2" fillId="0" borderId="7" xfId="0" applyFont="1" applyBorder="1"/>
    <xf numFmtId="3" fontId="2" fillId="0" borderId="37" xfId="0" applyNumberFormat="1" applyFont="1" applyBorder="1" applyAlignment="1">
      <alignment horizontal="center"/>
    </xf>
    <xf numFmtId="3" fontId="2" fillId="0" borderId="3" xfId="0" applyNumberFormat="1" applyFont="1" applyBorder="1"/>
    <xf numFmtId="167" fontId="2" fillId="0" borderId="3" xfId="0" applyNumberFormat="1" applyFont="1" applyBorder="1" applyAlignment="1">
      <alignment horizontal="center"/>
    </xf>
    <xf numFmtId="0" fontId="11" fillId="4" borderId="30" xfId="0" applyFont="1" applyFill="1" applyBorder="1"/>
    <xf numFmtId="0" fontId="4" fillId="3" borderId="30" xfId="0" applyFont="1" applyFill="1" applyBorder="1" applyAlignment="1">
      <alignment horizontal="center"/>
    </xf>
    <xf numFmtId="171" fontId="17" fillId="0" borderId="3" xfId="27" applyNumberFormat="1" applyFont="1" applyFill="1" applyBorder="1" applyAlignment="1" applyProtection="1">
      <alignment horizontal="center" vertical="center"/>
    </xf>
    <xf numFmtId="171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/>
    <xf numFmtId="0" fontId="3" fillId="7" borderId="2" xfId="1" applyFill="1" applyBorder="1"/>
    <xf numFmtId="0" fontId="0" fillId="7" borderId="39" xfId="0" applyFill="1" applyBorder="1"/>
    <xf numFmtId="0" fontId="2" fillId="7" borderId="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/>
    </xf>
    <xf numFmtId="164" fontId="18" fillId="7" borderId="1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8" fillId="7" borderId="22" xfId="0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2" fontId="18" fillId="7" borderId="1" xfId="0" applyNumberFormat="1" applyFont="1" applyFill="1" applyBorder="1" applyAlignment="1">
      <alignment horizontal="center"/>
    </xf>
    <xf numFmtId="4" fontId="18" fillId="7" borderId="1" xfId="0" applyNumberFormat="1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3" fillId="7" borderId="32" xfId="1" applyFill="1" applyBorder="1"/>
    <xf numFmtId="0" fontId="19" fillId="7" borderId="0" xfId="0" applyFont="1" applyFill="1" applyBorder="1"/>
    <xf numFmtId="0" fontId="19" fillId="7" borderId="8" xfId="0" applyFont="1" applyFill="1" applyBorder="1"/>
    <xf numFmtId="2" fontId="2" fillId="7" borderId="1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20" fillId="7" borderId="0" xfId="0" applyFont="1" applyFill="1" applyBorder="1"/>
    <xf numFmtId="0" fontId="1" fillId="3" borderId="0" xfId="0" applyFont="1" applyFill="1" applyBorder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7" fillId="3" borderId="30" xfId="0" applyFont="1" applyFill="1" applyBorder="1"/>
    <xf numFmtId="0" fontId="2" fillId="0" borderId="32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2" fillId="0" borderId="30" xfId="0" applyFont="1" applyFill="1" applyBorder="1"/>
    <xf numFmtId="4" fontId="2" fillId="0" borderId="3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1" fillId="0" borderId="0" xfId="0" applyFont="1"/>
    <xf numFmtId="0" fontId="2" fillId="0" borderId="0" xfId="0" applyFont="1" applyFill="1"/>
    <xf numFmtId="0" fontId="8" fillId="4" borderId="7" xfId="0" applyFont="1" applyFill="1" applyBorder="1"/>
    <xf numFmtId="0" fontId="11" fillId="8" borderId="7" xfId="0" applyFont="1" applyFill="1" applyBorder="1"/>
    <xf numFmtId="0" fontId="4" fillId="3" borderId="3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6" fontId="29" fillId="18" borderId="0" xfId="0" applyNumberFormat="1" applyFont="1" applyFill="1" applyBorder="1" applyAlignment="1">
      <alignment horizontal="center" vertical="top"/>
    </xf>
    <xf numFmtId="166" fontId="29" fillId="18" borderId="8" xfId="0" applyNumberFormat="1" applyFont="1" applyFill="1" applyBorder="1" applyAlignment="1">
      <alignment horizontal="center" vertical="top"/>
    </xf>
    <xf numFmtId="166" fontId="29" fillId="18" borderId="32" xfId="0" applyNumberFormat="1" applyFont="1" applyFill="1" applyBorder="1" applyAlignment="1">
      <alignment horizontal="center" vertical="top"/>
    </xf>
    <xf numFmtId="166" fontId="29" fillId="18" borderId="10" xfId="0" applyNumberFormat="1" applyFont="1" applyFill="1" applyBorder="1" applyAlignment="1">
      <alignment horizontal="center" vertical="top"/>
    </xf>
    <xf numFmtId="0" fontId="28" fillId="17" borderId="11" xfId="0" applyFont="1" applyFill="1" applyBorder="1" applyAlignment="1">
      <alignment horizontal="center"/>
    </xf>
    <xf numFmtId="0" fontId="28" fillId="17" borderId="44" xfId="0" applyFont="1" applyFill="1" applyBorder="1" applyAlignment="1">
      <alignment horizontal="center"/>
    </xf>
    <xf numFmtId="0" fontId="28" fillId="17" borderId="33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0" fillId="6" borderId="9" xfId="0" applyFill="1" applyBorder="1"/>
    <xf numFmtId="0" fontId="3" fillId="6" borderId="32" xfId="1" applyFill="1" applyBorder="1"/>
    <xf numFmtId="0" fontId="0" fillId="6" borderId="32" xfId="0" applyFill="1" applyBorder="1"/>
    <xf numFmtId="0" fontId="0" fillId="6" borderId="5" xfId="0" applyFill="1" applyBorder="1"/>
    <xf numFmtId="0" fontId="0" fillId="6" borderId="3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2" fillId="6" borderId="22" xfId="0" applyFont="1" applyFill="1" applyBorder="1" applyAlignment="1">
      <alignment horizontal="center"/>
    </xf>
    <xf numFmtId="0" fontId="0" fillId="6" borderId="10" xfId="0" applyFill="1" applyBorder="1"/>
    <xf numFmtId="0" fontId="22" fillId="6" borderId="0" xfId="0" applyFont="1" applyFill="1" applyBorder="1"/>
    <xf numFmtId="0" fontId="4" fillId="16" borderId="0" xfId="0" applyFont="1" applyFill="1" applyAlignment="1">
      <alignment horizontal="center"/>
    </xf>
    <xf numFmtId="0" fontId="0" fillId="0" borderId="0" xfId="0" applyFill="1"/>
    <xf numFmtId="0" fontId="4" fillId="10" borderId="3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167" fontId="2" fillId="0" borderId="0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7" borderId="38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2" fontId="30" fillId="0" borderId="39" xfId="0" applyNumberFormat="1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0" fillId="0" borderId="39" xfId="0" applyBorder="1"/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2" fontId="30" fillId="0" borderId="0" xfId="0" applyNumberFormat="1" applyFont="1" applyAlignment="1">
      <alignment horizontal="center"/>
    </xf>
    <xf numFmtId="0" fontId="0" fillId="3" borderId="39" xfId="0" applyFill="1" applyBorder="1"/>
    <xf numFmtId="0" fontId="31" fillId="0" borderId="39" xfId="0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0" fillId="0" borderId="37" xfId="0" applyFont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0" fontId="7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2" fontId="2" fillId="5" borderId="1" xfId="0" applyNumberFormat="1" applyFont="1" applyFill="1" applyBorder="1" applyAlignment="1">
      <alignment horizontal="center"/>
    </xf>
    <xf numFmtId="0" fontId="4" fillId="3" borderId="21" xfId="0" applyFont="1" applyFill="1" applyBorder="1"/>
    <xf numFmtId="0" fontId="0" fillId="3" borderId="21" xfId="0" applyFill="1" applyBorder="1"/>
    <xf numFmtId="0" fontId="2" fillId="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2" fontId="30" fillId="0" borderId="10" xfId="0" applyNumberFormat="1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30" fillId="0" borderId="50" xfId="0" applyFont="1" applyBorder="1" applyAlignment="1">
      <alignment horizontal="center"/>
    </xf>
    <xf numFmtId="2" fontId="30" fillId="0" borderId="50" xfId="0" applyNumberFormat="1" applyFont="1" applyBorder="1" applyAlignment="1">
      <alignment horizontal="center"/>
    </xf>
    <xf numFmtId="2" fontId="31" fillId="0" borderId="50" xfId="0" applyNumberFormat="1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3" fillId="11" borderId="1" xfId="0" applyFont="1" applyFill="1" applyBorder="1"/>
    <xf numFmtId="0" fontId="4" fillId="19" borderId="1" xfId="0" applyFont="1" applyFill="1" applyBorder="1"/>
    <xf numFmtId="0" fontId="2" fillId="2" borderId="1" xfId="0" applyFont="1" applyFill="1" applyBorder="1"/>
    <xf numFmtId="0" fontId="17" fillId="5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Fill="1"/>
    <xf numFmtId="0" fontId="4" fillId="2" borderId="0" xfId="0" applyFont="1" applyFill="1"/>
    <xf numFmtId="0" fontId="30" fillId="6" borderId="3" xfId="0" applyFont="1" applyFill="1" applyBorder="1" applyAlignment="1">
      <alignment horizontal="center"/>
    </xf>
    <xf numFmtId="0" fontId="30" fillId="6" borderId="3" xfId="0" applyFont="1" applyFill="1" applyBorder="1"/>
    <xf numFmtId="0" fontId="30" fillId="5" borderId="3" xfId="0" applyFont="1" applyFill="1" applyBorder="1" applyAlignment="1">
      <alignment horizontal="center"/>
    </xf>
    <xf numFmtId="166" fontId="30" fillId="5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3" borderId="3" xfId="0" applyFill="1" applyBorder="1"/>
    <xf numFmtId="0" fontId="4" fillId="8" borderId="3" xfId="0" applyFont="1" applyFill="1" applyBorder="1" applyAlignment="1">
      <alignment horizontal="center"/>
    </xf>
    <xf numFmtId="2" fontId="30" fillId="8" borderId="3" xfId="0" applyNumberFormat="1" applyFont="1" applyFill="1" applyBorder="1" applyAlignment="1">
      <alignment horizontal="center"/>
    </xf>
    <xf numFmtId="2" fontId="30" fillId="20" borderId="3" xfId="0" applyNumberFormat="1" applyFont="1" applyFill="1" applyBorder="1" applyAlignment="1">
      <alignment horizontal="center"/>
    </xf>
    <xf numFmtId="166" fontId="31" fillId="20" borderId="3" xfId="0" applyNumberFormat="1" applyFont="1" applyFill="1" applyBorder="1" applyAlignment="1">
      <alignment horizontal="center"/>
    </xf>
    <xf numFmtId="0" fontId="31" fillId="20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0" fillId="0" borderId="3" xfId="0" applyBorder="1"/>
    <xf numFmtId="0" fontId="2" fillId="6" borderId="3" xfId="0" applyFont="1" applyFill="1" applyBorder="1" applyAlignment="1">
      <alignment horizontal="center" vertical="center" wrapText="1"/>
    </xf>
    <xf numFmtId="11" fontId="2" fillId="6" borderId="3" xfId="0" applyNumberFormat="1" applyFont="1" applyFill="1" applyBorder="1" applyAlignment="1">
      <alignment horizontal="center" vertical="center" wrapText="1"/>
    </xf>
    <xf numFmtId="2" fontId="30" fillId="0" borderId="3" xfId="0" applyNumberFormat="1" applyFont="1" applyBorder="1" applyAlignment="1">
      <alignment horizontal="center"/>
    </xf>
    <xf numFmtId="0" fontId="0" fillId="20" borderId="3" xfId="0" applyFill="1" applyBorder="1"/>
    <xf numFmtId="0" fontId="8" fillId="4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2" fontId="30" fillId="8" borderId="39" xfId="0" applyNumberFormat="1" applyFont="1" applyFill="1" applyBorder="1" applyAlignment="1">
      <alignment horizontal="center"/>
    </xf>
    <xf numFmtId="2" fontId="31" fillId="20" borderId="3" xfId="0" applyNumberFormat="1" applyFont="1" applyFill="1" applyBorder="1" applyAlignment="1">
      <alignment horizontal="center"/>
    </xf>
    <xf numFmtId="174" fontId="17" fillId="7" borderId="1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right" vertical="center" wrapText="1"/>
    </xf>
    <xf numFmtId="166" fontId="27" fillId="0" borderId="0" xfId="0" applyNumberFormat="1" applyFont="1" applyFill="1" applyAlignment="1">
      <alignment horizontal="right" vertical="top"/>
    </xf>
    <xf numFmtId="0" fontId="24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6" fillId="0" borderId="0" xfId="0" applyFont="1" applyFill="1"/>
    <xf numFmtId="0" fontId="24" fillId="0" borderId="0" xfId="0" applyFont="1" applyFill="1" applyAlignment="1">
      <alignment horizontal="right"/>
    </xf>
    <xf numFmtId="167" fontId="2" fillId="5" borderId="1" xfId="0" applyNumberFormat="1" applyFont="1" applyFill="1" applyBorder="1" applyAlignment="1">
      <alignment horizontal="center"/>
    </xf>
    <xf numFmtId="0" fontId="2" fillId="7" borderId="38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171" fontId="5" fillId="14" borderId="47" xfId="25" applyNumberFormat="1" applyFont="1" applyFill="1" applyBorder="1" applyAlignment="1" applyProtection="1">
      <alignment horizontal="center" vertical="center" wrapText="1"/>
    </xf>
    <xf numFmtId="171" fontId="5" fillId="14" borderId="31" xfId="25" applyNumberFormat="1" applyFont="1" applyFill="1" applyBorder="1" applyAlignment="1" applyProtection="1">
      <alignment horizontal="center" vertical="center" wrapText="1"/>
    </xf>
    <xf numFmtId="171" fontId="5" fillId="14" borderId="18" xfId="25" applyNumberFormat="1" applyFont="1" applyFill="1" applyBorder="1" applyAlignment="1" applyProtection="1">
      <alignment horizontal="center" vertical="center" wrapText="1"/>
    </xf>
    <xf numFmtId="171" fontId="5" fillId="14" borderId="45" xfId="25" applyNumberFormat="1" applyFont="1" applyFill="1" applyBorder="1" applyAlignment="1" applyProtection="1">
      <alignment horizontal="center" vertical="center"/>
    </xf>
    <xf numFmtId="171" fontId="5" fillId="14" borderId="31" xfId="25" applyNumberFormat="1" applyFont="1" applyFill="1" applyBorder="1" applyAlignment="1" applyProtection="1">
      <alignment horizontal="center" vertical="center"/>
    </xf>
    <xf numFmtId="171" fontId="5" fillId="7" borderId="24" xfId="25" applyNumberFormat="1" applyFont="1" applyFill="1" applyBorder="1" applyAlignment="1" applyProtection="1">
      <alignment horizontal="center" vertical="center" wrapText="1"/>
    </xf>
    <xf numFmtId="171" fontId="5" fillId="7" borderId="48" xfId="25" applyNumberFormat="1" applyFont="1" applyFill="1" applyBorder="1" applyAlignment="1" applyProtection="1">
      <alignment horizontal="center" vertical="center" wrapText="1"/>
    </xf>
    <xf numFmtId="171" fontId="5" fillId="7" borderId="34" xfId="25" applyNumberFormat="1" applyFont="1" applyFill="1" applyBorder="1" applyAlignment="1" applyProtection="1">
      <alignment horizontal="center" vertical="center" wrapText="1"/>
    </xf>
    <xf numFmtId="168" fontId="5" fillId="7" borderId="42" xfId="25" applyNumberFormat="1" applyFont="1" applyFill="1" applyBorder="1" applyAlignment="1" applyProtection="1">
      <alignment horizontal="center" vertical="center" wrapText="1"/>
    </xf>
    <xf numFmtId="171" fontId="5" fillId="7" borderId="34" xfId="25" applyNumberFormat="1" applyFont="1" applyFill="1" applyBorder="1" applyAlignment="1" applyProtection="1">
      <alignment horizontal="center" vertical="center"/>
    </xf>
    <xf numFmtId="168" fontId="5" fillId="7" borderId="42" xfId="25" applyNumberFormat="1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center"/>
    </xf>
    <xf numFmtId="171" fontId="5" fillId="7" borderId="44" xfId="25" applyNumberFormat="1" applyFont="1" applyFill="1" applyBorder="1" applyAlignment="1" applyProtection="1">
      <alignment horizontal="center" vertical="center"/>
    </xf>
    <xf numFmtId="171" fontId="5" fillId="7" borderId="43" xfId="25" applyNumberFormat="1" applyFont="1" applyFill="1" applyBorder="1" applyAlignment="1" applyProtection="1">
      <alignment horizontal="center" vertical="center"/>
    </xf>
    <xf numFmtId="171" fontId="5" fillId="7" borderId="46" xfId="25" applyNumberFormat="1" applyFont="1" applyFill="1" applyBorder="1" applyAlignment="1" applyProtection="1">
      <alignment horizontal="center" vertical="center"/>
    </xf>
    <xf numFmtId="171" fontId="5" fillId="7" borderId="41" xfId="25" applyNumberFormat="1" applyFont="1" applyFill="1" applyBorder="1" applyAlignment="1" applyProtection="1">
      <alignment horizontal="center" vertical="center"/>
    </xf>
    <xf numFmtId="171" fontId="5" fillId="7" borderId="32" xfId="25" applyNumberFormat="1" applyFont="1" applyFill="1" applyBorder="1" applyAlignment="1" applyProtection="1">
      <alignment horizontal="center" vertical="center"/>
    </xf>
    <xf numFmtId="171" fontId="5" fillId="7" borderId="42" xfId="25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6" borderId="27" xfId="0" applyNumberFormat="1" applyFill="1" applyBorder="1" applyAlignment="1">
      <alignment horizontal="center" vertical="center"/>
    </xf>
    <xf numFmtId="3" fontId="0" fillId="6" borderId="28" xfId="0" applyNumberFormat="1" applyFill="1" applyBorder="1" applyAlignment="1">
      <alignment horizontal="center" vertical="center"/>
    </xf>
    <xf numFmtId="3" fontId="0" fillId="6" borderId="29" xfId="0" applyNumberForma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5" fillId="7" borderId="11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31">
    <cellStyle name="ANCLAS,REZONES Y SUS PARTES,DE FUNDICION,DE HIERRO O DE ACERO" xfId="2" xr:uid="{92BF4986-3877-483B-8518-FC0224594926}"/>
    <cellStyle name="Excel Built-in Normal" xfId="5" xr:uid="{0D788875-677C-4381-AA16-FAD668FC21A8}"/>
    <cellStyle name="Hiperlink" xfId="1" builtinId="8"/>
    <cellStyle name="Hiperlink 2" xfId="6" xr:uid="{DE507AF4-B996-4560-9E18-75DF5DE87D93}"/>
    <cellStyle name="Millares 2" xfId="3" xr:uid="{3ACA0CE2-33E8-44D8-A4FD-61B55FA0C956}"/>
    <cellStyle name="Normal" xfId="0" builtinId="0"/>
    <cellStyle name="Normal 2" xfId="7" xr:uid="{F3FFCDF8-7651-4B44-B8D1-E3C31FEB9DE6}"/>
    <cellStyle name="Normal 3" xfId="8" xr:uid="{E53CC9AF-0A23-4354-8B52-B6E6BE5907E3}"/>
    <cellStyle name="Normal 4" xfId="9" xr:uid="{0FF71697-986C-4AFE-9FE1-7161FFBC5B6C}"/>
    <cellStyle name="Normal 5" xfId="10" xr:uid="{E6EDB1DE-91E1-4E33-BE8B-FCA64F2153B2}"/>
    <cellStyle name="Normal 6" xfId="11" xr:uid="{A56AB11A-66C3-4084-B78C-8E5D674F821D}"/>
    <cellStyle name="Normal 7" xfId="12" xr:uid="{AE0559BA-B057-411E-AFE1-20E34F58471C}"/>
    <cellStyle name="Normal 8" xfId="13" xr:uid="{7E94E720-CDBF-4A8B-B710-E2D5D4DF6683}"/>
    <cellStyle name="Normal 9" xfId="4" xr:uid="{8147899A-BC60-458F-8487-07600F119225}"/>
    <cellStyle name="Porcentagem 2" xfId="15" xr:uid="{E6FDAFCD-D1C1-4095-9D94-40E0EA7AD48F}"/>
    <cellStyle name="Porcentagem 3" xfId="16" xr:uid="{452F4089-2512-48D3-A2E1-A66FD62ED4F7}"/>
    <cellStyle name="Porcentagem 4" xfId="17" xr:uid="{96799991-DDE3-46AA-A1E3-43A5DEA3074C}"/>
    <cellStyle name="Porcentagem 5" xfId="14" xr:uid="{9FA6FCE1-6278-4368-85A0-420F767EF137}"/>
    <cellStyle name="Título 1 1" xfId="18" xr:uid="{8FE2A94B-6571-4AB4-8457-859D92EB14CF}"/>
    <cellStyle name="Título 1 1 1" xfId="19" xr:uid="{5BF0307C-9E14-4407-BD0B-48F8AB4128E5}"/>
    <cellStyle name="Título 1 1 1 1" xfId="20" xr:uid="{4F2C0206-69B4-4FA8-A3A7-659845D74216}"/>
    <cellStyle name="Título 1 1 1 1 1" xfId="21" xr:uid="{0DFD1362-C530-4A0C-BEB3-A78E1C652B6D}"/>
    <cellStyle name="Título 1 1 1 1 1 1" xfId="22" xr:uid="{FC19FFF4-DB82-445C-B0DC-5555656CE406}"/>
    <cellStyle name="Título 5" xfId="23" xr:uid="{B9E0B046-9C7E-450F-A48A-A541A28A792D}"/>
    <cellStyle name="Título 6" xfId="24" xr:uid="{1D7AA221-C73B-4275-95EB-81E8F1FFADEC}"/>
    <cellStyle name="Vírgula 2" xfId="26" xr:uid="{95B3DB13-2CEA-4900-82FA-FE123DAB04FF}"/>
    <cellStyle name="Vírgula 3" xfId="27" xr:uid="{4EEE4386-58B7-4B56-9588-A0B53AEE00B5}"/>
    <cellStyle name="Vírgula 4" xfId="28" xr:uid="{BF49672E-6036-4AB9-887C-97338E674164}"/>
    <cellStyle name="Vírgula 4 2" xfId="30" xr:uid="{DB7BD224-8759-434D-8772-07B1BE1B9F64}"/>
    <cellStyle name="Vírgula 5" xfId="29" xr:uid="{FB9A5BE5-5C5C-4C51-92B7-0E7E956F00D3}"/>
    <cellStyle name="Vírgula 6" xfId="25" xr:uid="{F7D49A3D-7B97-4C78-B473-1E93B71D31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Agriculture_data!$K$3</c:f>
              <c:strCache>
                <c:ptCount val="1"/>
                <c:pt idx="0">
                  <c:v> CANA-DE-AÇÚCAR DESTINADA AO AÇÚCAR (Em mil 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Agriculture_data!$K$10:$M$11</c:f>
              <c:strCache>
                <c:ptCount val="3"/>
                <c:pt idx="0">
                  <c:v> Safra 2018/19 </c:v>
                </c:pt>
                <c:pt idx="1">
                  <c:v> Safra 2019/20 </c:v>
                </c:pt>
                <c:pt idx="2">
                  <c:v> Safra 2020/21* </c:v>
                </c:pt>
              </c:strCache>
            </c:strRef>
          </c:cat>
          <c:val>
            <c:numRef>
              <c:f>Agriculture_data!$K$6:$M$6</c:f>
              <c:numCache>
                <c:formatCode>_(* #,##0.0_);_(* \(#,##0.0\);_(* "-"?_);_(@_)</c:formatCode>
                <c:ptCount val="3"/>
                <c:pt idx="0">
                  <c:v>220211.71533556056</c:v>
                </c:pt>
                <c:pt idx="1">
                  <c:v>224549.95878576319</c:v>
                </c:pt>
                <c:pt idx="2">
                  <c:v>306686.72607596201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5-4198-BEC8-C04FF8B5E77E}"/>
            </c:ext>
          </c:extLst>
        </c:ser>
        <c:ser>
          <c:idx val="1"/>
          <c:order val="1"/>
          <c:tx>
            <c:strRef>
              <c:f>Agriculture_data!$K$9</c:f>
              <c:strCache>
                <c:ptCount val="1"/>
                <c:pt idx="0">
                  <c:v> CANA-DE-AÇÚCAR DESTINADA AO ETANOL TOTAL (Em mil 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Agriculture_data!$K$10:$M$11</c:f>
              <c:strCache>
                <c:ptCount val="3"/>
                <c:pt idx="0">
                  <c:v> Safra 2018/19 </c:v>
                </c:pt>
                <c:pt idx="1">
                  <c:v> Safra 2019/20 </c:v>
                </c:pt>
                <c:pt idx="2">
                  <c:v> Safra 2020/21* </c:v>
                </c:pt>
              </c:strCache>
            </c:strRef>
          </c:cat>
          <c:val>
            <c:numRef>
              <c:f>Agriculture_data!$K$12:$M$12</c:f>
              <c:numCache>
                <c:formatCode>_(* #,##0.0_);_(* \(#,##0.0\);_(* "-"?_);_(@_)</c:formatCode>
                <c:ptCount val="3"/>
                <c:pt idx="0">
                  <c:v>400223.67766443943</c:v>
                </c:pt>
                <c:pt idx="1">
                  <c:v>418167.81321423681</c:v>
                </c:pt>
                <c:pt idx="2">
                  <c:v>358418.29792403796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5-4198-BEC8-C04FF8B5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47504"/>
        <c:axId val="364758736"/>
      </c:barChart>
      <c:catAx>
        <c:axId val="364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758736"/>
        <c:crosses val="autoZero"/>
        <c:auto val="1"/>
        <c:lblAlgn val="ctr"/>
        <c:lblOffset val="100"/>
        <c:noMultiLvlLbl val="0"/>
      </c:catAx>
      <c:valAx>
        <c:axId val="3647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energy_matrix!$J$52</c:f>
              <c:strCache>
                <c:ptCount val="1"/>
                <c:pt idx="0">
                  <c:v>Renewability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energy_matrix!$I$53:$I$58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energy_matrix!$J$53:$J$58</c:f>
              <c:numCache>
                <c:formatCode>0.00</c:formatCode>
                <c:ptCount val="6"/>
                <c:pt idx="0">
                  <c:v>39.447449098113118</c:v>
                </c:pt>
                <c:pt idx="1">
                  <c:v>41.272763044253921</c:v>
                </c:pt>
                <c:pt idx="2">
                  <c:v>43.488964787877734</c:v>
                </c:pt>
                <c:pt idx="3">
                  <c:v>43.170744984893439</c:v>
                </c:pt>
                <c:pt idx="4">
                  <c:v>45.55003944725609</c:v>
                </c:pt>
                <c:pt idx="5">
                  <c:v>46.185808687380025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C-47CA-8312-A866663E7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561280"/>
        <c:axId val="1510749520"/>
      </c:lineChart>
      <c:catAx>
        <c:axId val="10185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749520"/>
        <c:crosses val="autoZero"/>
        <c:auto val="1"/>
        <c:lblAlgn val="ctr"/>
        <c:lblOffset val="100"/>
        <c:noMultiLvlLbl val="0"/>
      </c:catAx>
      <c:valAx>
        <c:axId val="15107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85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Agriculture_data!$N$3</c:f>
              <c:strCache>
                <c:ptCount val="1"/>
                <c:pt idx="0">
                  <c:v> AÇÚCAR (Em mil 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Agriculture_data!$N$10:$Q$11</c:f>
              <c:strCache>
                <c:ptCount val="3"/>
                <c:pt idx="0">
                  <c:v> Safra 2018/19 </c:v>
                </c:pt>
                <c:pt idx="1">
                  <c:v> Safra 2019/20 </c:v>
                </c:pt>
                <c:pt idx="2">
                  <c:v> Safra 2020/21* </c:v>
                </c:pt>
              </c:strCache>
            </c:strRef>
          </c:cat>
          <c:val>
            <c:numRef>
              <c:f>Agriculture_data!$N$6:$Q$6</c:f>
              <c:numCache>
                <c:formatCode>_(* #,##0.0_);_(* \(#,##0.0\);_(* "-"?_);_(@_)</c:formatCode>
                <c:ptCount val="4"/>
                <c:pt idx="0">
                  <c:v>29038.334999999999</c:v>
                </c:pt>
                <c:pt idx="1">
                  <c:v>29795.699510000002</c:v>
                </c:pt>
                <c:pt idx="2">
                  <c:v>41844.5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D-4397-AB99-FCD00996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9922720"/>
        <c:axId val="1799924384"/>
      </c:barChart>
      <c:scatterChart>
        <c:scatterStyle val="smoothMarker"/>
        <c:varyColors val="0"/>
        <c:ser>
          <c:idx val="1"/>
          <c:order val="1"/>
          <c:tx>
            <c:strRef>
              <c:f>Agriculture_data!$N$9</c:f>
              <c:strCache>
                <c:ptCount val="1"/>
                <c:pt idx="0">
                  <c:v> ETANOL TOTAL (Em mil l)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Agriculture_data!$N$10:$Q$11</c:f>
              <c:strCache>
                <c:ptCount val="3"/>
                <c:pt idx="0">
                  <c:v> Safra 2018/19 </c:v>
                </c:pt>
                <c:pt idx="1">
                  <c:v> Safra 2019/20 </c:v>
                </c:pt>
                <c:pt idx="2">
                  <c:v> Safra 2020/21* </c:v>
                </c:pt>
              </c:strCache>
            </c:strRef>
          </c:xVal>
          <c:yVal>
            <c:numRef>
              <c:f>Agriculture_data!$N$12:$Q$12</c:f>
              <c:numCache>
                <c:formatCode>_(* #,##0.0_);_(* \(#,##0.0\);_(* "-"?_);_(@_)</c:formatCode>
                <c:ptCount val="4"/>
                <c:pt idx="0">
                  <c:v>32351643</c:v>
                </c:pt>
                <c:pt idx="1">
                  <c:v>34001617.75</c:v>
                </c:pt>
                <c:pt idx="2">
                  <c:v>29830045.100000001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ED-4397-AB99-FCD00996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23136"/>
        <c:axId val="1799923552"/>
      </c:scatterChart>
      <c:catAx>
        <c:axId val="17999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924384"/>
        <c:crosses val="autoZero"/>
        <c:auto val="1"/>
        <c:lblAlgn val="ctr"/>
        <c:lblOffset val="100"/>
        <c:noMultiLvlLbl val="0"/>
      </c:catAx>
      <c:valAx>
        <c:axId val="17999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Sugar prod</a:t>
                </a:r>
                <a:r>
                  <a:rPr lang="pt-BR" baseline="0"/>
                  <a:t> (mil t)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9182879377431907E-2"/>
              <c:y val="0.338785395727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_);_(* \(#,##0.0\);_(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922720"/>
        <c:crosses val="autoZero"/>
        <c:crossBetween val="between"/>
      </c:valAx>
      <c:valAx>
        <c:axId val="1799923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EtOH prod</a:t>
                </a:r>
                <a:r>
                  <a:rPr lang="pt-BR" baseline="0"/>
                  <a:t> (mil L)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_);_(* \(#,##0.0\);_(* &quot;-&quot;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923136"/>
        <c:crosses val="max"/>
        <c:crossBetween val="midCat"/>
      </c:valAx>
      <c:valAx>
        <c:axId val="1799923136"/>
        <c:scaling>
          <c:orientation val="minMax"/>
        </c:scaling>
        <c:delete val="1"/>
        <c:axPos val="b"/>
        <c:numFmt formatCode="ge\r\a\l" sourceLinked="1"/>
        <c:majorTickMark val="out"/>
        <c:minorTickMark val="none"/>
        <c:tickLblPos val="nextTo"/>
        <c:crossAx val="17999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biofuels_annual_production!$A$7</c:f>
              <c:strCache>
                <c:ptCount val="1"/>
                <c:pt idx="0">
                  <c:v>Anyhydrous ethanol (ML)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biofuels_annual_production!$B$3:$D$3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2021* (até fev)</c:v>
                </c:pt>
              </c:strCache>
            </c:strRef>
          </c:cat>
          <c:val>
            <c:numRef>
              <c:f>biofuels_annual_production!$B$7:$D$7</c:f>
              <c:numCache>
                <c:formatCode>General</c:formatCode>
                <c:ptCount val="3"/>
                <c:pt idx="0">
                  <c:v>10400</c:v>
                </c:pt>
                <c:pt idx="1">
                  <c:v>10200</c:v>
                </c:pt>
                <c:pt idx="2">
                  <c:v>229.8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7-4295-9910-0EFC8909CC24}"/>
            </c:ext>
          </c:extLst>
        </c:ser>
        <c:ser>
          <c:idx val="1"/>
          <c:order val="1"/>
          <c:tx>
            <c:strRef>
              <c:f>biofuels_annual_production!$A$8</c:f>
              <c:strCache>
                <c:ptCount val="1"/>
                <c:pt idx="0">
                  <c:v>Hydrated ethanol (ML)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biofuels_annual_production!$B$8:$D$8</c:f>
              <c:numCache>
                <c:formatCode>General</c:formatCode>
                <c:ptCount val="3"/>
                <c:pt idx="0">
                  <c:v>24900</c:v>
                </c:pt>
                <c:pt idx="1">
                  <c:v>22600</c:v>
                </c:pt>
                <c:pt idx="2">
                  <c:v>591.9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7-4295-9910-0EFC8909CC24}"/>
            </c:ext>
          </c:extLst>
        </c:ser>
        <c:ser>
          <c:idx val="2"/>
          <c:order val="2"/>
          <c:tx>
            <c:v>TOTAL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biofuels_annual_production!$B$9:$D$9</c:f>
              <c:numCache>
                <c:formatCode>General</c:formatCode>
                <c:ptCount val="3"/>
                <c:pt idx="0">
                  <c:v>35300</c:v>
                </c:pt>
                <c:pt idx="1">
                  <c:v>32800</c:v>
                </c:pt>
                <c:pt idx="2">
                  <c:v>821.7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7-4295-9910-0EFC8909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989360"/>
        <c:axId val="931900256"/>
      </c:barChart>
      <c:catAx>
        <c:axId val="8769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900256"/>
        <c:crosses val="autoZero"/>
        <c:auto val="1"/>
        <c:lblAlgn val="ctr"/>
        <c:lblOffset val="100"/>
        <c:noMultiLvlLbl val="0"/>
      </c:catAx>
      <c:valAx>
        <c:axId val="9319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Milion liters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9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607424071991001E-2"/>
          <c:y val="7.7134986225895319E-2"/>
          <c:w val="0.95358649789029537"/>
          <c:h val="0.75275417019153601"/>
        </c:manualLayout>
      </c:layout>
      <c:ofPieChart>
        <c:ofPieType val="bar"/>
        <c:varyColors val="1"/>
        <c:ser>
          <c:idx val="0"/>
          <c:order val="0"/>
          <c:explosion val="2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C7-44BA-A915-36125FEDE0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C7-44BA-A915-36125FEDE0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58-42C3-8401-E664784133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58-42C3-8401-E664784133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58-42C3-8401-E664784133C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58-42C3-8401-E664784133C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8C7-44BA-A915-36125FEDE0A0}"/>
              </c:ext>
            </c:extLst>
          </c:dPt>
          <c:dLbls>
            <c:dLbl>
              <c:idx val="1"/>
              <c:layout>
                <c:manualLayout>
                  <c:x val="-0.1331534270241537"/>
                  <c:y val="-7.94373224008156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C7-44BA-A915-36125FEDE0A0}"/>
                </c:ext>
              </c:extLst>
            </c:dLbl>
            <c:dLbl>
              <c:idx val="2"/>
              <c:layout>
                <c:manualLayout>
                  <c:x val="1.8745307153061563E-2"/>
                  <c:y val="1.43059803474978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58-42C3-8401-E664784133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biofuels_annual_production!$A$17:$A$21</c:f>
              <c:strCache>
                <c:ptCount val="5"/>
                <c:pt idx="0">
                  <c:v>sugarcane</c:v>
                </c:pt>
                <c:pt idx="1">
                  <c:v>bagasse or straw</c:v>
                </c:pt>
                <c:pt idx="2">
                  <c:v>molasses</c:v>
                </c:pt>
                <c:pt idx="3">
                  <c:v>corn</c:v>
                </c:pt>
                <c:pt idx="4">
                  <c:v>other rawmaterials</c:v>
                </c:pt>
              </c:strCache>
            </c:strRef>
          </c:cat>
          <c:val>
            <c:numRef>
              <c:f>biofuels_annual_production!$B$17:$B$21</c:f>
              <c:numCache>
                <c:formatCode>#,##0</c:formatCode>
                <c:ptCount val="5"/>
                <c:pt idx="0">
                  <c:v>383341806</c:v>
                </c:pt>
                <c:pt idx="1">
                  <c:v>81337</c:v>
                </c:pt>
                <c:pt idx="2" formatCode="#,##0.00">
                  <c:v>4834534</c:v>
                </c:pt>
                <c:pt idx="3">
                  <c:v>3381197</c:v>
                </c:pt>
                <c:pt idx="4">
                  <c:v>1855983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42C3-8401-E664784133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66"/>
        <c:splitType val="percent"/>
        <c:splitPos val="1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2020</a:t>
            </a:r>
          </a:p>
        </c:rich>
      </c:tx>
      <c:layout>
        <c:manualLayout>
          <c:xMode val="edge"/>
          <c:yMode val="edge"/>
          <c:x val="0.48364839319470693"/>
          <c:y val="3.3277870216306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6509622343718665E-2"/>
          <c:y val="7.239904871046049E-2"/>
          <c:w val="0.93068683049779455"/>
          <c:h val="0.75110860726435813"/>
        </c:manualLayout>
      </c:layout>
      <c:ofPieChart>
        <c:ofPieType val="bar"/>
        <c:varyColors val="1"/>
        <c:ser>
          <c:idx val="0"/>
          <c:order val="0"/>
          <c:explosion val="2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7-4659-96F2-082F71E596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D-4A75-BDB8-A38DD98AA9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4D-4A75-BDB8-A38DD98AA9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D-4A75-BDB8-A38DD98AA9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4D-4A75-BDB8-A38DD98AA92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747-4659-96F2-082F71E59643}"/>
              </c:ext>
            </c:extLst>
          </c:dPt>
          <c:dLbls>
            <c:dLbl>
              <c:idx val="1"/>
              <c:layout>
                <c:manualLayout>
                  <c:x val="-0.14477695250286543"/>
                  <c:y val="-7.276455251745779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4D-4A75-BDB8-A38DD98AA923}"/>
                </c:ext>
              </c:extLst>
            </c:dLbl>
            <c:dLbl>
              <c:idx val="2"/>
              <c:layout>
                <c:manualLayout>
                  <c:x val="2.5355372638911629E-2"/>
                  <c:y val="-0.243249003192404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4D-4A75-BDB8-A38DD98AA923}"/>
                </c:ext>
              </c:extLst>
            </c:dLbl>
            <c:dLbl>
              <c:idx val="3"/>
              <c:layout>
                <c:manualLayout>
                  <c:x val="2.5355372638911629E-2"/>
                  <c:y val="-4.71161362733152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4D-4A75-BDB8-A38DD98AA923}"/>
                </c:ext>
              </c:extLst>
            </c:dLbl>
            <c:dLbl>
              <c:idx val="4"/>
              <c:layout>
                <c:manualLayout>
                  <c:x val="9.6023795702285791E-3"/>
                  <c:y val="2.02890196129809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4D-4A75-BDB8-A38DD98AA9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biofuels_annual_production!$A$17:$A$21</c:f>
              <c:strCache>
                <c:ptCount val="5"/>
                <c:pt idx="0">
                  <c:v>sugarcane</c:v>
                </c:pt>
                <c:pt idx="1">
                  <c:v>bagasse or straw</c:v>
                </c:pt>
                <c:pt idx="2">
                  <c:v>molasses</c:v>
                </c:pt>
                <c:pt idx="3">
                  <c:v>corn</c:v>
                </c:pt>
                <c:pt idx="4">
                  <c:v>other rawmaterials</c:v>
                </c:pt>
              </c:strCache>
            </c:strRef>
          </c:cat>
          <c:val>
            <c:numRef>
              <c:f>biofuels_annual_production!$C$17:$C$21</c:f>
              <c:numCache>
                <c:formatCode>#,##0</c:formatCode>
                <c:ptCount val="5"/>
                <c:pt idx="0">
                  <c:v>329664977</c:v>
                </c:pt>
                <c:pt idx="1">
                  <c:v>34997</c:v>
                </c:pt>
                <c:pt idx="2">
                  <c:v>9953520</c:v>
                </c:pt>
                <c:pt idx="3">
                  <c:v>5777533</c:v>
                </c:pt>
                <c:pt idx="4">
                  <c:v>104512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D-4A75-BDB8-A38DD98AA9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biofuels_annual_production!$B$30:$F$30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2021* (até mar)</c:v>
                </c:pt>
              </c:strCache>
            </c:strRef>
          </c:cat>
          <c:val>
            <c:numRef>
              <c:f>biofuels_annual_production!$B$32:$F$32</c:f>
              <c:numCache>
                <c:formatCode>0.0</c:formatCode>
                <c:ptCount val="5"/>
                <c:pt idx="0">
                  <c:v>4289.84</c:v>
                </c:pt>
                <c:pt idx="1">
                  <c:v>5336.5280000000002</c:v>
                </c:pt>
                <c:pt idx="2">
                  <c:v>5902.4609999999993</c:v>
                </c:pt>
                <c:pt idx="3">
                  <c:v>6432.009</c:v>
                </c:pt>
                <c:pt idx="4">
                  <c:v>1668.2220000000002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1-49FE-B104-F4536688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76656"/>
        <c:axId val="143974160"/>
      </c:barChart>
      <c:catAx>
        <c:axId val="1439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974160"/>
        <c:crosses val="autoZero"/>
        <c:auto val="1"/>
        <c:lblAlgn val="ctr"/>
        <c:lblOffset val="100"/>
        <c:noMultiLvlLbl val="0"/>
      </c:catAx>
      <c:valAx>
        <c:axId val="1439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Milion liters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9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8-48CD-8B51-F12890A0DD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8-48CD-8B51-F12890A0DD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78-48CD-8B51-F12890A0DD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78-48CD-8B51-F12890A0DD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78-48CD-8B51-F12890A0DD2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78-48CD-8B51-F12890A0DD2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78-48CD-8B51-F12890A0DD2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78-48CD-8B51-F12890A0DD2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78-48CD-8B51-F12890A0DD2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78-48CD-8B51-F12890A0DD2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78-48CD-8B51-F12890A0DD20}"/>
              </c:ext>
            </c:extLst>
          </c:dPt>
          <c:cat>
            <c:strRef>
              <c:f>(biofuels_annual_production!$A$38:$A$40,biofuels_annual_production!$A$43:$A$49)</c:f>
              <c:strCache>
                <c:ptCount val="10"/>
                <c:pt idx="0">
                  <c:v>Óleo de Soja</c:v>
                </c:pt>
                <c:pt idx="1">
                  <c:v>Óleo de Palma</c:v>
                </c:pt>
                <c:pt idx="2">
                  <c:v>Óleo de Algodão</c:v>
                </c:pt>
                <c:pt idx="3">
                  <c:v>Óleo de Canola</c:v>
                </c:pt>
                <c:pt idx="4">
                  <c:v>Sebo</c:v>
                </c:pt>
                <c:pt idx="5">
                  <c:v>Outros Materiais Graxos</c:v>
                </c:pt>
                <c:pt idx="6">
                  <c:v>Gordura de Frango</c:v>
                </c:pt>
                <c:pt idx="7">
                  <c:v>Gordura de Porco</c:v>
                </c:pt>
                <c:pt idx="8">
                  <c:v>Óleo de Fritura Usado</c:v>
                </c:pt>
                <c:pt idx="9">
                  <c:v>Óleo de milho</c:v>
                </c:pt>
              </c:strCache>
            </c:strRef>
          </c:cat>
          <c:val>
            <c:numRef>
              <c:f>(biofuels_annual_production!$D$38:$D$40,biofuels_annual_production!$D$43:$D$49)</c:f>
              <c:numCache>
                <c:formatCode>#,##0</c:formatCode>
                <c:ptCount val="10"/>
                <c:pt idx="0">
                  <c:v>4093319</c:v>
                </c:pt>
                <c:pt idx="1">
                  <c:v>120750</c:v>
                </c:pt>
                <c:pt idx="2">
                  <c:v>66879</c:v>
                </c:pt>
                <c:pt idx="3">
                  <c:v>3135</c:v>
                </c:pt>
                <c:pt idx="4">
                  <c:v>681539</c:v>
                </c:pt>
                <c:pt idx="5">
                  <c:v>675118</c:v>
                </c:pt>
                <c:pt idx="6">
                  <c:v>34335</c:v>
                </c:pt>
                <c:pt idx="7">
                  <c:v>115294</c:v>
                </c:pt>
                <c:pt idx="8">
                  <c:v>92634</c:v>
                </c:pt>
                <c:pt idx="9">
                  <c:v>158386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9-4389-A397-4B427EDE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88-4AC4-8425-AC53AD8EB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88-4AC4-8425-AC53AD8EBF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88-4AC4-8425-AC53AD8EBF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88-4AC4-8425-AC53AD8EBFA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88-4AC4-8425-AC53AD8EBFA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88-4AC4-8425-AC53AD8EBFA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88-4AC4-8425-AC53AD8EBFA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88-4AC4-8425-AC53AD8EBFA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188-4AC4-8425-AC53AD8EBFA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188-4AC4-8425-AC53AD8EBFA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188-4AC4-8425-AC53AD8EBFA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188-4AC4-8425-AC53AD8EBFA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188-4AC4-8425-AC53AD8EBFA8}"/>
              </c:ext>
            </c:extLst>
          </c:dPt>
          <c:cat>
            <c:strRef>
              <c:f>biofuels_annual_production!$A$38:$A$49</c:f>
              <c:strCache>
                <c:ptCount val="12"/>
                <c:pt idx="0">
                  <c:v>Óleo de Soja</c:v>
                </c:pt>
                <c:pt idx="1">
                  <c:v>Óleo de Palma</c:v>
                </c:pt>
                <c:pt idx="2">
                  <c:v>Óleo de Algodão</c:v>
                </c:pt>
                <c:pt idx="3">
                  <c:v>Óleo de Palmiste</c:v>
                </c:pt>
                <c:pt idx="4">
                  <c:v>Óleo de Girassol</c:v>
                </c:pt>
                <c:pt idx="5">
                  <c:v>Óleo de Canola</c:v>
                </c:pt>
                <c:pt idx="6">
                  <c:v>Sebo</c:v>
                </c:pt>
                <c:pt idx="7">
                  <c:v>Outros Materiais Graxos</c:v>
                </c:pt>
                <c:pt idx="8">
                  <c:v>Gordura de Frango</c:v>
                </c:pt>
                <c:pt idx="9">
                  <c:v>Gordura de Porco</c:v>
                </c:pt>
                <c:pt idx="10">
                  <c:v>Óleo de Fritura Usado</c:v>
                </c:pt>
                <c:pt idx="11">
                  <c:v>Óleo de milho</c:v>
                </c:pt>
              </c:strCache>
            </c:strRef>
          </c:cat>
          <c:val>
            <c:numRef>
              <c:f>biofuels_annual_production!$E$38:$E$49</c:f>
              <c:numCache>
                <c:formatCode>#,##0</c:formatCode>
                <c:ptCount val="12"/>
                <c:pt idx="0">
                  <c:v>4621448</c:v>
                </c:pt>
                <c:pt idx="1">
                  <c:v>166182</c:v>
                </c:pt>
                <c:pt idx="2">
                  <c:v>108368</c:v>
                </c:pt>
                <c:pt idx="3" formatCode="General">
                  <c:v>338</c:v>
                </c:pt>
                <c:pt idx="4">
                  <c:v>1142</c:v>
                </c:pt>
                <c:pt idx="5">
                  <c:v>3767</c:v>
                </c:pt>
                <c:pt idx="6">
                  <c:v>576177</c:v>
                </c:pt>
                <c:pt idx="7">
                  <c:v>746445</c:v>
                </c:pt>
                <c:pt idx="8">
                  <c:v>40424</c:v>
                </c:pt>
                <c:pt idx="9">
                  <c:v>130419</c:v>
                </c:pt>
                <c:pt idx="10">
                  <c:v>79604</c:v>
                </c:pt>
                <c:pt idx="11">
                  <c:v>14866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5EE-8591-306A91A2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Anhydrous ethanol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economic!$N$54</c:f>
              <c:numCache>
                <c:formatCode>0.000</c:formatCode>
                <c:ptCount val="1"/>
                <c:pt idx="0">
                  <c:v>0.48792156862745101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F-423F-B7C2-686896B1AE2B}"/>
            </c:ext>
          </c:extLst>
        </c:ser>
        <c:ser>
          <c:idx val="1"/>
          <c:order val="1"/>
          <c:tx>
            <c:v>Hydrated ethanol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economic!$E$55</c:f>
              <c:numCache>
                <c:formatCode>0.000</c:formatCode>
                <c:ptCount val="1"/>
                <c:pt idx="0">
                  <c:v>0.44378269230769229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F-423F-B7C2-686896B1AE2B}"/>
            </c:ext>
          </c:extLst>
        </c:ser>
        <c:ser>
          <c:idx val="2"/>
          <c:order val="2"/>
          <c:tx>
            <c:v>Gasoline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economic!$J$26</c:f>
              <c:numCache>
                <c:formatCode>0.000</c:formatCode>
                <c:ptCount val="1"/>
                <c:pt idx="0">
                  <c:v>1.1160000000000001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F-423F-B7C2-686896B1AE2B}"/>
            </c:ext>
          </c:extLst>
        </c:ser>
        <c:ser>
          <c:idx val="3"/>
          <c:order val="3"/>
          <c:tx>
            <c:v>Diesel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economic!$J$29</c:f>
              <c:numCache>
                <c:formatCode>0.000</c:formatCode>
                <c:ptCount val="1"/>
                <c:pt idx="0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F-423F-B7C2-686896B1AE2B}"/>
            </c:ext>
          </c:extLst>
        </c:ser>
        <c:ser>
          <c:idx val="4"/>
          <c:order val="4"/>
          <c:tx>
            <c:v>Biodiesel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economic!$S$64</c:f>
              <c:numCache>
                <c:formatCode>0.000</c:formatCode>
                <c:ptCount val="1"/>
                <c:pt idx="0">
                  <c:v>0.66791612435027636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5F-423F-B7C2-686896B1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19008"/>
        <c:axId val="148821920"/>
      </c:barChart>
      <c:catAx>
        <c:axId val="148819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821920"/>
        <c:crosses val="autoZero"/>
        <c:auto val="1"/>
        <c:lblAlgn val="ctr"/>
        <c:lblOffset val="100"/>
        <c:noMultiLvlLbl val="0"/>
      </c:catAx>
      <c:valAx>
        <c:axId val="1488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US$/L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13</xdr:row>
      <xdr:rowOff>53340</xdr:rowOff>
    </xdr:from>
    <xdr:to>
      <xdr:col>14</xdr:col>
      <xdr:colOff>784860</xdr:colOff>
      <xdr:row>24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D650E3-0F51-46CA-9126-6D2330151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12</xdr:row>
      <xdr:rowOff>106680</xdr:rowOff>
    </xdr:from>
    <xdr:to>
      <xdr:col>21</xdr:col>
      <xdr:colOff>381000</xdr:colOff>
      <xdr:row>24</xdr:row>
      <xdr:rowOff>102870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B99B1F1D-95BB-44BC-A856-6380B04CE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0</xdr:rowOff>
    </xdr:from>
    <xdr:to>
      <xdr:col>11</xdr:col>
      <xdr:colOff>457200</xdr:colOff>
      <xdr:row>11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169459-B69A-478B-9BDC-138F70D6F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13</xdr:row>
      <xdr:rowOff>118110</xdr:rowOff>
    </xdr:from>
    <xdr:to>
      <xdr:col>13</xdr:col>
      <xdr:colOff>76200</xdr:colOff>
      <xdr:row>25</xdr:row>
      <xdr:rowOff>114300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59E1D545-BA4A-4878-AF08-B5DA237C6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13</xdr:row>
      <xdr:rowOff>133350</xdr:rowOff>
    </xdr:from>
    <xdr:to>
      <xdr:col>20</xdr:col>
      <xdr:colOff>381000</xdr:colOff>
      <xdr:row>25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68E268-FF33-44C5-817E-5479B3AB1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27</xdr:row>
      <xdr:rowOff>72390</xdr:rowOff>
    </xdr:from>
    <xdr:to>
      <xdr:col>13</xdr:col>
      <xdr:colOff>38100</xdr:colOff>
      <xdr:row>37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3A33E2-0B69-43C3-82DD-F36A7DD26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586740</xdr:colOff>
      <xdr:row>37</xdr:row>
      <xdr:rowOff>19050</xdr:rowOff>
    </xdr:from>
    <xdr:to>
      <xdr:col>13</xdr:col>
      <xdr:colOff>922020</xdr:colOff>
      <xdr:row>50</xdr:row>
      <xdr:rowOff>110490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4A3B83B-835A-4400-B010-420FF8D49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1173480</xdr:colOff>
      <xdr:row>36</xdr:row>
      <xdr:rowOff>201930</xdr:rowOff>
    </xdr:from>
    <xdr:to>
      <xdr:col>18</xdr:col>
      <xdr:colOff>281940</xdr:colOff>
      <xdr:row>50</xdr:row>
      <xdr:rowOff>87630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15E9BE-EDD6-4DB8-B522-8915DA840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33</xdr:row>
      <xdr:rowOff>194310</xdr:rowOff>
    </xdr:from>
    <xdr:to>
      <xdr:col>10</xdr:col>
      <xdr:colOff>617220</xdr:colOff>
      <xdr:row>47</xdr:row>
      <xdr:rowOff>163830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5EB63C-824C-4709-8737-BB11CBCB3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1</xdr:row>
      <xdr:rowOff>7620</xdr:rowOff>
    </xdr:from>
    <xdr:to>
      <xdr:col>20</xdr:col>
      <xdr:colOff>219890</xdr:colOff>
      <xdr:row>10</xdr:row>
      <xdr:rowOff>9087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48C9DBF-3030-44FE-970A-EAF72C87F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17780" y="213360"/>
          <a:ext cx="3191690" cy="1792167"/>
        </a:xfrm>
        <a:prstGeom prst="rect">
          <a:avLst/>
        </a:prstGeom>
      </xdr:spPr>
    </xdr:pic>
    <xdr:clientData/>
  </xdr:twoCellAnchor>
  <xdr:twoCellAnchor editAs="oneCell">
    <xdr:from>
      <xdr:col>15</xdr:col>
      <xdr:colOff>77438</xdr:colOff>
      <xdr:row>10</xdr:row>
      <xdr:rowOff>7619</xdr:rowOff>
    </xdr:from>
    <xdr:to>
      <xdr:col>20</xdr:col>
      <xdr:colOff>243839</xdr:colOff>
      <xdr:row>19</xdr:row>
      <xdr:rowOff>4880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222AC16-CE7E-4D42-8A0D-B3BF7138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19018" y="2004059"/>
          <a:ext cx="3214401" cy="1787961"/>
        </a:xfrm>
        <a:prstGeom prst="rect">
          <a:avLst/>
        </a:prstGeom>
      </xdr:spPr>
    </xdr:pic>
    <xdr:clientData/>
  </xdr:twoCellAnchor>
  <xdr:twoCellAnchor editAs="oneCell">
    <xdr:from>
      <xdr:col>15</xdr:col>
      <xdr:colOff>68581</xdr:colOff>
      <xdr:row>19</xdr:row>
      <xdr:rowOff>7621</xdr:rowOff>
    </xdr:from>
    <xdr:to>
      <xdr:col>20</xdr:col>
      <xdr:colOff>259081</xdr:colOff>
      <xdr:row>28</xdr:row>
      <xdr:rowOff>6091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3737E8E-0054-4EC3-A93A-65B1A5411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10161" y="3794761"/>
          <a:ext cx="3238500" cy="177393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28</xdr:row>
      <xdr:rowOff>0</xdr:rowOff>
    </xdr:from>
    <xdr:to>
      <xdr:col>20</xdr:col>
      <xdr:colOff>251460</xdr:colOff>
      <xdr:row>36</xdr:row>
      <xdr:rowOff>200913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14D6591-6E27-4284-BC9C-44DF20B2C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17780" y="5562600"/>
          <a:ext cx="3223260" cy="1770633"/>
        </a:xfrm>
        <a:prstGeom prst="rect">
          <a:avLst/>
        </a:prstGeom>
      </xdr:spPr>
    </xdr:pic>
    <xdr:clientData/>
  </xdr:twoCellAnchor>
  <xdr:twoCellAnchor editAs="oneCell">
    <xdr:from>
      <xdr:col>0</xdr:col>
      <xdr:colOff>746760</xdr:colOff>
      <xdr:row>31</xdr:row>
      <xdr:rowOff>30480</xdr:rowOff>
    </xdr:from>
    <xdr:to>
      <xdr:col>6</xdr:col>
      <xdr:colOff>913217</xdr:colOff>
      <xdr:row>43</xdr:row>
      <xdr:rowOff>59680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CF2612E-04B2-4AB1-9797-FC14F6DAE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6760" y="6202680"/>
          <a:ext cx="7573097" cy="2322820"/>
        </a:xfrm>
        <a:prstGeom prst="rect">
          <a:avLst/>
        </a:prstGeom>
      </xdr:spPr>
    </xdr:pic>
    <xdr:clientData/>
  </xdr:twoCellAnchor>
  <xdr:twoCellAnchor>
    <xdr:from>
      <xdr:col>7</xdr:col>
      <xdr:colOff>342900</xdr:colOff>
      <xdr:row>58</xdr:row>
      <xdr:rowOff>163830</xdr:rowOff>
    </xdr:from>
    <xdr:to>
      <xdr:col>11</xdr:col>
      <xdr:colOff>434340</xdr:colOff>
      <xdr:row>72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5FFBF0-F13C-4583-A6EF-2B0C0834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243840</xdr:colOff>
      <xdr:row>9</xdr:row>
      <xdr:rowOff>15240</xdr:rowOff>
    </xdr:from>
    <xdr:to>
      <xdr:col>13</xdr:col>
      <xdr:colOff>1211580</xdr:colOff>
      <xdr:row>11</xdr:row>
      <xdr:rowOff>88930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DF5E1F-9C1B-4CCA-9FEB-485216850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1905000"/>
          <a:ext cx="3535680" cy="48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243840</xdr:colOff>
      <xdr:row>19</xdr:row>
      <xdr:rowOff>91440</xdr:rowOff>
    </xdr:from>
    <xdr:to>
      <xdr:col>14</xdr:col>
      <xdr:colOff>434340</xdr:colOff>
      <xdr:row>22</xdr:row>
      <xdr:rowOff>193375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83D532-A216-4E21-BEFF-8A811BA77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9960" y="4091940"/>
          <a:ext cx="3436620" cy="719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358140</xdr:colOff>
      <xdr:row>53</xdr:row>
      <xdr:rowOff>30480</xdr:rowOff>
    </xdr:from>
    <xdr:to>
      <xdr:col>8</xdr:col>
      <xdr:colOff>510540</xdr:colOff>
      <xdr:row>55</xdr:row>
      <xdr:rowOff>149890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2302BBF-B926-4F54-9A73-783CF7C51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5060" y="8100060"/>
          <a:ext cx="3535680" cy="48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563880</xdr:colOff>
      <xdr:row>62</xdr:row>
      <xdr:rowOff>0</xdr:rowOff>
    </xdr:from>
    <xdr:to>
      <xdr:col>8</xdr:col>
      <xdr:colOff>617220</xdr:colOff>
      <xdr:row>65</xdr:row>
      <xdr:rowOff>109555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C426D03-B540-4643-A72A-BCFF6D6E2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4580" y="9814560"/>
          <a:ext cx="3436620" cy="719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sisdep.conab.gov.br/precosiagroweb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onab.gov.br/info-agro/safras/cana/boletim-da-safra-de-cana-de-acucar" TargetMode="External"/><Relationship Id="rId1" Type="http://schemas.openxmlformats.org/officeDocument/2006/relationships/hyperlink" Target="https://portaldeinformacoes.conab.gov.br/safra-serie-historica-cana-de-acucar.html" TargetMode="External"/><Relationship Id="rId6" Type="http://schemas.openxmlformats.org/officeDocument/2006/relationships/hyperlink" Target="https://portaldeinformacoes.conab.gov.br/safra-serie-historica-graos.html" TargetMode="External"/><Relationship Id="rId5" Type="http://schemas.openxmlformats.org/officeDocument/2006/relationships/hyperlink" Target="http://sisdep.conab.gov.br/precosiagroweb/" TargetMode="External"/><Relationship Id="rId4" Type="http://schemas.openxmlformats.org/officeDocument/2006/relationships/hyperlink" Target="https://portaldeinformacoes.conab.gov.br/safra-serie-historica-grao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powerbi.com/view?r=eyJrIjoiOTlkODYyODctMGJjNS00MGIyLWJmMWItNGJlNDg0ZTg5NjBlIiwidCI6IjQ0OTlmNGZmLTI0YTYtNGI0Mi1iN2VmLTEyNGFmY2FkYzkxMyJ9&amp;pageName=ReportSection8aa0cee5b2b8a941e5e0%22" TargetMode="External"/><Relationship Id="rId2" Type="http://schemas.openxmlformats.org/officeDocument/2006/relationships/hyperlink" Target="https://www.conab.gov.br/info-agro/safras/cana/boletim-da-safra-de-cana-de-acucar" TargetMode="External"/><Relationship Id="rId1" Type="http://schemas.openxmlformats.org/officeDocument/2006/relationships/hyperlink" Target="https://app.powerbi.com/view?r=eyJrIjoiZWU1MTc0ZjYtMjVhYi00YTEwLWJhODMtODQ0MDdhNmJiMWYwIiwidCI6IjQ0OTlmNGZmLTI0YTYtNGI0Mi1iN2VmLTEyNGFmY2FkYzkxMyJ9&amp;pageName=ReportSection8aa0cee5b2b8a941e5e0%22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cepalstat-prod.cepal.org/cepalstat/tabulador/ConsultaIntegrada.asp?idIndicador=1352&amp;idioma=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6038-3590-457B-AC61-51F3B95DB445}">
  <dimension ref="A1:W74"/>
  <sheetViews>
    <sheetView topLeftCell="A46" workbookViewId="0">
      <selection activeCell="D53" sqref="D53"/>
    </sheetView>
  </sheetViews>
  <sheetFormatPr defaultRowHeight="14.4" x14ac:dyDescent="0.3"/>
  <cols>
    <col min="1" max="1" width="13.77734375" bestFit="1" customWidth="1"/>
    <col min="2" max="2" width="22.109375" bestFit="1" customWidth="1"/>
    <col min="3" max="3" width="16" bestFit="1" customWidth="1"/>
    <col min="4" max="4" width="18.5546875" bestFit="1" customWidth="1"/>
    <col min="6" max="6" width="33.6640625" customWidth="1"/>
    <col min="7" max="7" width="33.44140625" bestFit="1" customWidth="1"/>
    <col min="8" max="8" width="31.33203125" customWidth="1"/>
    <col min="9" max="9" width="15.6640625" bestFit="1" customWidth="1"/>
    <col min="10" max="10" width="11.5546875" bestFit="1" customWidth="1"/>
    <col min="11" max="11" width="14.5546875" customWidth="1"/>
    <col min="12" max="12" width="13.33203125" bestFit="1" customWidth="1"/>
    <col min="13" max="13" width="13.109375" customWidth="1"/>
    <col min="14" max="14" width="13.77734375" customWidth="1"/>
    <col min="15" max="15" width="13.33203125" customWidth="1"/>
    <col min="16" max="16" width="9.21875" customWidth="1"/>
    <col min="17" max="17" width="7.21875" customWidth="1"/>
  </cols>
  <sheetData>
    <row r="1" spans="1:23" ht="21.6" thickBot="1" x14ac:dyDescent="0.45">
      <c r="A1" s="133" t="s">
        <v>0</v>
      </c>
      <c r="B1" s="43"/>
      <c r="C1" s="43"/>
      <c r="D1" s="43"/>
      <c r="E1" s="43"/>
      <c r="F1" s="133" t="s">
        <v>334</v>
      </c>
      <c r="G1" s="328" t="s">
        <v>38</v>
      </c>
      <c r="H1" s="328"/>
      <c r="I1" s="328"/>
      <c r="J1" s="44"/>
      <c r="K1" s="126" t="s">
        <v>255</v>
      </c>
      <c r="L1" s="127"/>
      <c r="M1" s="128" t="s">
        <v>22</v>
      </c>
      <c r="N1" s="129" t="s">
        <v>263</v>
      </c>
      <c r="O1" s="43"/>
      <c r="P1" s="43" t="s">
        <v>273</v>
      </c>
      <c r="Q1" s="43"/>
      <c r="R1" s="43"/>
      <c r="S1" s="43"/>
      <c r="T1" s="43"/>
      <c r="U1" s="43"/>
      <c r="V1" s="43"/>
      <c r="W1" s="44"/>
    </row>
    <row r="2" spans="1:23" ht="15.6" customHeight="1" thickBot="1" x14ac:dyDescent="0.35">
      <c r="A2" s="45"/>
      <c r="B2" s="46"/>
      <c r="C2" s="46"/>
      <c r="D2" s="46"/>
      <c r="E2" s="46"/>
      <c r="F2" s="45"/>
      <c r="G2" s="331" t="s">
        <v>37</v>
      </c>
      <c r="H2" s="331"/>
      <c r="I2" s="331"/>
      <c r="J2" s="47"/>
      <c r="K2" s="45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7"/>
    </row>
    <row r="3" spans="1:23" ht="42" customHeight="1" thickBot="1" x14ac:dyDescent="0.35">
      <c r="A3" s="48" t="s">
        <v>1</v>
      </c>
      <c r="B3" s="46"/>
      <c r="C3" s="46"/>
      <c r="D3" s="46"/>
      <c r="E3" s="46"/>
      <c r="F3" s="45"/>
      <c r="G3" s="197"/>
      <c r="H3" s="175"/>
      <c r="I3" s="175"/>
      <c r="J3" s="47"/>
      <c r="K3" s="334" t="s">
        <v>256</v>
      </c>
      <c r="L3" s="335"/>
      <c r="M3" s="336"/>
      <c r="N3" s="337" t="s">
        <v>257</v>
      </c>
      <c r="O3" s="338"/>
      <c r="P3" s="338"/>
      <c r="Q3" s="338"/>
      <c r="R3" s="46"/>
      <c r="S3" s="46"/>
      <c r="T3" s="46"/>
      <c r="U3" s="46"/>
      <c r="V3" s="46"/>
      <c r="W3" s="47"/>
    </row>
    <row r="4" spans="1:23" ht="16.2" thickBot="1" x14ac:dyDescent="0.35">
      <c r="A4" s="57" t="s">
        <v>2</v>
      </c>
      <c r="B4" s="5" t="s">
        <v>3</v>
      </c>
      <c r="C4" s="5" t="s">
        <v>19</v>
      </c>
      <c r="D4" s="5" t="s">
        <v>20</v>
      </c>
      <c r="E4" s="46"/>
      <c r="F4" s="45"/>
      <c r="G4" s="175" t="s">
        <v>25</v>
      </c>
      <c r="H4" s="175" t="s">
        <v>30</v>
      </c>
      <c r="I4" s="175" t="s">
        <v>31</v>
      </c>
      <c r="J4" s="47"/>
      <c r="K4" s="339" t="s">
        <v>258</v>
      </c>
      <c r="L4" s="341" t="s">
        <v>259</v>
      </c>
      <c r="M4" s="343" t="s">
        <v>262</v>
      </c>
      <c r="N4" s="341" t="s">
        <v>258</v>
      </c>
      <c r="O4" s="341" t="s">
        <v>259</v>
      </c>
      <c r="P4" s="347" t="s">
        <v>262</v>
      </c>
      <c r="Q4" s="348"/>
      <c r="R4" s="46"/>
      <c r="S4" s="46"/>
      <c r="T4" s="46"/>
      <c r="U4" s="46"/>
      <c r="V4" s="46"/>
      <c r="W4" s="47"/>
    </row>
    <row r="5" spans="1:23" ht="16.2" thickBot="1" x14ac:dyDescent="0.35">
      <c r="A5" s="49" t="s">
        <v>4</v>
      </c>
      <c r="B5" s="50">
        <v>5840.3100000000013</v>
      </c>
      <c r="C5" s="50">
        <v>431413.40000000008</v>
      </c>
      <c r="D5" s="51">
        <f>C5/B5</f>
        <v>73.868236446353009</v>
      </c>
      <c r="E5" s="46"/>
      <c r="F5" s="45"/>
      <c r="G5" s="175" t="s">
        <v>26</v>
      </c>
      <c r="H5" s="175">
        <v>30</v>
      </c>
      <c r="I5" s="251">
        <v>30</v>
      </c>
      <c r="J5" s="47"/>
      <c r="K5" s="340"/>
      <c r="L5" s="342"/>
      <c r="M5" s="344"/>
      <c r="N5" s="351"/>
      <c r="O5" s="351"/>
      <c r="P5" s="349"/>
      <c r="Q5" s="350"/>
      <c r="R5" s="46"/>
      <c r="S5" s="46"/>
      <c r="T5" s="46"/>
      <c r="U5" s="46"/>
      <c r="V5" s="46"/>
      <c r="W5" s="47"/>
    </row>
    <row r="6" spans="1:23" ht="16.2" thickBot="1" x14ac:dyDescent="0.35">
      <c r="A6" s="49" t="s">
        <v>5</v>
      </c>
      <c r="B6" s="50">
        <v>6163.2999999999993</v>
      </c>
      <c r="C6" s="50">
        <v>474800.39999999991</v>
      </c>
      <c r="D6" s="51">
        <f t="shared" ref="D6:D20" si="0">C6/B6</f>
        <v>77.036717342981845</v>
      </c>
      <c r="E6" s="46"/>
      <c r="F6" s="45"/>
      <c r="G6" s="175" t="s">
        <v>27</v>
      </c>
      <c r="H6" s="175">
        <v>180</v>
      </c>
      <c r="I6" s="251" t="s">
        <v>32</v>
      </c>
      <c r="J6" s="47"/>
      <c r="K6" s="130">
        <v>220211.71533556056</v>
      </c>
      <c r="L6" s="125">
        <v>224549.95878576319</v>
      </c>
      <c r="M6" s="123">
        <v>306686.72607596201</v>
      </c>
      <c r="N6" s="125">
        <v>29038.334999999999</v>
      </c>
      <c r="O6" s="125">
        <v>29795.699510000002</v>
      </c>
      <c r="P6" s="346">
        <v>41844.5</v>
      </c>
      <c r="Q6" s="346"/>
      <c r="R6" s="46"/>
      <c r="S6" s="46"/>
      <c r="T6" s="46"/>
      <c r="U6" s="46"/>
      <c r="V6" s="46"/>
      <c r="W6" s="47"/>
    </row>
    <row r="7" spans="1:23" ht="16.2" thickBot="1" x14ac:dyDescent="0.35">
      <c r="A7" s="49" t="s">
        <v>6</v>
      </c>
      <c r="B7" s="50">
        <v>7010.2</v>
      </c>
      <c r="C7" s="50">
        <v>571370.70000000007</v>
      </c>
      <c r="D7" s="51">
        <f t="shared" si="0"/>
        <v>81.505620381729486</v>
      </c>
      <c r="E7" s="46"/>
      <c r="F7" s="45"/>
      <c r="G7" s="175" t="s">
        <v>28</v>
      </c>
      <c r="H7" s="175">
        <v>120</v>
      </c>
      <c r="I7" s="251">
        <v>120</v>
      </c>
      <c r="J7" s="47"/>
      <c r="K7" s="131"/>
      <c r="L7" s="132"/>
      <c r="M7" s="132"/>
      <c r="N7" s="132"/>
      <c r="O7" s="132"/>
      <c r="P7" s="132"/>
      <c r="Q7" s="132"/>
      <c r="R7" s="46"/>
      <c r="S7" s="46"/>
      <c r="T7" s="46"/>
      <c r="U7" s="46"/>
      <c r="V7" s="46"/>
      <c r="W7" s="47"/>
    </row>
    <row r="8" spans="1:23" ht="16.2" thickBot="1" x14ac:dyDescent="0.35">
      <c r="A8" s="49" t="s">
        <v>7</v>
      </c>
      <c r="B8" s="50">
        <v>7057.9</v>
      </c>
      <c r="C8" s="50">
        <v>571434.30000000005</v>
      </c>
      <c r="D8" s="51">
        <f t="shared" si="0"/>
        <v>80.963785261905116</v>
      </c>
      <c r="E8" s="46"/>
      <c r="F8" s="45"/>
      <c r="G8" s="175" t="s">
        <v>29</v>
      </c>
      <c r="H8" s="175">
        <v>30</v>
      </c>
      <c r="I8" s="251">
        <v>30</v>
      </c>
      <c r="J8" s="47"/>
      <c r="K8" s="131"/>
      <c r="L8" s="132"/>
      <c r="M8" s="132"/>
      <c r="N8" s="132"/>
      <c r="O8" s="132"/>
      <c r="P8" s="132"/>
      <c r="Q8" s="132"/>
      <c r="R8" s="46"/>
      <c r="S8" s="46"/>
      <c r="T8" s="46"/>
      <c r="U8" s="46"/>
      <c r="V8" s="46"/>
      <c r="W8" s="47"/>
    </row>
    <row r="9" spans="1:23" ht="40.799999999999997" customHeight="1" thickBot="1" x14ac:dyDescent="0.35">
      <c r="A9" s="49" t="s">
        <v>8</v>
      </c>
      <c r="B9" s="50">
        <v>7409.4999999999982</v>
      </c>
      <c r="C9" s="50">
        <v>604513.69999999995</v>
      </c>
      <c r="D9" s="187">
        <f t="shared" si="0"/>
        <v>81.586301369863023</v>
      </c>
      <c r="E9" s="46"/>
      <c r="F9" s="45"/>
      <c r="G9" s="331" t="s">
        <v>36</v>
      </c>
      <c r="H9" s="331"/>
      <c r="I9" s="331"/>
      <c r="J9" s="47"/>
      <c r="K9" s="334" t="s">
        <v>260</v>
      </c>
      <c r="L9" s="335"/>
      <c r="M9" s="336"/>
      <c r="N9" s="337" t="s">
        <v>261</v>
      </c>
      <c r="O9" s="338"/>
      <c r="P9" s="338"/>
      <c r="Q9" s="338"/>
      <c r="R9" s="46"/>
      <c r="S9" s="46"/>
      <c r="T9" s="46"/>
      <c r="U9" s="46"/>
      <c r="V9" s="46"/>
      <c r="W9" s="47"/>
    </row>
    <row r="10" spans="1:23" ht="16.2" thickBot="1" x14ac:dyDescent="0.35">
      <c r="A10" s="49" t="s">
        <v>9</v>
      </c>
      <c r="B10" s="50">
        <v>8056.1000000000022</v>
      </c>
      <c r="C10" s="50">
        <v>623905.30000000016</v>
      </c>
      <c r="D10" s="51">
        <f t="shared" si="0"/>
        <v>77.445078884323678</v>
      </c>
      <c r="E10" s="46"/>
      <c r="F10" s="45"/>
      <c r="G10" s="175" t="s">
        <v>33</v>
      </c>
      <c r="H10" s="330">
        <v>2</v>
      </c>
      <c r="I10" s="330"/>
      <c r="J10" s="47"/>
      <c r="K10" s="339" t="s">
        <v>258</v>
      </c>
      <c r="L10" s="341" t="s">
        <v>259</v>
      </c>
      <c r="M10" s="343" t="s">
        <v>262</v>
      </c>
      <c r="N10" s="341" t="s">
        <v>258</v>
      </c>
      <c r="O10" s="341" t="s">
        <v>259</v>
      </c>
      <c r="P10" s="347" t="s">
        <v>262</v>
      </c>
      <c r="Q10" s="348"/>
      <c r="R10" s="46"/>
      <c r="S10" s="46"/>
      <c r="T10" s="46"/>
      <c r="U10" s="46"/>
      <c r="V10" s="46"/>
      <c r="W10" s="47"/>
    </row>
    <row r="11" spans="1:23" ht="16.2" thickBot="1" x14ac:dyDescent="0.35">
      <c r="A11" s="49" t="s">
        <v>10</v>
      </c>
      <c r="B11" s="50">
        <v>8362.6000000000022</v>
      </c>
      <c r="C11" s="50">
        <v>560955.20000000007</v>
      </c>
      <c r="D11" s="51">
        <f t="shared" si="0"/>
        <v>67.079042403080379</v>
      </c>
      <c r="E11" s="46"/>
      <c r="F11" s="45"/>
      <c r="G11" s="175" t="s">
        <v>34</v>
      </c>
      <c r="H11" s="330">
        <v>1</v>
      </c>
      <c r="I11" s="330"/>
      <c r="J11" s="47"/>
      <c r="K11" s="340"/>
      <c r="L11" s="342"/>
      <c r="M11" s="344"/>
      <c r="N11" s="351"/>
      <c r="O11" s="351"/>
      <c r="P11" s="349"/>
      <c r="Q11" s="350"/>
      <c r="R11" s="46"/>
      <c r="S11" s="46"/>
      <c r="T11" s="46"/>
      <c r="U11" s="46"/>
      <c r="V11" s="46"/>
      <c r="W11" s="47"/>
    </row>
    <row r="12" spans="1:23" ht="16.2" thickBot="1" x14ac:dyDescent="0.35">
      <c r="A12" s="49" t="s">
        <v>11</v>
      </c>
      <c r="B12" s="50">
        <v>8484.9999999999982</v>
      </c>
      <c r="C12" s="50">
        <v>588915.70999999985</v>
      </c>
      <c r="D12" s="51">
        <f t="shared" si="0"/>
        <v>69.406683559222159</v>
      </c>
      <c r="E12" s="46"/>
      <c r="F12" s="45"/>
      <c r="G12" s="253" t="s">
        <v>35</v>
      </c>
      <c r="H12" s="327">
        <v>5</v>
      </c>
      <c r="I12" s="327"/>
      <c r="J12" s="47"/>
      <c r="K12" s="130">
        <v>400223.67766443943</v>
      </c>
      <c r="L12" s="125">
        <v>418167.81321423681</v>
      </c>
      <c r="M12" s="125">
        <v>358418.29792403796</v>
      </c>
      <c r="N12" s="124">
        <v>32351643</v>
      </c>
      <c r="O12" s="125">
        <v>34001617.75</v>
      </c>
      <c r="P12" s="346">
        <v>29830045.100000001</v>
      </c>
      <c r="Q12" s="346"/>
      <c r="R12" s="46"/>
      <c r="S12" s="46"/>
      <c r="T12" s="46"/>
      <c r="U12" s="46"/>
      <c r="V12" s="46"/>
      <c r="W12" s="47"/>
    </row>
    <row r="13" spans="1:23" ht="16.2" thickBot="1" x14ac:dyDescent="0.35">
      <c r="A13" s="49" t="s">
        <v>12</v>
      </c>
      <c r="B13" s="50">
        <v>8811.4300000000021</v>
      </c>
      <c r="C13" s="50">
        <v>658822.26800000004</v>
      </c>
      <c r="D13" s="51">
        <f t="shared" si="0"/>
        <v>74.769052015393626</v>
      </c>
      <c r="E13" s="46"/>
      <c r="F13" s="45"/>
      <c r="G13" s="171" t="s">
        <v>365</v>
      </c>
      <c r="H13" s="332">
        <v>25</v>
      </c>
      <c r="I13" s="333"/>
      <c r="J13" s="47"/>
      <c r="K13" s="45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</row>
    <row r="14" spans="1:23" ht="16.2" thickBot="1" x14ac:dyDescent="0.35">
      <c r="A14" s="49" t="s">
        <v>13</v>
      </c>
      <c r="B14" s="50">
        <v>9004.4800000000014</v>
      </c>
      <c r="C14" s="50">
        <v>634767</v>
      </c>
      <c r="D14" s="51">
        <f t="shared" si="0"/>
        <v>70.494576033263428</v>
      </c>
      <c r="E14" s="46"/>
      <c r="F14" s="45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7"/>
    </row>
    <row r="15" spans="1:23" ht="16.2" thickBot="1" x14ac:dyDescent="0.35">
      <c r="A15" s="49" t="s">
        <v>14</v>
      </c>
      <c r="B15" s="50">
        <v>8654.2400000000016</v>
      </c>
      <c r="C15" s="50">
        <v>665586.20000000007</v>
      </c>
      <c r="D15" s="51">
        <f t="shared" si="0"/>
        <v>76.908682911497706</v>
      </c>
      <c r="E15" s="46"/>
      <c r="F15" s="45"/>
      <c r="G15" s="172" t="s">
        <v>39</v>
      </c>
      <c r="H15" s="173">
        <v>28.3</v>
      </c>
      <c r="I15" s="46" t="s">
        <v>40</v>
      </c>
      <c r="J15" s="47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7"/>
    </row>
    <row r="16" spans="1:23" ht="16.2" thickBot="1" x14ac:dyDescent="0.35">
      <c r="A16" s="49" t="s">
        <v>15</v>
      </c>
      <c r="B16" s="50">
        <v>9073.7200000000012</v>
      </c>
      <c r="C16" s="50">
        <v>690978.4</v>
      </c>
      <c r="D16" s="51">
        <f t="shared" si="0"/>
        <v>76.151611466961725</v>
      </c>
      <c r="E16" s="46"/>
      <c r="F16" s="45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7"/>
    </row>
    <row r="17" spans="1:23" ht="16.2" thickBot="1" x14ac:dyDescent="0.35">
      <c r="A17" s="49" t="s">
        <v>16</v>
      </c>
      <c r="B17" s="50">
        <v>8766.5</v>
      </c>
      <c r="C17" s="50">
        <v>646337.38142484776</v>
      </c>
      <c r="D17" s="51">
        <f t="shared" si="0"/>
        <v>73.728099175822479</v>
      </c>
      <c r="E17" s="46"/>
      <c r="F17" s="170" t="s">
        <v>104</v>
      </c>
      <c r="G17" s="168" t="s">
        <v>268</v>
      </c>
      <c r="H17" s="183">
        <v>95.2</v>
      </c>
      <c r="I17" s="169" t="s">
        <v>269</v>
      </c>
      <c r="J17" s="186" t="s">
        <v>270</v>
      </c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7"/>
    </row>
    <row r="18" spans="1:23" ht="16.2" thickBot="1" x14ac:dyDescent="0.35">
      <c r="A18" s="49" t="s">
        <v>17</v>
      </c>
      <c r="B18" s="50">
        <v>8590.93</v>
      </c>
      <c r="C18" s="50">
        <v>620490.09299999999</v>
      </c>
      <c r="D18" s="51">
        <f t="shared" si="0"/>
        <v>72.226184243149461</v>
      </c>
      <c r="E18" s="46"/>
      <c r="F18" s="45" t="s">
        <v>435</v>
      </c>
      <c r="G18" s="168" t="s">
        <v>268</v>
      </c>
      <c r="H18" s="183">
        <v>85.9</v>
      </c>
      <c r="I18" s="46">
        <v>2019</v>
      </c>
      <c r="J18" s="47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7"/>
    </row>
    <row r="19" spans="1:23" ht="16.2" thickBot="1" x14ac:dyDescent="0.35">
      <c r="A19" s="179" t="s">
        <v>18</v>
      </c>
      <c r="B19" s="180">
        <v>8443.2899999999991</v>
      </c>
      <c r="C19" s="180">
        <v>642769.87248000002</v>
      </c>
      <c r="D19" s="181">
        <f t="shared" si="0"/>
        <v>76.127892383182399</v>
      </c>
      <c r="E19" s="46"/>
      <c r="F19" s="45"/>
      <c r="G19" s="329" t="s">
        <v>125</v>
      </c>
      <c r="H19" s="329"/>
      <c r="I19" s="46"/>
      <c r="J19" s="47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7"/>
    </row>
    <row r="20" spans="1:23" ht="16.2" thickBot="1" x14ac:dyDescent="0.35">
      <c r="A20" s="179" t="s">
        <v>21</v>
      </c>
      <c r="B20" s="182">
        <v>8605.0300000000007</v>
      </c>
      <c r="C20" s="182">
        <v>665105.02</v>
      </c>
      <c r="D20" s="181">
        <f t="shared" si="0"/>
        <v>77.292585848044681</v>
      </c>
      <c r="E20" s="46"/>
      <c r="F20" s="45"/>
      <c r="G20" s="174" t="s">
        <v>39</v>
      </c>
      <c r="H20" s="171">
        <v>29.11</v>
      </c>
      <c r="I20" s="46" t="s">
        <v>42</v>
      </c>
      <c r="J20" s="47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7"/>
    </row>
    <row r="21" spans="1:23" ht="16.2" thickBot="1" x14ac:dyDescent="0.35">
      <c r="A21" s="58" t="s">
        <v>24</v>
      </c>
      <c r="B21" s="59">
        <f>AVERAGE(B5:B20)</f>
        <v>8020.9081250000008</v>
      </c>
      <c r="C21" s="60">
        <f t="shared" ref="C21" si="1">AVERAGE(C5:C20)</f>
        <v>603260.30905655306</v>
      </c>
      <c r="D21" s="60">
        <f>AVERAGE(D5:D20)</f>
        <v>75.411884357923384</v>
      </c>
      <c r="E21" s="46"/>
      <c r="F21" s="45"/>
      <c r="G21" s="174" t="s">
        <v>41</v>
      </c>
      <c r="H21" s="175">
        <v>27.09</v>
      </c>
      <c r="I21" s="46" t="s">
        <v>43</v>
      </c>
      <c r="J21" s="47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7"/>
    </row>
    <row r="22" spans="1:23" ht="15" thickBot="1" x14ac:dyDescent="0.35">
      <c r="A22" s="45"/>
      <c r="B22" s="46"/>
      <c r="C22" s="46"/>
      <c r="D22" s="46"/>
      <c r="E22" s="46"/>
      <c r="F22" s="54"/>
      <c r="G22" s="55"/>
      <c r="H22" s="55"/>
      <c r="I22" s="55"/>
      <c r="J22" s="56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7"/>
    </row>
    <row r="23" spans="1:23" x14ac:dyDescent="0.3">
      <c r="A23" s="45"/>
      <c r="B23" s="46"/>
      <c r="C23" s="46"/>
      <c r="D23" s="46"/>
      <c r="E23" s="46"/>
      <c r="F23" s="46"/>
      <c r="G23" s="46"/>
      <c r="H23" s="46"/>
      <c r="I23" s="46"/>
      <c r="J23" s="47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7"/>
    </row>
    <row r="24" spans="1:23" ht="15.6" x14ac:dyDescent="0.3">
      <c r="A24" s="61" t="s">
        <v>22</v>
      </c>
      <c r="B24" s="53" t="s">
        <v>23</v>
      </c>
      <c r="C24" s="46"/>
      <c r="D24" s="46"/>
      <c r="E24" s="46"/>
      <c r="F24" s="46"/>
      <c r="G24" s="46"/>
      <c r="H24" s="46"/>
      <c r="I24" s="46"/>
      <c r="J24" s="47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7"/>
    </row>
    <row r="25" spans="1:23" ht="15" thickBot="1" x14ac:dyDescent="0.35">
      <c r="A25" s="54"/>
      <c r="B25" s="55"/>
      <c r="C25" s="55"/>
      <c r="D25" s="55"/>
      <c r="E25" s="55"/>
      <c r="F25" s="55"/>
      <c r="G25" s="55"/>
      <c r="H25" s="55"/>
      <c r="I25" s="55"/>
      <c r="J25" s="56"/>
      <c r="K25" s="5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</row>
    <row r="26" spans="1:23" x14ac:dyDescent="0.3">
      <c r="A26" s="119"/>
      <c r="B26" s="43"/>
      <c r="C26" s="43"/>
      <c r="D26" s="43"/>
      <c r="E26" s="43"/>
      <c r="F26" s="43"/>
      <c r="G26" s="43"/>
      <c r="H26" s="43"/>
      <c r="I26" s="43"/>
      <c r="J26" s="44"/>
    </row>
    <row r="27" spans="1:23" x14ac:dyDescent="0.3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23" ht="21" x14ac:dyDescent="0.4">
      <c r="A28" s="213" t="s">
        <v>126</v>
      </c>
      <c r="B28" s="120"/>
      <c r="C28" s="120"/>
      <c r="D28" s="46"/>
      <c r="E28" s="46"/>
      <c r="F28" s="46"/>
      <c r="G28" s="46"/>
      <c r="H28" s="46"/>
      <c r="I28" s="46"/>
      <c r="J28" s="47"/>
    </row>
    <row r="29" spans="1:23" ht="15.6" x14ac:dyDescent="0.3">
      <c r="A29" s="48"/>
      <c r="B29" s="120"/>
      <c r="C29" s="120"/>
      <c r="D29" s="46"/>
      <c r="E29" s="46"/>
      <c r="F29" s="46"/>
      <c r="G29" s="46"/>
      <c r="H29" s="46"/>
      <c r="I29" s="46"/>
      <c r="J29" s="47"/>
    </row>
    <row r="30" spans="1:23" ht="16.2" thickBot="1" x14ac:dyDescent="0.35">
      <c r="A30" s="48"/>
      <c r="B30" s="120"/>
      <c r="C30" s="120"/>
      <c r="D30" s="46"/>
      <c r="E30" s="46"/>
      <c r="F30" s="46"/>
      <c r="G30" s="46"/>
      <c r="H30" s="46"/>
      <c r="I30" s="191" t="s">
        <v>289</v>
      </c>
      <c r="J30" s="47"/>
    </row>
    <row r="31" spans="1:23" ht="16.2" thickBot="1" x14ac:dyDescent="0.35">
      <c r="A31" s="95" t="s">
        <v>2</v>
      </c>
      <c r="B31" s="72" t="s">
        <v>3</v>
      </c>
      <c r="C31" s="72" t="s">
        <v>19</v>
      </c>
      <c r="D31" s="72" t="s">
        <v>20</v>
      </c>
      <c r="E31" s="46"/>
      <c r="F31" s="168" t="s">
        <v>274</v>
      </c>
      <c r="G31" s="183">
        <v>109.9</v>
      </c>
      <c r="H31" s="169" t="s">
        <v>269</v>
      </c>
      <c r="I31" s="185" t="s">
        <v>270</v>
      </c>
      <c r="J31" s="47"/>
    </row>
    <row r="32" spans="1:23" ht="16.2" thickBot="1" x14ac:dyDescent="0.35">
      <c r="A32" s="121" t="s">
        <v>4</v>
      </c>
      <c r="B32" s="122">
        <v>22750</v>
      </c>
      <c r="C32" s="122">
        <v>55027</v>
      </c>
      <c r="D32" s="52">
        <f>C32/B32</f>
        <v>2.4187692307692306</v>
      </c>
      <c r="E32" s="46"/>
      <c r="F32" s="168" t="s">
        <v>274</v>
      </c>
      <c r="G32" s="183">
        <v>70.8</v>
      </c>
      <c r="H32" s="46"/>
      <c r="I32" s="185" t="s">
        <v>433</v>
      </c>
      <c r="J32" s="47"/>
    </row>
    <row r="33" spans="1:10" ht="16.2" thickBot="1" x14ac:dyDescent="0.35">
      <c r="A33" s="121" t="s">
        <v>5</v>
      </c>
      <c r="B33" s="122">
        <v>20686</v>
      </c>
      <c r="C33" s="122">
        <v>58391</v>
      </c>
      <c r="D33" s="52">
        <f t="shared" ref="D33:D47" si="2">C33/B33</f>
        <v>2.8227303490283284</v>
      </c>
      <c r="E33" s="46"/>
      <c r="F33" s="46"/>
      <c r="G33" s="46"/>
      <c r="H33" s="46"/>
      <c r="I33" s="46"/>
      <c r="J33" s="47"/>
    </row>
    <row r="34" spans="1:10" ht="16.2" thickBot="1" x14ac:dyDescent="0.35">
      <c r="A34" s="121" t="s">
        <v>6</v>
      </c>
      <c r="B34" s="122">
        <v>21314</v>
      </c>
      <c r="C34" s="122">
        <v>60018</v>
      </c>
      <c r="D34" s="52">
        <f t="shared" si="2"/>
        <v>2.8158956554377403</v>
      </c>
      <c r="E34" s="46"/>
      <c r="F34" s="345" t="s">
        <v>275</v>
      </c>
      <c r="G34" s="345"/>
      <c r="H34" s="46"/>
      <c r="I34" s="46"/>
      <c r="J34" s="47"/>
    </row>
    <row r="35" spans="1:10" ht="16.2" thickBot="1" x14ac:dyDescent="0.35">
      <c r="A35" s="121" t="s">
        <v>7</v>
      </c>
      <c r="B35" s="122">
        <v>21741</v>
      </c>
      <c r="C35" s="122">
        <v>57164</v>
      </c>
      <c r="D35" s="52">
        <f t="shared" si="2"/>
        <v>2.6293178786624352</v>
      </c>
      <c r="E35" s="46"/>
      <c r="F35" s="171" t="s">
        <v>276</v>
      </c>
      <c r="G35" s="171">
        <v>391</v>
      </c>
      <c r="H35" s="188"/>
      <c r="I35" s="46"/>
      <c r="J35" s="47"/>
    </row>
    <row r="36" spans="1:10" ht="16.2" thickBot="1" x14ac:dyDescent="0.35">
      <c r="A36" s="121" t="s">
        <v>8</v>
      </c>
      <c r="B36" s="122">
        <v>23466</v>
      </c>
      <c r="C36" s="122">
        <v>68688</v>
      </c>
      <c r="D36" s="52">
        <f t="shared" si="2"/>
        <v>2.9271286116082842</v>
      </c>
      <c r="E36" s="46"/>
      <c r="F36" s="171" t="s">
        <v>277</v>
      </c>
      <c r="G36" s="171">
        <v>10.7</v>
      </c>
      <c r="H36" s="188"/>
      <c r="I36" s="46"/>
      <c r="J36" s="47"/>
    </row>
    <row r="37" spans="1:10" ht="16.2" thickBot="1" x14ac:dyDescent="0.35">
      <c r="A37" s="121" t="s">
        <v>9</v>
      </c>
      <c r="B37" s="122">
        <v>24182</v>
      </c>
      <c r="C37" s="122">
        <v>75323</v>
      </c>
      <c r="D37" s="52">
        <f t="shared" si="2"/>
        <v>3.1148374824249441</v>
      </c>
      <c r="E37" s="46"/>
      <c r="F37" s="171" t="s">
        <v>278</v>
      </c>
      <c r="G37" s="171">
        <v>2.4</v>
      </c>
      <c r="H37" s="188"/>
      <c r="I37" s="46"/>
      <c r="J37" s="47"/>
    </row>
    <row r="38" spans="1:10" ht="16.2" thickBot="1" x14ac:dyDescent="0.35">
      <c r="A38" s="121" t="s">
        <v>10</v>
      </c>
      <c r="B38" s="122">
        <v>25043</v>
      </c>
      <c r="C38" s="122">
        <v>66385</v>
      </c>
      <c r="D38" s="52">
        <f t="shared" si="2"/>
        <v>2.6508405542466957</v>
      </c>
      <c r="E38" s="46"/>
      <c r="F38" s="171" t="s">
        <v>279</v>
      </c>
      <c r="G38" s="171">
        <v>31.6</v>
      </c>
      <c r="H38" s="188"/>
      <c r="I38" s="46"/>
      <c r="J38" s="47"/>
    </row>
    <row r="39" spans="1:10" ht="16.2" thickBot="1" x14ac:dyDescent="0.35">
      <c r="A39" s="121" t="s">
        <v>11</v>
      </c>
      <c r="B39" s="122">
        <v>27736</v>
      </c>
      <c r="C39" s="122">
        <v>81499</v>
      </c>
      <c r="D39" s="52">
        <f t="shared" si="2"/>
        <v>2.9383833285261032</v>
      </c>
      <c r="E39" s="46"/>
      <c r="F39" s="171" t="s">
        <v>280</v>
      </c>
      <c r="G39" s="171">
        <v>25.9</v>
      </c>
      <c r="H39" s="188"/>
      <c r="I39" s="46"/>
      <c r="J39" s="47"/>
    </row>
    <row r="40" spans="1:10" ht="16.2" thickBot="1" x14ac:dyDescent="0.35">
      <c r="A40" s="121" t="s">
        <v>12</v>
      </c>
      <c r="B40" s="122">
        <v>30173</v>
      </c>
      <c r="C40" s="122">
        <v>86122</v>
      </c>
      <c r="D40" s="52">
        <f t="shared" si="2"/>
        <v>2.8542736883969111</v>
      </c>
      <c r="E40" s="46"/>
      <c r="F40" s="171" t="s">
        <v>281</v>
      </c>
      <c r="G40" s="171">
        <v>230</v>
      </c>
      <c r="H40" s="189" t="s">
        <v>282</v>
      </c>
      <c r="I40" s="46"/>
      <c r="J40" s="47"/>
    </row>
    <row r="41" spans="1:10" ht="16.2" thickBot="1" x14ac:dyDescent="0.35">
      <c r="A41" s="121" t="s">
        <v>13</v>
      </c>
      <c r="B41" s="122">
        <v>32093</v>
      </c>
      <c r="C41" s="122">
        <v>96229</v>
      </c>
      <c r="D41" s="52">
        <f t="shared" si="2"/>
        <v>2.9984420278565418</v>
      </c>
      <c r="E41" s="46"/>
      <c r="F41" s="171" t="s">
        <v>283</v>
      </c>
      <c r="G41" s="171">
        <v>0.8</v>
      </c>
      <c r="H41" s="46"/>
      <c r="I41" s="46"/>
      <c r="J41" s="47"/>
    </row>
    <row r="42" spans="1:10" ht="16.2" thickBot="1" x14ac:dyDescent="0.35">
      <c r="A42" s="121" t="s">
        <v>14</v>
      </c>
      <c r="B42" s="122">
        <v>33229</v>
      </c>
      <c r="C42" s="122">
        <v>95574</v>
      </c>
      <c r="D42" s="52">
        <f t="shared" si="2"/>
        <v>2.8762225766649614</v>
      </c>
      <c r="E42" s="46"/>
      <c r="F42" s="345" t="s">
        <v>286</v>
      </c>
      <c r="G42" s="345"/>
      <c r="H42" s="46"/>
      <c r="I42" s="46"/>
      <c r="J42" s="47"/>
    </row>
    <row r="43" spans="1:10" ht="16.2" thickBot="1" x14ac:dyDescent="0.35">
      <c r="A43" s="121" t="s">
        <v>15</v>
      </c>
      <c r="B43" s="122">
        <v>33909</v>
      </c>
      <c r="C43" s="122">
        <v>114074</v>
      </c>
      <c r="D43" s="52">
        <f t="shared" si="2"/>
        <v>3.3641216196290071</v>
      </c>
      <c r="E43" s="46"/>
      <c r="F43" s="171" t="s">
        <v>284</v>
      </c>
      <c r="G43" s="171">
        <v>0.7</v>
      </c>
      <c r="H43" s="46"/>
      <c r="I43" s="46"/>
      <c r="J43" s="47"/>
    </row>
    <row r="44" spans="1:10" ht="16.2" thickBot="1" x14ac:dyDescent="0.35">
      <c r="A44" s="121" t="s">
        <v>16</v>
      </c>
      <c r="B44" s="122">
        <v>35151</v>
      </c>
      <c r="C44" s="122">
        <v>119281</v>
      </c>
      <c r="D44" s="52">
        <f t="shared" si="2"/>
        <v>3.3933885237973316</v>
      </c>
      <c r="E44" s="46"/>
      <c r="F44" s="171" t="s">
        <v>285</v>
      </c>
      <c r="G44" s="171">
        <v>79.900000000000006</v>
      </c>
      <c r="H44" s="46"/>
      <c r="I44" s="46"/>
      <c r="J44" s="47"/>
    </row>
    <row r="45" spans="1:10" ht="15.6" x14ac:dyDescent="0.3">
      <c r="A45" s="121" t="s">
        <v>17</v>
      </c>
      <c r="B45" s="122">
        <v>35876</v>
      </c>
      <c r="C45" s="122">
        <v>115030</v>
      </c>
      <c r="D45" s="52">
        <f t="shared" si="2"/>
        <v>3.2063217750027873</v>
      </c>
      <c r="E45" s="46"/>
      <c r="F45" s="46" t="s">
        <v>287</v>
      </c>
      <c r="G45" s="46"/>
      <c r="H45" s="46"/>
      <c r="I45" s="46"/>
      <c r="J45" s="47"/>
    </row>
    <row r="46" spans="1:10" ht="15.6" x14ac:dyDescent="0.3">
      <c r="A46" s="176" t="s">
        <v>18</v>
      </c>
      <c r="B46" s="177">
        <v>36948</v>
      </c>
      <c r="C46" s="177">
        <v>124845</v>
      </c>
      <c r="D46" s="178">
        <f t="shared" si="2"/>
        <v>3.3789379668723614</v>
      </c>
      <c r="E46" s="46"/>
      <c r="F46" s="190" t="s">
        <v>288</v>
      </c>
      <c r="G46" s="190"/>
      <c r="H46" s="190"/>
      <c r="I46" s="46"/>
      <c r="J46" s="47"/>
    </row>
    <row r="47" spans="1:10" ht="15.6" x14ac:dyDescent="0.3">
      <c r="A47" s="176" t="s">
        <v>21</v>
      </c>
      <c r="B47" s="177">
        <v>38473</v>
      </c>
      <c r="C47" s="177">
        <v>135540</v>
      </c>
      <c r="D47" s="178">
        <f t="shared" si="2"/>
        <v>3.5229901489356172</v>
      </c>
      <c r="E47" s="46"/>
      <c r="F47" s="46"/>
      <c r="G47" s="46"/>
      <c r="H47" s="46"/>
      <c r="I47" s="46"/>
      <c r="J47" s="47"/>
    </row>
    <row r="48" spans="1:10" ht="15.6" x14ac:dyDescent="0.3">
      <c r="A48" s="58" t="s">
        <v>24</v>
      </c>
      <c r="B48" s="60">
        <f>AVERAGE(B32:B47)</f>
        <v>28923.125</v>
      </c>
      <c r="C48" s="60">
        <f>AVERAGE(C32:C47)</f>
        <v>88074.375</v>
      </c>
      <c r="D48" s="60">
        <f>AVERAGE(D32:D47)</f>
        <v>2.9945375886162053</v>
      </c>
      <c r="E48" s="46"/>
      <c r="F48" s="46"/>
      <c r="G48" s="46"/>
      <c r="H48" s="46"/>
      <c r="I48" s="46"/>
      <c r="J48" s="47"/>
    </row>
    <row r="49" spans="1:10" x14ac:dyDescent="0.3">
      <c r="A49" s="45"/>
      <c r="B49" s="46"/>
      <c r="C49" s="46"/>
      <c r="D49" s="46"/>
      <c r="E49" s="46"/>
      <c r="F49" s="46"/>
      <c r="G49" s="46"/>
      <c r="H49" s="46"/>
      <c r="I49" s="46"/>
      <c r="J49" s="47"/>
    </row>
    <row r="50" spans="1:10" ht="15" thickBot="1" x14ac:dyDescent="0.35">
      <c r="A50" s="54" t="s">
        <v>22</v>
      </c>
      <c r="B50" s="184" t="s">
        <v>272</v>
      </c>
      <c r="C50" s="55"/>
      <c r="D50" s="55"/>
      <c r="E50" s="55"/>
      <c r="F50" s="55"/>
      <c r="G50" s="55"/>
      <c r="H50" s="55"/>
      <c r="I50" s="55"/>
      <c r="J50" s="56"/>
    </row>
    <row r="51" spans="1:10" x14ac:dyDescent="0.3">
      <c r="A51" s="234"/>
      <c r="B51" s="235"/>
      <c r="C51" s="235"/>
      <c r="D51" s="235"/>
      <c r="E51" s="235"/>
      <c r="F51" s="235"/>
      <c r="G51" s="235"/>
      <c r="H51" s="235"/>
      <c r="I51" s="235"/>
      <c r="J51" s="236"/>
    </row>
    <row r="52" spans="1:10" x14ac:dyDescent="0.3">
      <c r="A52" s="237"/>
      <c r="B52" s="238"/>
      <c r="C52" s="238"/>
      <c r="D52" s="238"/>
      <c r="E52" s="238"/>
      <c r="F52" s="238"/>
      <c r="G52" s="238"/>
      <c r="H52" s="238"/>
      <c r="I52" s="238"/>
      <c r="J52" s="239"/>
    </row>
    <row r="53" spans="1:10" ht="21" x14ac:dyDescent="0.4">
      <c r="A53" s="213" t="s">
        <v>348</v>
      </c>
      <c r="B53" s="238"/>
      <c r="C53" s="238"/>
      <c r="D53" s="238"/>
      <c r="E53" s="238"/>
      <c r="F53" s="238"/>
      <c r="G53" s="238"/>
      <c r="H53" s="238"/>
      <c r="I53" s="238"/>
      <c r="J53" s="239"/>
    </row>
    <row r="54" spans="1:10" x14ac:dyDescent="0.3">
      <c r="A54" s="237"/>
      <c r="B54" s="238"/>
      <c r="C54" s="238"/>
      <c r="D54" s="238"/>
      <c r="E54" s="238"/>
      <c r="F54" s="238"/>
      <c r="G54" s="238"/>
      <c r="H54" s="238"/>
      <c r="I54" s="238"/>
      <c r="J54" s="239"/>
    </row>
    <row r="55" spans="1:10" ht="15.6" x14ac:dyDescent="0.3">
      <c r="A55" s="57" t="s">
        <v>2</v>
      </c>
      <c r="B55" s="72" t="s">
        <v>3</v>
      </c>
      <c r="C55" s="72" t="s">
        <v>19</v>
      </c>
      <c r="D55" s="72" t="s">
        <v>20</v>
      </c>
      <c r="E55" s="238"/>
      <c r="F55" s="242" t="s">
        <v>350</v>
      </c>
      <c r="G55" s="238"/>
      <c r="H55" s="238"/>
      <c r="I55" s="238"/>
      <c r="J55" s="239"/>
    </row>
    <row r="56" spans="1:10" ht="15.6" x14ac:dyDescent="0.3">
      <c r="A56" s="240" t="s">
        <v>4</v>
      </c>
      <c r="B56" s="230">
        <v>12965</v>
      </c>
      <c r="C56" s="230">
        <v>42514</v>
      </c>
      <c r="D56" s="252">
        <f>C56/B56</f>
        <v>3.2791361357500963</v>
      </c>
      <c r="E56" s="238"/>
      <c r="F56" s="238"/>
      <c r="G56" s="238"/>
      <c r="H56" s="238"/>
      <c r="I56" s="238"/>
      <c r="J56" s="239"/>
    </row>
    <row r="57" spans="1:10" ht="16.2" thickBot="1" x14ac:dyDescent="0.35">
      <c r="A57" s="240" t="s">
        <v>5</v>
      </c>
      <c r="B57" s="230">
        <v>14055</v>
      </c>
      <c r="C57" s="230">
        <v>51370</v>
      </c>
      <c r="D57" s="252">
        <f t="shared" ref="D57:D71" si="3">C57/B57</f>
        <v>3.6549270722162932</v>
      </c>
      <c r="E57" s="238"/>
      <c r="F57" s="238"/>
      <c r="G57" s="238"/>
      <c r="H57" s="238"/>
      <c r="I57" s="238"/>
      <c r="J57" s="239"/>
    </row>
    <row r="58" spans="1:10" ht="16.2" thickBot="1" x14ac:dyDescent="0.35">
      <c r="A58" s="240" t="s">
        <v>6</v>
      </c>
      <c r="B58" s="230">
        <v>14768</v>
      </c>
      <c r="C58" s="230">
        <v>58648</v>
      </c>
      <c r="D58" s="252">
        <f t="shared" si="3"/>
        <v>3.9712892741061756</v>
      </c>
      <c r="E58" s="238"/>
      <c r="F58" s="168" t="s">
        <v>434</v>
      </c>
      <c r="G58" s="183">
        <v>38</v>
      </c>
      <c r="H58" s="46"/>
      <c r="I58" s="185" t="s">
        <v>433</v>
      </c>
      <c r="J58" s="239"/>
    </row>
    <row r="59" spans="1:10" ht="15.6" x14ac:dyDescent="0.3">
      <c r="A59" s="240" t="s">
        <v>7</v>
      </c>
      <c r="B59" s="230">
        <v>14169</v>
      </c>
      <c r="C59" s="230">
        <v>51004</v>
      </c>
      <c r="D59" s="252">
        <f t="shared" si="3"/>
        <v>3.5996894629119911</v>
      </c>
      <c r="E59" s="238"/>
      <c r="F59" s="238"/>
      <c r="G59" s="238"/>
      <c r="H59" s="238"/>
      <c r="I59" s="238"/>
      <c r="J59" s="239"/>
    </row>
    <row r="60" spans="1:10" ht="15.6" x14ac:dyDescent="0.3">
      <c r="A60" s="240" t="s">
        <v>8</v>
      </c>
      <c r="B60" s="230">
        <v>12997</v>
      </c>
      <c r="C60" s="230">
        <v>56021</v>
      </c>
      <c r="D60" s="252">
        <f t="shared" si="3"/>
        <v>4.3103023774717242</v>
      </c>
      <c r="E60" s="238"/>
      <c r="F60" s="238"/>
      <c r="G60" s="238"/>
      <c r="H60" s="238"/>
      <c r="I60" s="238"/>
      <c r="J60" s="239"/>
    </row>
    <row r="61" spans="1:10" ht="15.6" x14ac:dyDescent="0.3">
      <c r="A61" s="240" t="s">
        <v>9</v>
      </c>
      <c r="B61" s="230">
        <v>13806</v>
      </c>
      <c r="C61" s="230">
        <v>57408</v>
      </c>
      <c r="D61" s="252">
        <f t="shared" si="3"/>
        <v>4.1581920903954801</v>
      </c>
      <c r="E61" s="238"/>
      <c r="F61" s="238"/>
      <c r="G61" s="238"/>
      <c r="H61" s="238"/>
      <c r="I61" s="238"/>
      <c r="J61" s="239"/>
    </row>
    <row r="62" spans="1:10" ht="15.6" x14ac:dyDescent="0.3">
      <c r="A62" s="240" t="s">
        <v>10</v>
      </c>
      <c r="B62" s="230">
        <v>15180</v>
      </c>
      <c r="C62" s="230">
        <v>72977</v>
      </c>
      <c r="D62" s="252">
        <f t="shared" si="3"/>
        <v>4.8074440052700922</v>
      </c>
      <c r="E62" s="238"/>
      <c r="F62" s="238"/>
      <c r="G62" s="238"/>
      <c r="H62" s="238"/>
      <c r="I62" s="238"/>
      <c r="J62" s="239"/>
    </row>
    <row r="63" spans="1:10" ht="15.6" x14ac:dyDescent="0.3">
      <c r="A63" s="240" t="s">
        <v>11</v>
      </c>
      <c r="B63" s="230">
        <v>15829</v>
      </c>
      <c r="C63" s="230">
        <v>81505</v>
      </c>
      <c r="D63" s="252">
        <f t="shared" si="3"/>
        <v>5.1490934360983003</v>
      </c>
      <c r="E63" s="238"/>
      <c r="F63" s="238"/>
      <c r="G63" s="238"/>
      <c r="H63" s="238"/>
      <c r="I63" s="238"/>
      <c r="J63" s="239"/>
    </row>
    <row r="64" spans="1:10" ht="15.6" x14ac:dyDescent="0.3">
      <c r="A64" s="240" t="s">
        <v>12</v>
      </c>
      <c r="B64" s="230">
        <v>15826</v>
      </c>
      <c r="C64" s="230">
        <v>80051</v>
      </c>
      <c r="D64" s="252">
        <f t="shared" si="3"/>
        <v>5.0581953746998609</v>
      </c>
      <c r="E64" s="238"/>
      <c r="F64" s="238"/>
      <c r="G64" s="238"/>
      <c r="H64" s="238"/>
      <c r="I64" s="238"/>
      <c r="J64" s="239"/>
    </row>
    <row r="65" spans="1:10" ht="15.6" x14ac:dyDescent="0.3">
      <c r="A65" s="240" t="s">
        <v>13</v>
      </c>
      <c r="B65" s="230">
        <v>15693</v>
      </c>
      <c r="C65" s="230">
        <v>84670</v>
      </c>
      <c r="D65" s="252">
        <f t="shared" si="3"/>
        <v>5.3953992225833174</v>
      </c>
      <c r="E65" s="238"/>
      <c r="F65" s="238"/>
      <c r="G65" s="238"/>
      <c r="H65" s="238"/>
      <c r="I65" s="238"/>
      <c r="J65" s="239"/>
    </row>
    <row r="66" spans="1:10" ht="15.6" x14ac:dyDescent="0.3">
      <c r="A66" s="240" t="s">
        <v>14</v>
      </c>
      <c r="B66" s="230">
        <v>15754</v>
      </c>
      <c r="C66" s="230">
        <v>69142</v>
      </c>
      <c r="D66" s="252">
        <f t="shared" si="3"/>
        <v>4.3888536244763232</v>
      </c>
      <c r="E66" s="238"/>
      <c r="F66" s="238"/>
      <c r="G66" s="238"/>
      <c r="H66" s="238"/>
      <c r="I66" s="238"/>
      <c r="J66" s="239"/>
    </row>
    <row r="67" spans="1:10" ht="15.6" x14ac:dyDescent="0.3">
      <c r="A67" s="240" t="s">
        <v>15</v>
      </c>
      <c r="B67" s="230">
        <v>17591</v>
      </c>
      <c r="C67" s="230">
        <v>97842</v>
      </c>
      <c r="D67" s="252">
        <f t="shared" si="3"/>
        <v>5.562048774941732</v>
      </c>
      <c r="E67" s="238"/>
      <c r="F67" s="238"/>
      <c r="G67" s="238"/>
      <c r="H67" s="238"/>
      <c r="I67" s="238"/>
      <c r="J67" s="239"/>
    </row>
    <row r="68" spans="1:10" ht="15.6" x14ac:dyDescent="0.3">
      <c r="A68" s="240" t="s">
        <v>16</v>
      </c>
      <c r="B68" s="230">
        <v>16636</v>
      </c>
      <c r="C68" s="230">
        <v>81360</v>
      </c>
      <c r="D68" s="252">
        <f t="shared" si="3"/>
        <v>4.8905987016109638</v>
      </c>
      <c r="E68" s="238"/>
      <c r="F68" s="238"/>
      <c r="G68" s="238"/>
      <c r="H68" s="238"/>
      <c r="I68" s="238"/>
      <c r="J68" s="239"/>
    </row>
    <row r="69" spans="1:10" ht="15.6" x14ac:dyDescent="0.3">
      <c r="A69" s="240" t="s">
        <v>17</v>
      </c>
      <c r="B69" s="230">
        <v>17493</v>
      </c>
      <c r="C69" s="230">
        <v>100043</v>
      </c>
      <c r="D69" s="252">
        <f t="shared" si="3"/>
        <v>5.7190304693305896</v>
      </c>
      <c r="E69" s="238"/>
      <c r="F69" s="238"/>
      <c r="G69" s="238"/>
      <c r="H69" s="238"/>
      <c r="I69" s="238"/>
      <c r="J69" s="239"/>
    </row>
    <row r="70" spans="1:10" ht="15.6" x14ac:dyDescent="0.3">
      <c r="A70" s="240" t="s">
        <v>18</v>
      </c>
      <c r="B70" s="230">
        <v>18527</v>
      </c>
      <c r="C70" s="230">
        <v>102501</v>
      </c>
      <c r="D70" s="252">
        <f t="shared" si="3"/>
        <v>5.5325201057915478</v>
      </c>
      <c r="E70" s="238"/>
      <c r="F70" s="238"/>
      <c r="G70" s="238"/>
      <c r="H70" s="238"/>
      <c r="I70" s="238"/>
      <c r="J70" s="239"/>
    </row>
    <row r="71" spans="1:10" ht="15.6" x14ac:dyDescent="0.3">
      <c r="A71" s="240" t="s">
        <v>21</v>
      </c>
      <c r="B71" s="230">
        <v>19717</v>
      </c>
      <c r="C71" s="230">
        <v>108964</v>
      </c>
      <c r="D71" s="252">
        <f t="shared" si="3"/>
        <v>5.5263985393315416</v>
      </c>
      <c r="E71" s="238"/>
      <c r="F71" s="238"/>
      <c r="G71" s="238"/>
      <c r="H71" s="238"/>
      <c r="I71" s="238"/>
      <c r="J71" s="239"/>
    </row>
    <row r="72" spans="1:10" ht="15.6" x14ac:dyDescent="0.3">
      <c r="A72" s="95" t="s">
        <v>349</v>
      </c>
      <c r="B72" s="59">
        <f>AVERAGE(B56:B71)</f>
        <v>15687.875</v>
      </c>
      <c r="C72" s="59">
        <f>AVERAGE(C56:C71)</f>
        <v>74751.25</v>
      </c>
      <c r="D72" s="59">
        <f>AVERAGE(D56:D71)</f>
        <v>4.6876949166866266</v>
      </c>
      <c r="E72" s="238"/>
      <c r="F72" s="238"/>
      <c r="G72" s="238"/>
      <c r="H72" s="238"/>
      <c r="I72" s="238"/>
      <c r="J72" s="239"/>
    </row>
    <row r="73" spans="1:10" x14ac:dyDescent="0.3">
      <c r="A73" s="237"/>
      <c r="B73" s="238"/>
      <c r="C73" s="238"/>
      <c r="D73" s="238"/>
      <c r="E73" s="238"/>
      <c r="F73" s="238"/>
      <c r="G73" s="238"/>
      <c r="H73" s="238"/>
      <c r="I73" s="238"/>
      <c r="J73" s="239"/>
    </row>
    <row r="74" spans="1:10" ht="15" thickBot="1" x14ac:dyDescent="0.35">
      <c r="A74" s="231" t="s">
        <v>22</v>
      </c>
      <c r="B74" s="232" t="s">
        <v>272</v>
      </c>
      <c r="C74" s="233"/>
      <c r="D74" s="233"/>
      <c r="E74" s="233"/>
      <c r="F74" s="233"/>
      <c r="G74" s="233"/>
      <c r="H74" s="233"/>
      <c r="I74" s="233"/>
      <c r="J74" s="241"/>
    </row>
  </sheetData>
  <mergeCells count="28">
    <mergeCell ref="F34:G34"/>
    <mergeCell ref="F42:G42"/>
    <mergeCell ref="P12:Q12"/>
    <mergeCell ref="P4:Q5"/>
    <mergeCell ref="P6:Q6"/>
    <mergeCell ref="N10:N11"/>
    <mergeCell ref="O10:O11"/>
    <mergeCell ref="N4:N5"/>
    <mergeCell ref="O4:O5"/>
    <mergeCell ref="K9:M9"/>
    <mergeCell ref="N9:Q9"/>
    <mergeCell ref="K10:K11"/>
    <mergeCell ref="L10:L11"/>
    <mergeCell ref="M10:M11"/>
    <mergeCell ref="P10:Q11"/>
    <mergeCell ref="H11:I11"/>
    <mergeCell ref="K3:M3"/>
    <mergeCell ref="N3:Q3"/>
    <mergeCell ref="K4:K5"/>
    <mergeCell ref="L4:L5"/>
    <mergeCell ref="M4:M5"/>
    <mergeCell ref="H12:I12"/>
    <mergeCell ref="G1:I1"/>
    <mergeCell ref="G19:H19"/>
    <mergeCell ref="H10:I10"/>
    <mergeCell ref="G9:I9"/>
    <mergeCell ref="G2:I2"/>
    <mergeCell ref="H13:I13"/>
  </mergeCells>
  <hyperlinks>
    <hyperlink ref="B24" r:id="rId1" xr:uid="{A454CB3A-A7DE-4A24-9228-1DD8E75B2ADE}"/>
    <hyperlink ref="N1" r:id="rId2" xr:uid="{1FCF2B86-6D10-4559-9C99-6430253BA2E6}"/>
    <hyperlink ref="I17" r:id="rId3" display="Preços" xr:uid="{74999EE3-1C90-4896-8391-BB234C64086F}"/>
    <hyperlink ref="B50" r:id="rId4" xr:uid="{7D3A159E-0309-4E9C-84C9-44027AC2714B}"/>
    <hyperlink ref="H31" r:id="rId5" display="Preços" xr:uid="{2D222263-F978-4707-BD3C-7D27084EE4F4}"/>
    <hyperlink ref="B74" r:id="rId6" xr:uid="{28DEB3B0-0FEF-47F6-9728-6CB7728E4364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E82F-12C8-4879-97D8-45468ABC38BF}">
  <dimension ref="A1:P52"/>
  <sheetViews>
    <sheetView topLeftCell="A19" workbookViewId="0">
      <selection activeCell="D34" sqref="D34"/>
    </sheetView>
  </sheetViews>
  <sheetFormatPr defaultRowHeight="14.4" x14ac:dyDescent="0.3"/>
  <cols>
    <col min="1" max="1" width="42.33203125" bestFit="1" customWidth="1"/>
    <col min="2" max="2" width="11" customWidth="1"/>
    <col min="4" max="4" width="29.33203125" customWidth="1"/>
    <col min="5" max="5" width="10" bestFit="1" customWidth="1"/>
    <col min="11" max="11" width="55.6640625" bestFit="1" customWidth="1"/>
    <col min="12" max="12" width="61.88671875" customWidth="1"/>
    <col min="15" max="15" width="16.6640625" bestFit="1" customWidth="1"/>
  </cols>
  <sheetData>
    <row r="1" spans="1:16" ht="21" x14ac:dyDescent="0.4">
      <c r="A1" s="62" t="s">
        <v>127</v>
      </c>
      <c r="B1" s="63"/>
      <c r="C1" s="64"/>
    </row>
    <row r="3" spans="1:16" ht="18.600000000000001" thickBot="1" x14ac:dyDescent="0.4">
      <c r="A3" s="42"/>
      <c r="B3" s="66"/>
      <c r="C3" s="66"/>
      <c r="D3" s="66"/>
      <c r="K3" s="118" t="s">
        <v>290</v>
      </c>
      <c r="L3" t="s">
        <v>251</v>
      </c>
    </row>
    <row r="4" spans="1:16" ht="15.6" x14ac:dyDescent="0.3">
      <c r="A4" s="65" t="s">
        <v>128</v>
      </c>
      <c r="B4" s="352" t="s">
        <v>137</v>
      </c>
      <c r="C4" s="352"/>
      <c r="D4" s="352"/>
      <c r="K4" s="117" t="s">
        <v>204</v>
      </c>
      <c r="L4" s="112" t="s">
        <v>205</v>
      </c>
      <c r="M4" s="81"/>
      <c r="N4" s="81"/>
      <c r="O4" s="81"/>
      <c r="P4" s="81"/>
    </row>
    <row r="5" spans="1:16" x14ac:dyDescent="0.3">
      <c r="C5" s="353" t="s">
        <v>141</v>
      </c>
      <c r="D5" s="353"/>
      <c r="K5" s="106" t="s">
        <v>206</v>
      </c>
      <c r="L5" s="107">
        <v>1</v>
      </c>
      <c r="M5" s="81"/>
      <c r="N5" s="81"/>
      <c r="O5" s="81"/>
      <c r="P5" s="81"/>
    </row>
    <row r="6" spans="1:16" ht="15.6" x14ac:dyDescent="0.3">
      <c r="A6" s="2" t="s">
        <v>311</v>
      </c>
      <c r="B6" s="2">
        <v>4</v>
      </c>
      <c r="C6" t="s">
        <v>130</v>
      </c>
      <c r="K6" s="106" t="s">
        <v>207</v>
      </c>
      <c r="L6" s="107" t="s">
        <v>208</v>
      </c>
      <c r="M6" s="81"/>
      <c r="N6" s="81"/>
      <c r="O6" s="81"/>
      <c r="P6" s="81"/>
    </row>
    <row r="7" spans="1:16" ht="15.6" x14ac:dyDescent="0.3">
      <c r="A7" s="2" t="s">
        <v>136</v>
      </c>
      <c r="B7" s="2">
        <v>0.252</v>
      </c>
      <c r="K7" s="106" t="s">
        <v>209</v>
      </c>
      <c r="L7" s="107" t="s">
        <v>210</v>
      </c>
      <c r="M7" s="81"/>
      <c r="N7" s="81"/>
      <c r="O7" s="81"/>
      <c r="P7" s="81"/>
    </row>
    <row r="8" spans="1:16" ht="15.6" x14ac:dyDescent="0.3">
      <c r="A8" s="1" t="s">
        <v>139</v>
      </c>
      <c r="B8" s="2">
        <v>0.5</v>
      </c>
      <c r="K8" s="106" t="s">
        <v>211</v>
      </c>
      <c r="L8" s="107" t="s">
        <v>212</v>
      </c>
      <c r="M8" s="81"/>
      <c r="N8" s="81"/>
      <c r="O8" s="81"/>
      <c r="P8" s="81"/>
    </row>
    <row r="9" spans="1:16" ht="16.2" thickBot="1" x14ac:dyDescent="0.35">
      <c r="A9" s="2" t="s">
        <v>129</v>
      </c>
      <c r="B9" s="2">
        <v>96</v>
      </c>
      <c r="K9" s="106" t="s">
        <v>213</v>
      </c>
      <c r="L9" s="107" t="s">
        <v>214</v>
      </c>
      <c r="M9" s="81"/>
      <c r="N9" s="81"/>
      <c r="O9" s="81"/>
      <c r="P9" s="81"/>
    </row>
    <row r="10" spans="1:16" ht="15.6" x14ac:dyDescent="0.3">
      <c r="A10" s="2" t="s">
        <v>138</v>
      </c>
      <c r="B10" s="2">
        <v>30</v>
      </c>
      <c r="K10" s="110" t="s">
        <v>215</v>
      </c>
      <c r="L10" s="111" t="s">
        <v>216</v>
      </c>
      <c r="M10" s="111" t="s">
        <v>213</v>
      </c>
      <c r="N10" s="111" t="s">
        <v>211</v>
      </c>
      <c r="O10" s="112" t="s">
        <v>207</v>
      </c>
      <c r="P10" s="81"/>
    </row>
    <row r="11" spans="1:16" ht="15.6" x14ac:dyDescent="0.3">
      <c r="A11" s="2" t="s">
        <v>131</v>
      </c>
      <c r="B11" s="2">
        <v>50</v>
      </c>
      <c r="K11" s="106" t="s">
        <v>217</v>
      </c>
      <c r="L11" s="113">
        <v>80</v>
      </c>
      <c r="M11" s="113" t="s">
        <v>214</v>
      </c>
      <c r="N11" s="113" t="s">
        <v>218</v>
      </c>
      <c r="O11" s="107"/>
      <c r="P11" s="81"/>
    </row>
    <row r="12" spans="1:16" ht="15.6" x14ac:dyDescent="0.3">
      <c r="A12" s="2" t="s">
        <v>132</v>
      </c>
      <c r="B12" s="2">
        <v>90</v>
      </c>
      <c r="K12" s="106" t="s">
        <v>219</v>
      </c>
      <c r="L12" s="113">
        <v>0.39</v>
      </c>
      <c r="M12" s="113" t="s">
        <v>214</v>
      </c>
      <c r="N12" s="113" t="s">
        <v>220</v>
      </c>
      <c r="O12" s="107"/>
      <c r="P12" s="81"/>
    </row>
    <row r="13" spans="1:16" ht="15.6" x14ac:dyDescent="0.3">
      <c r="A13" s="2" t="s">
        <v>135</v>
      </c>
      <c r="B13" s="2">
        <v>0.8</v>
      </c>
      <c r="K13" s="114" t="s">
        <v>221</v>
      </c>
      <c r="L13" s="115"/>
      <c r="M13" s="115"/>
      <c r="N13" s="115"/>
      <c r="O13" s="107"/>
      <c r="P13" s="81"/>
    </row>
    <row r="14" spans="1:16" ht="15.6" x14ac:dyDescent="0.3">
      <c r="A14" s="2" t="s">
        <v>133</v>
      </c>
      <c r="B14" s="2">
        <v>88.9</v>
      </c>
      <c r="K14" s="106" t="s">
        <v>222</v>
      </c>
      <c r="L14" s="113">
        <v>1.23</v>
      </c>
      <c r="M14" s="113" t="s">
        <v>214</v>
      </c>
      <c r="N14" s="113" t="s">
        <v>223</v>
      </c>
      <c r="O14" s="107"/>
      <c r="P14" s="81"/>
    </row>
    <row r="15" spans="1:16" ht="15.6" x14ac:dyDescent="0.3">
      <c r="A15" s="2" t="s">
        <v>134</v>
      </c>
      <c r="B15" s="2">
        <v>10.1</v>
      </c>
      <c r="K15" s="106" t="s">
        <v>224</v>
      </c>
      <c r="L15" s="113">
        <v>0.14000000000000001</v>
      </c>
      <c r="M15" s="113" t="s">
        <v>214</v>
      </c>
      <c r="N15" s="113" t="s">
        <v>223</v>
      </c>
      <c r="O15" s="107"/>
      <c r="P15" s="81"/>
    </row>
    <row r="16" spans="1:16" ht="16.2" thickBot="1" x14ac:dyDescent="0.35">
      <c r="A16" s="67" t="s">
        <v>140</v>
      </c>
      <c r="B16" s="67">
        <v>174</v>
      </c>
      <c r="C16" s="42"/>
      <c r="D16" s="42"/>
      <c r="K16" s="106" t="s">
        <v>225</v>
      </c>
      <c r="L16" s="113">
        <v>1.31</v>
      </c>
      <c r="M16" s="113" t="s">
        <v>214</v>
      </c>
      <c r="N16" s="113" t="s">
        <v>223</v>
      </c>
      <c r="O16" s="107"/>
      <c r="P16" s="81"/>
    </row>
    <row r="17" spans="1:16" x14ac:dyDescent="0.3">
      <c r="K17" s="106" t="s">
        <v>226</v>
      </c>
      <c r="L17" s="113">
        <v>5</v>
      </c>
      <c r="M17" s="113" t="s">
        <v>214</v>
      </c>
      <c r="N17" s="113" t="s">
        <v>223</v>
      </c>
      <c r="O17" s="107"/>
      <c r="P17" s="81"/>
    </row>
    <row r="18" spans="1:16" ht="15.6" x14ac:dyDescent="0.3">
      <c r="A18" s="4" t="s">
        <v>142</v>
      </c>
      <c r="B18" s="4">
        <v>0.504</v>
      </c>
      <c r="C18" s="1" t="s">
        <v>143</v>
      </c>
      <c r="D18" s="1"/>
      <c r="K18" s="106" t="s">
        <v>227</v>
      </c>
      <c r="L18" s="113">
        <v>16.7</v>
      </c>
      <c r="M18" s="113" t="s">
        <v>214</v>
      </c>
      <c r="N18" s="113" t="s">
        <v>228</v>
      </c>
      <c r="O18" s="107"/>
      <c r="P18" s="81"/>
    </row>
    <row r="19" spans="1:16" x14ac:dyDescent="0.3">
      <c r="K19" s="106" t="s">
        <v>229</v>
      </c>
      <c r="L19" s="113">
        <v>67.5</v>
      </c>
      <c r="M19" s="113" t="s">
        <v>214</v>
      </c>
      <c r="N19" s="113" t="s">
        <v>230</v>
      </c>
      <c r="O19" s="107"/>
      <c r="P19" s="81"/>
    </row>
    <row r="20" spans="1:16" x14ac:dyDescent="0.3">
      <c r="K20" s="106" t="s">
        <v>231</v>
      </c>
      <c r="L20" s="113">
        <v>27.3</v>
      </c>
      <c r="M20" s="113" t="s">
        <v>214</v>
      </c>
      <c r="N20" s="113" t="s">
        <v>232</v>
      </c>
      <c r="O20" s="107"/>
      <c r="P20" s="81"/>
    </row>
    <row r="21" spans="1:16" x14ac:dyDescent="0.3">
      <c r="K21" s="106" t="s">
        <v>233</v>
      </c>
      <c r="L21" s="113">
        <v>18.399999999999999</v>
      </c>
      <c r="M21" s="113" t="s">
        <v>214</v>
      </c>
      <c r="N21" s="113" t="s">
        <v>234</v>
      </c>
      <c r="O21" s="107"/>
      <c r="P21" s="81"/>
    </row>
    <row r="22" spans="1:16" x14ac:dyDescent="0.3">
      <c r="K22" s="106" t="s">
        <v>235</v>
      </c>
      <c r="L22" s="113">
        <v>26.1</v>
      </c>
      <c r="M22" s="113" t="s">
        <v>214</v>
      </c>
      <c r="N22" s="113" t="s">
        <v>236</v>
      </c>
      <c r="O22" s="107"/>
      <c r="P22" s="81"/>
    </row>
    <row r="23" spans="1:16" ht="21" x14ac:dyDescent="0.4">
      <c r="A23" s="62" t="s">
        <v>271</v>
      </c>
      <c r="K23" s="106" t="s">
        <v>237</v>
      </c>
      <c r="L23" s="113">
        <v>85.2</v>
      </c>
      <c r="M23" s="113" t="s">
        <v>214</v>
      </c>
      <c r="N23" s="113" t="s">
        <v>212</v>
      </c>
      <c r="O23" s="107"/>
      <c r="P23" s="81"/>
    </row>
    <row r="24" spans="1:16" x14ac:dyDescent="0.3">
      <c r="K24" s="106" t="s">
        <v>238</v>
      </c>
      <c r="L24" s="113">
        <v>0.9</v>
      </c>
      <c r="M24" s="113" t="s">
        <v>214</v>
      </c>
      <c r="N24" s="113" t="s">
        <v>239</v>
      </c>
      <c r="O24" s="107"/>
      <c r="P24" s="81"/>
    </row>
    <row r="25" spans="1:16" ht="15" thickBot="1" x14ac:dyDescent="0.35">
      <c r="K25" s="106" t="s">
        <v>240</v>
      </c>
      <c r="L25" s="113">
        <v>10</v>
      </c>
      <c r="M25" s="113" t="s">
        <v>214</v>
      </c>
      <c r="N25" s="113" t="s">
        <v>223</v>
      </c>
      <c r="O25" s="107"/>
      <c r="P25" s="81"/>
    </row>
    <row r="26" spans="1:16" ht="15.6" x14ac:dyDescent="0.3">
      <c r="A26" s="165" t="s">
        <v>128</v>
      </c>
      <c r="B26" s="194" t="s">
        <v>288</v>
      </c>
      <c r="C26" s="192"/>
      <c r="D26" s="192"/>
      <c r="E26" s="192"/>
      <c r="F26" s="192"/>
      <c r="G26" s="192"/>
      <c r="H26" s="192"/>
      <c r="I26" s="192"/>
      <c r="J26" s="193"/>
      <c r="K26" s="114" t="s">
        <v>241</v>
      </c>
      <c r="L26" s="115"/>
      <c r="M26" s="115"/>
      <c r="N26" s="115"/>
      <c r="O26" s="107"/>
      <c r="P26" s="81"/>
    </row>
    <row r="27" spans="1:16" ht="15.6" x14ac:dyDescent="0.3">
      <c r="A27" s="196" t="s">
        <v>292</v>
      </c>
      <c r="B27" s="89"/>
      <c r="K27" s="106" t="s">
        <v>242</v>
      </c>
      <c r="L27" s="113">
        <v>1</v>
      </c>
      <c r="M27" s="113" t="s">
        <v>214</v>
      </c>
      <c r="N27" s="113" t="s">
        <v>212</v>
      </c>
      <c r="O27" s="107" t="s">
        <v>243</v>
      </c>
      <c r="P27" s="81"/>
    </row>
    <row r="28" spans="1:16" ht="15.6" x14ac:dyDescent="0.3">
      <c r="A28" s="144" t="s">
        <v>293</v>
      </c>
      <c r="B28" s="144">
        <v>1.9400000000000001E-2</v>
      </c>
      <c r="K28" s="106" t="s">
        <v>244</v>
      </c>
      <c r="L28" s="113">
        <v>4.9400000000000004</v>
      </c>
      <c r="M28" s="113" t="s">
        <v>214</v>
      </c>
      <c r="N28" s="113" t="s">
        <v>228</v>
      </c>
      <c r="O28" s="107" t="s">
        <v>244</v>
      </c>
      <c r="P28" s="81"/>
    </row>
    <row r="29" spans="1:16" ht="15.6" x14ac:dyDescent="0.3">
      <c r="A29" s="144" t="s">
        <v>294</v>
      </c>
      <c r="B29" s="144">
        <v>7.6E-3</v>
      </c>
      <c r="K29" s="106" t="s">
        <v>245</v>
      </c>
      <c r="L29" s="113">
        <v>7.48</v>
      </c>
      <c r="M29" s="113" t="s">
        <v>214</v>
      </c>
      <c r="N29" s="113" t="s">
        <v>228</v>
      </c>
      <c r="O29" s="107" t="s">
        <v>245</v>
      </c>
      <c r="P29" s="81"/>
    </row>
    <row r="30" spans="1:16" ht="15.6" x14ac:dyDescent="0.3">
      <c r="A30" s="144" t="s">
        <v>295</v>
      </c>
      <c r="B30" s="144">
        <v>6.3000000000000003E-4</v>
      </c>
      <c r="K30" s="106" t="s">
        <v>246</v>
      </c>
      <c r="L30" s="113">
        <v>0.71</v>
      </c>
      <c r="M30" s="113" t="s">
        <v>214</v>
      </c>
      <c r="N30" s="113" t="s">
        <v>228</v>
      </c>
      <c r="O30" s="107" t="s">
        <v>246</v>
      </c>
      <c r="P30" s="81"/>
    </row>
    <row r="31" spans="1:16" ht="16.2" thickBot="1" x14ac:dyDescent="0.35">
      <c r="A31" s="67" t="s">
        <v>296</v>
      </c>
      <c r="B31" s="67">
        <v>0.15459999999999999</v>
      </c>
      <c r="K31" s="106" t="s">
        <v>247</v>
      </c>
      <c r="L31" s="113">
        <v>4.3999999999999997E-2</v>
      </c>
      <c r="M31" s="113" t="s">
        <v>214</v>
      </c>
      <c r="N31" s="113" t="s">
        <v>228</v>
      </c>
      <c r="O31" s="107" t="s">
        <v>248</v>
      </c>
      <c r="P31" s="81"/>
    </row>
    <row r="32" spans="1:16" ht="15.6" x14ac:dyDescent="0.3">
      <c r="A32" s="196" t="s">
        <v>291</v>
      </c>
      <c r="B32" s="1"/>
      <c r="K32" s="106" t="s">
        <v>249</v>
      </c>
      <c r="L32" s="113">
        <v>4.7E-2</v>
      </c>
      <c r="M32" s="113" t="s">
        <v>214</v>
      </c>
      <c r="N32" s="113" t="s">
        <v>228</v>
      </c>
      <c r="O32" s="107" t="s">
        <v>249</v>
      </c>
      <c r="P32" s="81"/>
    </row>
    <row r="33" spans="1:16" ht="16.2" thickBot="1" x14ac:dyDescent="0.35">
      <c r="A33" s="91" t="s">
        <v>307</v>
      </c>
      <c r="B33" s="91">
        <v>0.18</v>
      </c>
      <c r="K33" s="108" t="s">
        <v>250</v>
      </c>
      <c r="L33" s="116">
        <v>345</v>
      </c>
      <c r="M33" s="116" t="s">
        <v>214</v>
      </c>
      <c r="N33" s="116" t="s">
        <v>232</v>
      </c>
      <c r="O33" s="109"/>
      <c r="P33" s="81"/>
    </row>
    <row r="34" spans="1:16" ht="16.2" thickBot="1" x14ac:dyDescent="0.35">
      <c r="A34" s="91" t="s">
        <v>297</v>
      </c>
      <c r="B34" s="91">
        <v>0.79</v>
      </c>
      <c r="P34" s="81"/>
    </row>
    <row r="35" spans="1:16" ht="15.6" x14ac:dyDescent="0.3">
      <c r="A35" s="165" t="s">
        <v>298</v>
      </c>
      <c r="B35" s="198"/>
      <c r="P35" s="81"/>
    </row>
    <row r="36" spans="1:16" ht="15.6" x14ac:dyDescent="0.3">
      <c r="A36" s="91" t="s">
        <v>299</v>
      </c>
      <c r="B36" s="91">
        <v>4.1599999999999996E-3</v>
      </c>
    </row>
    <row r="37" spans="1:16" ht="15.6" x14ac:dyDescent="0.3">
      <c r="A37" s="91" t="s">
        <v>300</v>
      </c>
      <c r="B37" s="91">
        <v>1.0000000000000001E-5</v>
      </c>
    </row>
    <row r="38" spans="1:16" ht="15.6" x14ac:dyDescent="0.3">
      <c r="A38" s="91" t="s">
        <v>301</v>
      </c>
      <c r="B38" s="91">
        <v>3.5299999999999998E-2</v>
      </c>
    </row>
    <row r="39" spans="1:16" ht="15.6" x14ac:dyDescent="0.3">
      <c r="A39" s="91" t="s">
        <v>302</v>
      </c>
      <c r="B39" s="91">
        <v>0.01</v>
      </c>
    </row>
    <row r="40" spans="1:16" ht="15.6" x14ac:dyDescent="0.3">
      <c r="A40" s="91" t="s">
        <v>303</v>
      </c>
      <c r="B40" s="91">
        <v>0.37</v>
      </c>
    </row>
    <row r="41" spans="1:16" ht="15.6" x14ac:dyDescent="0.3">
      <c r="A41" s="91" t="s">
        <v>304</v>
      </c>
      <c r="B41" s="91">
        <v>0.04</v>
      </c>
    </row>
    <row r="42" spans="1:16" ht="15.6" x14ac:dyDescent="0.3">
      <c r="A42" s="91" t="s">
        <v>305</v>
      </c>
      <c r="B42" s="91">
        <v>0.62</v>
      </c>
    </row>
    <row r="43" spans="1:16" ht="16.2" thickBot="1" x14ac:dyDescent="0.35">
      <c r="A43" s="195" t="s">
        <v>306</v>
      </c>
      <c r="B43" s="195">
        <v>5.8400000000000001E-2</v>
      </c>
    </row>
    <row r="44" spans="1:16" ht="15.6" x14ac:dyDescent="0.3">
      <c r="A44" s="196" t="s">
        <v>291</v>
      </c>
      <c r="B44" s="1"/>
    </row>
    <row r="45" spans="1:16" ht="15.6" x14ac:dyDescent="0.3">
      <c r="A45" s="91" t="s">
        <v>437</v>
      </c>
      <c r="B45" t="s">
        <v>438</v>
      </c>
    </row>
    <row r="50" spans="1:3" ht="15.6" x14ac:dyDescent="0.3">
      <c r="A50" s="91" t="s">
        <v>308</v>
      </c>
      <c r="B50" s="1">
        <f>1/5600</f>
        <v>1.7857142857142857E-4</v>
      </c>
      <c r="C50" t="s">
        <v>436</v>
      </c>
    </row>
    <row r="51" spans="1:3" ht="15.6" x14ac:dyDescent="0.3">
      <c r="A51" s="91" t="s">
        <v>309</v>
      </c>
      <c r="B51" s="91">
        <v>201</v>
      </c>
    </row>
    <row r="52" spans="1:3" ht="15.6" x14ac:dyDescent="0.3">
      <c r="A52" s="266" t="s">
        <v>310</v>
      </c>
      <c r="B52" s="263">
        <v>11.3</v>
      </c>
    </row>
  </sheetData>
  <mergeCells count="2">
    <mergeCell ref="B4:D4"/>
    <mergeCell ref="C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EF76-B21A-4083-BB55-9EF081F904EF}">
  <dimension ref="A1:X56"/>
  <sheetViews>
    <sheetView workbookViewId="0">
      <selection activeCell="D32" sqref="D32"/>
    </sheetView>
  </sheetViews>
  <sheetFormatPr defaultRowHeight="14.4" x14ac:dyDescent="0.3"/>
  <cols>
    <col min="1" max="1" width="30" bestFit="1" customWidth="1"/>
    <col min="2" max="2" width="12.6640625" customWidth="1"/>
    <col min="3" max="3" width="12.109375" bestFit="1" customWidth="1"/>
    <col min="4" max="4" width="15.77734375" bestFit="1" customWidth="1"/>
    <col min="5" max="5" width="9.88671875" bestFit="1" customWidth="1"/>
    <col min="6" max="6" width="15.77734375" bestFit="1" customWidth="1"/>
    <col min="14" max="14" width="28" bestFit="1" customWidth="1"/>
    <col min="15" max="15" width="14.109375" bestFit="1" customWidth="1"/>
    <col min="16" max="16" width="14.5546875" customWidth="1"/>
    <col min="17" max="17" width="14.109375" bestFit="1" customWidth="1"/>
  </cols>
  <sheetData>
    <row r="1" spans="1:24" ht="21" x14ac:dyDescent="0.4">
      <c r="A1" s="133" t="s">
        <v>144</v>
      </c>
      <c r="B1" s="92" t="s">
        <v>152</v>
      </c>
      <c r="C1" s="134" t="s">
        <v>323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164" t="s">
        <v>265</v>
      </c>
      <c r="O1" s="92" t="s">
        <v>152</v>
      </c>
      <c r="P1" s="139" t="s">
        <v>263</v>
      </c>
      <c r="Q1" s="140"/>
      <c r="R1" s="140" t="s">
        <v>264</v>
      </c>
      <c r="S1" s="140"/>
      <c r="T1" s="140"/>
      <c r="U1" s="140"/>
      <c r="X1" s="93"/>
    </row>
    <row r="2" spans="1:24" ht="15" thickBot="1" x14ac:dyDescent="0.35">
      <c r="A2" s="135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136"/>
    </row>
    <row r="3" spans="1:24" ht="16.2" thickBot="1" x14ac:dyDescent="0.35">
      <c r="A3" s="68"/>
      <c r="B3" s="157">
        <v>2019</v>
      </c>
      <c r="C3" s="157">
        <v>2020</v>
      </c>
      <c r="D3" s="157" t="s">
        <v>148</v>
      </c>
      <c r="E3" s="89"/>
      <c r="F3" s="89"/>
      <c r="G3" s="89"/>
      <c r="H3" s="89"/>
      <c r="I3" s="89"/>
      <c r="J3" s="89"/>
      <c r="K3" s="89"/>
      <c r="L3" s="89"/>
      <c r="M3" s="89"/>
      <c r="N3" s="142" t="s">
        <v>266</v>
      </c>
      <c r="O3" s="142" t="s">
        <v>17</v>
      </c>
      <c r="P3" s="142" t="s">
        <v>18</v>
      </c>
      <c r="Q3" s="142" t="s">
        <v>21</v>
      </c>
      <c r="R3" s="89"/>
      <c r="S3" s="89"/>
      <c r="T3" s="89"/>
      <c r="U3" s="89"/>
      <c r="V3" s="89"/>
      <c r="W3" s="89"/>
      <c r="X3" s="136"/>
    </row>
    <row r="4" spans="1:24" ht="16.2" thickBot="1" x14ac:dyDescent="0.35">
      <c r="A4" s="141" t="s">
        <v>145</v>
      </c>
      <c r="B4" s="141">
        <v>10.4</v>
      </c>
      <c r="C4" s="141">
        <v>10.199999999999999</v>
      </c>
      <c r="D4" s="141">
        <v>0.2298</v>
      </c>
      <c r="E4" s="89"/>
      <c r="F4" s="89"/>
      <c r="G4" s="89"/>
      <c r="H4" s="89"/>
      <c r="I4" s="89"/>
      <c r="J4" s="89"/>
      <c r="K4" s="89"/>
      <c r="L4" s="89"/>
      <c r="M4" s="89"/>
      <c r="N4" s="141" t="s">
        <v>0</v>
      </c>
      <c r="O4" s="166">
        <v>32351643</v>
      </c>
      <c r="P4" s="166">
        <v>34001617.75</v>
      </c>
      <c r="Q4" s="166">
        <v>29830045.061455697</v>
      </c>
      <c r="R4" s="89"/>
      <c r="S4" s="89"/>
      <c r="T4" s="89"/>
      <c r="U4" s="89"/>
      <c r="V4" s="89"/>
      <c r="W4" s="89"/>
      <c r="X4" s="136"/>
    </row>
    <row r="5" spans="1:24" ht="16.2" thickBot="1" x14ac:dyDescent="0.35">
      <c r="A5" s="141" t="s">
        <v>146</v>
      </c>
      <c r="B5" s="141">
        <v>24.9</v>
      </c>
      <c r="C5" s="141">
        <v>22.6</v>
      </c>
      <c r="D5" s="141">
        <v>0.59189999999999998</v>
      </c>
      <c r="E5" s="89"/>
      <c r="F5" s="89"/>
      <c r="G5" s="89"/>
      <c r="H5" s="89"/>
      <c r="I5" s="89"/>
      <c r="J5" s="89"/>
      <c r="K5" s="89"/>
      <c r="L5" s="89"/>
      <c r="M5" s="89"/>
      <c r="N5" s="141" t="s">
        <v>159</v>
      </c>
      <c r="O5" s="166">
        <v>791431</v>
      </c>
      <c r="P5" s="166">
        <v>1675563.24</v>
      </c>
      <c r="Q5" s="166">
        <v>3021821.31</v>
      </c>
      <c r="R5" s="89"/>
      <c r="S5" s="89"/>
      <c r="T5" s="89"/>
      <c r="U5" s="89"/>
      <c r="V5" s="89"/>
      <c r="W5" s="89"/>
      <c r="X5" s="136"/>
    </row>
    <row r="6" spans="1:24" ht="16.2" thickBot="1" x14ac:dyDescent="0.35">
      <c r="A6" s="142" t="s">
        <v>147</v>
      </c>
      <c r="B6" s="142">
        <f>SUM(B4:B5)</f>
        <v>35.299999999999997</v>
      </c>
      <c r="C6" s="142">
        <f>SUM(C4:C5)</f>
        <v>32.799999999999997</v>
      </c>
      <c r="D6" s="142">
        <f>SUM(D4:D5)</f>
        <v>0.82169999999999999</v>
      </c>
      <c r="E6" s="89"/>
      <c r="F6" s="89"/>
      <c r="G6" s="89"/>
      <c r="H6" s="89"/>
      <c r="I6" s="89"/>
      <c r="J6" s="89"/>
      <c r="K6" s="89"/>
      <c r="L6" s="89"/>
      <c r="M6" s="89"/>
      <c r="N6" s="69" t="s">
        <v>267</v>
      </c>
      <c r="O6" s="167">
        <f>SUM(O4:O5)</f>
        <v>33143074</v>
      </c>
      <c r="P6" s="167">
        <f t="shared" ref="P6:Q6" si="0">SUM(P4:P5)</f>
        <v>35677180.990000002</v>
      </c>
      <c r="Q6" s="167">
        <f t="shared" si="0"/>
        <v>32851866.371455695</v>
      </c>
      <c r="R6" s="89"/>
      <c r="S6" s="89"/>
      <c r="T6" s="89"/>
      <c r="U6" s="89"/>
      <c r="V6" s="89"/>
      <c r="W6" s="89"/>
      <c r="X6" s="136"/>
    </row>
    <row r="7" spans="1:24" ht="16.2" thickBot="1" x14ac:dyDescent="0.35">
      <c r="A7" s="141" t="s">
        <v>149</v>
      </c>
      <c r="B7" s="141">
        <f t="shared" ref="B7:D8" si="1">B4*1000</f>
        <v>10400</v>
      </c>
      <c r="C7" s="141">
        <f t="shared" si="1"/>
        <v>10200</v>
      </c>
      <c r="D7" s="141">
        <f t="shared" si="1"/>
        <v>229.8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136"/>
    </row>
    <row r="8" spans="1:24" ht="16.2" thickBot="1" x14ac:dyDescent="0.35">
      <c r="A8" s="141" t="s">
        <v>150</v>
      </c>
      <c r="B8" s="141">
        <f>B5*1000</f>
        <v>24900</v>
      </c>
      <c r="C8" s="141">
        <f t="shared" si="1"/>
        <v>22600</v>
      </c>
      <c r="D8" s="141">
        <f t="shared" si="1"/>
        <v>591.9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136"/>
    </row>
    <row r="9" spans="1:24" ht="16.2" thickBot="1" x14ac:dyDescent="0.35">
      <c r="A9" s="142" t="s">
        <v>151</v>
      </c>
      <c r="B9" s="142">
        <f>SUM(B7:B8)</f>
        <v>35300</v>
      </c>
      <c r="C9" s="142">
        <f t="shared" ref="C9:D9" si="2">SUM(C7:C8)</f>
        <v>32800</v>
      </c>
      <c r="D9" s="142">
        <f t="shared" si="2"/>
        <v>821.7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136"/>
    </row>
    <row r="10" spans="1:24" x14ac:dyDescent="0.3">
      <c r="A10" s="135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136"/>
    </row>
    <row r="11" spans="1:24" ht="16.2" thickBot="1" x14ac:dyDescent="0.35">
      <c r="A11" s="135"/>
      <c r="B11" s="31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136"/>
    </row>
    <row r="12" spans="1:24" ht="16.2" thickBot="1" x14ac:dyDescent="0.35">
      <c r="A12" s="135"/>
      <c r="B12" s="89"/>
      <c r="C12" s="320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136"/>
    </row>
    <row r="13" spans="1:24" x14ac:dyDescent="0.3">
      <c r="A13" s="135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136"/>
    </row>
    <row r="14" spans="1:24" ht="18" x14ac:dyDescent="0.35">
      <c r="A14" s="214" t="s">
        <v>153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136"/>
    </row>
    <row r="15" spans="1:24" ht="16.2" thickBot="1" x14ac:dyDescent="0.35">
      <c r="A15" s="143"/>
      <c r="B15" s="144">
        <v>2019</v>
      </c>
      <c r="C15" s="144">
        <v>2020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136"/>
    </row>
    <row r="16" spans="1:24" ht="16.2" thickBot="1" x14ac:dyDescent="0.35">
      <c r="A16" s="145" t="s">
        <v>154</v>
      </c>
      <c r="B16" s="146" t="s">
        <v>155</v>
      </c>
      <c r="C16" s="147" t="s">
        <v>155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136"/>
    </row>
    <row r="17" spans="1:24" ht="16.2" thickBot="1" x14ac:dyDescent="0.35">
      <c r="A17" s="148" t="s">
        <v>156</v>
      </c>
      <c r="B17" s="149">
        <v>383341806</v>
      </c>
      <c r="C17" s="150">
        <v>329664977</v>
      </c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136"/>
    </row>
    <row r="18" spans="1:24" ht="16.2" thickBot="1" x14ac:dyDescent="0.35">
      <c r="A18" s="151" t="s">
        <v>157</v>
      </c>
      <c r="B18" s="152">
        <v>81337</v>
      </c>
      <c r="C18" s="153">
        <v>34997</v>
      </c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136"/>
    </row>
    <row r="19" spans="1:24" ht="16.2" thickBot="1" x14ac:dyDescent="0.35">
      <c r="A19" s="154" t="s">
        <v>158</v>
      </c>
      <c r="B19" s="155">
        <v>4834534</v>
      </c>
      <c r="C19" s="156">
        <v>9953520</v>
      </c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136"/>
    </row>
    <row r="20" spans="1:24" ht="16.2" thickBot="1" x14ac:dyDescent="0.35">
      <c r="A20" s="157" t="s">
        <v>159</v>
      </c>
      <c r="B20" s="158">
        <v>3381197</v>
      </c>
      <c r="C20" s="159">
        <v>5777533</v>
      </c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136"/>
    </row>
    <row r="21" spans="1:24" ht="16.2" thickBot="1" x14ac:dyDescent="0.35">
      <c r="A21" s="154" t="s">
        <v>160</v>
      </c>
      <c r="B21" s="159">
        <v>1855983</v>
      </c>
      <c r="C21" s="156">
        <v>104512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136"/>
    </row>
    <row r="22" spans="1:24" ht="16.2" thickBot="1" x14ac:dyDescent="0.35">
      <c r="A22" s="160"/>
      <c r="B22" s="161">
        <f>SUM(B18:B21)</f>
        <v>10153051</v>
      </c>
      <c r="C22" s="161">
        <f>SUM(C18:C21)</f>
        <v>15870562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136"/>
    </row>
    <row r="23" spans="1:24" ht="16.2" thickBot="1" x14ac:dyDescent="0.35">
      <c r="A23" s="160"/>
      <c r="B23" s="162">
        <f>SUM(B17:B21)</f>
        <v>393494857</v>
      </c>
      <c r="C23" s="162">
        <f>SUM(C17:C21)</f>
        <v>345535539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136"/>
    </row>
    <row r="24" spans="1:24" x14ac:dyDescent="0.3">
      <c r="A24" s="135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136"/>
    </row>
    <row r="25" spans="1:24" x14ac:dyDescent="0.3">
      <c r="A25" s="135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136"/>
    </row>
    <row r="26" spans="1:24" x14ac:dyDescent="0.3">
      <c r="A26" s="137"/>
      <c r="B26" s="71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136"/>
    </row>
    <row r="27" spans="1:24" ht="15" thickBot="1" x14ac:dyDescent="0.35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138"/>
    </row>
    <row r="28" spans="1:24" ht="21" x14ac:dyDescent="0.4">
      <c r="A28" s="62" t="s">
        <v>196</v>
      </c>
      <c r="B28" s="92" t="s">
        <v>152</v>
      </c>
      <c r="C28" s="70" t="s">
        <v>322</v>
      </c>
    </row>
    <row r="29" spans="1:24" ht="15" thickBot="1" x14ac:dyDescent="0.35"/>
    <row r="30" spans="1:24" ht="16.2" thickBot="1" x14ac:dyDescent="0.35">
      <c r="A30" s="141"/>
      <c r="B30" s="201">
        <v>2017</v>
      </c>
      <c r="C30" s="201">
        <v>2018</v>
      </c>
      <c r="D30" s="142">
        <v>2019</v>
      </c>
      <c r="E30" s="142">
        <v>2020</v>
      </c>
      <c r="F30" s="142" t="s">
        <v>252</v>
      </c>
    </row>
    <row r="31" spans="1:24" ht="16.2" thickBot="1" x14ac:dyDescent="0.35">
      <c r="A31" s="141" t="s">
        <v>253</v>
      </c>
      <c r="B31" s="199">
        <f>4289840/1000000</f>
        <v>4.2898399999999999</v>
      </c>
      <c r="C31" s="202">
        <f>5336528/1000000</f>
        <v>5.3365280000000004</v>
      </c>
      <c r="D31" s="199">
        <f>5902461/1000000</f>
        <v>5.9024609999999997</v>
      </c>
      <c r="E31" s="199">
        <f>6432009/1000000</f>
        <v>6.4320089999999999</v>
      </c>
      <c r="F31" s="199">
        <f>1668222/1000000</f>
        <v>1.6682220000000001</v>
      </c>
    </row>
    <row r="32" spans="1:24" ht="16.2" thickBot="1" x14ac:dyDescent="0.35">
      <c r="A32" s="141" t="s">
        <v>254</v>
      </c>
      <c r="B32" s="163">
        <f>B31*1000</f>
        <v>4289.84</v>
      </c>
      <c r="C32" s="163">
        <f>C31*1000</f>
        <v>5336.5280000000002</v>
      </c>
      <c r="D32" s="163">
        <f>D31*1000</f>
        <v>5902.4609999999993</v>
      </c>
      <c r="E32" s="163">
        <f t="shared" ref="E32:F32" si="3">E31*1000</f>
        <v>6432.009</v>
      </c>
      <c r="F32" s="163">
        <f t="shared" si="3"/>
        <v>1668.2220000000002</v>
      </c>
    </row>
    <row r="35" spans="1:6" ht="18" x14ac:dyDescent="0.35">
      <c r="A35" s="214" t="s">
        <v>153</v>
      </c>
    </row>
    <row r="36" spans="1:6" ht="15" thickBot="1" x14ac:dyDescent="0.35"/>
    <row r="37" spans="1:6" ht="16.2" thickBot="1" x14ac:dyDescent="0.35">
      <c r="A37" s="142" t="s">
        <v>239</v>
      </c>
      <c r="B37" s="142">
        <v>2017</v>
      </c>
      <c r="C37" s="142">
        <v>2018</v>
      </c>
      <c r="D37" s="142">
        <v>2019</v>
      </c>
      <c r="E37" s="142">
        <v>2020</v>
      </c>
      <c r="F37" s="142" t="s">
        <v>252</v>
      </c>
    </row>
    <row r="38" spans="1:6" ht="16.2" thickBot="1" x14ac:dyDescent="0.35">
      <c r="A38" s="203" t="s">
        <v>312</v>
      </c>
      <c r="B38" s="149">
        <v>2964246</v>
      </c>
      <c r="C38" s="149">
        <v>3743316</v>
      </c>
      <c r="D38" s="149">
        <v>4093319</v>
      </c>
      <c r="E38" s="149">
        <v>4621448</v>
      </c>
      <c r="F38" s="149">
        <v>1182909</v>
      </c>
    </row>
    <row r="39" spans="1:6" ht="16.2" thickBot="1" x14ac:dyDescent="0.35">
      <c r="A39" s="203" t="s">
        <v>313</v>
      </c>
      <c r="B39" s="149">
        <v>34438</v>
      </c>
      <c r="C39" s="149">
        <v>70703</v>
      </c>
      <c r="D39" s="149">
        <v>120750</v>
      </c>
      <c r="E39" s="149">
        <v>166182</v>
      </c>
      <c r="F39" s="149">
        <v>47980</v>
      </c>
    </row>
    <row r="40" spans="1:6" ht="16.2" thickBot="1" x14ac:dyDescent="0.35">
      <c r="A40" s="203" t="s">
        <v>314</v>
      </c>
      <c r="B40" s="149">
        <v>12175</v>
      </c>
      <c r="C40" s="149">
        <v>48487</v>
      </c>
      <c r="D40" s="149">
        <v>66879</v>
      </c>
      <c r="E40" s="149">
        <v>108368</v>
      </c>
      <c r="F40" s="149">
        <v>35029</v>
      </c>
    </row>
    <row r="41" spans="1:6" ht="16.2" thickBot="1" x14ac:dyDescent="0.35">
      <c r="A41" s="203" t="s">
        <v>325</v>
      </c>
      <c r="B41" s="141">
        <v>0</v>
      </c>
      <c r="C41" s="141">
        <v>0</v>
      </c>
      <c r="D41" s="141">
        <v>0</v>
      </c>
      <c r="E41" s="141">
        <v>338</v>
      </c>
      <c r="F41" s="141">
        <v>0</v>
      </c>
    </row>
    <row r="42" spans="1:6" ht="16.2" thickBot="1" x14ac:dyDescent="0.35">
      <c r="A42" s="203" t="s">
        <v>315</v>
      </c>
      <c r="B42" s="141">
        <v>0</v>
      </c>
      <c r="C42" s="141">
        <v>0</v>
      </c>
      <c r="D42" s="141">
        <v>0</v>
      </c>
      <c r="E42" s="149">
        <v>1142</v>
      </c>
      <c r="F42" s="141">
        <v>0</v>
      </c>
    </row>
    <row r="43" spans="1:6" ht="16.2" thickBot="1" x14ac:dyDescent="0.35">
      <c r="A43" s="203" t="s">
        <v>316</v>
      </c>
      <c r="B43" s="149">
        <v>7218</v>
      </c>
      <c r="C43" s="149">
        <v>4059</v>
      </c>
      <c r="D43" s="149">
        <v>3135</v>
      </c>
      <c r="E43" s="149">
        <v>3767</v>
      </c>
      <c r="F43" s="141">
        <v>581</v>
      </c>
    </row>
    <row r="44" spans="1:6" ht="16.2" thickBot="1" x14ac:dyDescent="0.35">
      <c r="A44" s="203" t="s">
        <v>317</v>
      </c>
      <c r="B44" s="149">
        <v>577054</v>
      </c>
      <c r="C44" s="149">
        <v>707744</v>
      </c>
      <c r="D44" s="149">
        <v>681539</v>
      </c>
      <c r="E44" s="149">
        <v>576177</v>
      </c>
      <c r="F44" s="149">
        <v>161211</v>
      </c>
    </row>
    <row r="45" spans="1:6" ht="16.2" thickBot="1" x14ac:dyDescent="0.35">
      <c r="A45" s="203" t="s">
        <v>318</v>
      </c>
      <c r="B45" s="149">
        <v>428869</v>
      </c>
      <c r="C45" s="149">
        <v>525578</v>
      </c>
      <c r="D45" s="149">
        <v>675118</v>
      </c>
      <c r="E45" s="149">
        <v>746445</v>
      </c>
      <c r="F45" s="149">
        <v>186020</v>
      </c>
    </row>
    <row r="46" spans="1:6" ht="16.2" thickBot="1" x14ac:dyDescent="0.35">
      <c r="A46" s="203" t="s">
        <v>319</v>
      </c>
      <c r="B46" s="149">
        <v>45808</v>
      </c>
      <c r="C46" s="149">
        <v>43432</v>
      </c>
      <c r="D46" s="149">
        <v>34335</v>
      </c>
      <c r="E46" s="149">
        <v>40424</v>
      </c>
      <c r="F46" s="149">
        <v>9142</v>
      </c>
    </row>
    <row r="47" spans="1:6" ht="16.2" thickBot="1" x14ac:dyDescent="0.35">
      <c r="A47" s="203" t="s">
        <v>320</v>
      </c>
      <c r="B47" s="149">
        <v>92411</v>
      </c>
      <c r="C47" s="149">
        <v>111239</v>
      </c>
      <c r="D47" s="149">
        <v>115294</v>
      </c>
      <c r="E47" s="149">
        <v>130419</v>
      </c>
      <c r="F47" s="149">
        <v>30276</v>
      </c>
    </row>
    <row r="48" spans="1:6" ht="16.2" thickBot="1" x14ac:dyDescent="0.35">
      <c r="A48" s="203" t="s">
        <v>321</v>
      </c>
      <c r="B48" s="149">
        <v>58513</v>
      </c>
      <c r="C48" s="149">
        <v>86498</v>
      </c>
      <c r="D48" s="149">
        <v>92634</v>
      </c>
      <c r="E48" s="149">
        <v>79604</v>
      </c>
      <c r="F48" s="149">
        <v>24150</v>
      </c>
    </row>
    <row r="49" spans="1:6" ht="16.2" thickBot="1" x14ac:dyDescent="0.35">
      <c r="A49" s="203" t="s">
        <v>324</v>
      </c>
      <c r="B49" s="204">
        <v>0</v>
      </c>
      <c r="C49" s="149">
        <v>5609</v>
      </c>
      <c r="D49" s="149">
        <v>158386</v>
      </c>
      <c r="E49" s="149">
        <v>14866</v>
      </c>
      <c r="F49" s="141">
        <v>932</v>
      </c>
    </row>
    <row r="54" spans="1:6" x14ac:dyDescent="0.3">
      <c r="A54" s="200"/>
    </row>
    <row r="55" spans="1:6" x14ac:dyDescent="0.3">
      <c r="A55" s="200"/>
    </row>
    <row r="56" spans="1:6" x14ac:dyDescent="0.3">
      <c r="A56" s="200"/>
    </row>
  </sheetData>
  <hyperlinks>
    <hyperlink ref="C1" r:id="rId1" display="Painel dinâmico - Produtores de etanol" xr:uid="{12278A86-0BEE-452D-AE39-64BC7EA5A29F}"/>
    <hyperlink ref="P1" r:id="rId2" xr:uid="{1DDE8B27-F206-4F23-BCCC-4501156A8C21}"/>
    <hyperlink ref="C28" r:id="rId3" xr:uid="{4EA77E43-B00C-40A4-A9C6-FD41F9813BBC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0796-0BE1-4342-B2A9-47A6C2A78BBE}">
  <dimension ref="A1:AV92"/>
  <sheetViews>
    <sheetView topLeftCell="E16" workbookViewId="0">
      <selection activeCell="B29" sqref="B29"/>
    </sheetView>
  </sheetViews>
  <sheetFormatPr defaultRowHeight="14.4" x14ac:dyDescent="0.3"/>
  <cols>
    <col min="1" max="1" width="18.33203125" bestFit="1" customWidth="1"/>
    <col min="2" max="2" width="11.77734375" bestFit="1" customWidth="1"/>
    <col min="3" max="3" width="11.88671875" bestFit="1" customWidth="1"/>
    <col min="4" max="4" width="10.109375" bestFit="1" customWidth="1"/>
    <col min="5" max="5" width="11.33203125" bestFit="1" customWidth="1"/>
    <col min="6" max="6" width="14.5546875" bestFit="1" customWidth="1"/>
    <col min="7" max="7" width="16.44140625" customWidth="1"/>
    <col min="8" max="8" width="34" bestFit="1" customWidth="1"/>
    <col min="10" max="10" width="18.33203125" customWidth="1"/>
    <col min="11" max="11" width="11.77734375" bestFit="1" customWidth="1"/>
    <col min="12" max="12" width="11.88671875" bestFit="1" customWidth="1"/>
    <col min="13" max="14" width="13.33203125" bestFit="1" customWidth="1"/>
    <col min="15" max="15" width="14.5546875" bestFit="1" customWidth="1"/>
    <col min="16" max="16" width="13.33203125" bestFit="1" customWidth="1"/>
    <col min="17" max="17" width="13.5546875" bestFit="1" customWidth="1"/>
    <col min="18" max="18" width="12" bestFit="1" customWidth="1"/>
    <col min="19" max="19" width="13.5546875" bestFit="1" customWidth="1"/>
    <col min="20" max="20" width="16.88671875" bestFit="1" customWidth="1"/>
    <col min="21" max="21" width="12.33203125" bestFit="1" customWidth="1"/>
    <col min="22" max="22" width="11.44140625" bestFit="1" customWidth="1"/>
    <col min="23" max="23" width="7.6640625" bestFit="1" customWidth="1"/>
  </cols>
  <sheetData>
    <row r="1" spans="1:19" ht="16.2" customHeight="1" thickBot="1" x14ac:dyDescent="0.35">
      <c r="A1" s="366" t="s">
        <v>105</v>
      </c>
      <c r="B1" s="366"/>
      <c r="C1" s="366"/>
      <c r="D1" s="366"/>
      <c r="E1" s="366"/>
      <c r="F1" s="366"/>
      <c r="G1" s="366"/>
      <c r="H1" s="366"/>
      <c r="I1" s="366"/>
      <c r="J1" s="366" t="s">
        <v>106</v>
      </c>
      <c r="K1" s="366"/>
      <c r="L1" s="366"/>
      <c r="M1" s="366"/>
      <c r="N1" s="366"/>
      <c r="O1" s="366"/>
      <c r="P1" s="366"/>
      <c r="Q1" s="366"/>
      <c r="R1" s="1"/>
      <c r="S1" s="1"/>
    </row>
    <row r="2" spans="1:19" ht="15.6" x14ac:dyDescent="0.3">
      <c r="A2" s="17" t="s">
        <v>44</v>
      </c>
      <c r="B2" s="18" t="s">
        <v>45</v>
      </c>
      <c r="C2" s="9" t="s">
        <v>46</v>
      </c>
      <c r="D2" s="6" t="s">
        <v>47</v>
      </c>
      <c r="E2" s="6" t="s">
        <v>48</v>
      </c>
      <c r="F2" s="6" t="s">
        <v>49</v>
      </c>
      <c r="G2" s="6" t="s">
        <v>50</v>
      </c>
      <c r="H2" s="1"/>
      <c r="I2" s="1"/>
      <c r="J2" s="11" t="s">
        <v>44</v>
      </c>
      <c r="K2" s="12" t="s">
        <v>45</v>
      </c>
      <c r="L2" s="9" t="s">
        <v>46</v>
      </c>
      <c r="M2" s="6" t="s">
        <v>47</v>
      </c>
      <c r="N2" s="6" t="s">
        <v>48</v>
      </c>
      <c r="O2" s="6" t="s">
        <v>49</v>
      </c>
      <c r="P2" s="6" t="s">
        <v>50</v>
      </c>
      <c r="Q2" s="1"/>
      <c r="R2" s="1"/>
      <c r="S2" s="1"/>
    </row>
    <row r="3" spans="1:19" ht="15.6" x14ac:dyDescent="0.3">
      <c r="A3" s="19">
        <v>6300</v>
      </c>
      <c r="B3" s="20">
        <v>26.376840000000001</v>
      </c>
      <c r="C3" s="10" t="s">
        <v>51</v>
      </c>
      <c r="D3" s="3">
        <v>1.6673</v>
      </c>
      <c r="E3" s="3">
        <v>0.44319999999999998</v>
      </c>
      <c r="F3" s="3">
        <v>0.26581898878426197</v>
      </c>
      <c r="G3" s="3">
        <v>2.0769615905449838E-2</v>
      </c>
      <c r="H3" s="1"/>
      <c r="I3" s="1"/>
      <c r="J3" s="13">
        <v>6750</v>
      </c>
      <c r="K3" s="14">
        <v>28.260899999999999</v>
      </c>
      <c r="L3" s="10" t="s">
        <v>51</v>
      </c>
      <c r="M3" s="3">
        <v>1.8328</v>
      </c>
      <c r="N3" s="3">
        <v>0.48720000000000002</v>
      </c>
      <c r="O3" s="3">
        <v>0.26582278481012661</v>
      </c>
      <c r="P3" s="3">
        <v>2.1794394500522739E-2</v>
      </c>
      <c r="Q3" s="1"/>
      <c r="R3" s="1"/>
      <c r="S3" s="1"/>
    </row>
    <row r="4" spans="1:19" ht="15.6" x14ac:dyDescent="0.3">
      <c r="A4" s="19"/>
      <c r="B4" s="20"/>
      <c r="C4" s="10" t="s">
        <v>52</v>
      </c>
      <c r="D4" s="3">
        <v>1.6354</v>
      </c>
      <c r="E4" s="3">
        <v>0.44059999999999999</v>
      </c>
      <c r="F4" s="3">
        <v>0.26941421059068116</v>
      </c>
      <c r="G4" s="3">
        <v>2.0647772490842053E-2</v>
      </c>
      <c r="H4" s="1"/>
      <c r="I4" s="1"/>
      <c r="J4" s="13"/>
      <c r="K4" s="14"/>
      <c r="L4" s="10" t="s">
        <v>52</v>
      </c>
      <c r="M4" s="3">
        <v>1.8156000000000001</v>
      </c>
      <c r="N4" s="3">
        <v>0.48920000000000002</v>
      </c>
      <c r="O4" s="3">
        <v>0.26944260850407581</v>
      </c>
      <c r="P4" s="3">
        <v>2.1883862458242455E-2</v>
      </c>
      <c r="Q4" s="1"/>
      <c r="R4" s="1"/>
      <c r="S4" s="1"/>
    </row>
    <row r="5" spans="1:19" ht="15.6" x14ac:dyDescent="0.3">
      <c r="A5" s="19" t="s">
        <v>53</v>
      </c>
      <c r="B5" s="20"/>
      <c r="C5" s="10" t="s">
        <v>54</v>
      </c>
      <c r="D5" s="3">
        <v>1.6044</v>
      </c>
      <c r="E5" s="3">
        <v>0.43009999999999998</v>
      </c>
      <c r="F5" s="3">
        <v>0.26807529294440285</v>
      </c>
      <c r="G5" s="3">
        <v>2.0155712547233699E-2</v>
      </c>
      <c r="H5" s="1"/>
      <c r="I5" s="1"/>
      <c r="J5" s="13" t="s">
        <v>53</v>
      </c>
      <c r="K5" s="14"/>
      <c r="L5" s="10" t="s">
        <v>54</v>
      </c>
      <c r="M5" s="3">
        <v>1.7934000000000001</v>
      </c>
      <c r="N5" s="3">
        <v>0.48070000000000002</v>
      </c>
      <c r="O5" s="3">
        <v>0.26803836288613808</v>
      </c>
      <c r="P5" s="3">
        <v>2.150362363793366E-2</v>
      </c>
      <c r="Q5" s="1"/>
      <c r="R5" s="1"/>
      <c r="S5" s="1"/>
    </row>
    <row r="6" spans="1:19" ht="16.2" thickBot="1" x14ac:dyDescent="0.35">
      <c r="A6" s="21">
        <v>809</v>
      </c>
      <c r="B6" s="22"/>
      <c r="C6" s="10" t="s">
        <v>55</v>
      </c>
      <c r="D6" s="3">
        <v>1.5589999999999999</v>
      </c>
      <c r="E6" s="3">
        <v>0.41339999999999999</v>
      </c>
      <c r="F6" s="3">
        <v>0.26516998075689546</v>
      </c>
      <c r="G6" s="3">
        <v>1.9373102922637553E-2</v>
      </c>
      <c r="H6" s="1"/>
      <c r="I6" s="1"/>
      <c r="J6" s="15">
        <v>791</v>
      </c>
      <c r="K6" s="16"/>
      <c r="L6" s="10" t="s">
        <v>55</v>
      </c>
      <c r="M6" s="3">
        <v>1.7421</v>
      </c>
      <c r="N6" s="3">
        <v>0.46189999999999998</v>
      </c>
      <c r="O6" s="3">
        <v>0.26513977383617471</v>
      </c>
      <c r="P6" s="3">
        <v>2.0662624835368334E-2</v>
      </c>
      <c r="Q6" s="1"/>
      <c r="R6" s="1"/>
      <c r="S6" s="1"/>
    </row>
    <row r="7" spans="1:19" ht="15.6" x14ac:dyDescent="0.3">
      <c r="A7" s="1"/>
      <c r="B7" s="1"/>
      <c r="C7" s="3" t="s">
        <v>56</v>
      </c>
      <c r="D7" s="3">
        <v>1.5230999999999999</v>
      </c>
      <c r="E7" s="3">
        <v>0.41120000000000001</v>
      </c>
      <c r="F7" s="3">
        <v>0.26997570743877619</v>
      </c>
      <c r="G7" s="3">
        <v>1.9270004648738657E-2</v>
      </c>
      <c r="H7" s="1"/>
      <c r="I7" s="1"/>
      <c r="J7" s="1"/>
      <c r="K7" s="1"/>
      <c r="L7" s="3" t="s">
        <v>56</v>
      </c>
      <c r="M7" s="3">
        <v>1.7335</v>
      </c>
      <c r="N7" s="3">
        <v>0.46800000000000003</v>
      </c>
      <c r="O7" s="3">
        <v>0.26997404095760025</v>
      </c>
      <c r="P7" s="3">
        <v>2.0935502106413467E-2</v>
      </c>
      <c r="Q7" s="1"/>
      <c r="R7" s="1"/>
      <c r="S7" s="1"/>
    </row>
    <row r="8" spans="1:19" ht="15.6" x14ac:dyDescent="0.3">
      <c r="A8" s="1"/>
      <c r="B8" s="1"/>
      <c r="C8" s="3" t="s">
        <v>57</v>
      </c>
      <c r="D8" s="3">
        <v>1.58</v>
      </c>
      <c r="E8" s="3">
        <v>0.42759999999999998</v>
      </c>
      <c r="F8" s="3">
        <v>0.27063291139240503</v>
      </c>
      <c r="G8" s="3">
        <v>2.0038555417803135E-2</v>
      </c>
      <c r="H8" s="1"/>
      <c r="I8" s="1"/>
      <c r="J8" s="1"/>
      <c r="K8" s="1"/>
      <c r="L8" s="3" t="s">
        <v>57</v>
      </c>
      <c r="M8" s="3">
        <v>1.6976</v>
      </c>
      <c r="N8" s="3">
        <v>0.45939999999999998</v>
      </c>
      <c r="O8" s="3">
        <v>0.27061734213006594</v>
      </c>
      <c r="P8" s="3">
        <v>2.0550789888218689E-2</v>
      </c>
      <c r="Q8" s="1"/>
      <c r="R8" s="1"/>
      <c r="S8" s="1"/>
    </row>
    <row r="9" spans="1:19" ht="15.6" x14ac:dyDescent="0.3">
      <c r="A9" s="1"/>
      <c r="B9" s="1"/>
      <c r="C9" s="3" t="s">
        <v>58</v>
      </c>
      <c r="D9" s="3">
        <v>1.6920999999999999</v>
      </c>
      <c r="E9" s="3">
        <v>0.45319999999999999</v>
      </c>
      <c r="F9" s="3">
        <v>0.26783287039773063</v>
      </c>
      <c r="G9" s="3">
        <v>2.1238244423172081E-2</v>
      </c>
      <c r="H9" s="1"/>
      <c r="I9" s="1"/>
      <c r="J9" s="1"/>
      <c r="K9" s="1"/>
      <c r="L9" s="3" t="s">
        <v>58</v>
      </c>
      <c r="M9" s="3">
        <v>1.7585999999999999</v>
      </c>
      <c r="N9" s="3">
        <v>0.47110000000000002</v>
      </c>
      <c r="O9" s="3">
        <v>0.26788354372796547</v>
      </c>
      <c r="P9" s="3">
        <v>2.1074177440879027E-2</v>
      </c>
      <c r="Q9" s="1"/>
      <c r="R9" s="1"/>
      <c r="S9" s="1"/>
    </row>
    <row r="10" spans="1:19" ht="15.6" x14ac:dyDescent="0.3">
      <c r="A10" s="1"/>
      <c r="B10" s="1"/>
      <c r="C10" s="3" t="s">
        <v>59</v>
      </c>
      <c r="D10" s="3">
        <v>1.7998000000000001</v>
      </c>
      <c r="E10" s="3">
        <v>0.4824</v>
      </c>
      <c r="F10" s="3">
        <v>0.26802978108678743</v>
      </c>
      <c r="G10" s="3">
        <v>2.2606639694921032E-2</v>
      </c>
      <c r="H10" s="1"/>
      <c r="I10" s="369" t="s">
        <v>326</v>
      </c>
      <c r="J10" s="369"/>
      <c r="K10" s="1"/>
      <c r="L10" s="3" t="s">
        <v>59</v>
      </c>
      <c r="M10" s="3">
        <v>1.8782000000000001</v>
      </c>
      <c r="N10" s="3">
        <v>0.50339999999999996</v>
      </c>
      <c r="O10" s="3">
        <v>0.26802257480566494</v>
      </c>
      <c r="P10" s="3">
        <v>2.2519084958052434E-2</v>
      </c>
      <c r="Q10" s="1"/>
      <c r="R10" s="1"/>
      <c r="S10" s="1"/>
    </row>
    <row r="11" spans="1:19" ht="15.6" x14ac:dyDescent="0.3">
      <c r="B11" s="1"/>
      <c r="C11" s="3" t="s">
        <v>60</v>
      </c>
      <c r="D11" s="3">
        <v>1.8661000000000001</v>
      </c>
      <c r="E11" s="3">
        <v>0.49790000000000001</v>
      </c>
      <c r="F11" s="3">
        <v>0.26681313970312415</v>
      </c>
      <c r="G11" s="3">
        <v>2.3333013897390512E-2</v>
      </c>
      <c r="H11" s="1"/>
      <c r="I11" s="206">
        <v>2019</v>
      </c>
      <c r="J11" s="206">
        <v>2020</v>
      </c>
      <c r="K11" s="206" t="s">
        <v>327</v>
      </c>
      <c r="L11" s="3" t="s">
        <v>60</v>
      </c>
      <c r="M11" s="3">
        <v>1.89</v>
      </c>
      <c r="N11" s="3">
        <v>0.50429999999999997</v>
      </c>
      <c r="O11" s="3">
        <v>0.2668253968253968</v>
      </c>
      <c r="P11" s="3">
        <v>2.2559345539026304E-2</v>
      </c>
      <c r="Q11" s="1"/>
      <c r="R11" s="1"/>
      <c r="S11" s="1"/>
    </row>
    <row r="12" spans="1:19" ht="15.6" x14ac:dyDescent="0.3">
      <c r="B12" s="1"/>
      <c r="C12" s="3" t="s">
        <v>61</v>
      </c>
      <c r="D12" s="3">
        <v>1.8694</v>
      </c>
      <c r="E12" s="3">
        <v>0.48330000000000001</v>
      </c>
      <c r="F12" s="3">
        <v>0.2585321493527335</v>
      </c>
      <c r="G12" s="3">
        <v>2.2648816261516037E-2</v>
      </c>
      <c r="H12" s="1"/>
      <c r="I12" s="209">
        <v>1.1160000000000001</v>
      </c>
      <c r="J12" s="209">
        <v>0.89500000000000002</v>
      </c>
      <c r="K12" s="205" t="s">
        <v>328</v>
      </c>
      <c r="L12" s="3" t="s">
        <v>61</v>
      </c>
      <c r="M12" s="3">
        <v>1.9198</v>
      </c>
      <c r="N12" s="3">
        <v>0.49640000000000001</v>
      </c>
      <c r="O12" s="3">
        <v>0.25856860089592665</v>
      </c>
      <c r="P12" s="3">
        <v>2.2205947106033432E-2</v>
      </c>
      <c r="Q12" s="1"/>
      <c r="R12" s="1"/>
      <c r="S12" s="1"/>
    </row>
    <row r="13" spans="1:19" ht="15.6" x14ac:dyDescent="0.3">
      <c r="A13" s="1"/>
      <c r="B13" s="1"/>
      <c r="C13" s="3" t="s">
        <v>62</v>
      </c>
      <c r="D13" s="3">
        <v>1.8532</v>
      </c>
      <c r="E13" s="3">
        <v>0.48449999999999999</v>
      </c>
      <c r="F13" s="3">
        <v>0.2614396719188431</v>
      </c>
      <c r="G13" s="3">
        <v>2.2705051683642705E-2</v>
      </c>
      <c r="H13" s="1"/>
      <c r="I13" s="208">
        <v>3.9295833333333334</v>
      </c>
      <c r="J13" s="208">
        <v>3.7429999999999999</v>
      </c>
      <c r="K13" s="3" t="s">
        <v>330</v>
      </c>
      <c r="L13" s="3" t="s">
        <v>62</v>
      </c>
      <c r="M13" s="3">
        <v>1.8861000000000001</v>
      </c>
      <c r="N13" s="3">
        <v>0.49320000000000003</v>
      </c>
      <c r="O13" s="3">
        <v>0.26149196755209164</v>
      </c>
      <c r="P13" s="3">
        <v>2.2062798373681889E-2</v>
      </c>
      <c r="Q13" s="1"/>
      <c r="R13" s="1"/>
      <c r="S13" s="1"/>
    </row>
    <row r="14" spans="1:19" ht="15.6" x14ac:dyDescent="0.3">
      <c r="A14" s="1"/>
      <c r="B14" s="1"/>
      <c r="C14" s="3" t="s">
        <v>63</v>
      </c>
      <c r="D14" s="3">
        <v>1.7685999999999999</v>
      </c>
      <c r="E14" s="3">
        <v>0.46489999999999998</v>
      </c>
      <c r="F14" s="3">
        <v>0.26286328169173356</v>
      </c>
      <c r="G14" s="3">
        <v>2.1786539788907107E-2</v>
      </c>
      <c r="H14" s="1"/>
      <c r="I14" s="370" t="s">
        <v>329</v>
      </c>
      <c r="J14" s="370"/>
      <c r="K14" s="1"/>
      <c r="L14" s="3" t="s">
        <v>63</v>
      </c>
      <c r="M14" s="3">
        <v>1.8591</v>
      </c>
      <c r="N14" s="3">
        <v>0.48870000000000002</v>
      </c>
      <c r="O14" s="3">
        <v>0.26286913022430208</v>
      </c>
      <c r="P14" s="3">
        <v>2.1861495468812529E-2</v>
      </c>
      <c r="Q14" s="1"/>
      <c r="R14" s="1"/>
      <c r="S14" s="1"/>
    </row>
    <row r="15" spans="1:19" ht="15.6" x14ac:dyDescent="0.3">
      <c r="A15" s="1"/>
      <c r="B15" s="1"/>
      <c r="C15" s="3" t="s">
        <v>64</v>
      </c>
      <c r="D15" s="3">
        <v>1.6332</v>
      </c>
      <c r="E15" s="3">
        <v>0.41880000000000001</v>
      </c>
      <c r="F15" s="3">
        <v>0.25642909625275534</v>
      </c>
      <c r="G15" s="3">
        <v>1.9626162322207565E-2</v>
      </c>
      <c r="H15" s="1"/>
      <c r="I15" s="6">
        <v>2019</v>
      </c>
      <c r="J15" s="6">
        <v>2020</v>
      </c>
      <c r="K15" s="6" t="s">
        <v>327</v>
      </c>
      <c r="L15" s="3" t="s">
        <v>64</v>
      </c>
      <c r="M15" s="3">
        <v>1.8391</v>
      </c>
      <c r="N15" s="3">
        <v>0.47149999999999997</v>
      </c>
      <c r="O15" s="3">
        <v>0.25637540101136425</v>
      </c>
      <c r="P15" s="3">
        <v>2.1092071032422971E-2</v>
      </c>
      <c r="Q15" s="1"/>
      <c r="R15" s="1"/>
      <c r="S15" s="1"/>
    </row>
    <row r="16" spans="1:19" ht="15.6" x14ac:dyDescent="0.3">
      <c r="A16" s="1"/>
      <c r="B16" s="1"/>
      <c r="C16" s="3" t="s">
        <v>65</v>
      </c>
      <c r="D16" s="3">
        <v>1.6477999999999999</v>
      </c>
      <c r="E16" s="3">
        <v>0.42649999999999999</v>
      </c>
      <c r="F16" s="3">
        <v>0.25882995509163736</v>
      </c>
      <c r="G16" s="3">
        <v>1.9987006280853693E-2</v>
      </c>
      <c r="H16" s="1"/>
      <c r="I16" s="208">
        <v>0.91300000000000003</v>
      </c>
      <c r="J16" s="208">
        <v>0.72299999999999998</v>
      </c>
      <c r="K16" s="3" t="s">
        <v>328</v>
      </c>
      <c r="L16" s="3" t="s">
        <v>65</v>
      </c>
      <c r="M16" s="3">
        <v>1.8553999999999999</v>
      </c>
      <c r="N16" s="3">
        <v>0.48020000000000002</v>
      </c>
      <c r="O16" s="3">
        <v>0.25881211598577125</v>
      </c>
      <c r="P16" s="3">
        <v>2.1481256648503734E-2</v>
      </c>
      <c r="Q16" s="1"/>
      <c r="R16" s="1"/>
      <c r="S16" s="1"/>
    </row>
    <row r="17" spans="1:19" ht="15.6" x14ac:dyDescent="0.3">
      <c r="A17" s="1"/>
      <c r="B17" s="1"/>
      <c r="C17" s="3" t="s">
        <v>66</v>
      </c>
      <c r="D17" s="3">
        <v>1.8962000000000001</v>
      </c>
      <c r="E17" s="3">
        <v>0.49209999999999998</v>
      </c>
      <c r="F17" s="3">
        <v>0.25951903807615229</v>
      </c>
      <c r="G17" s="3">
        <v>2.3061209357111607E-2</v>
      </c>
      <c r="H17" s="1"/>
      <c r="I17" s="208">
        <v>3.2040000000000002</v>
      </c>
      <c r="J17" s="208">
        <v>2.95</v>
      </c>
      <c r="K17" s="3" t="s">
        <v>330</v>
      </c>
      <c r="L17" s="3" t="s">
        <v>66</v>
      </c>
      <c r="M17" s="3">
        <v>1.9359999999999999</v>
      </c>
      <c r="N17" s="3">
        <v>0.50249999999999995</v>
      </c>
      <c r="O17" s="3">
        <v>0.25955578512396693</v>
      </c>
      <c r="P17" s="3">
        <v>2.2478824377078561E-2</v>
      </c>
      <c r="Q17" s="1"/>
      <c r="R17" s="1"/>
      <c r="S17" s="1"/>
    </row>
    <row r="18" spans="1:19" ht="15.6" x14ac:dyDescent="0.3">
      <c r="A18" s="1"/>
      <c r="B18" s="1"/>
      <c r="C18" s="3" t="s">
        <v>67</v>
      </c>
      <c r="D18" s="3">
        <v>1.9845999999999999</v>
      </c>
      <c r="E18" s="3">
        <v>0.50790000000000002</v>
      </c>
      <c r="F18" s="3">
        <v>0.25592058853169408</v>
      </c>
      <c r="G18" s="3">
        <v>2.3801642415112758E-2</v>
      </c>
      <c r="H18" s="1"/>
      <c r="I18" s="1"/>
      <c r="J18" s="1"/>
      <c r="K18" s="1"/>
      <c r="L18" s="3" t="s">
        <v>67</v>
      </c>
      <c r="M18" s="3">
        <v>2.1038000000000001</v>
      </c>
      <c r="N18" s="3">
        <v>0.53839999999999999</v>
      </c>
      <c r="O18" s="3">
        <v>0.25591786291472574</v>
      </c>
      <c r="P18" s="3">
        <v>2.4084774218147458E-2</v>
      </c>
      <c r="Q18" s="1"/>
      <c r="R18" s="1"/>
      <c r="S18" s="1"/>
    </row>
    <row r="19" spans="1:19" ht="15.6" x14ac:dyDescent="0.3">
      <c r="A19" s="1"/>
      <c r="B19" s="1"/>
      <c r="C19" s="3" t="s">
        <v>68</v>
      </c>
      <c r="D19" s="3">
        <v>1.8562000000000001</v>
      </c>
      <c r="E19" s="3">
        <v>0.47049999999999997</v>
      </c>
      <c r="F19" s="3">
        <v>0.25347484107316021</v>
      </c>
      <c r="G19" s="3">
        <v>2.2048971758831564E-2</v>
      </c>
      <c r="H19" s="1"/>
      <c r="I19" s="1"/>
      <c r="J19" s="207" t="s">
        <v>331</v>
      </c>
      <c r="K19" s="1"/>
      <c r="L19" s="3" t="s">
        <v>68</v>
      </c>
      <c r="M19" s="3">
        <v>2.0495999999999999</v>
      </c>
      <c r="N19" s="3">
        <v>0.51959999999999995</v>
      </c>
      <c r="O19" s="3">
        <v>0.25351288056206089</v>
      </c>
      <c r="P19" s="3">
        <v>2.3243775415582129E-2</v>
      </c>
      <c r="Q19" s="1"/>
      <c r="R19" s="1"/>
      <c r="S19" s="1"/>
    </row>
    <row r="20" spans="1:19" ht="15.6" x14ac:dyDescent="0.3">
      <c r="A20" s="1"/>
      <c r="B20" s="1"/>
      <c r="C20" s="3" t="s">
        <v>69</v>
      </c>
      <c r="D20" s="3">
        <v>1.6596</v>
      </c>
      <c r="E20" s="3">
        <v>0.42130000000000001</v>
      </c>
      <c r="F20" s="3">
        <v>0.25385635092793446</v>
      </c>
      <c r="G20" s="3">
        <v>1.9743319451638125E-2</v>
      </c>
      <c r="H20" s="1"/>
      <c r="I20" s="1"/>
      <c r="J20" s="210">
        <v>3.9369665464845123</v>
      </c>
      <c r="K20" s="1" t="s">
        <v>332</v>
      </c>
      <c r="L20" s="3" t="s">
        <v>69</v>
      </c>
      <c r="M20" s="3">
        <v>1.9733000000000001</v>
      </c>
      <c r="N20" s="3">
        <v>0.501</v>
      </c>
      <c r="O20" s="3">
        <v>0.25388942380783458</v>
      </c>
      <c r="P20" s="3">
        <v>2.2411723408788775E-2</v>
      </c>
      <c r="Q20" s="1"/>
      <c r="R20" s="1"/>
      <c r="S20" s="1"/>
    </row>
    <row r="21" spans="1:19" ht="15.6" x14ac:dyDescent="0.3">
      <c r="A21" s="1"/>
      <c r="B21" s="1"/>
      <c r="C21" s="3" t="s">
        <v>70</v>
      </c>
      <c r="D21" s="3">
        <v>1.6109</v>
      </c>
      <c r="E21" s="3">
        <v>0.40789999999999998</v>
      </c>
      <c r="F21" s="3">
        <v>0.25321248991247131</v>
      </c>
      <c r="G21" s="3">
        <v>1.9115357237890318E-2</v>
      </c>
      <c r="H21" s="1"/>
      <c r="I21" s="1"/>
      <c r="J21" s="207" t="s">
        <v>333</v>
      </c>
      <c r="K21" s="1"/>
      <c r="L21" s="3" t="s">
        <v>70</v>
      </c>
      <c r="M21" s="3">
        <v>1.9416</v>
      </c>
      <c r="N21" s="3">
        <v>0.49170000000000003</v>
      </c>
      <c r="O21" s="3">
        <v>0.25324474660074164</v>
      </c>
      <c r="P21" s="3">
        <v>2.19956974053921E-2</v>
      </c>
      <c r="Q21" s="1"/>
      <c r="R21" s="1"/>
      <c r="S21" s="1"/>
    </row>
    <row r="22" spans="1:19" ht="15.6" x14ac:dyDescent="0.3">
      <c r="A22" s="1"/>
      <c r="B22" s="1"/>
      <c r="C22" s="3" t="s">
        <v>71</v>
      </c>
      <c r="D22" s="3">
        <v>1.6819999999999999</v>
      </c>
      <c r="E22" s="3">
        <v>0.41870000000000002</v>
      </c>
      <c r="F22" s="3">
        <v>0.24892984542211655</v>
      </c>
      <c r="G22" s="3">
        <v>1.9621476037030343E-2</v>
      </c>
      <c r="H22" s="1"/>
      <c r="I22" s="1"/>
      <c r="J22" s="207">
        <f>J13/J12</f>
        <v>4.1821229050279332</v>
      </c>
      <c r="K22" s="1"/>
      <c r="L22" s="3" t="s">
        <v>71</v>
      </c>
      <c r="M22" s="3">
        <v>1.946</v>
      </c>
      <c r="N22" s="3">
        <v>0.4844</v>
      </c>
      <c r="O22" s="3">
        <v>0.24892086330935254</v>
      </c>
      <c r="P22" s="3">
        <v>2.1669139359715137E-2</v>
      </c>
      <c r="Q22" s="1"/>
      <c r="R22" s="1"/>
      <c r="S22" s="1"/>
    </row>
    <row r="23" spans="1:19" ht="16.2" thickBot="1" x14ac:dyDescent="0.35">
      <c r="A23" s="1"/>
      <c r="B23" s="1"/>
      <c r="C23" s="3" t="s">
        <v>72</v>
      </c>
      <c r="D23" s="3">
        <v>1.6493</v>
      </c>
      <c r="E23" s="3">
        <v>0.40710000000000002</v>
      </c>
      <c r="F23" s="3">
        <v>0.24683198932880618</v>
      </c>
      <c r="G23" s="3">
        <v>1.9077866956472539E-2</v>
      </c>
      <c r="H23" s="1"/>
      <c r="I23" s="1"/>
      <c r="J23" s="1"/>
      <c r="K23" s="1"/>
      <c r="L23" s="3" t="s">
        <v>72</v>
      </c>
      <c r="M23" s="3">
        <v>1.9055</v>
      </c>
      <c r="N23" s="3">
        <v>0.47039999999999998</v>
      </c>
      <c r="O23" s="3">
        <v>0.24686434006822355</v>
      </c>
      <c r="P23" s="3">
        <v>2.1042863655677126E-2</v>
      </c>
      <c r="Q23" s="1"/>
      <c r="R23" s="1"/>
      <c r="S23" s="1"/>
    </row>
    <row r="24" spans="1:19" ht="16.2" thickBot="1" x14ac:dyDescent="0.35">
      <c r="A24" s="1"/>
      <c r="B24" s="1"/>
      <c r="C24" s="3" t="s">
        <v>73</v>
      </c>
      <c r="D24" s="3">
        <v>1.6228</v>
      </c>
      <c r="E24" s="3">
        <v>0.40720000000000001</v>
      </c>
      <c r="F24" s="3">
        <v>0.25092432832141975</v>
      </c>
      <c r="G24" s="216">
        <v>1.9082553241649761E-2</v>
      </c>
      <c r="I24" s="222" t="s">
        <v>339</v>
      </c>
      <c r="J24" s="223" t="s">
        <v>340</v>
      </c>
      <c r="K24" s="224" t="s">
        <v>341</v>
      </c>
      <c r="L24" s="10" t="s">
        <v>73</v>
      </c>
      <c r="M24" s="3">
        <v>1.8522000000000001</v>
      </c>
      <c r="N24" s="3">
        <v>0.46479999999999999</v>
      </c>
      <c r="O24" s="3">
        <v>0.25094482237339377</v>
      </c>
      <c r="P24" s="3">
        <v>2.0792353374061923E-2</v>
      </c>
      <c r="Q24" s="1"/>
      <c r="R24" s="1"/>
      <c r="S24" s="1"/>
    </row>
    <row r="25" spans="1:19" ht="15.6" x14ac:dyDescent="0.3">
      <c r="A25" s="1"/>
      <c r="B25" s="1"/>
      <c r="C25" s="3" t="s">
        <v>74</v>
      </c>
      <c r="D25" s="3">
        <v>1.6487000000000001</v>
      </c>
      <c r="E25" s="3">
        <v>0.42480000000000001</v>
      </c>
      <c r="F25" s="3">
        <v>0.25765754837144417</v>
      </c>
      <c r="G25" s="216">
        <v>1.9907339432840912E-2</v>
      </c>
      <c r="H25" s="227" t="s">
        <v>342</v>
      </c>
      <c r="I25" s="225" t="s">
        <v>343</v>
      </c>
      <c r="J25" s="225" t="s">
        <v>343</v>
      </c>
      <c r="K25" s="226" t="s">
        <v>343</v>
      </c>
      <c r="L25" s="10" t="s">
        <v>74</v>
      </c>
      <c r="M25" s="3">
        <v>1.8982000000000001</v>
      </c>
      <c r="N25" s="3">
        <v>0.48909999999999998</v>
      </c>
      <c r="O25" s="3">
        <v>0.2576651564640185</v>
      </c>
      <c r="P25" s="3">
        <v>2.1879389060356465E-2</v>
      </c>
      <c r="Q25" s="1"/>
      <c r="R25" s="1"/>
      <c r="S25" s="1"/>
    </row>
    <row r="26" spans="1:19" ht="15.6" x14ac:dyDescent="0.3">
      <c r="A26" s="1"/>
      <c r="B26" s="1"/>
      <c r="C26" s="3" t="s">
        <v>75</v>
      </c>
      <c r="D26" s="3">
        <v>1.6174999999999999</v>
      </c>
      <c r="E26" s="3">
        <v>0.41830000000000001</v>
      </c>
      <c r="F26" s="3">
        <v>0.25860896445131376</v>
      </c>
      <c r="G26" s="216">
        <v>1.9602730896321453E-2</v>
      </c>
      <c r="H26" s="228" t="s">
        <v>344</v>
      </c>
      <c r="I26" s="218">
        <v>1.2070000000000001</v>
      </c>
      <c r="J26" s="218">
        <v>1.1160000000000001</v>
      </c>
      <c r="K26" s="219">
        <v>0.89500000000000002</v>
      </c>
      <c r="L26" s="10" t="s">
        <v>75</v>
      </c>
      <c r="M26" s="3">
        <v>1.859</v>
      </c>
      <c r="N26" s="3">
        <v>0.48080000000000001</v>
      </c>
      <c r="O26" s="3">
        <v>0.25863367401828941</v>
      </c>
      <c r="P26" s="3">
        <v>2.150809703581965E-2</v>
      </c>
      <c r="Q26" s="1"/>
      <c r="R26" s="1"/>
      <c r="S26" s="1"/>
    </row>
    <row r="27" spans="1:19" ht="15.6" x14ac:dyDescent="0.3">
      <c r="A27" s="1"/>
      <c r="B27" s="1"/>
      <c r="C27" s="3" t="s">
        <v>76</v>
      </c>
      <c r="D27" s="3">
        <v>1.6105</v>
      </c>
      <c r="E27" s="3">
        <v>0.41739999999999999</v>
      </c>
      <c r="F27" s="3">
        <v>0.25917416951257372</v>
      </c>
      <c r="G27" s="216">
        <v>1.9560554329726448E-2</v>
      </c>
      <c r="H27" s="228" t="s">
        <v>345</v>
      </c>
      <c r="I27" s="218">
        <v>0.50600000000000001</v>
      </c>
      <c r="J27" s="218">
        <v>0.46400000000000002</v>
      </c>
      <c r="K27" s="219">
        <v>0.33900000000000002</v>
      </c>
      <c r="L27" s="10" t="s">
        <v>76</v>
      </c>
      <c r="M27" s="3">
        <v>1.8386</v>
      </c>
      <c r="N27" s="3">
        <v>0.47649999999999998</v>
      </c>
      <c r="O27" s="3">
        <v>0.25916458174698137</v>
      </c>
      <c r="P27" s="3">
        <v>2.1315740926722261E-2</v>
      </c>
      <c r="Q27" s="1"/>
      <c r="R27" s="1"/>
      <c r="S27" s="1"/>
    </row>
    <row r="28" spans="1:19" ht="15.6" x14ac:dyDescent="0.3">
      <c r="A28" s="1"/>
      <c r="B28" s="1"/>
      <c r="C28" s="3" t="s">
        <v>77</v>
      </c>
      <c r="D28" s="3">
        <v>1.6040000000000001</v>
      </c>
      <c r="E28" s="3">
        <v>0.41789999999999999</v>
      </c>
      <c r="F28" s="3">
        <v>0.26053615960099746</v>
      </c>
      <c r="G28" s="216">
        <v>1.958398575561256E-2</v>
      </c>
      <c r="H28" s="228" t="s">
        <v>346</v>
      </c>
      <c r="I28" s="144" t="s">
        <v>343</v>
      </c>
      <c r="J28" s="144" t="s">
        <v>343</v>
      </c>
      <c r="K28" s="217" t="s">
        <v>343</v>
      </c>
      <c r="L28" s="10" t="s">
        <v>77</v>
      </c>
      <c r="M28" s="3">
        <v>1.8277000000000001</v>
      </c>
      <c r="N28" s="3">
        <v>0.47620000000000001</v>
      </c>
      <c r="O28" s="3">
        <v>0.2605460414728894</v>
      </c>
      <c r="P28" s="3">
        <v>2.1302320733064303E-2</v>
      </c>
      <c r="Q28" s="1"/>
      <c r="R28" s="1"/>
      <c r="S28" s="1"/>
    </row>
    <row r="29" spans="1:19" ht="15.6" x14ac:dyDescent="0.3">
      <c r="A29" s="1"/>
      <c r="B29" s="1"/>
      <c r="C29" s="3" t="s">
        <v>78</v>
      </c>
      <c r="D29" s="3">
        <v>1.6403000000000001</v>
      </c>
      <c r="E29" s="3">
        <v>0.42870000000000003</v>
      </c>
      <c r="F29" s="3">
        <v>0.26135463025056394</v>
      </c>
      <c r="G29" s="216">
        <v>2.0090104554752589E-2</v>
      </c>
      <c r="H29" s="228" t="s">
        <v>344</v>
      </c>
      <c r="I29" s="218">
        <v>0.96299999999999997</v>
      </c>
      <c r="J29" s="218">
        <v>0.91300000000000003</v>
      </c>
      <c r="K29" s="219">
        <v>0.72299999999999998</v>
      </c>
      <c r="L29" s="10" t="s">
        <v>78</v>
      </c>
      <c r="M29" s="3">
        <v>1.8453999999999999</v>
      </c>
      <c r="N29" s="3">
        <v>0.48230000000000001</v>
      </c>
      <c r="O29" s="3">
        <v>0.26135255229218601</v>
      </c>
      <c r="P29" s="3">
        <v>2.1575198004109435E-2</v>
      </c>
      <c r="Q29" s="1"/>
      <c r="R29" s="1"/>
      <c r="S29" s="1"/>
    </row>
    <row r="30" spans="1:19" ht="16.2" thickBot="1" x14ac:dyDescent="0.35">
      <c r="A30" s="1"/>
      <c r="B30" s="1"/>
      <c r="C30" s="3" t="s">
        <v>79</v>
      </c>
      <c r="D30" s="3">
        <v>1.6507000000000001</v>
      </c>
      <c r="E30" s="3">
        <v>0.43819999999999998</v>
      </c>
      <c r="F30" s="3">
        <v>0.2654631368510329</v>
      </c>
      <c r="G30" s="216">
        <v>2.0535301646588715E-2</v>
      </c>
      <c r="H30" s="229" t="s">
        <v>345</v>
      </c>
      <c r="I30" s="220">
        <v>0.56599999999999995</v>
      </c>
      <c r="J30" s="220">
        <v>0.55000000000000004</v>
      </c>
      <c r="K30" s="221">
        <v>0.4</v>
      </c>
      <c r="L30" s="10" t="s">
        <v>79</v>
      </c>
      <c r="M30" s="3">
        <v>1.8487</v>
      </c>
      <c r="N30" s="3">
        <v>0.49070000000000003</v>
      </c>
      <c r="O30" s="3">
        <v>0.26542976145399472</v>
      </c>
      <c r="P30" s="3">
        <v>2.1950963426532244E-2</v>
      </c>
      <c r="Q30" s="1"/>
      <c r="R30" s="1"/>
      <c r="S30" s="1"/>
    </row>
    <row r="31" spans="1:19" ht="15.6" x14ac:dyDescent="0.3">
      <c r="A31" s="1"/>
      <c r="B31" s="1"/>
      <c r="C31" s="3" t="s">
        <v>80</v>
      </c>
      <c r="D31" s="3">
        <v>1.6654</v>
      </c>
      <c r="E31" s="3">
        <v>0.44400000000000001</v>
      </c>
      <c r="F31" s="3">
        <v>0.26660261798967216</v>
      </c>
      <c r="G31" s="3">
        <v>2.0807106186867617E-2</v>
      </c>
      <c r="H31" s="1"/>
      <c r="I31" s="1" t="s">
        <v>22</v>
      </c>
      <c r="J31" s="70" t="s">
        <v>347</v>
      </c>
      <c r="K31" s="75"/>
      <c r="L31" s="3" t="s">
        <v>80</v>
      </c>
      <c r="M31" s="3">
        <v>1.8525</v>
      </c>
      <c r="N31" s="3">
        <v>0.49390000000000001</v>
      </c>
      <c r="O31" s="3">
        <v>0.26661268556005396</v>
      </c>
      <c r="P31" s="3">
        <v>2.2094112158883784E-2</v>
      </c>
      <c r="Q31" s="1"/>
      <c r="R31" s="1"/>
      <c r="S31" s="1"/>
    </row>
    <row r="32" spans="1:19" ht="15.6" x14ac:dyDescent="0.3">
      <c r="A32" s="1"/>
      <c r="B32" s="1"/>
      <c r="C32" s="3" t="s">
        <v>81</v>
      </c>
      <c r="D32" s="3">
        <v>1.7157</v>
      </c>
      <c r="E32" s="3">
        <v>0.45550000000000002</v>
      </c>
      <c r="F32" s="3">
        <v>0.26548930465699133</v>
      </c>
      <c r="G32" s="3">
        <v>2.1346028982248199E-2</v>
      </c>
      <c r="H32" s="1"/>
      <c r="I32" s="1"/>
      <c r="J32" s="1"/>
      <c r="K32" s="1"/>
      <c r="L32" s="3" t="s">
        <v>81</v>
      </c>
      <c r="M32" s="3">
        <v>1.8712</v>
      </c>
      <c r="N32" s="3">
        <v>0.49680000000000002</v>
      </c>
      <c r="O32" s="3">
        <v>0.26549807610089782</v>
      </c>
      <c r="P32" s="3">
        <v>2.2223840697577373E-2</v>
      </c>
      <c r="Q32" s="1"/>
      <c r="R32" s="1"/>
      <c r="S32" s="1"/>
    </row>
    <row r="33" spans="1:19" ht="15.6" x14ac:dyDescent="0.3">
      <c r="A33" s="1"/>
      <c r="B33" s="1"/>
      <c r="C33" s="3" t="s">
        <v>82</v>
      </c>
      <c r="D33" s="3">
        <v>1.7253000000000001</v>
      </c>
      <c r="E33" s="3">
        <v>0.45169999999999999</v>
      </c>
      <c r="F33" s="3">
        <v>0.26180954036979076</v>
      </c>
      <c r="G33" s="3">
        <v>2.1167950145513745E-2</v>
      </c>
      <c r="H33" s="1"/>
      <c r="I33" s="1"/>
      <c r="J33" s="1"/>
      <c r="K33" s="1"/>
      <c r="L33" s="3" t="s">
        <v>82</v>
      </c>
      <c r="M33" s="3">
        <v>1.8992</v>
      </c>
      <c r="N33" s="3">
        <v>0.49719999999999998</v>
      </c>
      <c r="O33" s="3">
        <v>0.26179443976411121</v>
      </c>
      <c r="P33" s="3">
        <v>2.2241734289121316E-2</v>
      </c>
      <c r="Q33" s="1"/>
      <c r="R33" s="1"/>
      <c r="S33" s="1"/>
    </row>
    <row r="34" spans="1:19" ht="15.6" x14ac:dyDescent="0.3">
      <c r="A34" s="1"/>
      <c r="B34" s="1"/>
      <c r="C34" s="3" t="s">
        <v>83</v>
      </c>
      <c r="D34" s="3">
        <v>1.7441</v>
      </c>
      <c r="E34" s="3">
        <v>0.44140000000000001</v>
      </c>
      <c r="F34" s="3">
        <v>0.25308181870305602</v>
      </c>
      <c r="G34" s="3">
        <v>2.0685262772259835E-2</v>
      </c>
      <c r="H34" s="1"/>
      <c r="I34" s="1"/>
      <c r="J34" s="1"/>
      <c r="K34" s="1"/>
      <c r="L34" s="3" t="s">
        <v>83</v>
      </c>
      <c r="M34" s="3">
        <v>1.9454</v>
      </c>
      <c r="N34" s="3">
        <v>0.49230000000000002</v>
      </c>
      <c r="O34" s="3">
        <v>0.25305849696720467</v>
      </c>
      <c r="P34" s="3">
        <v>2.2022537792708016E-2</v>
      </c>
      <c r="Q34" s="1"/>
      <c r="R34" s="1"/>
      <c r="S34" s="1"/>
    </row>
    <row r="35" spans="1:19" ht="15.6" x14ac:dyDescent="0.3">
      <c r="A35" s="1"/>
      <c r="B35" s="1"/>
      <c r="C35" s="3" t="s">
        <v>84</v>
      </c>
      <c r="D35" s="3">
        <v>1.7452000000000001</v>
      </c>
      <c r="E35" s="3">
        <v>0.43690000000000001</v>
      </c>
      <c r="F35" s="3">
        <v>0.25034380013752006</v>
      </c>
      <c r="G35" s="3">
        <v>2.0474379939284828E-2</v>
      </c>
      <c r="H35" s="1"/>
      <c r="I35" s="1"/>
      <c r="J35" s="1"/>
      <c r="K35" s="1"/>
      <c r="L35" s="3" t="s">
        <v>84</v>
      </c>
      <c r="M35" s="3">
        <v>1.9461999999999999</v>
      </c>
      <c r="N35" s="3">
        <v>0.48730000000000001</v>
      </c>
      <c r="O35" s="3">
        <v>0.25038536635494812</v>
      </c>
      <c r="P35" s="3">
        <v>2.1798867898408725E-2</v>
      </c>
      <c r="Q35" s="1"/>
      <c r="R35" s="1"/>
      <c r="S35" s="1"/>
    </row>
    <row r="36" spans="1:19" ht="15.6" x14ac:dyDescent="0.3">
      <c r="A36" s="1"/>
      <c r="B36" s="1"/>
      <c r="C36" s="3" t="s">
        <v>85</v>
      </c>
      <c r="D36" s="3">
        <v>1.7217</v>
      </c>
      <c r="E36" s="3">
        <v>0.42370000000000002</v>
      </c>
      <c r="F36" s="3">
        <v>0.24609397688331303</v>
      </c>
      <c r="G36" s="3">
        <v>1.9855790295891466E-2</v>
      </c>
      <c r="H36" s="1"/>
      <c r="I36" s="1"/>
      <c r="J36" s="1"/>
      <c r="K36" s="1"/>
      <c r="L36" s="3" t="s">
        <v>85</v>
      </c>
      <c r="M36" s="3">
        <v>1.9323999999999999</v>
      </c>
      <c r="N36" s="3">
        <v>0.47549999999999998</v>
      </c>
      <c r="O36" s="3">
        <v>0.24606706685986338</v>
      </c>
      <c r="P36" s="3">
        <v>2.1271006947862402E-2</v>
      </c>
      <c r="Q36" s="1"/>
      <c r="R36" s="1"/>
      <c r="S36" s="1"/>
    </row>
    <row r="37" spans="1:19" ht="15.6" x14ac:dyDescent="0.3">
      <c r="A37" s="1"/>
      <c r="B37" s="1"/>
      <c r="C37" s="3" t="s">
        <v>86</v>
      </c>
      <c r="D37" s="3">
        <v>1.6907000000000001</v>
      </c>
      <c r="E37" s="3">
        <v>0.40739999999999998</v>
      </c>
      <c r="F37" s="3">
        <v>0.24096528065298395</v>
      </c>
      <c r="G37" s="3">
        <v>1.9091925812004206E-2</v>
      </c>
      <c r="H37" s="1"/>
      <c r="I37" s="1"/>
      <c r="J37" s="1"/>
      <c r="K37" s="1"/>
      <c r="L37" s="3" t="s">
        <v>86</v>
      </c>
      <c r="M37" s="3">
        <v>1.9083000000000001</v>
      </c>
      <c r="N37" s="3">
        <v>0.45979999999999999</v>
      </c>
      <c r="O37" s="3">
        <v>0.24094744012995858</v>
      </c>
      <c r="P37" s="3">
        <v>2.0568683479762633E-2</v>
      </c>
      <c r="Q37" s="1"/>
      <c r="R37" s="1"/>
      <c r="S37" s="1"/>
    </row>
    <row r="38" spans="1:19" ht="15.6" x14ac:dyDescent="0.3">
      <c r="A38" s="1"/>
      <c r="B38" s="1"/>
      <c r="C38" s="3" t="s">
        <v>87</v>
      </c>
      <c r="D38" s="3">
        <v>1.7031000000000001</v>
      </c>
      <c r="E38" s="3">
        <v>0.41260000000000002</v>
      </c>
      <c r="F38" s="3">
        <v>0.24226410662908815</v>
      </c>
      <c r="G38" s="3">
        <v>1.9335612641219774E-2</v>
      </c>
      <c r="H38" s="1"/>
      <c r="I38" s="1"/>
      <c r="J38" s="1"/>
      <c r="K38" s="1"/>
      <c r="L38" s="3" t="s">
        <v>87</v>
      </c>
      <c r="M38" s="3">
        <v>1.8879999999999999</v>
      </c>
      <c r="N38" s="3">
        <v>0.45739999999999997</v>
      </c>
      <c r="O38" s="3">
        <v>0.24226694915254238</v>
      </c>
      <c r="P38" s="3">
        <v>2.0461321930498974E-2</v>
      </c>
      <c r="Q38" s="1"/>
      <c r="R38" s="1"/>
      <c r="S38" s="1"/>
    </row>
    <row r="39" spans="1:19" ht="15.6" x14ac:dyDescent="0.3">
      <c r="A39" s="1"/>
      <c r="B39" s="1"/>
      <c r="C39" s="3" t="s">
        <v>88</v>
      </c>
      <c r="D39" s="3">
        <v>1.6940999999999999</v>
      </c>
      <c r="E39" s="3">
        <v>0.41510000000000002</v>
      </c>
      <c r="F39" s="3">
        <v>0.24502685791865889</v>
      </c>
      <c r="G39" s="3">
        <v>1.9452769770650333E-2</v>
      </c>
      <c r="H39" s="1"/>
      <c r="I39" s="1"/>
      <c r="J39" s="1"/>
      <c r="K39" s="1"/>
      <c r="L39" s="3" t="s">
        <v>88</v>
      </c>
      <c r="M39" s="3">
        <v>1.8445</v>
      </c>
      <c r="N39" s="3">
        <v>0.45190000000000002</v>
      </c>
      <c r="O39" s="3">
        <v>0.24499864461913798</v>
      </c>
      <c r="P39" s="3">
        <v>2.0215285046769758E-2</v>
      </c>
      <c r="Q39" s="1"/>
      <c r="R39" s="1"/>
      <c r="S39" s="1"/>
    </row>
    <row r="40" spans="1:19" ht="15.6" x14ac:dyDescent="0.3">
      <c r="A40" s="1"/>
      <c r="B40" s="1"/>
      <c r="C40" s="3" t="s">
        <v>89</v>
      </c>
      <c r="D40" s="3">
        <v>1.7219</v>
      </c>
      <c r="E40" s="3">
        <v>0.41810000000000003</v>
      </c>
      <c r="F40" s="3">
        <v>0.24281317149660261</v>
      </c>
      <c r="G40" s="3">
        <v>1.9593358325967009E-2</v>
      </c>
      <c r="H40" s="1"/>
      <c r="I40" s="1"/>
      <c r="J40" s="1"/>
      <c r="K40" s="1"/>
      <c r="L40" s="3" t="s">
        <v>89</v>
      </c>
      <c r="M40" s="3">
        <v>1.8725000000000001</v>
      </c>
      <c r="N40" s="3">
        <v>0.45469999999999999</v>
      </c>
      <c r="O40" s="3">
        <v>0.24283044058744993</v>
      </c>
      <c r="P40" s="3">
        <v>2.0340540187577357E-2</v>
      </c>
      <c r="Q40" s="1"/>
      <c r="R40" s="1"/>
      <c r="S40" s="1"/>
    </row>
    <row r="41" spans="1:19" ht="15.6" x14ac:dyDescent="0.3">
      <c r="A41" s="1"/>
      <c r="B41" s="1"/>
      <c r="C41" s="3" t="s">
        <v>90</v>
      </c>
      <c r="D41" s="3">
        <v>1.7471000000000001</v>
      </c>
      <c r="E41" s="3">
        <v>0.41970000000000002</v>
      </c>
      <c r="F41" s="3">
        <v>0.24022666132448056</v>
      </c>
      <c r="G41" s="3">
        <v>1.9668338888802567E-2</v>
      </c>
      <c r="H41" s="1"/>
      <c r="I41" s="1"/>
      <c r="J41" s="1"/>
      <c r="K41" s="1"/>
      <c r="L41" s="3" t="s">
        <v>90</v>
      </c>
      <c r="M41" s="3">
        <v>1.9179999999999999</v>
      </c>
      <c r="N41" s="3">
        <v>0.46079999999999999</v>
      </c>
      <c r="O41" s="3">
        <v>0.24025026068821689</v>
      </c>
      <c r="P41" s="3">
        <v>2.0613417458622493E-2</v>
      </c>
      <c r="Q41" s="1"/>
      <c r="R41" s="1"/>
      <c r="S41" s="1"/>
    </row>
    <row r="42" spans="1:19" ht="15.6" x14ac:dyDescent="0.3">
      <c r="A42" s="1"/>
      <c r="B42" s="1"/>
      <c r="C42" s="3" t="s">
        <v>91</v>
      </c>
      <c r="D42" s="3">
        <v>1.7685999999999999</v>
      </c>
      <c r="E42" s="3">
        <v>0.4294</v>
      </c>
      <c r="F42" s="3">
        <v>0.24279090806287459</v>
      </c>
      <c r="G42" s="3">
        <v>2.0122908550993142E-2</v>
      </c>
      <c r="H42" s="1"/>
      <c r="I42" s="1"/>
      <c r="J42" s="1"/>
      <c r="K42" s="1"/>
      <c r="L42" s="3" t="s">
        <v>91</v>
      </c>
      <c r="M42" s="3">
        <v>1.9404999999999999</v>
      </c>
      <c r="N42" s="3">
        <v>0.47110000000000002</v>
      </c>
      <c r="O42" s="3">
        <v>0.24277248131924764</v>
      </c>
      <c r="P42" s="3">
        <v>2.1074177440879027E-2</v>
      </c>
      <c r="Q42" s="1"/>
      <c r="R42" s="1"/>
      <c r="S42" s="1"/>
    </row>
    <row r="43" spans="1:19" ht="15.6" x14ac:dyDescent="0.3">
      <c r="A43" s="1"/>
      <c r="B43" s="1"/>
      <c r="C43" s="3" t="s">
        <v>92</v>
      </c>
      <c r="D43" s="3">
        <v>1.8004</v>
      </c>
      <c r="E43" s="3">
        <v>0.43930000000000002</v>
      </c>
      <c r="F43" s="3">
        <v>0.24400133303710289</v>
      </c>
      <c r="G43" s="3">
        <v>2.0586850783538165E-2</v>
      </c>
      <c r="H43" s="1"/>
      <c r="I43" s="1"/>
      <c r="J43" s="1"/>
      <c r="K43" s="1"/>
      <c r="L43" s="3" t="s">
        <v>92</v>
      </c>
      <c r="M43" s="3">
        <v>1.9652000000000001</v>
      </c>
      <c r="N43" s="3">
        <v>0.47949999999999998</v>
      </c>
      <c r="O43" s="3">
        <v>0.24399552208426623</v>
      </c>
      <c r="P43" s="3">
        <v>2.1449942863301832E-2</v>
      </c>
      <c r="Q43" s="1"/>
      <c r="R43" s="1"/>
      <c r="S43" s="1"/>
    </row>
    <row r="44" spans="1:19" ht="15.6" x14ac:dyDescent="0.3">
      <c r="A44" s="1"/>
      <c r="B44" s="1"/>
      <c r="C44" s="3" t="s">
        <v>93</v>
      </c>
      <c r="D44" s="3">
        <v>1.8036000000000001</v>
      </c>
      <c r="E44" s="3">
        <v>0.43530000000000002</v>
      </c>
      <c r="F44" s="3">
        <v>0.24135063206919494</v>
      </c>
      <c r="G44" s="3">
        <v>2.0399399376449266E-2</v>
      </c>
      <c r="H44" s="1"/>
      <c r="I44" s="1"/>
      <c r="J44" s="1"/>
      <c r="K44" s="1"/>
      <c r="L44" s="3" t="s">
        <v>93</v>
      </c>
      <c r="M44" s="3">
        <v>1.9839</v>
      </c>
      <c r="N44" s="3">
        <v>0.4788</v>
      </c>
      <c r="O44" s="3">
        <v>0.24134280961742025</v>
      </c>
      <c r="P44" s="3">
        <v>2.1418629078099934E-2</v>
      </c>
      <c r="Q44" s="1"/>
      <c r="R44" s="1"/>
      <c r="S44" s="1"/>
    </row>
    <row r="45" spans="1:19" ht="15.6" x14ac:dyDescent="0.3">
      <c r="A45" s="1"/>
      <c r="B45" s="1"/>
      <c r="C45" s="3" t="s">
        <v>94</v>
      </c>
      <c r="D45" s="3">
        <v>1.8221000000000001</v>
      </c>
      <c r="E45" s="3">
        <v>0.4491</v>
      </c>
      <c r="F45" s="3">
        <v>0.24647384885571594</v>
      </c>
      <c r="G45" s="3">
        <v>2.1046106730905963E-2</v>
      </c>
      <c r="H45" s="1"/>
      <c r="I45" s="1"/>
      <c r="J45" s="1"/>
      <c r="K45" s="1"/>
      <c r="L45" s="3" t="s">
        <v>94</v>
      </c>
      <c r="M45" s="3">
        <v>1.9870000000000001</v>
      </c>
      <c r="N45" s="3">
        <v>0.48980000000000001</v>
      </c>
      <c r="O45" s="3">
        <v>0.24650226472068446</v>
      </c>
      <c r="P45" s="3">
        <v>2.191070284555837E-2</v>
      </c>
      <c r="Q45" s="1"/>
      <c r="R45" s="1"/>
      <c r="S45" s="1"/>
    </row>
    <row r="46" spans="1:19" ht="15.6" x14ac:dyDescent="0.3">
      <c r="A46" s="1"/>
      <c r="B46" s="1"/>
      <c r="C46" s="3" t="s">
        <v>95</v>
      </c>
      <c r="D46" s="3">
        <v>1.8571</v>
      </c>
      <c r="E46" s="3">
        <v>0.46460000000000001</v>
      </c>
      <c r="F46" s="3">
        <v>0.25017500403855475</v>
      </c>
      <c r="G46" s="3">
        <v>2.177248093337544E-2</v>
      </c>
      <c r="H46" s="1"/>
      <c r="I46" s="1"/>
      <c r="J46" s="1"/>
      <c r="K46" s="1"/>
      <c r="L46" s="3" t="s">
        <v>95</v>
      </c>
      <c r="M46" s="3">
        <v>2.0392999999999999</v>
      </c>
      <c r="N46" s="3">
        <v>0.51019999999999999</v>
      </c>
      <c r="O46" s="3">
        <v>0.25018388662776442</v>
      </c>
      <c r="P46" s="3">
        <v>2.2823276014299468E-2</v>
      </c>
      <c r="Q46" s="1"/>
      <c r="R46" s="1"/>
      <c r="S46" s="1"/>
    </row>
    <row r="47" spans="1:19" ht="15.6" x14ac:dyDescent="0.3">
      <c r="A47" s="1"/>
      <c r="B47" s="1"/>
      <c r="C47" s="3" t="s">
        <v>96</v>
      </c>
      <c r="D47" s="3">
        <v>1.8745000000000001</v>
      </c>
      <c r="E47" s="3">
        <v>0.46110000000000001</v>
      </c>
      <c r="F47" s="3">
        <v>0.24598559615897572</v>
      </c>
      <c r="G47" s="3">
        <v>2.1608460952172656E-2</v>
      </c>
      <c r="H47" s="1"/>
      <c r="I47" s="1"/>
      <c r="J47" s="1"/>
      <c r="K47" s="1"/>
      <c r="L47" s="3" t="s">
        <v>96</v>
      </c>
      <c r="M47" s="3">
        <v>2.0832999999999999</v>
      </c>
      <c r="N47" s="3">
        <v>0.51239999999999997</v>
      </c>
      <c r="O47" s="3">
        <v>0.24595593529496471</v>
      </c>
      <c r="P47" s="3">
        <v>2.2921690767791155E-2</v>
      </c>
      <c r="Q47" s="1"/>
      <c r="R47" s="1"/>
      <c r="S47" s="1"/>
    </row>
    <row r="48" spans="1:19" ht="15.6" x14ac:dyDescent="0.3">
      <c r="A48" s="1"/>
      <c r="B48" s="1"/>
      <c r="C48" s="3" t="s">
        <v>97</v>
      </c>
      <c r="D48" s="3">
        <v>1.8784000000000001</v>
      </c>
      <c r="E48" s="3">
        <v>0.45029999999999998</v>
      </c>
      <c r="F48" s="3">
        <v>0.23972529812606472</v>
      </c>
      <c r="G48" s="3">
        <v>2.1102342153032628E-2</v>
      </c>
      <c r="H48" s="1"/>
      <c r="I48" s="1"/>
      <c r="J48" s="1"/>
      <c r="K48" s="1"/>
      <c r="L48" s="3" t="s">
        <v>97</v>
      </c>
      <c r="M48" s="3">
        <v>2.0855000000000001</v>
      </c>
      <c r="N48" s="3">
        <v>0.5</v>
      </c>
      <c r="O48" s="3">
        <v>0.23975065931431311</v>
      </c>
      <c r="P48" s="3">
        <v>2.2366989429928919E-2</v>
      </c>
      <c r="Q48" s="1"/>
      <c r="R48" s="1"/>
      <c r="S48" s="1"/>
    </row>
    <row r="49" spans="1:23" ht="15.6" x14ac:dyDescent="0.3">
      <c r="A49" s="1"/>
      <c r="B49" s="1"/>
      <c r="C49" s="3" t="s">
        <v>98</v>
      </c>
      <c r="D49" s="3">
        <v>1.9064000000000001</v>
      </c>
      <c r="E49" s="3">
        <v>0.45419999999999999</v>
      </c>
      <c r="F49" s="3">
        <v>0.23825010490977758</v>
      </c>
      <c r="G49" s="3">
        <v>2.1285107274944304E-2</v>
      </c>
      <c r="H49" s="1"/>
      <c r="I49" s="1"/>
      <c r="J49" s="1"/>
      <c r="K49" s="1"/>
      <c r="L49" s="3" t="s">
        <v>98</v>
      </c>
      <c r="M49" s="3">
        <v>2.0960000000000001</v>
      </c>
      <c r="N49" s="3">
        <v>0.49930000000000002</v>
      </c>
      <c r="O49" s="3">
        <v>0.23821564885496183</v>
      </c>
      <c r="P49" s="3">
        <v>2.2335675644727018E-2</v>
      </c>
      <c r="Q49" s="1"/>
      <c r="R49" s="1"/>
      <c r="S49" s="1"/>
    </row>
    <row r="50" spans="1:23" ht="15.6" x14ac:dyDescent="0.3">
      <c r="A50" s="1"/>
      <c r="B50" s="1"/>
      <c r="C50" s="3" t="s">
        <v>99</v>
      </c>
      <c r="D50" s="3">
        <v>1.9611000000000001</v>
      </c>
      <c r="E50" s="3">
        <v>0.46329999999999999</v>
      </c>
      <c r="F50" s="3">
        <v>0.23624496456070571</v>
      </c>
      <c r="G50" s="3">
        <v>2.1711559226071549E-2</v>
      </c>
      <c r="H50" s="1"/>
      <c r="I50" s="1"/>
      <c r="J50" s="1"/>
      <c r="K50" s="1"/>
      <c r="L50" s="3" t="s">
        <v>99</v>
      </c>
      <c r="M50" s="3">
        <v>2.1469999999999998</v>
      </c>
      <c r="N50" s="3">
        <v>0.50729999999999997</v>
      </c>
      <c r="O50" s="3">
        <v>0.23628318584070798</v>
      </c>
      <c r="P50" s="3">
        <v>2.2693547475605879E-2</v>
      </c>
      <c r="Q50" s="1"/>
      <c r="R50" s="1"/>
      <c r="S50" s="1"/>
    </row>
    <row r="51" spans="1:23" ht="15.6" x14ac:dyDescent="0.3">
      <c r="A51" s="1"/>
      <c r="B51" s="1"/>
      <c r="C51" s="3" t="s">
        <v>100</v>
      </c>
      <c r="D51" s="3">
        <v>2.0097</v>
      </c>
      <c r="E51" s="3">
        <v>0.47939999999999999</v>
      </c>
      <c r="F51" s="3">
        <v>0.23854306612927301</v>
      </c>
      <c r="G51" s="3">
        <v>2.246605113960436E-2</v>
      </c>
      <c r="H51" s="1"/>
      <c r="I51" s="1"/>
      <c r="J51" s="1"/>
      <c r="K51" s="1"/>
      <c r="L51" s="3" t="s">
        <v>100</v>
      </c>
      <c r="M51" s="3">
        <v>2.1720999999999999</v>
      </c>
      <c r="N51" s="3">
        <v>0.5181</v>
      </c>
      <c r="O51" s="3">
        <v>0.23852492979144607</v>
      </c>
      <c r="P51" s="3">
        <v>2.3176674447292347E-2</v>
      </c>
      <c r="Q51" s="1"/>
      <c r="R51" s="1"/>
      <c r="S51" s="1"/>
    </row>
    <row r="52" spans="1:23" ht="15.6" x14ac:dyDescent="0.3">
      <c r="A52" s="1"/>
      <c r="B52" s="1"/>
      <c r="C52" s="3" t="s">
        <v>101</v>
      </c>
      <c r="D52" s="3">
        <v>1.9933000000000001</v>
      </c>
      <c r="E52" s="3">
        <v>0.48370000000000002</v>
      </c>
      <c r="F52" s="3">
        <v>0.24266292078462851</v>
      </c>
      <c r="G52" s="3">
        <v>2.2667561402224926E-2</v>
      </c>
      <c r="H52" s="1"/>
      <c r="I52" s="1"/>
      <c r="J52" s="1"/>
      <c r="K52" s="1"/>
      <c r="L52" s="3" t="s">
        <v>101</v>
      </c>
      <c r="M52" s="3">
        <v>2.1886999999999999</v>
      </c>
      <c r="N52" s="3">
        <v>0.53120000000000001</v>
      </c>
      <c r="O52" s="3">
        <v>0.24270114679947002</v>
      </c>
      <c r="P52" s="3">
        <v>2.3762689570356484E-2</v>
      </c>
      <c r="Q52" s="1"/>
      <c r="R52" s="1"/>
      <c r="S52" s="1"/>
    </row>
    <row r="53" spans="1:23" ht="15.6" x14ac:dyDescent="0.3">
      <c r="A53" s="1"/>
      <c r="B53" s="1"/>
      <c r="C53" s="3" t="s">
        <v>102</v>
      </c>
      <c r="D53" s="3">
        <v>1.9902</v>
      </c>
      <c r="E53" s="3">
        <v>0.48899999999999999</v>
      </c>
      <c r="F53" s="3">
        <v>0.24570394935182394</v>
      </c>
      <c r="G53" s="3">
        <v>2.2915934516617716E-2</v>
      </c>
      <c r="H53" s="1"/>
      <c r="I53" s="1"/>
      <c r="J53" s="1"/>
      <c r="K53" s="1"/>
      <c r="L53" s="3" t="s">
        <v>102</v>
      </c>
      <c r="M53" s="3">
        <v>2.1777000000000002</v>
      </c>
      <c r="N53" s="3">
        <v>0.53510000000000002</v>
      </c>
      <c r="O53" s="3">
        <v>0.24571795931487347</v>
      </c>
      <c r="P53" s="3">
        <v>2.3937152087909929E-2</v>
      </c>
      <c r="Q53" s="1"/>
      <c r="R53" s="1"/>
      <c r="S53" s="1"/>
    </row>
    <row r="54" spans="1:23" ht="15.6" x14ac:dyDescent="0.3">
      <c r="A54" s="1"/>
      <c r="B54" s="1"/>
      <c r="C54" s="3" t="s">
        <v>103</v>
      </c>
      <c r="D54" s="3">
        <v>2.0158999999999998</v>
      </c>
      <c r="E54" s="3">
        <v>0.49630000000000002</v>
      </c>
      <c r="F54" s="3">
        <v>0.24619276749838784</v>
      </c>
      <c r="G54" s="3">
        <v>2.3258033334554954E-2</v>
      </c>
      <c r="H54" s="1"/>
      <c r="I54" s="1"/>
      <c r="J54" s="1"/>
      <c r="K54" s="1"/>
      <c r="L54" s="7" t="s">
        <v>104</v>
      </c>
      <c r="M54" s="8">
        <f>AVERAGE(M3:M53)</f>
        <v>1.9229666666666667</v>
      </c>
      <c r="N54" s="8">
        <f t="shared" ref="N54:P54" si="0">AVERAGE(N3:N53)</f>
        <v>0.48792156862745101</v>
      </c>
      <c r="O54" s="8">
        <f t="shared" si="0"/>
        <v>0.25416043985736925</v>
      </c>
      <c r="P54" s="8">
        <f t="shared" si="0"/>
        <v>2.1826673136249058E-2</v>
      </c>
      <c r="Q54" s="1"/>
      <c r="R54" s="1"/>
      <c r="S54" s="1"/>
    </row>
    <row r="55" spans="1:23" ht="15.6" x14ac:dyDescent="0.3">
      <c r="A55" s="1"/>
      <c r="B55" s="1"/>
      <c r="C55" s="7" t="s">
        <v>104</v>
      </c>
      <c r="D55" s="8">
        <f>AVERAGE(D3:D54)</f>
        <v>1.7497750000000001</v>
      </c>
      <c r="E55" s="8">
        <f t="shared" ref="E55:G55" si="1">AVERAGE(E3:E54)</f>
        <v>0.44378269230769229</v>
      </c>
      <c r="F55" s="8">
        <f t="shared" si="1"/>
        <v>0.25400266631499402</v>
      </c>
      <c r="G55" s="8">
        <f t="shared" si="1"/>
        <v>2.0796922528694042E-2</v>
      </c>
      <c r="H55" s="1"/>
      <c r="I55" s="1"/>
    </row>
    <row r="57" spans="1:23" ht="15" thickBot="1" x14ac:dyDescent="0.35"/>
    <row r="58" spans="1:23" ht="40.200000000000003" customHeight="1" thickBot="1" x14ac:dyDescent="0.35">
      <c r="A58" s="367" t="s">
        <v>107</v>
      </c>
      <c r="B58" s="368"/>
      <c r="C58" s="364" t="s">
        <v>108</v>
      </c>
      <c r="D58" s="365"/>
      <c r="E58" s="364" t="s">
        <v>109</v>
      </c>
      <c r="F58" s="365"/>
      <c r="G58" s="364" t="s">
        <v>110</v>
      </c>
      <c r="H58" s="365"/>
      <c r="I58" s="364" t="s">
        <v>111</v>
      </c>
      <c r="J58" s="365"/>
      <c r="K58" s="362" t="s">
        <v>112</v>
      </c>
      <c r="L58" s="363"/>
      <c r="M58" s="364" t="s">
        <v>113</v>
      </c>
      <c r="N58" s="365"/>
      <c r="O58" s="362" t="s">
        <v>114</v>
      </c>
      <c r="P58" s="363"/>
    </row>
    <row r="59" spans="1:23" ht="52.8" x14ac:dyDescent="0.3">
      <c r="A59" s="357" t="s">
        <v>115</v>
      </c>
      <c r="B59" s="23" t="s">
        <v>116</v>
      </c>
      <c r="C59" s="24">
        <v>35</v>
      </c>
      <c r="D59" s="25">
        <v>3</v>
      </c>
      <c r="E59" s="24">
        <v>38</v>
      </c>
      <c r="F59" s="25">
        <v>2</v>
      </c>
      <c r="G59" s="24">
        <v>36</v>
      </c>
      <c r="H59" s="25">
        <v>2</v>
      </c>
      <c r="I59" s="24">
        <v>37</v>
      </c>
      <c r="J59" s="25">
        <v>1</v>
      </c>
      <c r="K59" s="26">
        <v>37</v>
      </c>
      <c r="L59" s="27">
        <v>1</v>
      </c>
      <c r="M59" s="28">
        <v>8</v>
      </c>
      <c r="N59" s="25">
        <v>0</v>
      </c>
      <c r="O59" s="26">
        <v>37</v>
      </c>
      <c r="P59" s="27">
        <v>2</v>
      </c>
    </row>
    <row r="60" spans="1:23" ht="52.8" x14ac:dyDescent="0.3">
      <c r="A60" s="358"/>
      <c r="B60" s="29" t="s">
        <v>117</v>
      </c>
      <c r="C60" s="30">
        <v>1236564.5999999999</v>
      </c>
      <c r="D60" s="31">
        <v>45880</v>
      </c>
      <c r="E60" s="32">
        <v>1321464.6000000001</v>
      </c>
      <c r="F60" s="31">
        <v>5800</v>
      </c>
      <c r="G60" s="32">
        <v>1330764.6000000001</v>
      </c>
      <c r="H60" s="31">
        <v>5800</v>
      </c>
      <c r="I60" s="32">
        <v>1330764.6000000001</v>
      </c>
      <c r="J60" s="31">
        <v>5400</v>
      </c>
      <c r="K60" s="32">
        <v>1369764.6</v>
      </c>
      <c r="L60" s="31">
        <v>5400</v>
      </c>
      <c r="M60" s="32">
        <v>205599.02999999997</v>
      </c>
      <c r="N60" s="31">
        <v>0</v>
      </c>
      <c r="O60" s="32">
        <v>1377684.6</v>
      </c>
      <c r="P60" s="31">
        <v>65400</v>
      </c>
    </row>
    <row r="61" spans="1:23" ht="39.6" x14ac:dyDescent="0.3">
      <c r="A61" s="359"/>
      <c r="B61" s="33" t="s">
        <v>118</v>
      </c>
      <c r="C61" s="32">
        <v>1039680</v>
      </c>
      <c r="D61" s="31">
        <v>9900</v>
      </c>
      <c r="E61" s="32">
        <v>1119200</v>
      </c>
      <c r="F61" s="31">
        <v>4900</v>
      </c>
      <c r="G61" s="32">
        <v>1092460</v>
      </c>
      <c r="H61" s="31">
        <v>4400</v>
      </c>
      <c r="I61" s="32">
        <v>1119570</v>
      </c>
      <c r="J61" s="31">
        <v>4000</v>
      </c>
      <c r="K61" s="32">
        <v>1137900</v>
      </c>
      <c r="L61" s="31">
        <v>3000</v>
      </c>
      <c r="M61" s="32">
        <v>18800</v>
      </c>
      <c r="N61" s="31">
        <v>0</v>
      </c>
      <c r="O61" s="32">
        <v>1145800</v>
      </c>
      <c r="P61" s="31">
        <v>28000</v>
      </c>
    </row>
    <row r="62" spans="1:23" ht="39.6" x14ac:dyDescent="0.3">
      <c r="A62" s="359"/>
      <c r="B62" s="33" t="s">
        <v>119</v>
      </c>
      <c r="C62" s="32">
        <v>906106</v>
      </c>
      <c r="D62" s="31">
        <v>8090</v>
      </c>
      <c r="E62" s="32">
        <v>974227</v>
      </c>
      <c r="F62" s="31">
        <v>2060</v>
      </c>
      <c r="G62" s="32">
        <v>924872</v>
      </c>
      <c r="H62" s="31">
        <v>2500</v>
      </c>
      <c r="I62" s="32">
        <v>983043</v>
      </c>
      <c r="J62" s="31">
        <v>500</v>
      </c>
      <c r="K62" s="32">
        <v>1135927</v>
      </c>
      <c r="L62" s="31">
        <v>2500</v>
      </c>
      <c r="M62" s="32">
        <v>18050</v>
      </c>
      <c r="N62" s="31">
        <v>0</v>
      </c>
      <c r="O62" s="32">
        <v>1055138</v>
      </c>
      <c r="P62" s="31">
        <v>6073</v>
      </c>
    </row>
    <row r="63" spans="1:23" ht="26.4" x14ac:dyDescent="0.3">
      <c r="A63" s="360"/>
      <c r="B63" s="33" t="s">
        <v>120</v>
      </c>
      <c r="C63" s="32">
        <v>2635.3319034020296</v>
      </c>
      <c r="D63" s="31">
        <v>2601.1068747836835</v>
      </c>
      <c r="E63" s="32">
        <v>2333.2334111487366</v>
      </c>
      <c r="F63" s="31">
        <v>2370.3883495145633</v>
      </c>
      <c r="G63" s="32">
        <v>2286.8332032325552</v>
      </c>
      <c r="H63" s="31">
        <v>2371</v>
      </c>
      <c r="I63" s="32">
        <v>2328.8768519392338</v>
      </c>
      <c r="J63" s="31">
        <v>2400</v>
      </c>
      <c r="K63" s="32">
        <v>2857.2</v>
      </c>
      <c r="L63" s="31">
        <v>2714</v>
      </c>
      <c r="M63" s="32">
        <v>2857.2</v>
      </c>
      <c r="N63" s="31">
        <v>2714</v>
      </c>
      <c r="O63" s="32">
        <v>3077.8895720900964</v>
      </c>
      <c r="P63" s="34">
        <v>2743</v>
      </c>
      <c r="Q63" s="36" t="s">
        <v>121</v>
      </c>
      <c r="R63" s="36" t="s">
        <v>122</v>
      </c>
      <c r="S63" s="36" t="s">
        <v>123</v>
      </c>
      <c r="T63" s="36" t="s">
        <v>53</v>
      </c>
      <c r="U63" s="36" t="s">
        <v>44</v>
      </c>
      <c r="V63" s="36" t="s">
        <v>45</v>
      </c>
      <c r="W63" s="36" t="s">
        <v>50</v>
      </c>
    </row>
    <row r="64" spans="1:23" ht="40.200000000000003" thickBot="1" x14ac:dyDescent="0.35">
      <c r="A64" s="361"/>
      <c r="B64" s="35" t="s">
        <v>124</v>
      </c>
      <c r="C64" s="354">
        <v>2635.0290356564674</v>
      </c>
      <c r="D64" s="355"/>
      <c r="E64" s="354">
        <v>2333.3118093790044</v>
      </c>
      <c r="F64" s="355"/>
      <c r="G64" s="354">
        <v>2287.0600992267396</v>
      </c>
      <c r="H64" s="355"/>
      <c r="I64" s="354">
        <v>2328.9130085424836</v>
      </c>
      <c r="J64" s="355"/>
      <c r="K64" s="354">
        <v>2856.8855310002309</v>
      </c>
      <c r="L64" s="355"/>
      <c r="M64" s="354">
        <v>2857.2</v>
      </c>
      <c r="N64" s="355"/>
      <c r="O64" s="354">
        <v>3075.9730970711762</v>
      </c>
      <c r="P64" s="356"/>
      <c r="Q64" s="37">
        <f>AVERAGE(C64:P64)</f>
        <v>2624.9103686965859</v>
      </c>
      <c r="R64" s="38">
        <f>Q64/1000</f>
        <v>2.624910368696586</v>
      </c>
      <c r="S64" s="38">
        <f>R64/3.93</f>
        <v>0.66791612435027636</v>
      </c>
      <c r="T64" s="39">
        <v>880</v>
      </c>
      <c r="U64" s="39">
        <v>9000</v>
      </c>
      <c r="V64" s="40">
        <f>U64*4.1868/1000</f>
        <v>37.681199999999997</v>
      </c>
      <c r="W64" s="41">
        <f>S64*1000/(T64*V64)</f>
        <v>2.0142553736414628E-2</v>
      </c>
    </row>
    <row r="71" spans="6:13" x14ac:dyDescent="0.3">
      <c r="F71" s="244"/>
      <c r="G71" s="244"/>
      <c r="H71" s="244"/>
      <c r="I71" s="244"/>
      <c r="J71" s="244"/>
    </row>
    <row r="72" spans="6:13" x14ac:dyDescent="0.3">
      <c r="F72" s="244"/>
      <c r="G72" s="244"/>
      <c r="H72" s="244"/>
      <c r="I72" s="244"/>
      <c r="J72" s="244"/>
    </row>
    <row r="73" spans="6:13" x14ac:dyDescent="0.3">
      <c r="F73" s="244"/>
      <c r="G73" s="322"/>
      <c r="H73" s="323"/>
      <c r="I73" s="324"/>
      <c r="J73" s="244"/>
      <c r="K73" s="75" t="s">
        <v>338</v>
      </c>
      <c r="L73" s="75" t="s">
        <v>338</v>
      </c>
      <c r="M73" s="75" t="s">
        <v>338</v>
      </c>
    </row>
    <row r="74" spans="6:13" x14ac:dyDescent="0.3">
      <c r="F74" s="244"/>
      <c r="G74" s="324"/>
      <c r="H74" s="244"/>
      <c r="I74" s="325"/>
      <c r="J74" s="244"/>
      <c r="L74" s="75" t="s">
        <v>338</v>
      </c>
    </row>
    <row r="75" spans="6:13" x14ac:dyDescent="0.3">
      <c r="F75" s="244"/>
      <c r="G75" s="322"/>
      <c r="H75" s="244"/>
      <c r="I75" s="244"/>
      <c r="J75" s="244"/>
      <c r="L75" s="75" t="s">
        <v>338</v>
      </c>
    </row>
    <row r="76" spans="6:13" x14ac:dyDescent="0.3">
      <c r="F76" s="244"/>
      <c r="G76" s="322"/>
      <c r="H76" s="244"/>
      <c r="I76" s="321"/>
      <c r="J76" s="244"/>
      <c r="L76" s="75" t="s">
        <v>338</v>
      </c>
    </row>
    <row r="77" spans="6:13" x14ac:dyDescent="0.3">
      <c r="F77" s="244"/>
      <c r="G77" s="322"/>
      <c r="H77" s="244"/>
      <c r="I77" s="321"/>
      <c r="J77" s="244"/>
      <c r="L77" s="75" t="s">
        <v>338</v>
      </c>
    </row>
    <row r="78" spans="6:13" x14ac:dyDescent="0.3">
      <c r="F78" s="244"/>
      <c r="G78" s="322"/>
      <c r="H78" s="244"/>
      <c r="I78" s="244"/>
      <c r="J78" s="244"/>
      <c r="L78" s="75" t="s">
        <v>338</v>
      </c>
    </row>
    <row r="79" spans="6:13" x14ac:dyDescent="0.3">
      <c r="F79" s="244"/>
      <c r="G79" s="322"/>
      <c r="H79" s="244"/>
      <c r="I79" s="321"/>
      <c r="J79" s="244"/>
      <c r="L79" s="75" t="s">
        <v>338</v>
      </c>
    </row>
    <row r="80" spans="6:13" x14ac:dyDescent="0.3">
      <c r="F80" s="244"/>
      <c r="G80" s="322"/>
      <c r="H80" s="244"/>
      <c r="I80" s="321"/>
      <c r="J80" s="244"/>
      <c r="L80" s="75" t="s">
        <v>338</v>
      </c>
    </row>
    <row r="84" spans="10:48" x14ac:dyDescent="0.3">
      <c r="J84" s="244"/>
      <c r="K84" s="244"/>
      <c r="L84" s="244"/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</row>
    <row r="85" spans="10:48" x14ac:dyDescent="0.3">
      <c r="J85" s="244"/>
      <c r="K85" s="244"/>
      <c r="L85" s="244"/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</row>
    <row r="86" spans="10:48" x14ac:dyDescent="0.3"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</row>
    <row r="87" spans="10:48" x14ac:dyDescent="0.3">
      <c r="J87" s="244"/>
      <c r="K87" s="321"/>
      <c r="L87" s="321"/>
      <c r="M87" s="321"/>
      <c r="N87" s="321"/>
      <c r="O87" s="321"/>
      <c r="P87" s="321"/>
      <c r="Q87" s="321"/>
      <c r="R87" s="321"/>
      <c r="S87" s="321"/>
      <c r="T87" s="321"/>
      <c r="U87" s="321"/>
      <c r="V87" s="321"/>
      <c r="W87" s="321"/>
      <c r="X87" s="321"/>
      <c r="Y87" s="321"/>
      <c r="Z87" s="321"/>
      <c r="AA87" s="321"/>
      <c r="AB87" s="321"/>
      <c r="AC87" s="321"/>
      <c r="AD87" s="321"/>
      <c r="AF87" s="75" t="s">
        <v>338</v>
      </c>
      <c r="AH87" s="75" t="s">
        <v>338</v>
      </c>
      <c r="AJ87" s="75" t="s">
        <v>338</v>
      </c>
      <c r="AL87" s="75" t="s">
        <v>338</v>
      </c>
      <c r="AN87" s="75" t="s">
        <v>338</v>
      </c>
      <c r="AP87" s="75" t="s">
        <v>338</v>
      </c>
      <c r="AR87" s="75" t="s">
        <v>338</v>
      </c>
      <c r="AT87" s="75" t="s">
        <v>338</v>
      </c>
      <c r="AV87" s="75" t="s">
        <v>338</v>
      </c>
    </row>
    <row r="88" spans="10:48" x14ac:dyDescent="0.3">
      <c r="J88" s="244"/>
      <c r="K88" s="244"/>
      <c r="L88" s="244"/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</row>
    <row r="89" spans="10:48" x14ac:dyDescent="0.3">
      <c r="J89" s="244"/>
      <c r="K89" s="321"/>
      <c r="L89" s="321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21"/>
      <c r="Y89" s="321"/>
      <c r="Z89" s="321"/>
      <c r="AA89" s="321"/>
      <c r="AB89" s="321"/>
      <c r="AC89" s="321"/>
      <c r="AD89" s="321"/>
      <c r="AF89" s="75" t="s">
        <v>338</v>
      </c>
      <c r="AH89" s="75" t="s">
        <v>338</v>
      </c>
      <c r="AJ89" s="75" t="s">
        <v>338</v>
      </c>
      <c r="AL89" s="75" t="s">
        <v>338</v>
      </c>
      <c r="AN89" s="75" t="s">
        <v>338</v>
      </c>
      <c r="AP89" s="75" t="s">
        <v>338</v>
      </c>
      <c r="AR89" s="75" t="s">
        <v>338</v>
      </c>
      <c r="AT89" s="75" t="s">
        <v>338</v>
      </c>
      <c r="AV89" s="75" t="s">
        <v>338</v>
      </c>
    </row>
    <row r="90" spans="10:48" x14ac:dyDescent="0.3">
      <c r="J90" s="244"/>
      <c r="K90" s="244"/>
      <c r="L90" s="244"/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</row>
    <row r="91" spans="10:48" x14ac:dyDescent="0.3">
      <c r="J91" s="244"/>
      <c r="K91" s="244"/>
      <c r="L91" s="244"/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</row>
    <row r="92" spans="10:48" x14ac:dyDescent="0.3">
      <c r="J92" s="244"/>
      <c r="K92" s="244"/>
      <c r="L92" s="244"/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</row>
  </sheetData>
  <mergeCells count="20">
    <mergeCell ref="K58:L58"/>
    <mergeCell ref="M58:N58"/>
    <mergeCell ref="O58:P58"/>
    <mergeCell ref="A1:I1"/>
    <mergeCell ref="J1:Q1"/>
    <mergeCell ref="A58:B58"/>
    <mergeCell ref="C58:D58"/>
    <mergeCell ref="E58:F58"/>
    <mergeCell ref="G58:H58"/>
    <mergeCell ref="I58:J58"/>
    <mergeCell ref="I10:J10"/>
    <mergeCell ref="I14:J14"/>
    <mergeCell ref="M64:N64"/>
    <mergeCell ref="O64:P64"/>
    <mergeCell ref="A59:A64"/>
    <mergeCell ref="C64:D64"/>
    <mergeCell ref="E64:F64"/>
    <mergeCell ref="G64:H64"/>
    <mergeCell ref="I64:J64"/>
    <mergeCell ref="K64:L64"/>
  </mergeCells>
  <hyperlinks>
    <hyperlink ref="J31" r:id="rId1" xr:uid="{72FFBBEF-6FC7-4596-A85D-B9694CC0AA0D}"/>
  </hyperlink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44F2-CE19-4AD1-8179-13DD6F195C64}">
  <dimension ref="A1:O89"/>
  <sheetViews>
    <sheetView topLeftCell="A49" workbookViewId="0">
      <selection activeCell="J77" sqref="J77"/>
    </sheetView>
  </sheetViews>
  <sheetFormatPr defaultRowHeight="14.4" x14ac:dyDescent="0.3"/>
  <cols>
    <col min="1" max="1" width="46.44140625" bestFit="1" customWidth="1"/>
    <col min="2" max="2" width="13.33203125" customWidth="1"/>
    <col min="3" max="3" width="11.6640625" bestFit="1" customWidth="1"/>
    <col min="4" max="4" width="11.44140625" bestFit="1" customWidth="1"/>
    <col min="5" max="5" width="9.6640625" bestFit="1" customWidth="1"/>
    <col min="6" max="6" width="15.44140625" bestFit="1" customWidth="1"/>
    <col min="7" max="7" width="14.77734375" bestFit="1" customWidth="1"/>
    <col min="8" max="8" width="14.33203125" bestFit="1" customWidth="1"/>
    <col min="9" max="9" width="9.88671875" bestFit="1" customWidth="1"/>
    <col min="10" max="10" width="32.21875" bestFit="1" customWidth="1"/>
    <col min="15" max="15" width="9.77734375" bestFit="1" customWidth="1"/>
  </cols>
  <sheetData>
    <row r="1" spans="1:15" ht="18.600000000000001" thickBot="1" x14ac:dyDescent="0.4">
      <c r="A1" s="372" t="s">
        <v>161</v>
      </c>
      <c r="B1" s="372"/>
      <c r="C1" s="371" t="s">
        <v>162</v>
      </c>
      <c r="D1" s="371"/>
      <c r="E1" s="371"/>
      <c r="F1" s="371"/>
      <c r="J1" s="105" t="s">
        <v>188</v>
      </c>
    </row>
    <row r="2" spans="1:15" ht="15.6" x14ac:dyDescent="0.3">
      <c r="A2" s="372"/>
      <c r="B2" s="372"/>
      <c r="C2" s="84" t="s">
        <v>163</v>
      </c>
      <c r="D2" s="84" t="s">
        <v>164</v>
      </c>
      <c r="E2" s="84" t="s">
        <v>165</v>
      </c>
      <c r="F2" s="84" t="s">
        <v>166</v>
      </c>
      <c r="J2" s="98" t="s">
        <v>189</v>
      </c>
      <c r="K2" s="92"/>
      <c r="L2" s="92"/>
      <c r="M2" s="92"/>
      <c r="N2" s="92"/>
      <c r="O2" s="93"/>
    </row>
    <row r="3" spans="1:15" ht="15.6" x14ac:dyDescent="0.3">
      <c r="A3" s="87" t="s">
        <v>167</v>
      </c>
      <c r="B3" s="77">
        <v>5793</v>
      </c>
      <c r="C3" s="373">
        <v>393</v>
      </c>
      <c r="D3" s="373">
        <v>2549</v>
      </c>
      <c r="E3" s="373">
        <v>556</v>
      </c>
      <c r="F3" s="374">
        <v>537</v>
      </c>
      <c r="J3" s="95" t="s">
        <v>190</v>
      </c>
      <c r="K3" s="72" t="s">
        <v>191</v>
      </c>
      <c r="L3" s="89"/>
      <c r="M3" s="72" t="s">
        <v>192</v>
      </c>
      <c r="N3" s="72" t="s">
        <v>190</v>
      </c>
      <c r="O3" s="99" t="s">
        <v>191</v>
      </c>
    </row>
    <row r="4" spans="1:15" ht="15.6" x14ac:dyDescent="0.3">
      <c r="A4" s="87" t="s">
        <v>168</v>
      </c>
      <c r="B4" s="77">
        <v>403</v>
      </c>
      <c r="C4" s="373"/>
      <c r="D4" s="373"/>
      <c r="E4" s="373"/>
      <c r="F4" s="374"/>
      <c r="J4" s="377" t="s">
        <v>193</v>
      </c>
      <c r="K4" s="378"/>
      <c r="L4" s="86" t="s">
        <v>194</v>
      </c>
      <c r="M4" s="86">
        <v>41868000000</v>
      </c>
      <c r="N4" s="378" t="s">
        <v>195</v>
      </c>
      <c r="O4" s="379"/>
    </row>
    <row r="5" spans="1:15" ht="15.6" x14ac:dyDescent="0.3">
      <c r="A5" s="87" t="s">
        <v>169</v>
      </c>
      <c r="B5" s="77">
        <v>1059</v>
      </c>
      <c r="C5" s="373"/>
      <c r="D5" s="373"/>
      <c r="E5" s="373"/>
      <c r="F5" s="374"/>
      <c r="J5" s="94" t="s">
        <v>196</v>
      </c>
      <c r="K5" s="88">
        <v>3799</v>
      </c>
      <c r="L5" s="86" t="s">
        <v>195</v>
      </c>
      <c r="M5" s="86">
        <v>4.1868E-5</v>
      </c>
      <c r="N5" s="73" t="s">
        <v>196</v>
      </c>
      <c r="O5" s="100">
        <v>159.056532</v>
      </c>
    </row>
    <row r="6" spans="1:15" ht="15.6" x14ac:dyDescent="0.3">
      <c r="A6" s="87" t="s">
        <v>170</v>
      </c>
      <c r="B6" s="77">
        <v>81</v>
      </c>
      <c r="C6" s="373">
        <v>326</v>
      </c>
      <c r="D6" s="373" t="s">
        <v>32</v>
      </c>
      <c r="E6" s="373" t="s">
        <v>32</v>
      </c>
      <c r="F6" s="374">
        <v>7</v>
      </c>
      <c r="J6" s="94" t="s">
        <v>197</v>
      </c>
      <c r="K6" s="88">
        <v>35590</v>
      </c>
      <c r="L6" s="90"/>
      <c r="M6" s="90"/>
      <c r="N6" s="73" t="s">
        <v>197</v>
      </c>
      <c r="O6" s="100">
        <v>1490.08212</v>
      </c>
    </row>
    <row r="7" spans="1:15" ht="15.6" x14ac:dyDescent="0.3">
      <c r="A7" s="87" t="s">
        <v>171</v>
      </c>
      <c r="B7" s="77">
        <v>631</v>
      </c>
      <c r="C7" s="373"/>
      <c r="D7" s="373"/>
      <c r="E7" s="373"/>
      <c r="F7" s="374"/>
      <c r="J7" s="94" t="s">
        <v>198</v>
      </c>
      <c r="K7" s="88">
        <v>979</v>
      </c>
      <c r="L7" s="90"/>
      <c r="M7" s="90"/>
      <c r="N7" s="73" t="s">
        <v>198</v>
      </c>
      <c r="O7" s="100">
        <v>40.988771999999997</v>
      </c>
    </row>
    <row r="8" spans="1:15" ht="15.6" x14ac:dyDescent="0.3">
      <c r="A8" s="87" t="s">
        <v>172</v>
      </c>
      <c r="B8" s="77">
        <v>903</v>
      </c>
      <c r="C8" s="373">
        <v>376</v>
      </c>
      <c r="D8" s="373">
        <v>131</v>
      </c>
      <c r="E8" s="373">
        <v>23</v>
      </c>
      <c r="F8" s="374">
        <v>24</v>
      </c>
      <c r="J8" s="94" t="s">
        <v>199</v>
      </c>
      <c r="K8" s="88">
        <v>21485</v>
      </c>
      <c r="L8" s="90"/>
      <c r="M8" s="90"/>
      <c r="N8" s="73" t="s">
        <v>199</v>
      </c>
      <c r="O8" s="100">
        <v>899.53397999999993</v>
      </c>
    </row>
    <row r="9" spans="1:15" ht="15.6" x14ac:dyDescent="0.3">
      <c r="A9" s="87" t="s">
        <v>173</v>
      </c>
      <c r="B9" s="77">
        <v>380</v>
      </c>
      <c r="C9" s="373"/>
      <c r="D9" s="373"/>
      <c r="E9" s="373"/>
      <c r="F9" s="374"/>
      <c r="J9" s="94" t="s">
        <v>200</v>
      </c>
      <c r="K9" s="88">
        <v>17492</v>
      </c>
      <c r="L9" s="91"/>
      <c r="M9" s="90"/>
      <c r="N9" s="73" t="s">
        <v>200</v>
      </c>
      <c r="O9" s="100">
        <v>732.35505599999999</v>
      </c>
    </row>
    <row r="10" spans="1:15" ht="16.2" thickBot="1" x14ac:dyDescent="0.35">
      <c r="A10" s="87" t="s">
        <v>174</v>
      </c>
      <c r="B10" s="77">
        <v>3803</v>
      </c>
      <c r="C10" s="373">
        <v>1332</v>
      </c>
      <c r="D10" s="373">
        <v>804</v>
      </c>
      <c r="E10" s="373">
        <v>481</v>
      </c>
      <c r="F10" s="374" t="s">
        <v>32</v>
      </c>
      <c r="J10" s="96"/>
      <c r="K10" s="97"/>
      <c r="L10" s="97"/>
      <c r="M10" s="97"/>
      <c r="N10" s="101" t="s">
        <v>181</v>
      </c>
      <c r="O10" s="102">
        <v>3322.0164599999998</v>
      </c>
    </row>
    <row r="11" spans="1:15" ht="15.6" x14ac:dyDescent="0.3">
      <c r="A11" s="87" t="s">
        <v>175</v>
      </c>
      <c r="B11" s="77">
        <v>40</v>
      </c>
      <c r="C11" s="373"/>
      <c r="D11" s="373"/>
      <c r="E11" s="373"/>
      <c r="F11" s="374"/>
      <c r="J11" s="98" t="s">
        <v>201</v>
      </c>
      <c r="K11" s="92"/>
      <c r="L11" s="92"/>
      <c r="M11" s="92"/>
      <c r="N11" s="92"/>
      <c r="O11" s="93"/>
    </row>
    <row r="12" spans="1:15" ht="15.6" x14ac:dyDescent="0.3">
      <c r="A12" s="87" t="s">
        <v>176</v>
      </c>
      <c r="B12" s="77">
        <v>4</v>
      </c>
      <c r="C12" s="77" t="s">
        <v>32</v>
      </c>
      <c r="D12" s="77" t="s">
        <v>32</v>
      </c>
      <c r="E12" s="77" t="s">
        <v>32</v>
      </c>
      <c r="F12" s="78" t="s">
        <v>32</v>
      </c>
      <c r="J12" s="95" t="s">
        <v>190</v>
      </c>
      <c r="K12" s="72" t="s">
        <v>191</v>
      </c>
      <c r="L12" s="89"/>
      <c r="M12" s="72" t="s">
        <v>192</v>
      </c>
      <c r="N12" s="72" t="s">
        <v>190</v>
      </c>
      <c r="O12" s="99" t="s">
        <v>191</v>
      </c>
    </row>
    <row r="13" spans="1:15" ht="15.6" x14ac:dyDescent="0.3">
      <c r="A13" s="87" t="s">
        <v>177</v>
      </c>
      <c r="B13" s="77">
        <v>126</v>
      </c>
      <c r="C13" s="373">
        <v>723</v>
      </c>
      <c r="D13" s="373">
        <v>10</v>
      </c>
      <c r="E13" s="373">
        <v>1133</v>
      </c>
      <c r="F13" s="374" t="s">
        <v>32</v>
      </c>
      <c r="J13" s="377" t="s">
        <v>193</v>
      </c>
      <c r="K13" s="378"/>
      <c r="L13" s="86" t="s">
        <v>194</v>
      </c>
      <c r="M13" s="86">
        <v>41868000000</v>
      </c>
      <c r="N13" s="378" t="s">
        <v>195</v>
      </c>
      <c r="O13" s="379"/>
    </row>
    <row r="14" spans="1:15" ht="15.6" x14ac:dyDescent="0.3">
      <c r="A14" s="87" t="s">
        <v>178</v>
      </c>
      <c r="B14" s="77">
        <v>225</v>
      </c>
      <c r="C14" s="373"/>
      <c r="D14" s="373"/>
      <c r="E14" s="373"/>
      <c r="F14" s="374"/>
      <c r="J14" s="94" t="s">
        <v>196</v>
      </c>
      <c r="K14" s="88">
        <v>661</v>
      </c>
      <c r="L14" s="86" t="s">
        <v>195</v>
      </c>
      <c r="M14" s="86">
        <v>4.1868E-5</v>
      </c>
      <c r="N14" s="73" t="s">
        <v>196</v>
      </c>
      <c r="O14" s="100">
        <v>27.674747999999997</v>
      </c>
    </row>
    <row r="15" spans="1:15" ht="15.6" x14ac:dyDescent="0.3">
      <c r="A15" s="87" t="s">
        <v>179</v>
      </c>
      <c r="B15" s="77">
        <v>1400</v>
      </c>
      <c r="C15" s="373"/>
      <c r="D15" s="373"/>
      <c r="E15" s="373"/>
      <c r="F15" s="374"/>
      <c r="J15" s="94" t="s">
        <v>197</v>
      </c>
      <c r="K15" s="88">
        <v>6134</v>
      </c>
      <c r="L15" s="90"/>
      <c r="M15" s="90"/>
      <c r="N15" s="73" t="s">
        <v>197</v>
      </c>
      <c r="O15" s="100">
        <v>256.81831199999999</v>
      </c>
    </row>
    <row r="16" spans="1:15" ht="15.6" x14ac:dyDescent="0.3">
      <c r="A16" s="87" t="s">
        <v>180</v>
      </c>
      <c r="B16" s="77">
        <v>171</v>
      </c>
      <c r="C16" s="373"/>
      <c r="D16" s="373"/>
      <c r="E16" s="373"/>
      <c r="F16" s="374"/>
      <c r="J16" s="94" t="s">
        <v>198</v>
      </c>
      <c r="K16" s="88">
        <v>10</v>
      </c>
      <c r="L16" s="90"/>
      <c r="M16" s="90"/>
      <c r="N16" s="73" t="s">
        <v>198</v>
      </c>
      <c r="O16" s="100">
        <v>0.41868</v>
      </c>
    </row>
    <row r="17" spans="1:15" ht="15.6" x14ac:dyDescent="0.3">
      <c r="A17" s="76" t="s">
        <v>181</v>
      </c>
      <c r="B17" s="79">
        <v>15019</v>
      </c>
      <c r="C17" s="77">
        <v>3150</v>
      </c>
      <c r="D17" s="77">
        <v>3494</v>
      </c>
      <c r="E17" s="78">
        <v>2193</v>
      </c>
      <c r="F17" s="78">
        <v>568</v>
      </c>
      <c r="J17" s="94" t="s">
        <v>199</v>
      </c>
      <c r="K17" s="88">
        <v>0</v>
      </c>
      <c r="L17" s="90"/>
      <c r="M17" s="90"/>
      <c r="N17" s="73" t="s">
        <v>199</v>
      </c>
      <c r="O17" s="100">
        <v>0</v>
      </c>
    </row>
    <row r="18" spans="1:15" ht="15.6" x14ac:dyDescent="0.3">
      <c r="A18" s="75"/>
      <c r="B18" s="75"/>
      <c r="C18" s="375">
        <v>9405</v>
      </c>
      <c r="D18" s="375"/>
      <c r="E18" s="375"/>
      <c r="F18" s="375"/>
      <c r="J18" s="94" t="s">
        <v>200</v>
      </c>
      <c r="K18" s="88">
        <v>9</v>
      </c>
      <c r="L18" s="91"/>
      <c r="M18" s="90"/>
      <c r="N18" s="73" t="s">
        <v>200</v>
      </c>
      <c r="O18" s="100">
        <v>0.37681200000000004</v>
      </c>
    </row>
    <row r="19" spans="1:15" ht="16.2" thickBot="1" x14ac:dyDescent="0.35">
      <c r="A19" s="74"/>
      <c r="B19" s="74"/>
      <c r="C19" s="74"/>
      <c r="D19" s="74"/>
      <c r="E19" s="74"/>
      <c r="F19" s="74"/>
      <c r="J19" s="96"/>
      <c r="K19" s="97"/>
      <c r="L19" s="97"/>
      <c r="M19" s="97"/>
      <c r="N19" s="101" t="s">
        <v>181</v>
      </c>
      <c r="O19" s="102">
        <v>285.28855199999998</v>
      </c>
    </row>
    <row r="20" spans="1:15" ht="15.6" x14ac:dyDescent="0.3">
      <c r="A20" s="85" t="s">
        <v>182</v>
      </c>
      <c r="B20" s="376">
        <v>763</v>
      </c>
      <c r="C20" s="376"/>
      <c r="D20" s="376"/>
      <c r="E20" s="376"/>
      <c r="F20" s="376"/>
      <c r="J20" s="98" t="s">
        <v>202</v>
      </c>
      <c r="K20" s="92"/>
      <c r="L20" s="92"/>
      <c r="M20" s="92"/>
      <c r="N20" s="92"/>
      <c r="O20" s="93"/>
    </row>
    <row r="21" spans="1:15" ht="15.6" x14ac:dyDescent="0.3">
      <c r="A21" s="74"/>
      <c r="B21" s="74"/>
      <c r="C21" s="74"/>
      <c r="D21" s="74"/>
      <c r="E21" s="74"/>
      <c r="F21" s="74"/>
      <c r="J21" s="95" t="s">
        <v>190</v>
      </c>
      <c r="K21" s="72" t="s">
        <v>191</v>
      </c>
      <c r="L21" s="89"/>
      <c r="M21" s="72" t="s">
        <v>192</v>
      </c>
      <c r="N21" s="72" t="s">
        <v>190</v>
      </c>
      <c r="O21" s="99" t="s">
        <v>191</v>
      </c>
    </row>
    <row r="22" spans="1:15" x14ac:dyDescent="0.3">
      <c r="A22" s="74"/>
      <c r="B22" s="74"/>
      <c r="C22" s="74"/>
      <c r="D22" s="74"/>
      <c r="E22" s="74"/>
      <c r="F22" s="74"/>
      <c r="J22" s="377" t="s">
        <v>193</v>
      </c>
      <c r="K22" s="378"/>
      <c r="L22" s="86" t="s">
        <v>194</v>
      </c>
      <c r="M22" s="86">
        <v>41868000000</v>
      </c>
      <c r="N22" s="378" t="s">
        <v>195</v>
      </c>
      <c r="O22" s="379"/>
    </row>
    <row r="23" spans="1:15" ht="15.6" x14ac:dyDescent="0.3">
      <c r="A23" s="82" t="s">
        <v>183</v>
      </c>
      <c r="B23" s="87" t="s">
        <v>184</v>
      </c>
      <c r="C23" s="87">
        <v>2333</v>
      </c>
      <c r="D23" s="75"/>
      <c r="E23" s="75"/>
      <c r="F23" s="75"/>
      <c r="J23" s="94" t="s">
        <v>196</v>
      </c>
      <c r="K23" s="88">
        <v>3</v>
      </c>
      <c r="L23" s="86" t="s">
        <v>195</v>
      </c>
      <c r="M23" s="86">
        <v>4.1868E-5</v>
      </c>
      <c r="N23" s="73" t="s">
        <v>196</v>
      </c>
      <c r="O23" s="100">
        <v>0.12560399999999999</v>
      </c>
    </row>
    <row r="24" spans="1:15" ht="15.6" x14ac:dyDescent="0.3">
      <c r="A24" s="75"/>
      <c r="B24" s="87" t="s">
        <v>185</v>
      </c>
      <c r="C24" s="87">
        <v>37</v>
      </c>
      <c r="D24" s="75"/>
      <c r="E24" s="75"/>
      <c r="F24" s="75"/>
      <c r="J24" s="94" t="s">
        <v>197</v>
      </c>
      <c r="K24" s="88">
        <v>27</v>
      </c>
      <c r="L24" s="90"/>
      <c r="M24" s="90"/>
      <c r="N24" s="73" t="s">
        <v>197</v>
      </c>
      <c r="O24" s="100">
        <v>1.130436</v>
      </c>
    </row>
    <row r="25" spans="1:15" ht="15.6" x14ac:dyDescent="0.3">
      <c r="A25" s="75"/>
      <c r="B25" s="87" t="s">
        <v>186</v>
      </c>
      <c r="C25" s="87">
        <v>356</v>
      </c>
      <c r="D25" s="75"/>
      <c r="E25" s="75"/>
      <c r="F25" s="75"/>
      <c r="J25" s="94" t="s">
        <v>198</v>
      </c>
      <c r="K25" s="88">
        <v>20</v>
      </c>
      <c r="L25" s="90"/>
      <c r="M25" s="90"/>
      <c r="N25" s="73" t="s">
        <v>198</v>
      </c>
      <c r="O25" s="100">
        <v>0.83735999999999999</v>
      </c>
    </row>
    <row r="26" spans="1:15" ht="15.6" x14ac:dyDescent="0.3">
      <c r="A26" s="75"/>
      <c r="B26" s="87" t="s">
        <v>181</v>
      </c>
      <c r="C26" s="103">
        <v>2726</v>
      </c>
      <c r="D26" s="75"/>
      <c r="E26" s="75"/>
      <c r="F26" s="75"/>
      <c r="J26" s="94" t="s">
        <v>199</v>
      </c>
      <c r="K26" s="88">
        <v>0</v>
      </c>
      <c r="L26" s="90"/>
      <c r="M26" s="90"/>
      <c r="N26" s="73" t="s">
        <v>199</v>
      </c>
      <c r="O26" s="100">
        <v>0</v>
      </c>
    </row>
    <row r="27" spans="1:15" ht="15.6" x14ac:dyDescent="0.3">
      <c r="A27" s="75"/>
      <c r="B27" s="75"/>
      <c r="C27" s="75"/>
      <c r="D27" s="75"/>
      <c r="E27" s="75"/>
      <c r="F27" s="75"/>
      <c r="J27" s="94" t="s">
        <v>200</v>
      </c>
      <c r="K27" s="88">
        <v>0</v>
      </c>
      <c r="L27" s="91"/>
      <c r="M27" s="90"/>
      <c r="N27" s="73" t="s">
        <v>200</v>
      </c>
      <c r="O27" s="100">
        <v>0</v>
      </c>
    </row>
    <row r="28" spans="1:15" ht="16.2" thickBot="1" x14ac:dyDescent="0.35">
      <c r="A28" s="80" t="s">
        <v>187</v>
      </c>
      <c r="B28" s="104">
        <v>57.540448764897803</v>
      </c>
      <c r="C28" s="75"/>
      <c r="D28" s="75"/>
      <c r="E28" s="75"/>
      <c r="F28" s="75"/>
      <c r="J28" s="96"/>
      <c r="K28" s="97"/>
      <c r="L28" s="97"/>
      <c r="M28" s="97"/>
      <c r="N28" s="101" t="s">
        <v>181</v>
      </c>
      <c r="O28" s="102">
        <v>2.0933999999999999</v>
      </c>
    </row>
    <row r="29" spans="1:15" ht="15.6" x14ac:dyDescent="0.3">
      <c r="A29" s="75"/>
      <c r="B29" s="75"/>
      <c r="C29" s="75"/>
      <c r="D29" s="75"/>
      <c r="E29" s="75"/>
      <c r="F29" s="75"/>
      <c r="J29" s="98" t="s">
        <v>203</v>
      </c>
      <c r="K29" s="92"/>
      <c r="L29" s="92"/>
      <c r="M29" s="92"/>
      <c r="N29" s="92"/>
      <c r="O29" s="93"/>
    </row>
    <row r="30" spans="1:15" ht="15.6" x14ac:dyDescent="0.3">
      <c r="A30" s="83" t="s">
        <v>187</v>
      </c>
      <c r="B30" s="104">
        <v>75.690791663892398</v>
      </c>
      <c r="C30" s="75"/>
      <c r="D30" s="75"/>
      <c r="E30" s="75"/>
      <c r="F30" s="75"/>
      <c r="J30" s="95" t="s">
        <v>190</v>
      </c>
      <c r="K30" s="72" t="s">
        <v>191</v>
      </c>
      <c r="L30" s="89"/>
      <c r="M30" s="72" t="s">
        <v>192</v>
      </c>
      <c r="N30" s="72" t="s">
        <v>190</v>
      </c>
      <c r="O30" s="99" t="s">
        <v>191</v>
      </c>
    </row>
    <row r="31" spans="1:15" x14ac:dyDescent="0.3">
      <c r="J31" s="377" t="s">
        <v>193</v>
      </c>
      <c r="K31" s="378"/>
      <c r="L31" s="86" t="s">
        <v>194</v>
      </c>
      <c r="M31" s="86">
        <v>41868000000</v>
      </c>
      <c r="N31" s="378" t="s">
        <v>195</v>
      </c>
      <c r="O31" s="379"/>
    </row>
    <row r="32" spans="1:15" ht="15.6" x14ac:dyDescent="0.3">
      <c r="J32" s="94" t="s">
        <v>196</v>
      </c>
      <c r="K32" s="88">
        <v>101</v>
      </c>
      <c r="L32" s="86" t="s">
        <v>195</v>
      </c>
      <c r="M32" s="86">
        <v>4.1868E-5</v>
      </c>
      <c r="N32" s="73" t="s">
        <v>196</v>
      </c>
      <c r="O32" s="100">
        <v>4.2286679999999999</v>
      </c>
    </row>
    <row r="33" spans="2:15" ht="15.6" x14ac:dyDescent="0.3">
      <c r="J33" s="94" t="s">
        <v>197</v>
      </c>
      <c r="K33" s="88">
        <v>940</v>
      </c>
      <c r="L33" s="90"/>
      <c r="M33" s="90"/>
      <c r="N33" s="73" t="s">
        <v>197</v>
      </c>
      <c r="O33" s="100">
        <v>39.355920000000005</v>
      </c>
    </row>
    <row r="34" spans="2:15" ht="15.6" x14ac:dyDescent="0.3">
      <c r="J34" s="94" t="s">
        <v>198</v>
      </c>
      <c r="K34" s="88">
        <v>1333</v>
      </c>
      <c r="L34" s="90"/>
      <c r="M34" s="90"/>
      <c r="N34" s="73" t="s">
        <v>198</v>
      </c>
      <c r="O34" s="100">
        <v>55.810043999999998</v>
      </c>
    </row>
    <row r="35" spans="2:15" ht="15.6" x14ac:dyDescent="0.3">
      <c r="J35" s="94" t="s">
        <v>199</v>
      </c>
      <c r="K35" s="88">
        <v>0</v>
      </c>
      <c r="L35" s="90"/>
      <c r="M35" s="90"/>
      <c r="N35" s="73" t="s">
        <v>199</v>
      </c>
      <c r="O35" s="100">
        <v>0</v>
      </c>
    </row>
    <row r="36" spans="2:15" ht="15.6" x14ac:dyDescent="0.3">
      <c r="J36" s="94" t="s">
        <v>200</v>
      </c>
      <c r="K36" s="88">
        <v>0</v>
      </c>
      <c r="L36" s="91"/>
      <c r="M36" s="90"/>
      <c r="N36" s="73" t="s">
        <v>200</v>
      </c>
      <c r="O36" s="100">
        <v>0</v>
      </c>
    </row>
    <row r="37" spans="2:15" ht="16.2" thickBot="1" x14ac:dyDescent="0.35">
      <c r="J37" s="96"/>
      <c r="K37" s="97"/>
      <c r="L37" s="97"/>
      <c r="M37" s="97"/>
      <c r="N37" s="101" t="s">
        <v>181</v>
      </c>
      <c r="O37" s="102">
        <v>99.394632000000001</v>
      </c>
    </row>
    <row r="48" spans="2:15" ht="16.2" x14ac:dyDescent="0.35">
      <c r="B48" s="211"/>
    </row>
    <row r="51" spans="1:12" ht="16.2" thickBot="1" x14ac:dyDescent="0.35">
      <c r="A51" s="243" t="s">
        <v>353</v>
      </c>
      <c r="B51" s="212"/>
      <c r="C51" s="1"/>
      <c r="D51" s="1"/>
      <c r="E51" s="1"/>
      <c r="F51" s="1"/>
      <c r="G51" s="1"/>
      <c r="H51" s="1"/>
      <c r="J51" s="212"/>
      <c r="K51" s="212"/>
      <c r="L51" s="244"/>
    </row>
    <row r="52" spans="1:12" ht="16.2" thickBot="1" x14ac:dyDescent="0.35">
      <c r="A52" s="1"/>
      <c r="B52" s="247">
        <v>2014</v>
      </c>
      <c r="C52" s="247">
        <v>2015</v>
      </c>
      <c r="D52" s="247">
        <v>2016</v>
      </c>
      <c r="E52" s="247">
        <v>2017</v>
      </c>
      <c r="F52" s="247">
        <v>2018</v>
      </c>
      <c r="G52" s="247">
        <v>2019</v>
      </c>
      <c r="H52" s="1"/>
      <c r="I52" s="1"/>
      <c r="J52" s="245" t="s">
        <v>364</v>
      </c>
      <c r="K52" s="244"/>
      <c r="L52" s="244"/>
    </row>
    <row r="53" spans="1:12" ht="16.2" thickBot="1" x14ac:dyDescent="0.35">
      <c r="A53" s="215" t="s">
        <v>351</v>
      </c>
      <c r="B53" s="215">
        <f>SUM(B54:B58)</f>
        <v>185071</v>
      </c>
      <c r="C53" s="215">
        <f t="shared" ref="C53:G53" si="0">SUM(C54:C58)</f>
        <v>176113</v>
      </c>
      <c r="D53" s="215">
        <f t="shared" si="0"/>
        <v>162975</v>
      </c>
      <c r="E53" s="215">
        <f t="shared" si="0"/>
        <v>167028</v>
      </c>
      <c r="F53" s="215">
        <f t="shared" si="0"/>
        <v>158047</v>
      </c>
      <c r="G53" s="215">
        <f t="shared" si="0"/>
        <v>158394</v>
      </c>
      <c r="H53" s="1"/>
      <c r="I53" s="141">
        <v>2014</v>
      </c>
      <c r="J53" s="246">
        <f>(B59/B66)*100</f>
        <v>39.447449098113118</v>
      </c>
      <c r="K53" s="244"/>
      <c r="L53" s="244"/>
    </row>
    <row r="54" spans="1:12" ht="16.2" thickBot="1" x14ac:dyDescent="0.35">
      <c r="A54" s="247" t="s">
        <v>352</v>
      </c>
      <c r="B54" s="247">
        <v>120327</v>
      </c>
      <c r="C54" s="247">
        <v>111836</v>
      </c>
      <c r="D54" s="247">
        <v>105354</v>
      </c>
      <c r="E54" s="247">
        <v>106276</v>
      </c>
      <c r="F54" s="247">
        <v>99627</v>
      </c>
      <c r="G54" s="247">
        <v>101051</v>
      </c>
      <c r="H54" s="2"/>
      <c r="I54" s="141">
        <v>2015</v>
      </c>
      <c r="J54" s="246">
        <f>(C59/C66)*100</f>
        <v>41.272763044253921</v>
      </c>
      <c r="K54" s="244"/>
      <c r="L54" s="244"/>
    </row>
    <row r="55" spans="1:12" ht="16.2" thickBot="1" x14ac:dyDescent="0.35">
      <c r="A55" s="247" t="s">
        <v>335</v>
      </c>
      <c r="B55" s="247">
        <v>41373</v>
      </c>
      <c r="C55" s="247">
        <v>40971</v>
      </c>
      <c r="D55" s="247">
        <v>35569</v>
      </c>
      <c r="E55" s="247">
        <v>37938</v>
      </c>
      <c r="F55" s="247">
        <v>35905</v>
      </c>
      <c r="G55" s="247">
        <v>35909</v>
      </c>
      <c r="H55" s="2"/>
      <c r="I55" s="141">
        <v>2016</v>
      </c>
      <c r="J55" s="246">
        <f>(D59/D66)*100</f>
        <v>43.488964787877734</v>
      </c>
      <c r="K55" s="244"/>
      <c r="L55" s="244"/>
    </row>
    <row r="56" spans="1:12" ht="16.2" thickBot="1" x14ac:dyDescent="0.35">
      <c r="A56" s="247" t="s">
        <v>354</v>
      </c>
      <c r="B56" s="247">
        <v>17521</v>
      </c>
      <c r="C56" s="247">
        <v>17625</v>
      </c>
      <c r="D56" s="247">
        <v>15920</v>
      </c>
      <c r="E56" s="247">
        <v>16790</v>
      </c>
      <c r="F56" s="247">
        <v>16493</v>
      </c>
      <c r="G56" s="247">
        <v>15480</v>
      </c>
      <c r="H56" s="2"/>
      <c r="I56" s="141">
        <v>2017</v>
      </c>
      <c r="J56" s="246">
        <f>(E59/E66)*100</f>
        <v>43.170744984893439</v>
      </c>
      <c r="K56" s="244"/>
      <c r="L56" s="244"/>
    </row>
    <row r="57" spans="1:12" ht="16.2" thickBot="1" x14ac:dyDescent="0.35">
      <c r="A57" s="247" t="s">
        <v>355</v>
      </c>
      <c r="B57" s="247">
        <v>4036</v>
      </c>
      <c r="C57" s="247">
        <v>3855</v>
      </c>
      <c r="D57" s="247">
        <v>4211</v>
      </c>
      <c r="E57" s="247">
        <v>4193</v>
      </c>
      <c r="F57" s="247">
        <v>4174</v>
      </c>
      <c r="G57" s="247">
        <v>4174</v>
      </c>
      <c r="H57" s="2"/>
      <c r="I57" s="141">
        <v>2018</v>
      </c>
      <c r="J57" s="246">
        <f>(F59/F66)*100</f>
        <v>45.55003944725609</v>
      </c>
      <c r="K57" s="244"/>
      <c r="L57" s="244"/>
    </row>
    <row r="58" spans="1:12" ht="16.2" thickBot="1" x14ac:dyDescent="0.35">
      <c r="A58" s="247" t="s">
        <v>356</v>
      </c>
      <c r="B58" s="247">
        <v>1814</v>
      </c>
      <c r="C58" s="247">
        <v>1826</v>
      </c>
      <c r="D58" s="247">
        <v>1921</v>
      </c>
      <c r="E58" s="247">
        <v>1831</v>
      </c>
      <c r="F58" s="247">
        <v>1848</v>
      </c>
      <c r="G58" s="247">
        <v>1780</v>
      </c>
      <c r="H58" s="2"/>
      <c r="I58" s="141">
        <v>2019</v>
      </c>
      <c r="J58" s="246">
        <f>(G59/G66)*100</f>
        <v>46.185808687380025</v>
      </c>
      <c r="K58" s="244"/>
      <c r="L58" s="244"/>
    </row>
    <row r="59" spans="1:12" ht="16.2" thickBot="1" x14ac:dyDescent="0.35">
      <c r="A59" s="215" t="s">
        <v>357</v>
      </c>
      <c r="B59" s="215">
        <f>SUM(B60:B65)</f>
        <v>120566</v>
      </c>
      <c r="C59" s="215">
        <f t="shared" ref="C59:G59" si="1">SUM(C60:C65)</f>
        <v>123770</v>
      </c>
      <c r="D59" s="215">
        <f t="shared" si="1"/>
        <v>125420</v>
      </c>
      <c r="E59" s="215">
        <f t="shared" si="1"/>
        <v>126884</v>
      </c>
      <c r="F59" s="215">
        <f t="shared" si="1"/>
        <v>132214</v>
      </c>
      <c r="G59" s="215">
        <f t="shared" si="1"/>
        <v>135941</v>
      </c>
      <c r="H59" s="2"/>
      <c r="I59" s="1"/>
      <c r="J59" s="212"/>
      <c r="K59" s="244"/>
      <c r="L59" s="244"/>
    </row>
    <row r="60" spans="1:12" ht="16.2" thickBot="1" x14ac:dyDescent="0.35">
      <c r="A60" s="247" t="s">
        <v>358</v>
      </c>
      <c r="B60" s="247">
        <v>35019</v>
      </c>
      <c r="C60" s="247">
        <v>33897</v>
      </c>
      <c r="D60" s="247">
        <v>36265</v>
      </c>
      <c r="E60" s="247">
        <v>35023</v>
      </c>
      <c r="F60" s="247">
        <v>36460</v>
      </c>
      <c r="G60" s="247">
        <v>36364</v>
      </c>
      <c r="H60" s="2"/>
      <c r="I60" s="1"/>
      <c r="J60" s="1"/>
    </row>
    <row r="61" spans="1:12" ht="16.2" thickBot="1" x14ac:dyDescent="0.35">
      <c r="A61" s="247" t="s">
        <v>359</v>
      </c>
      <c r="B61" s="247">
        <v>24936</v>
      </c>
      <c r="C61" s="247">
        <v>24900</v>
      </c>
      <c r="D61" s="247">
        <v>23095</v>
      </c>
      <c r="E61" s="247">
        <v>24636</v>
      </c>
      <c r="F61" s="247">
        <v>25827</v>
      </c>
      <c r="G61" s="247">
        <v>26034</v>
      </c>
      <c r="H61" s="2"/>
      <c r="I61" s="1"/>
      <c r="J61" s="1"/>
    </row>
    <row r="62" spans="1:12" ht="16.2" thickBot="1" x14ac:dyDescent="0.35">
      <c r="A62" s="247" t="s">
        <v>360</v>
      </c>
      <c r="B62" s="247">
        <v>48170</v>
      </c>
      <c r="C62" s="247">
        <v>50648</v>
      </c>
      <c r="D62" s="247">
        <v>50318</v>
      </c>
      <c r="E62" s="247">
        <v>49758</v>
      </c>
      <c r="F62" s="247">
        <v>50090</v>
      </c>
      <c r="G62" s="247">
        <v>52841</v>
      </c>
      <c r="H62" s="2"/>
      <c r="I62" s="1"/>
      <c r="J62" s="1"/>
    </row>
    <row r="63" spans="1:12" ht="16.2" thickBot="1" x14ac:dyDescent="0.35">
      <c r="A63" s="247" t="s">
        <v>361</v>
      </c>
      <c r="B63" s="247">
        <v>1050</v>
      </c>
      <c r="C63" s="247">
        <v>1860</v>
      </c>
      <c r="D63" s="247">
        <v>2880</v>
      </c>
      <c r="E63" s="247">
        <v>3644</v>
      </c>
      <c r="F63" s="247">
        <v>4169</v>
      </c>
      <c r="G63" s="247">
        <v>4815</v>
      </c>
      <c r="H63" s="2"/>
      <c r="I63" s="1"/>
      <c r="J63" s="1"/>
    </row>
    <row r="64" spans="1:12" ht="16.2" thickBot="1" x14ac:dyDescent="0.35">
      <c r="A64" s="247" t="s">
        <v>362</v>
      </c>
      <c r="B64" s="247">
        <v>1</v>
      </c>
      <c r="C64" s="247">
        <v>5</v>
      </c>
      <c r="D64" s="247">
        <v>7</v>
      </c>
      <c r="E64" s="247">
        <v>72</v>
      </c>
      <c r="F64" s="247">
        <v>298</v>
      </c>
      <c r="G64" s="247">
        <v>572</v>
      </c>
      <c r="H64" s="2"/>
      <c r="I64" s="1"/>
      <c r="J64" s="1"/>
    </row>
    <row r="65" spans="1:10" ht="16.2" thickBot="1" x14ac:dyDescent="0.35">
      <c r="A65" s="247" t="s">
        <v>363</v>
      </c>
      <c r="B65" s="247">
        <v>11390</v>
      </c>
      <c r="C65" s="247">
        <v>12460</v>
      </c>
      <c r="D65" s="247">
        <v>12855</v>
      </c>
      <c r="E65" s="247">
        <v>13751</v>
      </c>
      <c r="F65" s="247">
        <v>15370</v>
      </c>
      <c r="G65" s="247">
        <v>15315</v>
      </c>
      <c r="H65" s="2"/>
      <c r="I65" s="1"/>
      <c r="J65" s="1"/>
    </row>
    <row r="66" spans="1:10" ht="16.2" thickBot="1" x14ac:dyDescent="0.35">
      <c r="A66" s="215" t="s">
        <v>181</v>
      </c>
      <c r="B66" s="215">
        <f>SUM(B59,B53)</f>
        <v>305637</v>
      </c>
      <c r="C66" s="215">
        <f t="shared" ref="C66:G66" si="2">SUM(C59,C53)</f>
        <v>299883</v>
      </c>
      <c r="D66" s="215">
        <f t="shared" si="2"/>
        <v>288395</v>
      </c>
      <c r="E66" s="215">
        <f t="shared" si="2"/>
        <v>293912</v>
      </c>
      <c r="F66" s="215">
        <f t="shared" si="2"/>
        <v>290261</v>
      </c>
      <c r="G66" s="215">
        <f t="shared" si="2"/>
        <v>294335</v>
      </c>
      <c r="H66" s="2"/>
      <c r="I66" s="1"/>
      <c r="J66" s="1"/>
    </row>
    <row r="67" spans="1:10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5.6" x14ac:dyDescent="0.3">
      <c r="A69" s="91"/>
      <c r="B69" s="248"/>
      <c r="C69" s="248"/>
      <c r="D69" s="248"/>
      <c r="E69" s="248"/>
      <c r="F69" s="248"/>
      <c r="G69" s="248"/>
      <c r="H69" s="1"/>
      <c r="I69" s="1"/>
      <c r="J69" s="1"/>
    </row>
    <row r="70" spans="1:10" x14ac:dyDescent="0.3">
      <c r="A70" s="249"/>
      <c r="B70" s="249"/>
      <c r="C70" s="249"/>
      <c r="D70" s="249"/>
      <c r="E70" s="249"/>
      <c r="F70" s="249"/>
      <c r="G70" s="249"/>
      <c r="H70" s="75"/>
      <c r="I70" s="75"/>
      <c r="J70" s="75"/>
    </row>
    <row r="71" spans="1:10" ht="15.6" x14ac:dyDescent="0.3">
      <c r="A71" s="91"/>
      <c r="B71" s="91"/>
      <c r="C71" s="91"/>
      <c r="D71" s="91"/>
      <c r="E71" s="91"/>
      <c r="F71" s="91"/>
      <c r="G71" s="91"/>
      <c r="H71" s="75"/>
      <c r="I71" s="75"/>
      <c r="J71" s="75"/>
    </row>
    <row r="72" spans="1:10" ht="15.6" x14ac:dyDescent="0.3">
      <c r="A72" s="91"/>
      <c r="B72" s="91"/>
      <c r="C72" s="91"/>
      <c r="D72" s="91"/>
      <c r="E72" s="91"/>
      <c r="F72" s="91"/>
      <c r="G72" s="250"/>
    </row>
    <row r="73" spans="1:10" ht="15.6" x14ac:dyDescent="0.3">
      <c r="A73" s="91"/>
      <c r="B73" s="91"/>
      <c r="C73" s="91"/>
      <c r="D73" s="91"/>
      <c r="E73" s="91"/>
      <c r="F73" s="91"/>
      <c r="G73" s="250"/>
    </row>
    <row r="74" spans="1:10" ht="15.6" x14ac:dyDescent="0.3">
      <c r="A74" s="91"/>
      <c r="B74" s="91"/>
      <c r="C74" s="91"/>
      <c r="D74" s="91"/>
      <c r="E74" s="91"/>
      <c r="F74" s="91"/>
      <c r="G74" s="250"/>
    </row>
    <row r="75" spans="1:10" ht="15.6" x14ac:dyDescent="0.3">
      <c r="A75" s="91"/>
      <c r="B75" s="91"/>
      <c r="C75" s="91"/>
      <c r="D75" s="91"/>
      <c r="E75" s="91"/>
      <c r="F75" s="91"/>
      <c r="G75" s="250"/>
    </row>
    <row r="76" spans="1:10" ht="15.6" x14ac:dyDescent="0.3">
      <c r="A76" s="91"/>
      <c r="B76" s="91"/>
      <c r="C76" s="91"/>
      <c r="D76" s="91"/>
      <c r="E76" s="91"/>
      <c r="F76" s="91"/>
      <c r="G76" s="250"/>
    </row>
    <row r="77" spans="1:10" ht="15.6" x14ac:dyDescent="0.3">
      <c r="A77" s="91"/>
      <c r="B77" s="91"/>
      <c r="C77" s="91"/>
      <c r="D77" s="91"/>
      <c r="E77" s="91"/>
      <c r="F77" s="91"/>
      <c r="G77" s="250"/>
    </row>
    <row r="78" spans="1:10" ht="15.6" x14ac:dyDescent="0.3">
      <c r="A78" s="91"/>
      <c r="B78" s="91"/>
      <c r="C78" s="91"/>
      <c r="D78" s="91"/>
      <c r="E78" s="91"/>
      <c r="F78" s="91"/>
      <c r="G78" s="250"/>
    </row>
    <row r="79" spans="1:10" ht="15.6" x14ac:dyDescent="0.3">
      <c r="A79" s="91"/>
      <c r="B79" s="91"/>
      <c r="C79" s="91"/>
      <c r="D79" s="91"/>
      <c r="E79" s="91"/>
      <c r="F79" s="91"/>
      <c r="G79" s="250"/>
    </row>
    <row r="80" spans="1:10" ht="15.6" x14ac:dyDescent="0.3">
      <c r="A80" s="91"/>
      <c r="B80" s="91"/>
      <c r="C80" s="91"/>
      <c r="D80" s="91"/>
      <c r="E80" s="91"/>
      <c r="F80" s="91"/>
      <c r="G80" s="250"/>
    </row>
    <row r="81" spans="1:7" ht="15.6" x14ac:dyDescent="0.3">
      <c r="A81" s="91"/>
      <c r="B81" s="91"/>
      <c r="C81" s="91"/>
      <c r="D81" s="91"/>
      <c r="E81" s="91"/>
      <c r="F81" s="91"/>
      <c r="G81" s="250"/>
    </row>
    <row r="82" spans="1:7" ht="15.6" x14ac:dyDescent="0.3">
      <c r="A82" s="91"/>
      <c r="B82" s="91"/>
      <c r="C82" s="91"/>
      <c r="D82" s="91"/>
      <c r="E82" s="91"/>
      <c r="F82" s="91"/>
      <c r="G82" s="250"/>
    </row>
    <row r="83" spans="1:7" ht="15.6" x14ac:dyDescent="0.3">
      <c r="A83" s="91"/>
      <c r="B83" s="91"/>
      <c r="C83" s="91"/>
      <c r="D83" s="91"/>
      <c r="E83" s="91"/>
      <c r="F83" s="91"/>
      <c r="G83" s="250"/>
    </row>
    <row r="84" spans="1:7" ht="15.6" x14ac:dyDescent="0.3">
      <c r="A84" s="91"/>
      <c r="B84" s="91"/>
      <c r="C84" s="91"/>
      <c r="D84" s="91"/>
      <c r="E84" s="91"/>
      <c r="F84" s="91"/>
      <c r="G84" s="250"/>
    </row>
    <row r="85" spans="1:7" ht="15.6" x14ac:dyDescent="0.3">
      <c r="A85" s="91"/>
      <c r="B85" s="91"/>
      <c r="C85" s="91"/>
      <c r="D85" s="91"/>
      <c r="E85" s="91"/>
      <c r="F85" s="91"/>
      <c r="G85" s="250"/>
    </row>
    <row r="86" spans="1:7" ht="15.6" x14ac:dyDescent="0.3">
      <c r="A86" s="91"/>
      <c r="B86" s="91"/>
      <c r="C86" s="91"/>
      <c r="D86" s="91"/>
      <c r="E86" s="91"/>
      <c r="F86" s="91"/>
      <c r="G86" s="250"/>
    </row>
    <row r="87" spans="1:7" ht="15.6" x14ac:dyDescent="0.3">
      <c r="A87" s="91"/>
      <c r="B87" s="91"/>
      <c r="C87" s="91"/>
      <c r="D87" s="91"/>
      <c r="E87" s="91"/>
      <c r="F87" s="91"/>
      <c r="G87" s="250"/>
    </row>
    <row r="88" spans="1:7" ht="15.6" x14ac:dyDescent="0.3">
      <c r="A88" s="91"/>
      <c r="B88" s="91"/>
      <c r="C88" s="91"/>
      <c r="D88" s="91"/>
      <c r="E88" s="91"/>
      <c r="F88" s="91"/>
      <c r="G88" s="250"/>
    </row>
    <row r="89" spans="1:7" x14ac:dyDescent="0.3">
      <c r="A89" s="249"/>
      <c r="B89" s="249"/>
      <c r="C89" s="249"/>
      <c r="D89" s="249"/>
      <c r="E89" s="249"/>
      <c r="F89" s="249"/>
      <c r="G89" s="249"/>
    </row>
  </sheetData>
  <mergeCells count="32">
    <mergeCell ref="J22:K22"/>
    <mergeCell ref="N22:O22"/>
    <mergeCell ref="J31:K31"/>
    <mergeCell ref="N31:O31"/>
    <mergeCell ref="J4:K4"/>
    <mergeCell ref="N4:O4"/>
    <mergeCell ref="J13:K13"/>
    <mergeCell ref="N13:O13"/>
    <mergeCell ref="F10:F11"/>
    <mergeCell ref="F13:F16"/>
    <mergeCell ref="C18:F18"/>
    <mergeCell ref="B20:F20"/>
    <mergeCell ref="E8:E9"/>
    <mergeCell ref="E10:E11"/>
    <mergeCell ref="E13:E16"/>
    <mergeCell ref="C8:C9"/>
    <mergeCell ref="C10:C11"/>
    <mergeCell ref="C13:C16"/>
    <mergeCell ref="D8:D9"/>
    <mergeCell ref="D10:D11"/>
    <mergeCell ref="D13:D16"/>
    <mergeCell ref="F8:F9"/>
    <mergeCell ref="C1:F1"/>
    <mergeCell ref="A1:B2"/>
    <mergeCell ref="C3:C5"/>
    <mergeCell ref="C6:C7"/>
    <mergeCell ref="E3:E5"/>
    <mergeCell ref="E6:E7"/>
    <mergeCell ref="D3:D5"/>
    <mergeCell ref="D6:D7"/>
    <mergeCell ref="F3:F5"/>
    <mergeCell ref="F6:F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C04-8885-4A36-9C4B-A52300C8FBF9}">
  <dimension ref="A1:P81"/>
  <sheetViews>
    <sheetView tabSelected="1" topLeftCell="A22" zoomScale="70" zoomScaleNormal="70" workbookViewId="0">
      <selection activeCell="B81" sqref="B81"/>
    </sheetView>
  </sheetViews>
  <sheetFormatPr defaultRowHeight="14.4" x14ac:dyDescent="0.3"/>
  <cols>
    <col min="1" max="1" width="64.109375" bestFit="1" customWidth="1"/>
    <col min="2" max="2" width="13.33203125" bestFit="1" customWidth="1"/>
    <col min="3" max="4" width="30.5546875" bestFit="1" customWidth="1"/>
    <col min="5" max="5" width="36.5546875" bestFit="1" customWidth="1"/>
    <col min="6" max="6" width="13.6640625" bestFit="1" customWidth="1"/>
    <col min="7" max="7" width="23" customWidth="1"/>
    <col min="8" max="9" width="12.6640625" bestFit="1" customWidth="1"/>
    <col min="10" max="10" width="12.77734375" bestFit="1" customWidth="1"/>
    <col min="11" max="11" width="19.6640625" bestFit="1" customWidth="1"/>
    <col min="14" max="14" width="29.5546875" bestFit="1" customWidth="1"/>
    <col min="15" max="15" width="16.109375" bestFit="1" customWidth="1"/>
    <col min="16" max="16" width="22.33203125" bestFit="1" customWidth="1"/>
  </cols>
  <sheetData>
    <row r="1" spans="1:16" ht="21" x14ac:dyDescent="0.4">
      <c r="A1" s="313" t="s">
        <v>366</v>
      </c>
      <c r="B1" s="63"/>
    </row>
    <row r="2" spans="1:16" ht="16.2" thickBot="1" x14ac:dyDescent="0.35">
      <c r="A2" s="254" t="s">
        <v>217</v>
      </c>
      <c r="B2" s="144">
        <v>76.099999999999994</v>
      </c>
      <c r="C2" s="144" t="s">
        <v>218</v>
      </c>
      <c r="N2" s="2" t="s">
        <v>402</v>
      </c>
    </row>
    <row r="3" spans="1:16" ht="18.600000000000001" thickBot="1" x14ac:dyDescent="0.4">
      <c r="A3" s="254" t="s">
        <v>219</v>
      </c>
      <c r="B3" s="144">
        <v>0.39</v>
      </c>
      <c r="C3" s="144" t="s">
        <v>220</v>
      </c>
      <c r="E3" s="286" t="s">
        <v>371</v>
      </c>
      <c r="N3" s="288" t="s">
        <v>397</v>
      </c>
      <c r="O3" s="289" t="s">
        <v>398</v>
      </c>
      <c r="P3" s="289" t="s">
        <v>401</v>
      </c>
    </row>
    <row r="4" spans="1:16" ht="16.2" thickBot="1" x14ac:dyDescent="0.35">
      <c r="A4" s="300" t="s">
        <v>422</v>
      </c>
      <c r="B4" s="157"/>
      <c r="C4" s="157"/>
      <c r="D4" s="168" t="s">
        <v>368</v>
      </c>
      <c r="E4" s="300" t="s">
        <v>372</v>
      </c>
      <c r="F4" s="292"/>
      <c r="N4" s="290" t="s">
        <v>399</v>
      </c>
      <c r="O4" s="318">
        <f>8443.29*1000</f>
        <v>8443290</v>
      </c>
      <c r="P4" s="87">
        <f>36946000</f>
        <v>36946000</v>
      </c>
    </row>
    <row r="5" spans="1:16" ht="16.2" thickBot="1" x14ac:dyDescent="0.35">
      <c r="A5" s="247" t="s">
        <v>222</v>
      </c>
      <c r="B5" s="247">
        <v>1.23</v>
      </c>
      <c r="C5" s="247" t="s">
        <v>223</v>
      </c>
      <c r="D5" s="307">
        <v>56.3</v>
      </c>
      <c r="E5" s="304">
        <f>D5*B5</f>
        <v>69.248999999999995</v>
      </c>
      <c r="F5" s="2"/>
      <c r="N5" s="290" t="s">
        <v>432</v>
      </c>
      <c r="O5" s="87">
        <f>85*74</f>
        <v>6290</v>
      </c>
      <c r="P5" s="87">
        <v>681</v>
      </c>
    </row>
    <row r="6" spans="1:16" ht="16.2" thickBot="1" x14ac:dyDescent="0.35">
      <c r="A6" s="247" t="s">
        <v>224</v>
      </c>
      <c r="B6" s="247">
        <v>0.14000000000000001</v>
      </c>
      <c r="C6" s="247" t="s">
        <v>223</v>
      </c>
      <c r="D6" s="307">
        <v>7.5</v>
      </c>
      <c r="E6" s="304">
        <f t="shared" ref="E6:E11" si="0">D6*B6</f>
        <v>1.05</v>
      </c>
      <c r="F6" s="2"/>
      <c r="N6" s="290" t="s">
        <v>400</v>
      </c>
      <c r="O6" s="326">
        <f>O4/O5</f>
        <v>1342.3354531001589</v>
      </c>
      <c r="P6" s="326">
        <f>P4/P5</f>
        <v>54252.569750367111</v>
      </c>
    </row>
    <row r="7" spans="1:16" ht="16.2" thickBot="1" x14ac:dyDescent="0.35">
      <c r="A7" s="247" t="s">
        <v>225</v>
      </c>
      <c r="B7" s="247">
        <v>1.31</v>
      </c>
      <c r="C7" s="247" t="s">
        <v>223</v>
      </c>
      <c r="D7" s="307">
        <v>7</v>
      </c>
      <c r="E7" s="304">
        <f t="shared" si="0"/>
        <v>9.17</v>
      </c>
      <c r="F7" s="2"/>
    </row>
    <row r="8" spans="1:16" ht="16.2" thickBot="1" x14ac:dyDescent="0.35">
      <c r="A8" s="247" t="s">
        <v>226</v>
      </c>
      <c r="B8" s="247">
        <v>5</v>
      </c>
      <c r="C8" s="247" t="s">
        <v>223</v>
      </c>
      <c r="D8" s="307">
        <v>0.1</v>
      </c>
      <c r="E8" s="304">
        <f t="shared" si="0"/>
        <v>0.5</v>
      </c>
      <c r="F8" s="2"/>
    </row>
    <row r="9" spans="1:16" ht="16.2" thickBot="1" x14ac:dyDescent="0.35">
      <c r="A9" s="247" t="s">
        <v>227</v>
      </c>
      <c r="B9" s="247">
        <v>1.67E-2</v>
      </c>
      <c r="C9" s="247" t="s">
        <v>223</v>
      </c>
      <c r="D9" s="307">
        <f>(355.6+358)/2</f>
        <v>356.8</v>
      </c>
      <c r="E9" s="304">
        <f t="shared" si="0"/>
        <v>5.9585600000000003</v>
      </c>
      <c r="F9" s="2"/>
    </row>
    <row r="10" spans="1:16" s="75" customFormat="1" ht="16.2" thickBot="1" x14ac:dyDescent="0.35">
      <c r="A10" s="247" t="s">
        <v>369</v>
      </c>
      <c r="B10" s="247">
        <v>44.1</v>
      </c>
      <c r="C10" s="247" t="s">
        <v>223</v>
      </c>
      <c r="D10" s="307">
        <v>0.02</v>
      </c>
      <c r="E10" s="304">
        <f t="shared" si="0"/>
        <v>0.88200000000000001</v>
      </c>
      <c r="F10" s="2"/>
      <c r="J10"/>
      <c r="K10"/>
      <c r="L10"/>
      <c r="M10"/>
      <c r="N10"/>
      <c r="O10"/>
      <c r="P10"/>
    </row>
    <row r="11" spans="1:16" ht="16.2" thickBot="1" x14ac:dyDescent="0.35">
      <c r="A11" s="247" t="s">
        <v>229</v>
      </c>
      <c r="B11" s="247">
        <v>1.9</v>
      </c>
      <c r="C11" s="247" t="s">
        <v>212</v>
      </c>
      <c r="D11" s="307">
        <v>47.72</v>
      </c>
      <c r="E11" s="304">
        <f t="shared" si="0"/>
        <v>90.667999999999992</v>
      </c>
      <c r="F11" s="2" t="s">
        <v>415</v>
      </c>
    </row>
    <row r="12" spans="1:16" ht="16.2" thickBot="1" x14ac:dyDescent="0.35">
      <c r="A12" s="247" t="s">
        <v>231</v>
      </c>
      <c r="B12" s="247">
        <v>27.3</v>
      </c>
      <c r="C12" s="247" t="s">
        <v>232</v>
      </c>
      <c r="D12" s="307" t="s">
        <v>370</v>
      </c>
      <c r="E12" s="304">
        <f>((27.3/38)/2.5)*47.72</f>
        <v>13.71322105263158</v>
      </c>
      <c r="F12" s="2" t="s">
        <v>415</v>
      </c>
      <c r="G12" s="262" t="s">
        <v>393</v>
      </c>
      <c r="K12" s="244"/>
      <c r="L12" s="244"/>
      <c r="M12" s="244"/>
    </row>
    <row r="13" spans="1:16" ht="16.2" thickBot="1" x14ac:dyDescent="0.35">
      <c r="A13" s="247" t="s">
        <v>235</v>
      </c>
      <c r="B13" s="247">
        <v>26.1</v>
      </c>
      <c r="C13" s="247" t="s">
        <v>236</v>
      </c>
      <c r="D13" s="307">
        <v>3.6</v>
      </c>
      <c r="E13" s="305">
        <f>(B13/(0.0000002778))/(10^6)</f>
        <v>93.952483801295898</v>
      </c>
      <c r="F13" s="2" t="s">
        <v>32</v>
      </c>
      <c r="K13" s="259" t="s">
        <v>376</v>
      </c>
      <c r="L13" s="259" t="s">
        <v>375</v>
      </c>
    </row>
    <row r="14" spans="1:16" ht="16.2" thickBot="1" x14ac:dyDescent="0.35">
      <c r="A14" s="157" t="s">
        <v>373</v>
      </c>
      <c r="B14" s="301"/>
      <c r="C14" s="301"/>
      <c r="D14" s="302" t="s">
        <v>181</v>
      </c>
      <c r="E14" s="303">
        <f>SUM(E5:E12)</f>
        <v>191.19078105263156</v>
      </c>
      <c r="G14" s="75"/>
      <c r="K14" s="259" t="s">
        <v>377</v>
      </c>
      <c r="L14" s="260">
        <f>(E37+E13+E38)/(E14+E35+E20)</f>
        <v>8.2038123581811337</v>
      </c>
    </row>
    <row r="15" spans="1:16" ht="16.2" thickBot="1" x14ac:dyDescent="0.35">
      <c r="A15" s="171" t="s">
        <v>337</v>
      </c>
      <c r="B15" s="171">
        <v>1000</v>
      </c>
      <c r="C15" s="171" t="s">
        <v>392</v>
      </c>
      <c r="D15" s="307">
        <v>4.43</v>
      </c>
      <c r="E15" s="306">
        <f>D15*B15</f>
        <v>4430</v>
      </c>
      <c r="K15" s="259" t="s">
        <v>416</v>
      </c>
      <c r="L15" s="260">
        <f>E37/(E35+E14+E20)</f>
        <v>3.8948030648542535</v>
      </c>
    </row>
    <row r="16" spans="1:16" ht="16.2" thickBot="1" x14ac:dyDescent="0.35">
      <c r="E16" s="285"/>
      <c r="J16" s="75"/>
      <c r="K16" s="75"/>
      <c r="L16" s="75"/>
      <c r="M16" s="75"/>
      <c r="N16" s="75"/>
      <c r="O16" s="75"/>
      <c r="P16" s="75"/>
    </row>
    <row r="17" spans="1:11" ht="16.2" thickBot="1" x14ac:dyDescent="0.35">
      <c r="A17" s="300" t="s">
        <v>428</v>
      </c>
      <c r="B17" s="301"/>
      <c r="C17" s="301"/>
      <c r="D17" s="168" t="s">
        <v>368</v>
      </c>
      <c r="E17" s="300" t="s">
        <v>372</v>
      </c>
    </row>
    <row r="18" spans="1:11" ht="16.2" thickBot="1" x14ac:dyDescent="0.35">
      <c r="A18" s="309" t="s">
        <v>0</v>
      </c>
      <c r="B18" s="309">
        <v>1.139</v>
      </c>
      <c r="C18" s="247" t="s">
        <v>392</v>
      </c>
      <c r="D18" s="308" t="s">
        <v>32</v>
      </c>
      <c r="E18" s="308"/>
    </row>
    <row r="19" spans="1:11" ht="16.2" thickBot="1" x14ac:dyDescent="0.35">
      <c r="A19" s="309" t="s">
        <v>424</v>
      </c>
      <c r="B19" s="310">
        <f>0.0049</f>
        <v>4.8999999999999998E-3</v>
      </c>
      <c r="C19" s="247" t="s">
        <v>392</v>
      </c>
      <c r="D19" s="308"/>
      <c r="E19" s="308"/>
    </row>
    <row r="20" spans="1:11" ht="16.2" thickBot="1" x14ac:dyDescent="0.35">
      <c r="A20" s="309" t="s">
        <v>425</v>
      </c>
      <c r="B20" s="310">
        <f>0.0015</f>
        <v>1.5E-3</v>
      </c>
      <c r="C20" s="247" t="s">
        <v>392</v>
      </c>
      <c r="D20" s="141">
        <v>42.3</v>
      </c>
      <c r="E20" s="311">
        <f>((B20/B18)*1000)*0.84*D20*1.139</f>
        <v>53.297999999999995</v>
      </c>
    </row>
    <row r="21" spans="1:11" ht="16.2" thickBot="1" x14ac:dyDescent="0.35">
      <c r="A21" s="309" t="s">
        <v>426</v>
      </c>
      <c r="B21" s="310">
        <f>0.294</f>
        <v>0.29399999999999998</v>
      </c>
      <c r="C21" s="247" t="s">
        <v>392</v>
      </c>
      <c r="D21" s="308"/>
      <c r="E21" s="308"/>
    </row>
    <row r="22" spans="1:11" ht="16.2" thickBot="1" x14ac:dyDescent="0.35">
      <c r="A22" s="309" t="s">
        <v>427</v>
      </c>
      <c r="B22" s="309">
        <v>18.23</v>
      </c>
      <c r="C22" s="247" t="s">
        <v>236</v>
      </c>
      <c r="D22" s="308"/>
      <c r="E22" s="308"/>
      <c r="K22" s="259" t="s">
        <v>378</v>
      </c>
    </row>
    <row r="23" spans="1:11" ht="16.2" thickBot="1" x14ac:dyDescent="0.35">
      <c r="A23" s="300" t="s">
        <v>291</v>
      </c>
      <c r="B23" s="301"/>
      <c r="C23" s="301"/>
      <c r="D23" s="301"/>
      <c r="E23" s="301"/>
      <c r="K23" s="258">
        <f>(E37-(E14+E35-E13))/E37</f>
        <v>0.8941949964325937</v>
      </c>
    </row>
    <row r="24" spans="1:11" ht="16.2" thickBot="1" x14ac:dyDescent="0.35">
      <c r="A24" s="309" t="s">
        <v>429</v>
      </c>
      <c r="B24" s="309">
        <v>1</v>
      </c>
      <c r="C24" s="247" t="s">
        <v>392</v>
      </c>
      <c r="D24" s="308"/>
      <c r="E24" s="308"/>
    </row>
    <row r="25" spans="1:11" ht="16.2" thickBot="1" x14ac:dyDescent="0.35">
      <c r="A25" s="309" t="s">
        <v>336</v>
      </c>
      <c r="B25" s="310">
        <f>0.274</f>
        <v>0.27400000000000002</v>
      </c>
      <c r="C25" s="247" t="s">
        <v>392</v>
      </c>
      <c r="D25" s="308"/>
      <c r="E25" s="308"/>
    </row>
    <row r="26" spans="1:11" ht="16.2" thickBot="1" x14ac:dyDescent="0.35">
      <c r="A26" s="309" t="s">
        <v>430</v>
      </c>
      <c r="B26" s="310">
        <f>0.0049</f>
        <v>4.8999999999999998E-3</v>
      </c>
      <c r="C26" s="247" t="s">
        <v>392</v>
      </c>
      <c r="D26" s="308"/>
      <c r="E26" s="308"/>
    </row>
    <row r="27" spans="1:11" ht="15" thickBot="1" x14ac:dyDescent="0.35"/>
    <row r="28" spans="1:11" ht="16.2" thickBot="1" x14ac:dyDescent="0.35">
      <c r="A28" s="300" t="s">
        <v>423</v>
      </c>
      <c r="B28" s="157"/>
      <c r="C28" s="157"/>
      <c r="D28" s="314" t="s">
        <v>367</v>
      </c>
      <c r="E28" s="300" t="s">
        <v>372</v>
      </c>
    </row>
    <row r="29" spans="1:11" ht="16.2" thickBot="1" x14ac:dyDescent="0.35">
      <c r="A29" s="247" t="s">
        <v>242</v>
      </c>
      <c r="B29" s="247">
        <v>1</v>
      </c>
      <c r="C29" s="247" t="s">
        <v>212</v>
      </c>
      <c r="D29" s="312"/>
      <c r="E29" s="312"/>
    </row>
    <row r="30" spans="1:11" ht="16.2" thickBot="1" x14ac:dyDescent="0.35">
      <c r="A30" s="247" t="s">
        <v>244</v>
      </c>
      <c r="B30" s="247">
        <v>4.9400000000000004</v>
      </c>
      <c r="C30" s="247" t="s">
        <v>228</v>
      </c>
      <c r="D30" s="307">
        <v>48</v>
      </c>
      <c r="E30" s="304">
        <f>(D30*$B$37)/1000</f>
        <v>2.2080000000000002</v>
      </c>
    </row>
    <row r="31" spans="1:11" ht="16.2" thickBot="1" x14ac:dyDescent="0.35">
      <c r="A31" s="247" t="s">
        <v>245</v>
      </c>
      <c r="B31" s="247">
        <v>7.48</v>
      </c>
      <c r="C31" s="247" t="s">
        <v>228</v>
      </c>
      <c r="D31" s="307">
        <v>64.900000000000006</v>
      </c>
      <c r="E31" s="304">
        <f>(D31*$B$37)/1000</f>
        <v>2.9854000000000003</v>
      </c>
      <c r="F31" s="2">
        <v>0.01</v>
      </c>
    </row>
    <row r="32" spans="1:11" ht="16.2" thickBot="1" x14ac:dyDescent="0.35">
      <c r="A32" s="247" t="s">
        <v>246</v>
      </c>
      <c r="B32" s="247">
        <v>0.71</v>
      </c>
      <c r="C32" s="247" t="s">
        <v>228</v>
      </c>
      <c r="D32" s="307">
        <v>5.2</v>
      </c>
      <c r="E32" s="304">
        <f>(D32*$B$37)/1000</f>
        <v>0.23920000000000002</v>
      </c>
    </row>
    <row r="33" spans="1:6" ht="16.2" thickBot="1" x14ac:dyDescent="0.35">
      <c r="A33" s="247" t="s">
        <v>247</v>
      </c>
      <c r="B33" s="247">
        <v>4.3999999999999997E-2</v>
      </c>
      <c r="C33" s="247" t="s">
        <v>228</v>
      </c>
      <c r="D33" s="307">
        <v>5.9</v>
      </c>
      <c r="E33" s="304">
        <f>(D33*$B$37)/1000</f>
        <v>0.27140000000000003</v>
      </c>
      <c r="F33" t="s">
        <v>431</v>
      </c>
    </row>
    <row r="34" spans="1:6" ht="16.2" thickBot="1" x14ac:dyDescent="0.35">
      <c r="A34" s="247" t="s">
        <v>249</v>
      </c>
      <c r="B34" s="247">
        <v>4.7E-2</v>
      </c>
      <c r="C34" s="247" t="s">
        <v>228</v>
      </c>
      <c r="D34" s="307">
        <v>5.9</v>
      </c>
      <c r="E34" s="304">
        <f>(D34*$B$37)/1000</f>
        <v>0.27140000000000003</v>
      </c>
    </row>
    <row r="35" spans="1:6" ht="16.2" thickBot="1" x14ac:dyDescent="0.35">
      <c r="D35" s="315" t="s">
        <v>181</v>
      </c>
      <c r="E35" s="316">
        <f>SUM(E30:E34)</f>
        <v>5.9754000000000005</v>
      </c>
    </row>
    <row r="36" spans="1:6" ht="16.2" thickBot="1" x14ac:dyDescent="0.35">
      <c r="A36" s="157" t="s">
        <v>373</v>
      </c>
      <c r="B36" s="301"/>
      <c r="C36" s="301"/>
      <c r="D36" s="168" t="s">
        <v>368</v>
      </c>
      <c r="E36" s="314" t="s">
        <v>372</v>
      </c>
    </row>
    <row r="37" spans="1:6" ht="16.2" thickBot="1" x14ac:dyDescent="0.35">
      <c r="A37" s="247" t="s">
        <v>237</v>
      </c>
      <c r="B37" s="247">
        <v>46</v>
      </c>
      <c r="C37" s="247" t="s">
        <v>374</v>
      </c>
      <c r="D37" s="307">
        <v>26.81</v>
      </c>
      <c r="E37" s="317">
        <f>(B37*0.791)*26.81</f>
        <v>975.50866000000008</v>
      </c>
      <c r="F37" t="s">
        <v>421</v>
      </c>
    </row>
    <row r="38" spans="1:6" ht="16.2" thickBot="1" x14ac:dyDescent="0.35">
      <c r="A38" s="247" t="s">
        <v>419</v>
      </c>
      <c r="B38" s="247">
        <v>59</v>
      </c>
      <c r="C38" s="247" t="s">
        <v>420</v>
      </c>
      <c r="D38" s="307">
        <v>16.7</v>
      </c>
      <c r="E38" s="306">
        <f>B38*D38</f>
        <v>985.3</v>
      </c>
      <c r="F38" s="75" t="s">
        <v>421</v>
      </c>
    </row>
    <row r="41" spans="1:6" ht="21" x14ac:dyDescent="0.4">
      <c r="A41" s="62" t="s">
        <v>271</v>
      </c>
    </row>
    <row r="43" spans="1:6" ht="16.2" thickBot="1" x14ac:dyDescent="0.35">
      <c r="A43" s="287" t="s">
        <v>394</v>
      </c>
    </row>
    <row r="44" spans="1:6" ht="15.6" x14ac:dyDescent="0.3">
      <c r="A44" s="380" t="s">
        <v>275</v>
      </c>
      <c r="B44" s="380"/>
      <c r="C44" s="274" t="s">
        <v>368</v>
      </c>
      <c r="D44" s="281" t="s">
        <v>380</v>
      </c>
      <c r="E44" s="268"/>
    </row>
    <row r="45" spans="1:6" ht="15.6" x14ac:dyDescent="0.3">
      <c r="A45" s="52" t="s">
        <v>276</v>
      </c>
      <c r="B45" s="52">
        <v>391</v>
      </c>
      <c r="C45" s="216" t="s">
        <v>32</v>
      </c>
      <c r="D45" s="282">
        <v>391</v>
      </c>
    </row>
    <row r="46" spans="1:6" ht="15.6" x14ac:dyDescent="0.3">
      <c r="A46" s="52" t="s">
        <v>277</v>
      </c>
      <c r="B46" s="52">
        <v>10.7</v>
      </c>
      <c r="C46" s="216">
        <v>47.72</v>
      </c>
      <c r="D46" s="283">
        <f>C46*B46</f>
        <v>510.60399999999993</v>
      </c>
    </row>
    <row r="47" spans="1:6" ht="15.6" x14ac:dyDescent="0.3">
      <c r="A47" s="52" t="s">
        <v>278</v>
      </c>
      <c r="B47" s="52">
        <v>2.4</v>
      </c>
      <c r="C47" s="216">
        <v>56.6</v>
      </c>
      <c r="D47" s="283">
        <f t="shared" ref="D47:D48" si="1">C47*B47</f>
        <v>135.84</v>
      </c>
    </row>
    <row r="48" spans="1:6" ht="15.6" x14ac:dyDescent="0.3">
      <c r="A48" s="52" t="s">
        <v>279</v>
      </c>
      <c r="B48" s="52">
        <v>31.6</v>
      </c>
      <c r="C48" s="216">
        <v>7</v>
      </c>
      <c r="D48" s="283">
        <f t="shared" si="1"/>
        <v>221.20000000000002</v>
      </c>
    </row>
    <row r="49" spans="1:8" ht="16.2" thickBot="1" x14ac:dyDescent="0.35">
      <c r="A49" s="52" t="s">
        <v>280</v>
      </c>
      <c r="B49" s="52">
        <v>25.9</v>
      </c>
      <c r="C49" s="216">
        <v>7.5</v>
      </c>
      <c r="D49" s="283">
        <f>C49*B49</f>
        <v>194.25</v>
      </c>
    </row>
    <row r="50" spans="1:8" ht="15.6" x14ac:dyDescent="0.3">
      <c r="A50" s="52" t="s">
        <v>379</v>
      </c>
      <c r="B50" s="52">
        <v>230</v>
      </c>
      <c r="C50" s="277">
        <v>0.1</v>
      </c>
      <c r="D50" s="283">
        <f t="shared" ref="D50" si="2">C50*B50</f>
        <v>23</v>
      </c>
      <c r="E50" s="279" t="s">
        <v>388</v>
      </c>
      <c r="F50" s="244"/>
      <c r="G50" s="244"/>
    </row>
    <row r="51" spans="1:8" ht="16.2" thickBot="1" x14ac:dyDescent="0.35">
      <c r="A51" s="52" t="s">
        <v>283</v>
      </c>
      <c r="B51" s="52">
        <v>0.8</v>
      </c>
      <c r="C51" s="278">
        <f>(216+418.6+358)/3</f>
        <v>330.86666666666667</v>
      </c>
      <c r="D51" s="283">
        <f>C51*B51</f>
        <v>264.69333333333333</v>
      </c>
      <c r="E51" s="280">
        <f>SUM(D45:D52)</f>
        <v>2272.9033333333336</v>
      </c>
      <c r="F51" s="244"/>
      <c r="G51" s="244"/>
    </row>
    <row r="52" spans="1:8" ht="15.6" x14ac:dyDescent="0.3">
      <c r="A52" s="52" t="s">
        <v>389</v>
      </c>
      <c r="B52" s="252">
        <v>14.6</v>
      </c>
      <c r="C52" s="216">
        <v>36.46</v>
      </c>
      <c r="D52" s="283">
        <f>C52*B52</f>
        <v>532.31600000000003</v>
      </c>
    </row>
    <row r="53" spans="1:8" ht="15.6" x14ac:dyDescent="0.3">
      <c r="A53" s="52" t="s">
        <v>386</v>
      </c>
      <c r="B53" s="52">
        <v>1000</v>
      </c>
      <c r="C53" s="276">
        <v>39.575000000000003</v>
      </c>
      <c r="D53" s="284">
        <f>C53*B53</f>
        <v>39575</v>
      </c>
      <c r="E53">
        <f>E51*3/1000</f>
        <v>6.8187100000000012</v>
      </c>
    </row>
    <row r="54" spans="1:8" x14ac:dyDescent="0.3">
      <c r="D54" s="257"/>
      <c r="E54">
        <f>D53*3/1000</f>
        <v>118.72499999999999</v>
      </c>
    </row>
    <row r="55" spans="1:8" x14ac:dyDescent="0.3">
      <c r="D55" s="257"/>
    </row>
    <row r="56" spans="1:8" ht="16.2" thickBot="1" x14ac:dyDescent="0.35">
      <c r="A56" s="72" t="s">
        <v>128</v>
      </c>
      <c r="B56" s="269"/>
      <c r="D56" s="257"/>
    </row>
    <row r="57" spans="1:8" ht="16.2" thickBot="1" x14ac:dyDescent="0.35">
      <c r="A57" s="270" t="s">
        <v>292</v>
      </c>
      <c r="B57" s="271"/>
      <c r="C57" s="274" t="s">
        <v>381</v>
      </c>
      <c r="D57" s="261" t="s">
        <v>380</v>
      </c>
    </row>
    <row r="58" spans="1:8" ht="15.6" x14ac:dyDescent="0.3">
      <c r="A58" s="252" t="s">
        <v>403</v>
      </c>
      <c r="B58" s="252">
        <v>1.9400000000000001E-2</v>
      </c>
      <c r="C58" s="216">
        <v>39.6</v>
      </c>
      <c r="D58" s="256">
        <v>767</v>
      </c>
      <c r="H58" s="259" t="s">
        <v>390</v>
      </c>
    </row>
    <row r="59" spans="1:8" ht="16.2" thickBot="1" x14ac:dyDescent="0.35">
      <c r="A59" s="252" t="s">
        <v>404</v>
      </c>
      <c r="B59" s="252">
        <v>7.6E-3</v>
      </c>
      <c r="C59" s="216">
        <v>39.6</v>
      </c>
      <c r="D59" s="255">
        <f>B59*C63*1000*0.18</f>
        <v>54.172799999999995</v>
      </c>
      <c r="G59" s="295" t="s">
        <v>417</v>
      </c>
      <c r="H59" s="258">
        <f>(D75+D64+D76)/(SUM(E51,E61,E73))</f>
        <v>4.1662471919036443</v>
      </c>
    </row>
    <row r="60" spans="1:8" ht="15.6" x14ac:dyDescent="0.3">
      <c r="A60" s="252" t="s">
        <v>405</v>
      </c>
      <c r="B60" s="252">
        <v>6.3000000000000003E-4</v>
      </c>
      <c r="C60" s="216">
        <v>39.6</v>
      </c>
      <c r="D60" s="255">
        <f>B60*C63*1000*0.18</f>
        <v>4.49064</v>
      </c>
      <c r="E60" s="279" t="s">
        <v>388</v>
      </c>
      <c r="G60" s="259" t="s">
        <v>196</v>
      </c>
      <c r="H60" s="258">
        <f>D75/(E73+E61+E51)</f>
        <v>1.3234333484617116</v>
      </c>
    </row>
    <row r="61" spans="1:8" ht="16.2" thickBot="1" x14ac:dyDescent="0.35">
      <c r="A61" s="252" t="s">
        <v>406</v>
      </c>
      <c r="B61" s="252">
        <v>0.15459999999999999</v>
      </c>
      <c r="C61" s="216">
        <v>39.6</v>
      </c>
      <c r="D61" s="255">
        <f>B61*C63*1000*0.18</f>
        <v>1101.9887999999999</v>
      </c>
      <c r="E61" s="280">
        <f>SUM(D58:D61)</f>
        <v>1927.6522399999999</v>
      </c>
    </row>
    <row r="62" spans="1:8" ht="15.6" x14ac:dyDescent="0.3">
      <c r="A62" s="270" t="s">
        <v>291</v>
      </c>
      <c r="B62" s="272"/>
      <c r="C62" s="275"/>
      <c r="D62" s="264"/>
    </row>
    <row r="63" spans="1:8" ht="15.6" x14ac:dyDescent="0.3">
      <c r="A63" s="87" t="s">
        <v>395</v>
      </c>
      <c r="B63" s="87">
        <v>180</v>
      </c>
      <c r="C63" s="216">
        <v>39.6</v>
      </c>
      <c r="D63" s="265">
        <f>B63*C63</f>
        <v>7128</v>
      </c>
    </row>
    <row r="64" spans="1:8" ht="16.2" thickBot="1" x14ac:dyDescent="0.35">
      <c r="A64" s="87" t="s">
        <v>396</v>
      </c>
      <c r="B64" s="87">
        <v>790</v>
      </c>
      <c r="C64" s="216">
        <v>17.2</v>
      </c>
      <c r="D64" s="256">
        <f>B64*C64</f>
        <v>13588</v>
      </c>
    </row>
    <row r="65" spans="1:8" ht="16.2" thickBot="1" x14ac:dyDescent="0.35">
      <c r="A65" s="72" t="s">
        <v>387</v>
      </c>
      <c r="B65" s="272"/>
      <c r="C65" s="274" t="s">
        <v>368</v>
      </c>
      <c r="D65" s="261" t="s">
        <v>380</v>
      </c>
    </row>
    <row r="66" spans="1:8" ht="15.6" x14ac:dyDescent="0.3">
      <c r="A66" s="87" t="s">
        <v>299</v>
      </c>
      <c r="B66" s="87">
        <v>4.1599999999999996E-3</v>
      </c>
      <c r="C66" s="276" t="s">
        <v>410</v>
      </c>
      <c r="D66" s="255">
        <f>B66*37.7*1000*B79</f>
        <v>27.86638237384506</v>
      </c>
    </row>
    <row r="67" spans="1:8" ht="15.6" x14ac:dyDescent="0.3">
      <c r="A67" s="87" t="s">
        <v>300</v>
      </c>
      <c r="B67" s="87">
        <v>1.0000000000000001E-5</v>
      </c>
      <c r="C67" s="276" t="s">
        <v>410</v>
      </c>
      <c r="D67" s="255">
        <f>B67*37.7*1000*B79</f>
        <v>6.6986496090973707E-2</v>
      </c>
      <c r="H67" s="259" t="s">
        <v>391</v>
      </c>
    </row>
    <row r="68" spans="1:8" ht="15.6" x14ac:dyDescent="0.3">
      <c r="A68" s="87" t="s">
        <v>301</v>
      </c>
      <c r="B68" s="87">
        <v>3.5299999999999998E-2</v>
      </c>
      <c r="C68" s="276" t="s">
        <v>410</v>
      </c>
      <c r="D68" s="255">
        <f>B68*37.7*1000*B79</f>
        <v>236.46233120113718</v>
      </c>
      <c r="H68" s="258">
        <f>((D75-(E73+E61+E51)))/D75</f>
        <v>0.24438960136349383</v>
      </c>
    </row>
    <row r="69" spans="1:8" ht="15.6" x14ac:dyDescent="0.3">
      <c r="A69" s="87" t="s">
        <v>383</v>
      </c>
      <c r="B69" s="87">
        <v>1.0000000000000001E-5</v>
      </c>
      <c r="C69" s="276">
        <v>10.32</v>
      </c>
      <c r="D69" s="255">
        <f>(C69*B69)*(37.7*201)</f>
        <v>0.78201864000000021</v>
      </c>
    </row>
    <row r="70" spans="1:8" ht="15.6" x14ac:dyDescent="0.3">
      <c r="A70" s="87" t="s">
        <v>385</v>
      </c>
      <c r="B70" s="87">
        <v>3.6999999999999999E-4</v>
      </c>
      <c r="C70" s="276">
        <v>15.3</v>
      </c>
      <c r="D70" s="255">
        <f>(C70*B70)*(37.7*1000*B79)</f>
        <v>37.921055437100215</v>
      </c>
      <c r="F70" s="244"/>
      <c r="G70" s="244"/>
    </row>
    <row r="71" spans="1:8" ht="16.2" thickBot="1" x14ac:dyDescent="0.35">
      <c r="A71" s="87" t="s">
        <v>382</v>
      </c>
      <c r="B71" s="87">
        <v>4.0000000000000003E-5</v>
      </c>
      <c r="C71" s="276">
        <v>19.95</v>
      </c>
      <c r="D71" s="255">
        <f>(C71*B71)*(37.7*1000*B79)</f>
        <v>5.3455223880597016</v>
      </c>
      <c r="F71" s="244"/>
      <c r="G71" s="244"/>
    </row>
    <row r="72" spans="1:8" ht="15.6" x14ac:dyDescent="0.3">
      <c r="A72" s="87" t="s">
        <v>384</v>
      </c>
      <c r="B72" s="87">
        <v>6.2E-4</v>
      </c>
      <c r="C72" s="276">
        <v>39.1</v>
      </c>
      <c r="D72" s="255">
        <f>(C72*B72)*(37.7*1000*B79)</f>
        <v>162.38866382373845</v>
      </c>
      <c r="E72" s="279" t="s">
        <v>388</v>
      </c>
      <c r="F72" s="244"/>
      <c r="G72" s="244"/>
    </row>
    <row r="73" spans="1:8" ht="16.2" thickBot="1" x14ac:dyDescent="0.35">
      <c r="A73" s="87" t="s">
        <v>306</v>
      </c>
      <c r="B73" s="87">
        <v>5.8400000000000001E-2</v>
      </c>
      <c r="C73" s="276">
        <v>39.299999999999997</v>
      </c>
      <c r="D73" s="255">
        <f>B73*(37.7*1000*B79)</f>
        <v>391.20113717128646</v>
      </c>
      <c r="E73" s="280">
        <f>SUM(D66:D73)</f>
        <v>862.034097531258</v>
      </c>
      <c r="F73" s="244"/>
      <c r="G73" s="244"/>
    </row>
    <row r="74" spans="1:8" ht="15.6" x14ac:dyDescent="0.3">
      <c r="A74" s="270" t="s">
        <v>291</v>
      </c>
      <c r="B74" s="272"/>
      <c r="C74" s="275"/>
      <c r="D74" s="264"/>
      <c r="F74" s="292"/>
      <c r="G74" s="244"/>
    </row>
    <row r="75" spans="1:8" ht="15.6" x14ac:dyDescent="0.3">
      <c r="A75" s="291" t="s">
        <v>407</v>
      </c>
      <c r="B75" s="87">
        <v>6700</v>
      </c>
      <c r="C75" s="276" t="s">
        <v>32</v>
      </c>
      <c r="D75" s="265">
        <f>B75</f>
        <v>6700</v>
      </c>
      <c r="F75" s="293"/>
      <c r="G75" s="244"/>
    </row>
    <row r="76" spans="1:8" ht="16.2" thickBot="1" x14ac:dyDescent="0.35">
      <c r="A76" s="291" t="s">
        <v>408</v>
      </c>
      <c r="B76" s="273">
        <f>B75*0.12</f>
        <v>804</v>
      </c>
      <c r="C76" s="216" t="s">
        <v>32</v>
      </c>
      <c r="D76" s="267">
        <v>804</v>
      </c>
      <c r="E76" s="268" t="s">
        <v>409</v>
      </c>
      <c r="F76" s="244"/>
      <c r="G76" s="244"/>
    </row>
    <row r="77" spans="1:8" ht="15.6" x14ac:dyDescent="0.3">
      <c r="F77" s="292"/>
      <c r="G77" s="244"/>
    </row>
    <row r="78" spans="1:8" ht="16.2" thickBot="1" x14ac:dyDescent="0.35">
      <c r="F78" s="294"/>
      <c r="G78" s="244"/>
    </row>
    <row r="79" spans="1:8" ht="16.2" thickBot="1" x14ac:dyDescent="0.35">
      <c r="A79" s="298" t="s">
        <v>411</v>
      </c>
      <c r="B79" s="299">
        <f>1/5.628</f>
        <v>0.17768301350390903</v>
      </c>
      <c r="C79" t="s">
        <v>412</v>
      </c>
      <c r="F79" s="244"/>
      <c r="G79" s="244"/>
    </row>
    <row r="80" spans="1:8" ht="16.2" thickBot="1" x14ac:dyDescent="0.35">
      <c r="A80" s="298" t="s">
        <v>413</v>
      </c>
      <c r="B80" s="298">
        <v>681</v>
      </c>
      <c r="C80" t="s">
        <v>414</v>
      </c>
    </row>
    <row r="81" spans="1:2" ht="16.2" thickBot="1" x14ac:dyDescent="0.35">
      <c r="A81" s="296" t="s">
        <v>418</v>
      </c>
      <c r="B81" s="297">
        <f>B80/3.3</f>
        <v>206.36363636363637</v>
      </c>
    </row>
  </sheetData>
  <mergeCells count="1">
    <mergeCell ref="A44:B4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Agriculture_data</vt:lpstr>
      <vt:lpstr>processing_data</vt:lpstr>
      <vt:lpstr>biofuels_annual_production</vt:lpstr>
      <vt:lpstr>economic</vt:lpstr>
      <vt:lpstr>energy_matrix</vt:lpstr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Canabarro</dc:creator>
  <cp:lastModifiedBy>Nicholas Canabarro</cp:lastModifiedBy>
  <dcterms:created xsi:type="dcterms:W3CDTF">2021-04-28T11:54:48Z</dcterms:created>
  <dcterms:modified xsi:type="dcterms:W3CDTF">2022-05-25T10:27:23Z</dcterms:modified>
</cp:coreProperties>
</file>