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tif" ContentType="image/tiff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74da24a3820722/Área de Trabalho/Pós-doc_IEA/Argentina/"/>
    </mc:Choice>
  </mc:AlternateContent>
  <xr:revisionPtr revIDLastSave="324" documentId="13_ncr:1_{6BDE8A11-02ED-4FE2-88A2-61AA85A68478}" xr6:coauthVersionLast="47" xr6:coauthVersionMax="47" xr10:uidLastSave="{E59A7C32-0583-4E5F-B065-5401165A2614}"/>
  <bookViews>
    <workbookView xWindow="-108" yWindow="-108" windowWidth="23256" windowHeight="12456" firstSheet="1" activeTab="5" xr2:uid="{065AB85D-F385-4C82-848C-19983B9BA7B3}"/>
  </bookViews>
  <sheets>
    <sheet name="Agriculture_data" sheetId="2" r:id="rId1"/>
    <sheet name="Processing_data" sheetId="3" r:id="rId2"/>
    <sheet name="Biofuels_Annual_production" sheetId="1" r:id="rId3"/>
    <sheet name="economic" sheetId="4" r:id="rId4"/>
    <sheet name="energy_matrix" sheetId="6" r:id="rId5"/>
    <sheet name="indicators" sheetId="7" r:id="rId6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C27" i="7"/>
  <c r="C38" i="7"/>
  <c r="D6" i="2"/>
  <c r="D5" i="2"/>
  <c r="D4" i="2"/>
  <c r="B121" i="7" l="1"/>
  <c r="B120" i="7"/>
  <c r="D27" i="1"/>
  <c r="K96" i="7"/>
  <c r="I5" i="4" l="1"/>
  <c r="K5" i="4"/>
  <c r="E9" i="7" l="1"/>
  <c r="F9" i="7" s="1"/>
  <c r="G74" i="7"/>
  <c r="P6" i="7"/>
  <c r="P7" i="7" s="1"/>
  <c r="C28" i="7" l="1"/>
  <c r="E27" i="7"/>
  <c r="E40" i="7"/>
  <c r="B41" i="7"/>
  <c r="B14" i="7"/>
  <c r="C14" i="7" s="1"/>
  <c r="K74" i="7"/>
  <c r="D69" i="7"/>
  <c r="E36" i="7"/>
  <c r="R7" i="7"/>
  <c r="D71" i="7"/>
  <c r="D72" i="7"/>
  <c r="D70" i="7"/>
  <c r="O101" i="7"/>
  <c r="O97" i="7"/>
  <c r="O96" i="7"/>
  <c r="K75" i="7"/>
  <c r="D65" i="7"/>
  <c r="D64" i="7"/>
  <c r="C59" i="7"/>
  <c r="D60" i="7"/>
  <c r="B59" i="7"/>
  <c r="D50" i="7"/>
  <c r="C51" i="7"/>
  <c r="C49" i="7"/>
  <c r="C48" i="7"/>
  <c r="B55" i="7"/>
  <c r="D55" i="7" s="1"/>
  <c r="B54" i="7"/>
  <c r="D54" i="7" s="1"/>
  <c r="B52" i="7"/>
  <c r="D52" i="7" s="1"/>
  <c r="B51" i="7"/>
  <c r="B49" i="7"/>
  <c r="B48" i="7"/>
  <c r="D51" i="7" l="1"/>
  <c r="D48" i="7"/>
  <c r="D56" i="7" s="1"/>
  <c r="E56" i="7" s="1"/>
  <c r="D49" i="7"/>
  <c r="D59" i="7"/>
  <c r="D61" i="7" s="1"/>
  <c r="D29" i="2"/>
  <c r="D30" i="2"/>
  <c r="D31" i="2"/>
  <c r="D32" i="2"/>
  <c r="D33" i="2"/>
  <c r="D28" i="2"/>
  <c r="C32" i="7"/>
  <c r="C31" i="7"/>
  <c r="D34" i="2" l="1"/>
  <c r="D35" i="7"/>
  <c r="E31" i="7"/>
  <c r="C26" i="7"/>
  <c r="B38" i="7"/>
  <c r="E38" i="7" s="1"/>
  <c r="B37" i="7"/>
  <c r="C37" i="7" s="1"/>
  <c r="E37" i="7" s="1"/>
  <c r="B36" i="7"/>
  <c r="C36" i="7" s="1"/>
  <c r="B35" i="7"/>
  <c r="C35" i="7" s="1"/>
  <c r="B34" i="7"/>
  <c r="C34" i="7" s="1"/>
  <c r="E34" i="7" s="1"/>
  <c r="B33" i="7"/>
  <c r="C33" i="7" s="1"/>
  <c r="E33" i="7" s="1"/>
  <c r="D26" i="7"/>
  <c r="D18" i="7"/>
  <c r="C25" i="7"/>
  <c r="E25" i="7" s="1"/>
  <c r="C24" i="7"/>
  <c r="E24" i="7" s="1"/>
  <c r="C23" i="7"/>
  <c r="C22" i="7"/>
  <c r="C21" i="7"/>
  <c r="E21" i="7" s="1"/>
  <c r="C20" i="7"/>
  <c r="E20" i="7" s="1"/>
  <c r="C19" i="7"/>
  <c r="C18" i="7"/>
  <c r="C13" i="7"/>
  <c r="C12" i="7"/>
  <c r="E12" i="7" s="1"/>
  <c r="B119" i="7"/>
  <c r="C115" i="7"/>
  <c r="E115" i="7" s="1"/>
  <c r="C114" i="7"/>
  <c r="C113" i="7"/>
  <c r="E113" i="7" s="1"/>
  <c r="C108" i="7"/>
  <c r="C83" i="7"/>
  <c r="E18" i="7" l="1"/>
  <c r="E26" i="7"/>
  <c r="E29" i="7"/>
  <c r="E35" i="7"/>
  <c r="E41" i="7" s="1"/>
  <c r="Q7" i="7"/>
  <c r="E92" i="7"/>
  <c r="E89" i="7"/>
  <c r="E95" i="7"/>
  <c r="E94" i="7"/>
  <c r="E108" i="7"/>
  <c r="E105" i="7"/>
  <c r="C111" i="7"/>
  <c r="C110" i="7"/>
  <c r="E110" i="7" s="1"/>
  <c r="C109" i="7"/>
  <c r="E109" i="7" s="1"/>
  <c r="E87" i="7"/>
  <c r="B115" i="7"/>
  <c r="B114" i="7"/>
  <c r="B113" i="7"/>
  <c r="B111" i="7"/>
  <c r="B110" i="7"/>
  <c r="B109" i="7"/>
  <c r="B107" i="7"/>
  <c r="C107" i="7" s="1"/>
  <c r="E107" i="7" s="1"/>
  <c r="B106" i="7"/>
  <c r="C106" i="7" s="1"/>
  <c r="E106" i="7" s="1"/>
  <c r="D57" i="3"/>
  <c r="D56" i="3"/>
  <c r="D55" i="3"/>
  <c r="D54" i="3"/>
  <c r="D52" i="3"/>
  <c r="D51" i="3"/>
  <c r="D50" i="3"/>
  <c r="D49" i="3"/>
  <c r="D48" i="3"/>
  <c r="E101" i="7"/>
  <c r="E99" i="7"/>
  <c r="E98" i="7"/>
  <c r="E93" i="7"/>
  <c r="C84" i="7"/>
  <c r="E84" i="7" s="1"/>
  <c r="C85" i="7"/>
  <c r="E85" i="7" s="1"/>
  <c r="C86" i="7"/>
  <c r="E86" i="7" s="1"/>
  <c r="C87" i="7"/>
  <c r="E83" i="7"/>
  <c r="F97" i="7" l="1"/>
  <c r="F89" i="7"/>
  <c r="F112" i="7"/>
  <c r="G58" i="2"/>
  <c r="G57" i="2"/>
  <c r="E14" i="7"/>
  <c r="D13" i="7"/>
  <c r="B8" i="7"/>
  <c r="C8" i="7" s="1"/>
  <c r="B7" i="7"/>
  <c r="C7" i="7" s="1"/>
  <c r="E7" i="7" s="1"/>
  <c r="B6" i="7"/>
  <c r="C6" i="7" s="1"/>
  <c r="E6" i="7" s="1"/>
  <c r="B5" i="7"/>
  <c r="C5" i="7" s="1"/>
  <c r="E5" i="7" s="1"/>
  <c r="B4" i="7"/>
  <c r="C4" i="7" s="1"/>
  <c r="E4" i="7" s="1"/>
  <c r="B26" i="1"/>
  <c r="C61" i="6"/>
  <c r="E10" i="7" l="1"/>
  <c r="K101" i="7"/>
  <c r="K97" i="7"/>
  <c r="E13" i="7"/>
  <c r="E16" i="7" s="1"/>
  <c r="B13" i="2"/>
  <c r="B48" i="2"/>
  <c r="N29" i="3"/>
  <c r="L33" i="3"/>
  <c r="L32" i="3"/>
  <c r="L31" i="3"/>
  <c r="L30" i="3"/>
  <c r="L29" i="3"/>
  <c r="L28" i="3"/>
  <c r="I29" i="3"/>
  <c r="I28" i="3"/>
  <c r="I26" i="3"/>
  <c r="G33" i="3"/>
  <c r="G32" i="3"/>
  <c r="G31" i="3"/>
  <c r="G30" i="3"/>
  <c r="G29" i="3"/>
  <c r="G28" i="3"/>
  <c r="D28" i="3"/>
  <c r="D27" i="3"/>
  <c r="D26" i="3"/>
  <c r="G34" i="2"/>
  <c r="G33" i="2"/>
  <c r="G32" i="2"/>
  <c r="G31" i="2"/>
  <c r="G30" i="2"/>
  <c r="G29" i="2"/>
  <c r="F10" i="7" l="1"/>
  <c r="G15" i="7"/>
  <c r="H7" i="7"/>
  <c r="H8" i="7"/>
  <c r="F35" i="4"/>
  <c r="F36" i="4" s="1"/>
  <c r="H17" i="4"/>
  <c r="I7" i="4"/>
  <c r="J7" i="4" s="1"/>
  <c r="K7" i="4" s="1"/>
  <c r="I6" i="4"/>
  <c r="J6" i="4" s="1"/>
  <c r="K6" i="4" s="1"/>
  <c r="B73" i="4"/>
  <c r="C69" i="4"/>
  <c r="J5" i="4" s="1"/>
  <c r="C65" i="4"/>
  <c r="C61" i="4"/>
  <c r="D15" i="4" s="1"/>
  <c r="C57" i="4"/>
  <c r="I8" i="4" s="1"/>
  <c r="J8" i="4" s="1"/>
  <c r="K8" i="4" s="1"/>
  <c r="C52" i="4"/>
  <c r="D13" i="4" s="1"/>
  <c r="C48" i="4"/>
  <c r="E12" i="4" s="1"/>
  <c r="C44" i="4"/>
  <c r="E11" i="4" s="1"/>
  <c r="C39" i="4"/>
  <c r="E10" i="4" s="1"/>
  <c r="C35" i="4"/>
  <c r="I13" i="4" s="1"/>
  <c r="J13" i="4" s="1"/>
  <c r="K13" i="4" s="1"/>
  <c r="C31" i="4"/>
  <c r="I14" i="4" s="1"/>
  <c r="J14" i="4" s="1"/>
  <c r="K14" i="4" s="1"/>
  <c r="C27" i="4"/>
  <c r="E7" i="4" s="1"/>
  <c r="C22" i="4"/>
  <c r="E6" i="4" s="1"/>
  <c r="E17" i="4"/>
  <c r="D17" i="4"/>
  <c r="E16" i="4"/>
  <c r="D16" i="4"/>
  <c r="E14" i="4"/>
  <c r="D14" i="4"/>
  <c r="E9" i="4"/>
  <c r="D9" i="4"/>
  <c r="E8" i="4"/>
  <c r="D8" i="4"/>
  <c r="D6" i="4"/>
  <c r="C48" i="2"/>
  <c r="D47" i="2"/>
  <c r="D46" i="2"/>
  <c r="D45" i="2"/>
  <c r="D44" i="2"/>
  <c r="D43" i="2"/>
  <c r="D42" i="2"/>
  <c r="D48" i="2" l="1"/>
  <c r="I9" i="4"/>
  <c r="I10" i="4"/>
  <c r="J10" i="4" s="1"/>
  <c r="K10" i="4" s="1"/>
  <c r="I15" i="4"/>
  <c r="J15" i="4" s="1"/>
  <c r="K15" i="4" s="1"/>
  <c r="I16" i="4"/>
  <c r="J16" i="4" s="1"/>
  <c r="K16" i="4" s="1"/>
  <c r="I11" i="4"/>
  <c r="J11" i="4" s="1"/>
  <c r="K11" i="4" s="1"/>
  <c r="I12" i="4"/>
  <c r="J12" i="4" s="1"/>
  <c r="K12" i="4" s="1"/>
  <c r="D10" i="4"/>
  <c r="D11" i="4"/>
  <c r="J9" i="4"/>
  <c r="K9" i="4" s="1"/>
  <c r="E15" i="4"/>
  <c r="E13" i="4"/>
  <c r="E18" i="4" s="1"/>
  <c r="D7" i="4"/>
  <c r="D18" i="4" s="1"/>
  <c r="D12" i="4"/>
  <c r="K17" i="4" l="1"/>
  <c r="I17" i="4"/>
  <c r="J17" i="4"/>
  <c r="K20" i="2" l="1"/>
  <c r="K19" i="2"/>
  <c r="K18" i="2"/>
  <c r="K17" i="2"/>
  <c r="K15" i="2"/>
  <c r="K14" i="2"/>
  <c r="K13" i="2"/>
  <c r="K11" i="2"/>
  <c r="K10" i="2"/>
  <c r="K9" i="2"/>
  <c r="K8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G12" i="2"/>
  <c r="G11" i="2"/>
  <c r="G10" i="2"/>
  <c r="D12" i="2"/>
  <c r="D11" i="2"/>
  <c r="D10" i="2"/>
  <c r="D9" i="2"/>
  <c r="D8" i="2"/>
  <c r="D7" i="2"/>
  <c r="C13" i="2"/>
  <c r="B42" i="1"/>
  <c r="B43" i="1"/>
  <c r="B44" i="1"/>
  <c r="B45" i="1"/>
  <c r="B46" i="1"/>
  <c r="B47" i="1"/>
  <c r="B48" i="1"/>
  <c r="B49" i="1"/>
  <c r="B41" i="1"/>
  <c r="G18" i="1"/>
  <c r="G19" i="1"/>
  <c r="G20" i="1"/>
  <c r="G21" i="1"/>
  <c r="G22" i="1"/>
  <c r="G23" i="1"/>
  <c r="G24" i="1"/>
  <c r="G25" i="1"/>
  <c r="F18" i="1"/>
  <c r="F19" i="1"/>
  <c r="F20" i="1"/>
  <c r="F21" i="1"/>
  <c r="F22" i="1"/>
  <c r="F23" i="1"/>
  <c r="F24" i="1"/>
  <c r="F25" i="1"/>
  <c r="E18" i="1"/>
  <c r="E19" i="1"/>
  <c r="E20" i="1"/>
  <c r="E21" i="1"/>
  <c r="E22" i="1"/>
  <c r="E23" i="1"/>
  <c r="E24" i="1"/>
  <c r="E25" i="1"/>
  <c r="D18" i="1"/>
  <c r="D19" i="1"/>
  <c r="D20" i="1"/>
  <c r="D21" i="1"/>
  <c r="D22" i="1"/>
  <c r="D23" i="1"/>
  <c r="D24" i="1"/>
  <c r="D25" i="1"/>
  <c r="C18" i="1"/>
  <c r="C19" i="1"/>
  <c r="C20" i="1"/>
  <c r="C21" i="1"/>
  <c r="C22" i="1"/>
  <c r="C23" i="1"/>
  <c r="C24" i="1"/>
  <c r="C25" i="1"/>
  <c r="D17" i="1"/>
  <c r="E17" i="1"/>
  <c r="F17" i="1"/>
  <c r="G17" i="1"/>
  <c r="C17" i="1"/>
  <c r="B18" i="1"/>
  <c r="B19" i="1"/>
  <c r="B20" i="1"/>
  <c r="B21" i="1"/>
  <c r="B22" i="1"/>
  <c r="B23" i="1"/>
  <c r="B24" i="1"/>
  <c r="B25" i="1"/>
  <c r="B17" i="1"/>
  <c r="D13" i="2" l="1"/>
</calcChain>
</file>

<file path=xl/sharedStrings.xml><?xml version="1.0" encoding="utf-8"?>
<sst xmlns="http://schemas.openxmlformats.org/spreadsheetml/2006/main" count="651" uniqueCount="428">
  <si>
    <t>BIOETANOL TOTAL</t>
  </si>
  <si>
    <t>PRODUCCIÓN</t>
  </si>
  <si>
    <t>VENTAS TOTALES</t>
  </si>
  <si>
    <t>m³</t>
  </si>
  <si>
    <t>Ethanol</t>
  </si>
  <si>
    <t>source:</t>
  </si>
  <si>
    <t>Bioethanol and biodiesel statistics</t>
  </si>
  <si>
    <t>by raw materials</t>
  </si>
  <si>
    <t>Corn</t>
  </si>
  <si>
    <t>Sugarcane</t>
  </si>
  <si>
    <t>L</t>
  </si>
  <si>
    <t>Biodiesel</t>
  </si>
  <si>
    <t>2020 (*)</t>
  </si>
  <si>
    <t>VENTAS AL CORTE</t>
  </si>
  <si>
    <t>OTRAS VENTAS MDO. INTERNO</t>
  </si>
  <si>
    <t>EXPORTACIONES</t>
  </si>
  <si>
    <t>2014/15</t>
  </si>
  <si>
    <t>2015/16</t>
  </si>
  <si>
    <t>2016/17</t>
  </si>
  <si>
    <t>2017/18</t>
  </si>
  <si>
    <t>2018/19</t>
  </si>
  <si>
    <t>2019/20</t>
  </si>
  <si>
    <t>Production (Tn)</t>
  </si>
  <si>
    <t>Harvest</t>
  </si>
  <si>
    <t>Média</t>
  </si>
  <si>
    <t>Yield (t/ha)</t>
  </si>
  <si>
    <t>Inventory data</t>
  </si>
  <si>
    <t>Source:</t>
  </si>
  <si>
    <t>grains statistics</t>
  </si>
  <si>
    <t>Pieragostini et al. (2014)</t>
  </si>
  <si>
    <t>Resources</t>
  </si>
  <si>
    <t>Occupation, arable, conservation tillage (ha)</t>
  </si>
  <si>
    <t>Energy, gross calorific value, in biomass (MJ)</t>
  </si>
  <si>
    <t>Carbon, in organic matter, in soil (kg)</t>
  </si>
  <si>
    <t>Transformation, to arable (ha)</t>
  </si>
  <si>
    <t>Transformation, from arable (ha)</t>
  </si>
  <si>
    <t>Carbon dioxide, in air (kg)</t>
  </si>
  <si>
    <t>Materials/fuels</t>
  </si>
  <si>
    <t>for 1 kg of corn</t>
  </si>
  <si>
    <t>Value</t>
  </si>
  <si>
    <t>Maize seed (kg)</t>
  </si>
  <si>
    <t>Urea Prod. (kg)</t>
  </si>
  <si>
    <t>Urea ammonium nitrate Prod. (kg)</t>
  </si>
  <si>
    <t>Diammonium phosphate prod (kg)</t>
  </si>
  <si>
    <t>Monoammonium phosphate Prod (kg)</t>
  </si>
  <si>
    <t>Atrazine Prod (kg)</t>
  </si>
  <si>
    <t>Acetamide-anillide-compounds prod (kg)</t>
  </si>
  <si>
    <t>Glyphosate Prod. (kg)</t>
  </si>
  <si>
    <t>Pyridine-compound Prod. (kg)</t>
  </si>
  <si>
    <t>Sowing (ha)</t>
  </si>
  <si>
    <t>Appl. of plant protection products (ha)</t>
  </si>
  <si>
    <t>Combine harvesting (ha)</t>
  </si>
  <si>
    <t>Maize drying (kg)</t>
  </si>
  <si>
    <t>Transport, tractor and trailer (tkm)</t>
  </si>
  <si>
    <t>Tranporte, lorry 28 t (tkm)</t>
  </si>
  <si>
    <t>Fertilizing, by broadcaster (ha)</t>
  </si>
  <si>
    <t>Emissions to air</t>
  </si>
  <si>
    <t>Ammonia (kg)</t>
  </si>
  <si>
    <t>Dinitrogen monoxide (kg)</t>
  </si>
  <si>
    <t>Nitrogen oxides (kg)</t>
  </si>
  <si>
    <t>Methane (g)</t>
  </si>
  <si>
    <t>Emissions to water</t>
  </si>
  <si>
    <t>Phosphorus to river (kg)</t>
  </si>
  <si>
    <t>Phosphorus to groundwater (kg)</t>
  </si>
  <si>
    <t>Nitrate to groundwater (kg)</t>
  </si>
  <si>
    <t>Emissions to soil</t>
  </si>
  <si>
    <t>Acetamide (kg)</t>
  </si>
  <si>
    <t>Atrazine (kg)</t>
  </si>
  <si>
    <t>Pyridine (kg)</t>
  </si>
  <si>
    <t>Glyphosate (kg)</t>
  </si>
  <si>
    <t>Soybean</t>
  </si>
  <si>
    <t>PRECIOS DE BIOETANOL</t>
  </si>
  <si>
    <t>[ $ / L ]</t>
  </si>
  <si>
    <t>PERÍODO</t>
  </si>
  <si>
    <t>BIOETANOL A BASE DE CAÑA</t>
  </si>
  <si>
    <t>BIOETANOL A BASE DE MAÍZ</t>
  </si>
  <si>
    <t>BIOETANOL A BASE DE CAÑA (US$/L)</t>
  </si>
  <si>
    <t>BIOETANOL A BASE DE MAÍZ (US$/L)</t>
  </si>
  <si>
    <t>1 US$/AR$</t>
  </si>
  <si>
    <t>Média mensal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</si>
  <si>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</si>
  <si>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</si>
  <si>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</si>
  <si>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</si>
  <si>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</si>
  <si>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</si>
  <si>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</si>
  <si>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</si>
  <si>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</si>
  <si>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</si>
  <si>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</si>
  <si>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</si>
  <si>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anual</t>
  </si>
  <si>
    <t>PRECIO DE ADQUISICIÓN DEL BIODIESEL DESTINADO A LA MEZCLA EN EL MERCADO INTERNO</t>
  </si>
  <si>
    <t>AR$/t</t>
  </si>
  <si>
    <t>US$/t</t>
  </si>
  <si>
    <t>US$/kg</t>
  </si>
  <si>
    <t>US$/L</t>
  </si>
  <si>
    <t>Diciembre 2019</t>
  </si>
  <si>
    <t>Noviembre 2019</t>
  </si>
  <si>
    <t>Octubre 2019</t>
  </si>
  <si>
    <t>Septiembre 2019</t>
  </si>
  <si>
    <t>Julio 2019</t>
  </si>
  <si>
    <t>Junio 2019</t>
  </si>
  <si>
    <t>Mayo 2019</t>
  </si>
  <si>
    <t>Marzo 2019</t>
  </si>
  <si>
    <t>Febrero 2019</t>
  </si>
  <si>
    <t>Enero 2019</t>
  </si>
  <si>
    <t>Densidade (kg/m³)</t>
  </si>
  <si>
    <t>LHV (kcal/kg)</t>
  </si>
  <si>
    <t>LHV (MJ/kg)</t>
  </si>
  <si>
    <t>US$/m³</t>
  </si>
  <si>
    <t>Gasoline</t>
  </si>
  <si>
    <t>feb/2019</t>
  </si>
  <si>
    <t>Natural gas</t>
  </si>
  <si>
    <t>??</t>
  </si>
  <si>
    <t>Ethanol (1GCorn)</t>
  </si>
  <si>
    <t>OFERTA</t>
  </si>
  <si>
    <t>CENTROS DE TRANSFORMACIÓN</t>
  </si>
  <si>
    <t>CONSUMO</t>
  </si>
  <si>
    <t>IMPORTACIÓN</t>
  </si>
  <si>
    <t>VARIACIÓN DE STOCK</t>
  </si>
  <si>
    <t>EXPORTACIÓN Y BUNKER</t>
  </si>
  <si>
    <t>NO APROVECHADO</t>
  </si>
  <si>
    <t>PÉRDIDAS</t>
  </si>
  <si>
    <t>AJUSTES</t>
  </si>
  <si>
    <t>OFERTA INTERNA</t>
  </si>
  <si>
    <t>CENTRALES ELÉCTRICAS</t>
  </si>
  <si>
    <t>PLANTAS DE TRATAMIENTO DE GAS</t>
  </si>
  <si>
    <t>REFINERÍAS</t>
  </si>
  <si>
    <t>ACEITERAS Y DESTILERÍAS</t>
  </si>
  <si>
    <t>COQUERÍAS</t>
  </si>
  <si>
    <t>CARBONERAS</t>
  </si>
  <si>
    <t>ALTOS HORNOS</t>
  </si>
  <si>
    <t>CONSUMO PROPIO</t>
  </si>
  <si>
    <t>CONSUMO FINAL</t>
  </si>
  <si>
    <t>TOTAL</t>
  </si>
  <si>
    <t>NO ENERGÉTICO</t>
  </si>
  <si>
    <t>SERVICIO PÚBLICO</t>
  </si>
  <si>
    <t>AUTOPRODUCCIÓN</t>
  </si>
  <si>
    <t>RESIDENCIAL</t>
  </si>
  <si>
    <t>COMERCIAL Y PÚBLICO</t>
  </si>
  <si>
    <t>TRANSPORTE</t>
  </si>
  <si>
    <t>AGROPECUARIO</t>
  </si>
  <si>
    <t>INDUSTRIA</t>
  </si>
  <si>
    <t>BALANCE ENERGÉTICO NACIONAL</t>
  </si>
  <si>
    <t>AÑO 2019 - REVISIÓN 0</t>
  </si>
  <si>
    <t>PROVISORIO</t>
  </si>
  <si>
    <t>UNIDADES: miles de TEP</t>
  </si>
  <si>
    <t>FORMAS DE ENERGÍA</t>
  </si>
  <si>
    <t>PRIMARIA</t>
  </si>
  <si>
    <t>Energía Hidráulica</t>
  </si>
  <si>
    <t>Gas Natural de Pozo</t>
  </si>
  <si>
    <t xml:space="preserve">Petróleo </t>
  </si>
  <si>
    <t>Carbón Mineral</t>
  </si>
  <si>
    <t xml:space="preserve">Leña </t>
  </si>
  <si>
    <t xml:space="preserve">Bagazo </t>
  </si>
  <si>
    <t>Aceites Vegetales</t>
  </si>
  <si>
    <t>Alcoholes Vegetales</t>
  </si>
  <si>
    <t xml:space="preserve">Energía Solar </t>
  </si>
  <si>
    <t xml:space="preserve">Otros Primarios </t>
  </si>
  <si>
    <t>TOTAL I</t>
  </si>
  <si>
    <t>SECUNDARIA</t>
  </si>
  <si>
    <t>Energía Eléctrica</t>
  </si>
  <si>
    <t>Gas Distribuido por Redes</t>
  </si>
  <si>
    <t xml:space="preserve">Gas de Refinería </t>
  </si>
  <si>
    <t xml:space="preserve">Gas Licuado </t>
  </si>
  <si>
    <t>Gasolina Natural</t>
  </si>
  <si>
    <t>Otras Naftas</t>
  </si>
  <si>
    <t xml:space="preserve">Motonafta Total </t>
  </si>
  <si>
    <t xml:space="preserve">Kerosene y Aerokerosene </t>
  </si>
  <si>
    <t>Diesel Oil + Gas Oil</t>
  </si>
  <si>
    <t xml:space="preserve">Fuel Oil </t>
  </si>
  <si>
    <t xml:space="preserve">Carbón Residual </t>
  </si>
  <si>
    <t xml:space="preserve">No Energético </t>
  </si>
  <si>
    <t xml:space="preserve">Gas de Coquería </t>
  </si>
  <si>
    <t xml:space="preserve">Gas de Alto Horno </t>
  </si>
  <si>
    <t>Coque</t>
  </si>
  <si>
    <t xml:space="preserve">Carbón de Leña </t>
  </si>
  <si>
    <t>Bioetanol</t>
  </si>
  <si>
    <t>TOTAL II</t>
  </si>
  <si>
    <t>E N E R G Í A   P R I M A R I A   +   S E C U N D A R I A</t>
  </si>
  <si>
    <t>BALANCE DE TRANSFORMACIÓN</t>
  </si>
  <si>
    <t>ENERGÍA PRIMARIA</t>
  </si>
  <si>
    <t>INSUMOS</t>
  </si>
  <si>
    <t>ENERGÍA SECUNDARIA</t>
  </si>
  <si>
    <r>
      <t>Energía Nuclear</t>
    </r>
    <r>
      <rPr>
        <vertAlign val="superscript"/>
        <sz val="12"/>
        <rFont val="Calibri"/>
        <family val="2"/>
        <scheme val="minor"/>
      </rPr>
      <t xml:space="preserve"> </t>
    </r>
  </si>
  <si>
    <r>
      <t>Energía Eólico</t>
    </r>
    <r>
      <rPr>
        <vertAlign val="superscript"/>
        <sz val="12"/>
        <rFont val="Calibri"/>
        <family val="2"/>
        <scheme val="minor"/>
      </rPr>
      <t xml:space="preserve"> </t>
    </r>
  </si>
  <si>
    <t>Performance key indicators</t>
  </si>
  <si>
    <t>Inputs</t>
  </si>
  <si>
    <t>Land use (ha)</t>
  </si>
  <si>
    <t>1.49×10^(-5)</t>
  </si>
  <si>
    <t>Urea (kg)</t>
  </si>
  <si>
    <t>Superphosphate (kg)</t>
  </si>
  <si>
    <t>Pesticides (kg)</t>
  </si>
  <si>
    <t>Diesel (kg)</t>
  </si>
  <si>
    <t>Filter muds (kg)</t>
  </si>
  <si>
    <t>Amores et al. (2013)</t>
  </si>
  <si>
    <t>for 1 kg of harvested sugarcane</t>
  </si>
  <si>
    <t>Outputs</t>
  </si>
  <si>
    <t>Ash (kg)</t>
  </si>
  <si>
    <t>Emissions to air (kg)</t>
  </si>
  <si>
    <t>-</t>
  </si>
  <si>
    <t>Emissions to water (kg)</t>
  </si>
  <si>
    <t>Ethanol (1GSugarcane)</t>
  </si>
  <si>
    <t>Sugarcane (kg)</t>
  </si>
  <si>
    <t>Water (kg)</t>
  </si>
  <si>
    <t>Milling</t>
  </si>
  <si>
    <t>Surplus electricity (kWh)</t>
  </si>
  <si>
    <t>Electricity (kWh)</t>
  </si>
  <si>
    <t>Steam (kg)</t>
  </si>
  <si>
    <t>Bagasse (kg)</t>
  </si>
  <si>
    <t>Sugar production</t>
  </si>
  <si>
    <t>Sugarcane juice (kg)</t>
  </si>
  <si>
    <t>Lime (kg)</t>
  </si>
  <si>
    <t>Sulphur (kg)</t>
  </si>
  <si>
    <t>Oxygen (kg)</t>
  </si>
  <si>
    <t>Flocculant (kg)</t>
  </si>
  <si>
    <t>NaOH (kg)</t>
  </si>
  <si>
    <t>HCl (kg)</t>
  </si>
  <si>
    <t>Sugar (kg)</t>
  </si>
  <si>
    <t>〖SO〗_2</t>
  </si>
  <si>
    <t>Molasses (kg)</t>
  </si>
  <si>
    <t>H3 PO4 (kg)</t>
  </si>
  <si>
    <t>H2 SO4 (kg)</t>
  </si>
  <si>
    <t>Ethanol LG (kg)</t>
  </si>
  <si>
    <t>Fusel oil(kg)</t>
  </si>
  <si>
    <t>Ethanol (kg)</t>
  </si>
  <si>
    <t>Emissions to air (kg CO2)</t>
  </si>
  <si>
    <t>Ethanol production (from molasses)</t>
  </si>
  <si>
    <t xml:space="preserve">Biodiesel </t>
  </si>
  <si>
    <t>PREÇOS BIOCOMBUSTÍVEIS - ANO BASE 2019</t>
  </si>
  <si>
    <t>CEPAL</t>
  </si>
  <si>
    <t>Gobierno de Argentina</t>
  </si>
  <si>
    <t>2019</t>
  </si>
  <si>
    <t>2020</t>
  </si>
  <si>
    <t> </t>
  </si>
  <si>
    <t>Gasolina corriente</t>
  </si>
  <si>
    <t>         PRECIO FINAL (CONSUMIDOR)</t>
  </si>
  <si>
    <t>         PRECIO REFINERIA</t>
  </si>
  <si>
    <t>Diesel</t>
  </si>
  <si>
    <t>Cultivated area (mil ha)</t>
  </si>
  <si>
    <t>Cultivated area (ha)</t>
  </si>
  <si>
    <t>Diesel harvesting (L/ha)</t>
  </si>
  <si>
    <t>Diesel sowing/pesticide and fertilizer appl.</t>
  </si>
  <si>
    <t>Monoammonium phosphate (kg/ha)</t>
  </si>
  <si>
    <t>triple superphosphate (kg/ha)</t>
  </si>
  <si>
    <t>deltamathrin (pesticide) (g/ha)</t>
  </si>
  <si>
    <t>difenoconazole (pesticide) (g/ha)</t>
  </si>
  <si>
    <t>cypermethrin  (pesticide) (g/ha)</t>
  </si>
  <si>
    <t>chlorpyrifos  (pesticide) (g/ha)</t>
  </si>
  <si>
    <t>endosulfan (pesticide) (g/ha)</t>
  </si>
  <si>
    <t>metribuzin (pesticide) (g/ha)</t>
  </si>
  <si>
    <t>acetochlor (pesticide) (g/ha)</t>
  </si>
  <si>
    <t>glyphosate (pesticide) (g/ha)</t>
  </si>
  <si>
    <t>2,4-D (pesticide) (g/ha)</t>
  </si>
  <si>
    <t>metsulfuron methyl (pesticide) (g/ha)</t>
  </si>
  <si>
    <t>imazetapyr (pesticide) (g/ha)</t>
  </si>
  <si>
    <t>Panicheli et al. (2009)</t>
  </si>
  <si>
    <t>Technical parameters</t>
  </si>
  <si>
    <t>Source: Ecoinvent 2.0 and Panicheli et al. (2009)</t>
  </si>
  <si>
    <t xml:space="preserve">Soybean oil extraction </t>
  </si>
  <si>
    <t>n-hexane (kg/kg soybean)</t>
  </si>
  <si>
    <t>soybean (11% moisture) (kg)</t>
  </si>
  <si>
    <t>water (kg)</t>
  </si>
  <si>
    <t>steam (MJ)</t>
  </si>
  <si>
    <t>Soybean oil (kg)</t>
  </si>
  <si>
    <t>Water vapour (kg)</t>
  </si>
  <si>
    <t>n-hexane (kg)</t>
  </si>
  <si>
    <t>Soybean oil transterification</t>
  </si>
  <si>
    <t>Methanol (kg)</t>
  </si>
  <si>
    <t>Acids (kg)</t>
  </si>
  <si>
    <t>Steam (MJ)</t>
  </si>
  <si>
    <t>Glycerine (kg)</t>
  </si>
  <si>
    <t>Potassium phosphate (kg)</t>
  </si>
  <si>
    <t>Effluent (kg)</t>
  </si>
  <si>
    <t>Biodiesel (kg)</t>
  </si>
  <si>
    <t>Renewability index (%)</t>
  </si>
  <si>
    <t>Valores em US$/L</t>
  </si>
  <si>
    <t>Soybean oil (kg/ton)</t>
  </si>
  <si>
    <t>Soybean meal (kg/ton)</t>
  </si>
  <si>
    <t>Vinasse (L/L EtOH)</t>
  </si>
  <si>
    <t>Urea (kg)/Nitrogen fertilizer</t>
  </si>
  <si>
    <t>per kg of SC</t>
  </si>
  <si>
    <t>per ton of SC</t>
  </si>
  <si>
    <t>Agricultural system</t>
  </si>
  <si>
    <t>Milling system</t>
  </si>
  <si>
    <t>ER</t>
  </si>
  <si>
    <t>NER</t>
  </si>
  <si>
    <t>pesticides total (g/ha)</t>
  </si>
  <si>
    <t>superphosphate total (kg/ha)</t>
  </si>
  <si>
    <t>Sugar system</t>
  </si>
  <si>
    <t>EtOH system</t>
  </si>
  <si>
    <t>Ethanol 1G (Sugarcane)</t>
  </si>
  <si>
    <t>Agrcultural/transportation</t>
  </si>
  <si>
    <t>Diesel transportation (km/L)</t>
  </si>
  <si>
    <t>Output</t>
  </si>
  <si>
    <t>Soybean Yield (t/ha)</t>
  </si>
  <si>
    <t>per ton of soy</t>
  </si>
  <si>
    <t>Diesel sowing/pesticide and fertilizer appl. (L/ha)</t>
  </si>
  <si>
    <t>Soybean (ton)</t>
  </si>
  <si>
    <t>Specific energy consumption</t>
  </si>
  <si>
    <t>47.72 MJ/L</t>
  </si>
  <si>
    <t>330.9 MJ/kg</t>
  </si>
  <si>
    <t>7.5 MJ/kg</t>
  </si>
  <si>
    <t>pesticides total (kg/ha)</t>
  </si>
  <si>
    <t>Soybean oil extraction</t>
  </si>
  <si>
    <t>22.5 MJ/kg</t>
  </si>
  <si>
    <t>4.9 J/kg</t>
  </si>
  <si>
    <t>em qual T??</t>
  </si>
  <si>
    <t>Avarege distance 150 km and truck capacity of 10 ton</t>
  </si>
  <si>
    <t>ecoinvent v2.0</t>
  </si>
  <si>
    <t>n-hexane (kg/ton soybean)</t>
  </si>
  <si>
    <t>ecoinvent v2.0/Brondani et al. (2015)</t>
  </si>
  <si>
    <t>16.20 MJ/kg (glycerin)</t>
  </si>
  <si>
    <t>Soybean oil transterification/refining</t>
  </si>
  <si>
    <t>TOTAL INPUTS (MJ/Tsoy)</t>
  </si>
  <si>
    <t>ER (Global)</t>
  </si>
  <si>
    <t>39.95 MJ/kg</t>
  </si>
  <si>
    <t>chum et al. (2013)</t>
  </si>
  <si>
    <t>Biofuel direct land use</t>
  </si>
  <si>
    <t>Ethanol from SC</t>
  </si>
  <si>
    <t>Biodiesel fom soybean</t>
  </si>
  <si>
    <t>Land use for raw material (ha)</t>
  </si>
  <si>
    <t>Biofuel productivity by ha (L)</t>
  </si>
  <si>
    <t>LU_biofuel (ha/L)</t>
  </si>
  <si>
    <t>NEB (Global)</t>
  </si>
  <si>
    <t>DDGS</t>
  </si>
  <si>
    <t>MJ/kg</t>
  </si>
  <si>
    <t>Informe Acabio/Argentina</t>
  </si>
  <si>
    <t>37.7 MJ/kg (FAME)</t>
  </si>
  <si>
    <t>valor médio</t>
  </si>
  <si>
    <t xml:space="preserve">70 ton/ha </t>
  </si>
  <si>
    <t>FAO/pesquisar</t>
  </si>
  <si>
    <t>Biodiesel Yield (ton/ton soybean)</t>
  </si>
  <si>
    <t>Biodiesel Yield (L/há)</t>
  </si>
  <si>
    <t>Energy demand (MJ/Tsoy)</t>
  </si>
  <si>
    <t>Electricity (kWh/t soybean)</t>
  </si>
  <si>
    <t>steam (MJ/ton soybean)</t>
  </si>
  <si>
    <t>Soybean oil (kg/ton soybean)</t>
  </si>
  <si>
    <t>Soybean meal (kg/ton soybean)</t>
  </si>
  <si>
    <t>Water vapour (kg/ton soybean)</t>
  </si>
  <si>
    <t>Methanol (kg/ton soybean oil)</t>
  </si>
  <si>
    <t>Hydrochloric acid (kg/ton soybean oil)</t>
  </si>
  <si>
    <t>Phosphoric acid (kg/ton soybean oil)</t>
  </si>
  <si>
    <t>water (kg/ton soybean oil)</t>
  </si>
  <si>
    <t>Electricity (kWh/ton soybean oil)</t>
  </si>
  <si>
    <t>Steam (MJ/ton soybean oil)</t>
  </si>
  <si>
    <t>Glycerine (kg/ton soybean oil)</t>
  </si>
  <si>
    <t>Effluent (kg/ton soybean oil)</t>
  </si>
  <si>
    <t>Biodiesel (kg/ ton soybean oil)</t>
  </si>
  <si>
    <t>Specific consumption (MJ/unit)</t>
  </si>
  <si>
    <t>per kg of SC juice</t>
  </si>
  <si>
    <t>surplus electricity (kWh)</t>
  </si>
  <si>
    <t>Energy input per ton (MJ/TC)</t>
  </si>
  <si>
    <t>per kg of molasses</t>
  </si>
  <si>
    <t>report argentina_balance energético biodiesel</t>
  </si>
  <si>
    <t>TOTAL INPUT (MJ/TC)</t>
  </si>
  <si>
    <t>Ethanol Yield (L/TC)</t>
  </si>
  <si>
    <t>per kg of EtOH</t>
  </si>
  <si>
    <t>Brondani et al. (2015)</t>
  </si>
  <si>
    <t>gerado da própria planta na cogeração</t>
  </si>
  <si>
    <t>48 kJ/L EtOH</t>
  </si>
  <si>
    <t>Macedo et al. (2008)</t>
  </si>
  <si>
    <t>Ethanol Yield (L/ha)</t>
  </si>
  <si>
    <t>Source</t>
  </si>
  <si>
    <t>FAO</t>
  </si>
  <si>
    <t>Seeding (kg)</t>
  </si>
  <si>
    <t>Sulfuric acid production (kg)</t>
  </si>
  <si>
    <t>Soda (NaOH)</t>
  </si>
  <si>
    <t>Ammonium sulfate (kg)</t>
  </si>
  <si>
    <t>Diammonium phosphate (kg)</t>
  </si>
  <si>
    <t>Transport, freight, rail (tkm)</t>
  </si>
  <si>
    <t>Tranport, lorry 28 t (tkm)</t>
  </si>
  <si>
    <t>Transport, barge (tkm)</t>
  </si>
  <si>
    <t>Electricity, medium voltage, at grid (kWh)</t>
  </si>
  <si>
    <t>Heat, natural gas (MJ)</t>
  </si>
  <si>
    <t>Natural gas, burned in industrial furnace (MJ)</t>
  </si>
  <si>
    <t>Gasoline, unleaded (kg)</t>
  </si>
  <si>
    <t>Carbon dioxide, biogenic (kg)</t>
  </si>
  <si>
    <t>Anyhydrous ethanol (MJ)</t>
  </si>
  <si>
    <t>DDGS 90% (kg)</t>
  </si>
  <si>
    <t>EROI para milho (Jorge Hilbert)</t>
  </si>
  <si>
    <t>Dados de Jorge Hilbert</t>
  </si>
  <si>
    <t>Prod + subprod</t>
  </si>
  <si>
    <t>Proucts only</t>
  </si>
  <si>
    <t>Ethanol 1G (Corn)</t>
  </si>
  <si>
    <t>Diesel (L/ton corn)</t>
  </si>
  <si>
    <t>Lubricants (L/ton corn)</t>
  </si>
  <si>
    <t>Nitrogen (kg/ton corn)</t>
  </si>
  <si>
    <t>P2O5 (kg/ton corn)</t>
  </si>
  <si>
    <t>K2O (kg/ton corn)</t>
  </si>
  <si>
    <t>S (kg/ton corn)</t>
  </si>
  <si>
    <t>Agrochemicals (all them) (kg/ton corn)</t>
  </si>
  <si>
    <t>Energy input (MJ/ton corn)</t>
  </si>
  <si>
    <t>Production fuels</t>
  </si>
  <si>
    <t>DADOS ACABIO (Report Jorge Hilbert)</t>
  </si>
  <si>
    <t>TOTAL INPUTS</t>
  </si>
  <si>
    <t>Transport system</t>
  </si>
  <si>
    <t>Diesel (L/t corn)</t>
  </si>
  <si>
    <t>Fuel produciton (fossil production)</t>
  </si>
  <si>
    <t>Industrial system</t>
  </si>
  <si>
    <t>Steam</t>
  </si>
  <si>
    <t>Data from Tabla 20</t>
  </si>
  <si>
    <t xml:space="preserve">Electricity </t>
  </si>
  <si>
    <t>Aguardando contato do Jorge</t>
  </si>
  <si>
    <t>NEB</t>
  </si>
  <si>
    <t>Products + coprd</t>
  </si>
  <si>
    <t>Scenario</t>
  </si>
  <si>
    <t>Only EtOH</t>
  </si>
  <si>
    <t>Ethanol (L/ton corn)</t>
  </si>
  <si>
    <t>DDGGS (kg/ton corn)</t>
  </si>
  <si>
    <t>WDGS (kg/ton corn)</t>
  </si>
  <si>
    <t>Vegetal oil (kg/ton corn)</t>
  </si>
  <si>
    <t>Carbon dioxide (kg/ton corn)</t>
  </si>
  <si>
    <t>27.3 MJ/kg</t>
  </si>
  <si>
    <t>Ethanol from corn</t>
  </si>
  <si>
    <t>prod+ cop</t>
  </si>
  <si>
    <t>prod</t>
  </si>
  <si>
    <t>valor energético retirado do estudo da Colômbia</t>
  </si>
  <si>
    <t>Effluente stream (kg)</t>
  </si>
  <si>
    <t>water (kg/ton soybean)</t>
  </si>
  <si>
    <t>Nitrogen (kg/ha)</t>
  </si>
  <si>
    <t>Heat, waste (MJ)</t>
  </si>
  <si>
    <t>Biodiesel Yield (L/ton soybean)</t>
  </si>
  <si>
    <t>2011/12</t>
  </si>
  <si>
    <t>2012/13</t>
  </si>
  <si>
    <t>2013/14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</si>
</sst>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#,##0.0"/>
    <numFmt numFmtId="165" formatCode="_ * #,##0.00_ ;_ * \-#,##0.00_ ;_ * &quot;-&quot;??_ ;_ @_ "/>
    <numFmt numFmtId="166" formatCode="#,##0_ ;\-#,##0\ "/>
    <numFmt numFmtId="167" formatCode="#,##0.000"/>
    <numFmt numFmtId="168" formatCode="0.000"/>
    <numFmt numFmtId="169" formatCode="#,##0.0000"/>
    <numFmt numFmtId="170" formatCode="0.00000"/>
    <numFmt numFmtId="171" formatCode="_-* #,##0.000_-;\-* #,##0.000_-;_-* &quot;-&quot;??_-;_-@_-"/>
    <numFmt numFmtId="172" formatCode="_-* #,##0.00\ _€_-;\-* #,##0.00\ _€_-;_-* &quot;-&quot;??\ _€_-;_-@_-"/>
    <numFmt numFmtId="173" formatCode="_ * #,##0_ ;_ * \-#,##0_ ;_ * &quot;-&quot;??_ ;_ @_ "/>
    <numFmt numFmtId="174" formatCode="0.0000"/>
    <numFmt numFmtId="175" formatCode="0.0000000"/>
    <numFmt numFmtId="176" formatCode="0.000000"/>
    <numFmt numFmtId="177" formatCode="0.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Tms Rmn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63"/>
      <name val="Calibri"/>
      <family val="2"/>
    </font>
    <font>
      <sz val="12"/>
      <color indexed="8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4EC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5B7F"/>
        <bgColor indexed="64"/>
      </patternFill>
    </fill>
    <fill>
      <patternFill patternType="solid">
        <fgColor rgb="FFE7EBF1"/>
        <bgColor indexed="64"/>
      </patternFill>
    </fill>
    <fill>
      <patternFill patternType="solid">
        <fgColor rgb="FFDCE7E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6" fillId="0" borderId="0"/>
    <xf numFmtId="165" fontId="2" fillId="0" borderId="0" applyFont="0" applyFill="0" applyBorder="0" applyAlignment="0" applyProtection="0"/>
    <xf numFmtId="172" fontId="1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340">
    <xf numFmtId="0" fontId="0" fillId="0" borderId="0" xfId="0"/>
    <xf numFmtId="14" fontId="0" fillId="0" borderId="0" xfId="0" applyNumberFormat="1"/>
    <xf numFmtId="0" fontId="4" fillId="5" borderId="0" xfId="0" applyFont="1" applyFill="1"/>
    <xf numFmtId="0" fontId="5" fillId="0" borderId="0" xfId="2"/>
    <xf numFmtId="14" fontId="3" fillId="0" borderId="0" xfId="0" applyNumberFormat="1" applyFont="1"/>
    <xf numFmtId="1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14" fontId="4" fillId="5" borderId="0" xfId="0" applyNumberFormat="1" applyFont="1" applyFill="1"/>
    <xf numFmtId="0" fontId="7" fillId="7" borderId="1" xfId="3" applyNumberFormat="1" applyFont="1" applyFill="1" applyBorder="1" applyAlignment="1">
      <alignment horizontal="center" vertical="center"/>
    </xf>
    <xf numFmtId="3" fontId="8" fillId="7" borderId="1" xfId="4" applyNumberFormat="1" applyFont="1" applyFill="1" applyBorder="1" applyAlignment="1">
      <alignment horizontal="center" vertical="center"/>
    </xf>
    <xf numFmtId="0" fontId="7" fillId="8" borderId="1" xfId="3" applyNumberFormat="1" applyFont="1" applyFill="1" applyBorder="1" applyAlignment="1">
      <alignment horizontal="center" vertical="center"/>
    </xf>
    <xf numFmtId="3" fontId="8" fillId="8" borderId="1" xfId="1" applyNumberFormat="1" applyFont="1" applyFill="1" applyBorder="1" applyAlignment="1">
      <alignment horizontal="center" vertical="center"/>
    </xf>
    <xf numFmtId="3" fontId="8" fillId="8" borderId="1" xfId="4" applyNumberFormat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166" fontId="8" fillId="8" borderId="1" xfId="4" applyNumberFormat="1" applyFont="1" applyFill="1" applyBorder="1" applyAlignment="1">
      <alignment horizontal="center" vertical="center"/>
    </xf>
    <xf numFmtId="166" fontId="8" fillId="7" borderId="1" xfId="4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4" fontId="3" fillId="6" borderId="0" xfId="0" applyNumberFormat="1" applyFont="1" applyFill="1" applyAlignment="1">
      <alignment horizontal="center" vertical="center"/>
    </xf>
    <xf numFmtId="14" fontId="3" fillId="6" borderId="0" xfId="0" applyNumberFormat="1" applyFont="1" applyFill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/>
    <xf numFmtId="0" fontId="9" fillId="2" borderId="1" xfId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4" fontId="3" fillId="11" borderId="1" xfId="0" applyNumberFormat="1" applyFont="1" applyFill="1" applyBorder="1" applyAlignment="1">
      <alignment horizontal="center" vertical="center"/>
    </xf>
    <xf numFmtId="4" fontId="3" fillId="11" borderId="1" xfId="0" applyNumberFormat="1" applyFont="1" applyFill="1" applyBorder="1" applyAlignment="1">
      <alignment horizontal="center"/>
    </xf>
    <xf numFmtId="4" fontId="10" fillId="9" borderId="1" xfId="0" applyNumberFormat="1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5" borderId="7" xfId="0" applyFont="1" applyFill="1" applyBorder="1"/>
    <xf numFmtId="0" fontId="3" fillId="0" borderId="8" xfId="0" applyFont="1" applyBorder="1" applyAlignment="1">
      <alignment horizontal="right"/>
    </xf>
    <xf numFmtId="0" fontId="3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1" fillId="0" borderId="8" xfId="2" applyFont="1" applyBorder="1"/>
    <xf numFmtId="0" fontId="10" fillId="9" borderId="15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4" fontId="3" fillId="6" borderId="1" xfId="0" applyNumberFormat="1" applyFont="1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8" fontId="1" fillId="9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2" fontId="1" fillId="9" borderId="0" xfId="0" applyNumberFormat="1" applyFont="1" applyFill="1" applyAlignment="1">
      <alignment horizontal="center"/>
    </xf>
    <xf numFmtId="0" fontId="0" fillId="0" borderId="18" xfId="0" applyBorder="1" applyAlignment="1">
      <alignment horizontal="center" vertical="center"/>
    </xf>
    <xf numFmtId="168" fontId="0" fillId="0" borderId="18" xfId="0" applyNumberFormat="1" applyBorder="1" applyAlignment="1">
      <alignment horizontal="center" vertical="center"/>
    </xf>
    <xf numFmtId="170" fontId="0" fillId="0" borderId="18" xfId="0" applyNumberFormat="1" applyBorder="1" applyAlignment="1">
      <alignment horizontal="center"/>
    </xf>
    <xf numFmtId="0" fontId="0" fillId="0" borderId="18" xfId="0" applyBorder="1"/>
    <xf numFmtId="0" fontId="1" fillId="9" borderId="18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17" fontId="0" fillId="6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1" fillId="9" borderId="1" xfId="0" applyNumberFormat="1" applyFont="1" applyFill="1" applyBorder="1" applyAlignment="1">
      <alignment horizontal="center"/>
    </xf>
    <xf numFmtId="171" fontId="1" fillId="9" borderId="1" xfId="0" applyNumberFormat="1" applyFont="1" applyFill="1" applyBorder="1" applyAlignment="1">
      <alignment horizontal="center"/>
    </xf>
    <xf numFmtId="0" fontId="7" fillId="14" borderId="6" xfId="6" applyFont="1" applyFill="1" applyBorder="1" applyAlignment="1">
      <alignment horizontal="center" vertical="top"/>
    </xf>
    <xf numFmtId="14" fontId="7" fillId="14" borderId="0" xfId="6" applyNumberFormat="1" applyFont="1" applyFill="1" applyBorder="1" applyAlignment="1">
      <alignment horizontal="center" vertical="center"/>
    </xf>
    <xf numFmtId="0" fontId="8" fillId="14" borderId="0" xfId="6" applyFont="1" applyFill="1" applyBorder="1" applyAlignment="1">
      <alignment horizontal="center" vertical="center"/>
    </xf>
    <xf numFmtId="0" fontId="7" fillId="14" borderId="16" xfId="6" applyFont="1" applyFill="1" applyBorder="1" applyAlignment="1">
      <alignment horizontal="center" vertical="top"/>
    </xf>
    <xf numFmtId="0" fontId="8" fillId="14" borderId="6" xfId="6" applyFont="1" applyFill="1" applyBorder="1" applyAlignment="1">
      <alignment horizontal="center" vertical="top"/>
    </xf>
    <xf numFmtId="0" fontId="8" fillId="14" borderId="6" xfId="6" applyFont="1" applyFill="1" applyBorder="1"/>
    <xf numFmtId="0" fontId="7" fillId="14" borderId="6" xfId="6" applyFont="1" applyFill="1" applyBorder="1" applyAlignment="1">
      <alignment horizontal="center" vertical="center"/>
    </xf>
    <xf numFmtId="0" fontId="17" fillId="14" borderId="6" xfId="6" quotePrefix="1" applyFont="1" applyFill="1" applyBorder="1" applyAlignment="1">
      <alignment horizontal="center" vertical="top"/>
    </xf>
    <xf numFmtId="0" fontId="17" fillId="14" borderId="6" xfId="6" applyFont="1" applyFill="1" applyBorder="1" applyAlignment="1">
      <alignment horizontal="center" vertical="top"/>
    </xf>
    <xf numFmtId="0" fontId="15" fillId="15" borderId="17" xfId="6" applyFont="1" applyFill="1" applyBorder="1" applyAlignment="1">
      <alignment horizontal="center" vertical="center"/>
    </xf>
    <xf numFmtId="0" fontId="8" fillId="8" borderId="16" xfId="6" applyFont="1" applyFill="1" applyBorder="1" applyAlignment="1"/>
    <xf numFmtId="173" fontId="18" fillId="8" borderId="16" xfId="5" applyNumberFormat="1" applyFont="1" applyFill="1" applyBorder="1" applyAlignment="1"/>
    <xf numFmtId="173" fontId="15" fillId="15" borderId="2" xfId="5" applyNumberFormat="1" applyFont="1" applyFill="1" applyBorder="1" applyAlignment="1">
      <alignment horizontal="right"/>
    </xf>
    <xf numFmtId="173" fontId="18" fillId="13" borderId="6" xfId="5" applyNumberFormat="1" applyFont="1" applyFill="1" applyBorder="1" applyAlignment="1">
      <alignment horizontal="right"/>
    </xf>
    <xf numFmtId="173" fontId="15" fillId="15" borderId="21" xfId="5" applyNumberFormat="1" applyFont="1" applyFill="1" applyBorder="1" applyAlignment="1">
      <alignment horizontal="right"/>
    </xf>
    <xf numFmtId="0" fontId="8" fillId="8" borderId="6" xfId="6" applyFont="1" applyFill="1" applyBorder="1" applyAlignment="1"/>
    <xf numFmtId="173" fontId="18" fillId="8" borderId="6" xfId="5" applyNumberFormat="1" applyFont="1" applyFill="1" applyBorder="1" applyAlignment="1"/>
    <xf numFmtId="0" fontId="8" fillId="8" borderId="17" xfId="6" applyFont="1" applyFill="1" applyBorder="1" applyAlignment="1"/>
    <xf numFmtId="173" fontId="18" fillId="8" borderId="17" xfId="5" applyNumberFormat="1" applyFont="1" applyFill="1" applyBorder="1" applyAlignment="1"/>
    <xf numFmtId="173" fontId="18" fillId="13" borderId="17" xfId="5" applyNumberFormat="1" applyFont="1" applyFill="1" applyBorder="1" applyAlignment="1">
      <alignment horizontal="right"/>
    </xf>
    <xf numFmtId="38" fontId="7" fillId="8" borderId="1" xfId="6" applyNumberFormat="1" applyFont="1" applyFill="1" applyBorder="1" applyAlignment="1">
      <alignment horizontal="center"/>
    </xf>
    <xf numFmtId="173" fontId="7" fillId="8" borderId="17" xfId="5" applyNumberFormat="1" applyFont="1" applyFill="1" applyBorder="1" applyAlignment="1">
      <alignment horizontal="right"/>
    </xf>
    <xf numFmtId="173" fontId="15" fillId="15" borderId="1" xfId="5" applyNumberFormat="1" applyFont="1" applyFill="1" applyBorder="1" applyAlignment="1">
      <alignment horizontal="right"/>
    </xf>
    <xf numFmtId="173" fontId="7" fillId="8" borderId="1" xfId="5" applyNumberFormat="1" applyFont="1" applyFill="1" applyBorder="1" applyAlignment="1">
      <alignment horizontal="right"/>
    </xf>
    <xf numFmtId="0" fontId="8" fillId="0" borderId="0" xfId="6" applyFont="1" applyBorder="1" applyAlignment="1">
      <alignment horizontal="center" vertical="center"/>
    </xf>
    <xf numFmtId="0" fontId="8" fillId="0" borderId="24" xfId="6" applyFont="1" applyBorder="1" applyAlignment="1">
      <alignment horizontal="center" vertical="center"/>
    </xf>
    <xf numFmtId="3" fontId="8" fillId="8" borderId="25" xfId="5" applyNumberFormat="1" applyFont="1" applyFill="1" applyBorder="1" applyAlignment="1">
      <alignment horizontal="center" vertical="center"/>
    </xf>
    <xf numFmtId="3" fontId="8" fillId="8" borderId="19" xfId="5" applyNumberFormat="1" applyFont="1" applyFill="1" applyBorder="1" applyAlignment="1">
      <alignment horizontal="center" vertical="center"/>
    </xf>
    <xf numFmtId="3" fontId="8" fillId="8" borderId="26" xfId="5" applyNumberFormat="1" applyFont="1" applyFill="1" applyBorder="1" applyAlignment="1">
      <alignment horizontal="center" vertical="center"/>
    </xf>
    <xf numFmtId="173" fontId="18" fillId="13" borderId="16" xfId="5" applyNumberFormat="1" applyFont="1" applyFill="1" applyBorder="1" applyAlignment="1">
      <alignment horizontal="right"/>
    </xf>
    <xf numFmtId="0" fontId="8" fillId="8" borderId="21" xfId="6" applyFont="1" applyFill="1" applyBorder="1" applyAlignment="1"/>
    <xf numFmtId="173" fontId="18" fillId="8" borderId="6" xfId="5" applyNumberFormat="1" applyFont="1" applyFill="1" applyBorder="1" applyAlignment="1">
      <alignment horizontal="right"/>
    </xf>
    <xf numFmtId="1" fontId="7" fillId="8" borderId="1" xfId="6" applyNumberFormat="1" applyFont="1" applyFill="1" applyBorder="1" applyAlignment="1">
      <alignment horizontal="center"/>
    </xf>
    <xf numFmtId="173" fontId="7" fillId="8" borderId="1" xfId="8" applyNumberFormat="1" applyFont="1" applyFill="1" applyBorder="1" applyAlignment="1">
      <alignment horizontal="right"/>
    </xf>
    <xf numFmtId="173" fontId="15" fillId="15" borderId="1" xfId="8" applyNumberFormat="1" applyFont="1" applyFill="1" applyBorder="1" applyAlignment="1">
      <alignment horizontal="right"/>
    </xf>
    <xf numFmtId="173" fontId="15" fillId="15" borderId="16" xfId="8" applyNumberFormat="1" applyFont="1" applyFill="1" applyBorder="1" applyAlignment="1">
      <alignment horizontal="right"/>
    </xf>
    <xf numFmtId="1" fontId="8" fillId="14" borderId="0" xfId="6" applyNumberFormat="1" applyFont="1" applyFill="1" applyBorder="1" applyAlignment="1"/>
    <xf numFmtId="1" fontId="8" fillId="14" borderId="25" xfId="6" applyNumberFormat="1" applyFont="1" applyFill="1" applyBorder="1" applyAlignment="1"/>
    <xf numFmtId="173" fontId="7" fillId="8" borderId="1" xfId="8" applyNumberFormat="1" applyFont="1" applyFill="1" applyBorder="1" applyAlignment="1"/>
    <xf numFmtId="0" fontId="8" fillId="14" borderId="0" xfId="6" applyFont="1" applyFill="1" applyBorder="1" applyAlignment="1"/>
    <xf numFmtId="0" fontId="8" fillId="14" borderId="25" xfId="6" applyFont="1" applyFill="1" applyBorder="1" applyAlignment="1"/>
    <xf numFmtId="0" fontId="8" fillId="14" borderId="19" xfId="6" applyFont="1" applyFill="1" applyBorder="1" applyAlignment="1"/>
    <xf numFmtId="0" fontId="7" fillId="14" borderId="26" xfId="6" applyFont="1" applyFill="1" applyBorder="1" applyAlignment="1"/>
    <xf numFmtId="0" fontId="7" fillId="14" borderId="24" xfId="6" applyFont="1" applyFill="1" applyBorder="1" applyAlignment="1">
      <alignment horizontal="center" vertical="center"/>
    </xf>
    <xf numFmtId="0" fontId="7" fillId="14" borderId="25" xfId="6" applyFont="1" applyFill="1" applyBorder="1" applyAlignment="1">
      <alignment horizontal="center" vertical="center"/>
    </xf>
    <xf numFmtId="0" fontId="8" fillId="14" borderId="25" xfId="6" applyFont="1" applyFill="1" applyBorder="1" applyAlignment="1">
      <alignment horizontal="center" vertical="center"/>
    </xf>
    <xf numFmtId="0" fontId="7" fillId="16" borderId="24" xfId="6" applyFont="1" applyFill="1" applyBorder="1" applyAlignment="1">
      <alignment horizontal="center" vertical="center"/>
    </xf>
    <xf numFmtId="0" fontId="7" fillId="16" borderId="24" xfId="6" applyFont="1" applyFill="1" applyBorder="1" applyAlignment="1">
      <alignment horizontal="left" vertical="center"/>
    </xf>
    <xf numFmtId="0" fontId="8" fillId="16" borderId="25" xfId="6" applyFont="1" applyFill="1" applyBorder="1" applyAlignment="1">
      <alignment horizontal="left" vertical="center"/>
    </xf>
    <xf numFmtId="0" fontId="7" fillId="16" borderId="26" xfId="6" applyFont="1" applyFill="1" applyBorder="1" applyAlignment="1">
      <alignment horizontal="left" vertical="center"/>
    </xf>
    <xf numFmtId="173" fontId="8" fillId="8" borderId="16" xfId="8" applyNumberFormat="1" applyFont="1" applyFill="1" applyBorder="1" applyAlignment="1"/>
    <xf numFmtId="0" fontId="7" fillId="16" borderId="21" xfId="6" applyFont="1" applyFill="1" applyBorder="1" applyAlignment="1">
      <alignment horizontal="center" vertical="center"/>
    </xf>
    <xf numFmtId="0" fontId="7" fillId="16" borderId="21" xfId="6" applyFont="1" applyFill="1" applyBorder="1" applyAlignment="1">
      <alignment horizontal="left" vertical="center"/>
    </xf>
    <xf numFmtId="0" fontId="8" fillId="16" borderId="0" xfId="6" applyFont="1" applyFill="1" applyBorder="1" applyAlignment="1">
      <alignment horizontal="left" vertical="center"/>
    </xf>
    <xf numFmtId="0" fontId="7" fillId="16" borderId="2" xfId="6" applyFont="1" applyFill="1" applyBorder="1" applyAlignment="1">
      <alignment horizontal="left" vertical="center"/>
    </xf>
    <xf numFmtId="173" fontId="8" fillId="8" borderId="6" xfId="8" applyNumberFormat="1" applyFont="1" applyFill="1" applyBorder="1" applyAlignment="1"/>
    <xf numFmtId="0" fontId="7" fillId="14" borderId="0" xfId="6" applyFont="1" applyFill="1" applyBorder="1" applyAlignment="1">
      <alignment horizontal="center" vertical="center"/>
    </xf>
    <xf numFmtId="0" fontId="8" fillId="16" borderId="22" xfId="6" applyFont="1" applyFill="1" applyBorder="1" applyAlignment="1">
      <alignment horizontal="center" vertical="center"/>
    </xf>
    <xf numFmtId="0" fontId="7" fillId="16" borderId="22" xfId="6" applyFont="1" applyFill="1" applyBorder="1" applyAlignment="1">
      <alignment horizontal="left" vertical="center"/>
    </xf>
    <xf numFmtId="0" fontId="8" fillId="16" borderId="23" xfId="6" applyFont="1" applyFill="1" applyBorder="1" applyAlignment="1">
      <alignment horizontal="left" vertical="center"/>
    </xf>
    <xf numFmtId="0" fontId="7" fillId="16" borderId="3" xfId="6" applyFont="1" applyFill="1" applyBorder="1" applyAlignment="1">
      <alignment horizontal="left" vertical="center"/>
    </xf>
    <xf numFmtId="173" fontId="8" fillId="8" borderId="17" xfId="8" applyNumberFormat="1" applyFont="1" applyFill="1" applyBorder="1" applyAlignment="1"/>
    <xf numFmtId="0" fontId="10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5" borderId="8" xfId="0" applyFont="1" applyFill="1" applyBorder="1"/>
    <xf numFmtId="0" fontId="0" fillId="0" borderId="0" xfId="0" applyFill="1"/>
    <xf numFmtId="0" fontId="3" fillId="6" borderId="5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right"/>
    </xf>
    <xf numFmtId="0" fontId="0" fillId="0" borderId="8" xfId="0" applyFill="1" applyBorder="1"/>
    <xf numFmtId="0" fontId="10" fillId="9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22" fillId="9" borderId="8" xfId="0" applyFont="1" applyFill="1" applyBorder="1" applyAlignment="1">
      <alignment horizontal="center"/>
    </xf>
    <xf numFmtId="0" fontId="22" fillId="9" borderId="9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8" fontId="23" fillId="17" borderId="0" xfId="0" applyNumberFormat="1" applyFont="1" applyFill="1" applyBorder="1" applyAlignment="1">
      <alignment horizontal="center" vertical="top"/>
    </xf>
    <xf numFmtId="168" fontId="23" fillId="17" borderId="11" xfId="0" applyNumberFormat="1" applyFont="1" applyFill="1" applyBorder="1" applyAlignment="1">
      <alignment horizontal="center" vertical="top"/>
    </xf>
    <xf numFmtId="168" fontId="23" fillId="17" borderId="13" xfId="0" applyNumberFormat="1" applyFont="1" applyFill="1" applyBorder="1" applyAlignment="1">
      <alignment horizontal="center" vertical="top"/>
    </xf>
    <xf numFmtId="168" fontId="23" fillId="17" borderId="14" xfId="0" applyNumberFormat="1" applyFont="1" applyFill="1" applyBorder="1" applyAlignment="1">
      <alignment horizontal="center" vertical="top"/>
    </xf>
    <xf numFmtId="0" fontId="22" fillId="9" borderId="27" xfId="0" applyFont="1" applyFill="1" applyBorder="1" applyAlignment="1">
      <alignment horizontal="left"/>
    </xf>
    <xf numFmtId="0" fontId="22" fillId="9" borderId="28" xfId="0" applyFont="1" applyFill="1" applyBorder="1" applyAlignment="1">
      <alignment horizontal="left"/>
    </xf>
    <xf numFmtId="0" fontId="10" fillId="9" borderId="30" xfId="0" applyFont="1" applyFill="1" applyBorder="1"/>
    <xf numFmtId="4" fontId="3" fillId="6" borderId="30" xfId="0" applyNumberFormat="1" applyFont="1" applyFill="1" applyBorder="1" applyAlignment="1">
      <alignment horizontal="center"/>
    </xf>
    <xf numFmtId="4" fontId="10" fillId="9" borderId="30" xfId="0" applyNumberFormat="1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8" fillId="9" borderId="25" xfId="0" applyFont="1" applyFill="1" applyBorder="1"/>
    <xf numFmtId="0" fontId="0" fillId="9" borderId="25" xfId="0" applyFill="1" applyBorder="1"/>
    <xf numFmtId="0" fontId="3" fillId="0" borderId="0" xfId="0" applyFont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0" fillId="0" borderId="0" xfId="0" applyFill="1" applyBorder="1"/>
    <xf numFmtId="0" fontId="1" fillId="9" borderId="27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/>
    <xf numFmtId="0" fontId="0" fillId="0" borderId="27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/>
    </xf>
    <xf numFmtId="17" fontId="0" fillId="0" borderId="28" xfId="0" applyNumberFormat="1" applyBorder="1" applyAlignment="1">
      <alignment horizontal="center" vertical="center"/>
    </xf>
    <xf numFmtId="168" fontId="1" fillId="9" borderId="18" xfId="0" applyNumberFormat="1" applyFont="1" applyFill="1" applyBorder="1" applyAlignment="1">
      <alignment horizontal="center"/>
    </xf>
    <xf numFmtId="168" fontId="1" fillId="9" borderId="32" xfId="0" applyNumberFormat="1" applyFont="1" applyFill="1" applyBorder="1" applyAlignment="1">
      <alignment horizontal="center"/>
    </xf>
    <xf numFmtId="0" fontId="24" fillId="9" borderId="28" xfId="0" applyFont="1" applyFill="1" applyBorder="1" applyAlignment="1">
      <alignment horizontal="left"/>
    </xf>
    <xf numFmtId="0" fontId="24" fillId="9" borderId="29" xfId="0" applyFont="1" applyFill="1" applyBorder="1" applyAlignment="1">
      <alignment horizontal="left"/>
    </xf>
    <xf numFmtId="0" fontId="10" fillId="0" borderId="18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0" fillId="18" borderId="0" xfId="0" applyFont="1" applyFill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3" fillId="11" borderId="16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4" fillId="5" borderId="0" xfId="0" applyFont="1" applyFill="1"/>
    <xf numFmtId="0" fontId="10" fillId="9" borderId="0" xfId="0" applyFont="1" applyFill="1" applyAlignment="1">
      <alignment horizontal="center"/>
    </xf>
    <xf numFmtId="0" fontId="0" fillId="9" borderId="17" xfId="0" applyFill="1" applyBorder="1"/>
    <xf numFmtId="2" fontId="3" fillId="11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20" fillId="19" borderId="0" xfId="0" applyFont="1" applyFill="1" applyAlignment="1">
      <alignment horizontal="center"/>
    </xf>
    <xf numFmtId="2" fontId="10" fillId="18" borderId="0" xfId="0" applyNumberFormat="1" applyFont="1" applyFill="1" applyAlignment="1">
      <alignment horizontal="center"/>
    </xf>
    <xf numFmtId="0" fontId="10" fillId="18" borderId="0" xfId="0" applyFont="1" applyFill="1"/>
    <xf numFmtId="0" fontId="0" fillId="9" borderId="0" xfId="0" applyFill="1"/>
    <xf numFmtId="0" fontId="13" fillId="12" borderId="1" xfId="0" applyFont="1" applyFill="1" applyBorder="1"/>
    <xf numFmtId="0" fontId="10" fillId="20" borderId="1" xfId="0" applyFont="1" applyFill="1" applyBorder="1"/>
    <xf numFmtId="0" fontId="3" fillId="18" borderId="1" xfId="0" applyFont="1" applyFill="1" applyBorder="1"/>
    <xf numFmtId="0" fontId="0" fillId="9" borderId="5" xfId="0" applyFill="1" applyBorder="1"/>
    <xf numFmtId="0" fontId="10" fillId="11" borderId="5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27" fillId="11" borderId="5" xfId="0" applyFont="1" applyFill="1" applyBorder="1"/>
    <xf numFmtId="0" fontId="0" fillId="11" borderId="5" xfId="0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2" fontId="10" fillId="3" borderId="20" xfId="0" applyNumberFormat="1" applyFont="1" applyFill="1" applyBorder="1" applyAlignment="1">
      <alignment horizontal="center"/>
    </xf>
    <xf numFmtId="2" fontId="25" fillId="11" borderId="34" xfId="0" applyNumberFormat="1" applyFont="1" applyFill="1" applyBorder="1" applyAlignment="1">
      <alignment horizontal="center"/>
    </xf>
    <xf numFmtId="0" fontId="25" fillId="11" borderId="34" xfId="0" applyFont="1" applyFill="1" applyBorder="1" applyAlignment="1">
      <alignment horizontal="center"/>
    </xf>
    <xf numFmtId="0" fontId="0" fillId="9" borderId="34" xfId="0" applyFill="1" applyBorder="1"/>
    <xf numFmtId="0" fontId="26" fillId="11" borderId="34" xfId="0" applyFont="1" applyFill="1" applyBorder="1" applyAlignment="1">
      <alignment horizontal="center"/>
    </xf>
    <xf numFmtId="0" fontId="0" fillId="0" borderId="28" xfId="0" applyBorder="1"/>
    <xf numFmtId="174" fontId="25" fillId="11" borderId="34" xfId="0" applyNumberFormat="1" applyFont="1" applyFill="1" applyBorder="1" applyAlignment="1">
      <alignment horizontal="center"/>
    </xf>
    <xf numFmtId="0" fontId="0" fillId="11" borderId="34" xfId="0" applyFill="1" applyBorder="1"/>
    <xf numFmtId="0" fontId="0" fillId="9" borderId="28" xfId="0" applyFill="1" applyBorder="1"/>
    <xf numFmtId="2" fontId="26" fillId="11" borderId="35" xfId="0" applyNumberFormat="1" applyFont="1" applyFill="1" applyBorder="1" applyAlignment="1">
      <alignment horizontal="center"/>
    </xf>
    <xf numFmtId="0" fontId="10" fillId="9" borderId="5" xfId="0" applyFont="1" applyFill="1" applyBorder="1"/>
    <xf numFmtId="0" fontId="1" fillId="9" borderId="0" xfId="0" applyFont="1" applyFill="1"/>
    <xf numFmtId="0" fontId="10" fillId="9" borderId="33" xfId="0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168" fontId="25" fillId="11" borderId="1" xfId="0" applyNumberFormat="1" applyFont="1" applyFill="1" applyBorder="1" applyAlignment="1">
      <alignment horizontal="center"/>
    </xf>
    <xf numFmtId="2" fontId="25" fillId="11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8" fontId="8" fillId="0" borderId="1" xfId="0" applyNumberFormat="1" applyFont="1" applyBorder="1" applyAlignment="1">
      <alignment horizontal="center"/>
    </xf>
    <xf numFmtId="175" fontId="8" fillId="0" borderId="1" xfId="0" applyNumberFormat="1" applyFont="1" applyBorder="1" applyAlignment="1">
      <alignment horizontal="center"/>
    </xf>
    <xf numFmtId="174" fontId="8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168" fontId="8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5" fillId="3" borderId="22" xfId="0" applyFont="1" applyFill="1" applyBorder="1" applyAlignment="1">
      <alignment horizontal="center"/>
    </xf>
    <xf numFmtId="0" fontId="25" fillId="3" borderId="5" xfId="0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25" fillId="0" borderId="34" xfId="0" applyNumberFormat="1" applyFont="1" applyBorder="1" applyAlignment="1">
      <alignment horizontal="center"/>
    </xf>
    <xf numFmtId="0" fontId="0" fillId="0" borderId="34" xfId="0" applyBorder="1"/>
    <xf numFmtId="2" fontId="25" fillId="3" borderId="36" xfId="0" applyNumberFormat="1" applyFont="1" applyFill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2" fontId="26" fillId="0" borderId="34" xfId="0" applyNumberFormat="1" applyFont="1" applyBorder="1" applyAlignment="1">
      <alignment horizontal="center"/>
    </xf>
    <xf numFmtId="2" fontId="25" fillId="3" borderId="34" xfId="0" applyNumberFormat="1" applyFont="1" applyFill="1" applyBorder="1" applyAlignment="1">
      <alignment horizontal="center"/>
    </xf>
    <xf numFmtId="0" fontId="28" fillId="0" borderId="34" xfId="0" applyFont="1" applyBorder="1" applyAlignment="1">
      <alignment horizontal="center"/>
    </xf>
    <xf numFmtId="2" fontId="26" fillId="0" borderId="35" xfId="0" applyNumberFormat="1" applyFont="1" applyBorder="1" applyAlignment="1">
      <alignment horizontal="center"/>
    </xf>
    <xf numFmtId="174" fontId="25" fillId="0" borderId="34" xfId="0" applyNumberFormat="1" applyFont="1" applyBorder="1" applyAlignment="1">
      <alignment horizontal="center"/>
    </xf>
    <xf numFmtId="177" fontId="25" fillId="0" borderId="34" xfId="0" applyNumberFormat="1" applyFont="1" applyBorder="1" applyAlignment="1">
      <alignment horizontal="center"/>
    </xf>
    <xf numFmtId="2" fontId="25" fillId="3" borderId="18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1" fontId="3" fillId="11" borderId="1" xfId="0" applyNumberFormat="1" applyFont="1" applyFill="1" applyBorder="1" applyAlignment="1">
      <alignment horizontal="center"/>
    </xf>
    <xf numFmtId="0" fontId="4" fillId="5" borderId="10" xfId="0" applyFont="1" applyFill="1" applyBorder="1"/>
    <xf numFmtId="0" fontId="3" fillId="0" borderId="0" xfId="0" applyFont="1" applyFill="1" applyBorder="1" applyAlignment="1">
      <alignment horizontal="right"/>
    </xf>
    <xf numFmtId="177" fontId="3" fillId="0" borderId="5" xfId="0" applyNumberFormat="1" applyFont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177" fontId="25" fillId="3" borderId="35" xfId="0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10" fillId="18" borderId="6" xfId="0" applyFont="1" applyFill="1" applyBorder="1" applyAlignment="1">
      <alignment horizontal="center"/>
    </xf>
    <xf numFmtId="0" fontId="10" fillId="9" borderId="16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25" fillId="0" borderId="0" xfId="0" applyFont="1"/>
    <xf numFmtId="0" fontId="10" fillId="21" borderId="1" xfId="0" applyFont="1" applyFill="1" applyBorder="1"/>
    <xf numFmtId="0" fontId="3" fillId="6" borderId="1" xfId="0" applyNumberFormat="1" applyFont="1" applyFill="1" applyBorder="1" applyAlignment="1">
      <alignment horizontal="center"/>
    </xf>
    <xf numFmtId="0" fontId="25" fillId="0" borderId="34" xfId="0" applyFont="1" applyBorder="1"/>
    <xf numFmtId="2" fontId="3" fillId="0" borderId="34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35" xfId="0" applyBorder="1"/>
    <xf numFmtId="0" fontId="29" fillId="0" borderId="34" xfId="0" applyFont="1" applyBorder="1" applyAlignment="1">
      <alignment horizontal="center"/>
    </xf>
    <xf numFmtId="2" fontId="0" fillId="0" borderId="11" xfId="0" applyNumberFormat="1" applyBorder="1"/>
    <xf numFmtId="11" fontId="3" fillId="0" borderId="1" xfId="0" applyNumberFormat="1" applyFont="1" applyBorder="1" applyAlignment="1">
      <alignment horizontal="center"/>
    </xf>
    <xf numFmtId="11" fontId="0" fillId="0" borderId="0" xfId="0" applyNumberFormat="1"/>
    <xf numFmtId="1" fontId="3" fillId="0" borderId="1" xfId="0" applyNumberFormat="1" applyFont="1" applyBorder="1" applyAlignment="1">
      <alignment horizontal="center" vertical="center"/>
    </xf>
    <xf numFmtId="11" fontId="3" fillId="6" borderId="1" xfId="0" applyNumberFormat="1" applyFont="1" applyFill="1" applyBorder="1" applyAlignment="1">
      <alignment horizontal="center"/>
    </xf>
    <xf numFmtId="3" fontId="30" fillId="0" borderId="0" xfId="0" applyNumberFormat="1" applyFont="1" applyFill="1" applyAlignment="1">
      <alignment horizontal="center" vertical="center"/>
    </xf>
    <xf numFmtId="3" fontId="0" fillId="0" borderId="0" xfId="0" applyNumberFormat="1" applyFill="1"/>
    <xf numFmtId="43" fontId="3" fillId="11" borderId="1" xfId="9" applyFont="1" applyFill="1" applyBorder="1" applyAlignment="1">
      <alignment horizontal="center" vertical="center"/>
    </xf>
    <xf numFmtId="43" fontId="3" fillId="11" borderId="1" xfId="9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9" fontId="0" fillId="0" borderId="16" xfId="0" applyNumberFormat="1" applyBorder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  <xf numFmtId="169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1" fillId="5" borderId="0" xfId="0" applyFont="1" applyFill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8" fillId="14" borderId="0" xfId="6" applyFont="1" applyFill="1" applyBorder="1" applyAlignment="1">
      <alignment horizontal="left" vertical="top" wrapText="1"/>
    </xf>
    <xf numFmtId="0" fontId="15" fillId="15" borderId="19" xfId="6" applyFont="1" applyFill="1" applyBorder="1" applyAlignment="1">
      <alignment horizontal="center" vertical="center" wrapText="1"/>
    </xf>
    <xf numFmtId="0" fontId="15" fillId="15" borderId="20" xfId="6" applyFont="1" applyFill="1" applyBorder="1" applyAlignment="1">
      <alignment horizontal="center" vertical="center" wrapText="1"/>
    </xf>
    <xf numFmtId="0" fontId="7" fillId="16" borderId="5" xfId="6" applyFont="1" applyFill="1" applyBorder="1" applyAlignment="1">
      <alignment horizontal="center" vertical="center" wrapText="1"/>
    </xf>
    <xf numFmtId="0" fontId="8" fillId="16" borderId="19" xfId="6" applyFont="1" applyFill="1" applyBorder="1" applyAlignment="1">
      <alignment horizontal="center" vertical="center" wrapText="1"/>
    </xf>
    <xf numFmtId="0" fontId="8" fillId="16" borderId="20" xfId="6" applyFont="1" applyFill="1" applyBorder="1" applyAlignment="1">
      <alignment horizontal="center" vertical="center" wrapText="1"/>
    </xf>
    <xf numFmtId="0" fontId="15" fillId="15" borderId="5" xfId="6" applyFont="1" applyFill="1" applyBorder="1" applyAlignment="1">
      <alignment horizontal="center" vertical="center" wrapText="1"/>
    </xf>
    <xf numFmtId="0" fontId="7" fillId="0" borderId="2" xfId="6" applyFont="1" applyBorder="1" applyAlignment="1">
      <alignment horizontal="center" vertical="center" textRotation="255"/>
    </xf>
    <xf numFmtId="0" fontId="8" fillId="0" borderId="2" xfId="6" applyFont="1" applyBorder="1" applyAlignment="1">
      <alignment horizontal="center" vertical="center" textRotation="255"/>
    </xf>
    <xf numFmtId="0" fontId="7" fillId="0" borderId="6" xfId="6" applyFont="1" applyBorder="1" applyAlignment="1">
      <alignment horizontal="center" vertical="center" textRotation="255"/>
    </xf>
    <xf numFmtId="0" fontId="8" fillId="0" borderId="6" xfId="6" applyFont="1" applyBorder="1" applyAlignment="1">
      <alignment horizontal="center" vertical="center" textRotation="255"/>
    </xf>
    <xf numFmtId="0" fontId="7" fillId="0" borderId="6" xfId="6" applyFont="1" applyBorder="1" applyAlignment="1">
      <alignment horizontal="center" vertical="center" textRotation="255" wrapText="1"/>
    </xf>
    <xf numFmtId="0" fontId="8" fillId="0" borderId="6" xfId="6" applyFont="1" applyBorder="1" applyAlignment="1">
      <alignment horizontal="center" vertical="center" textRotation="255" wrapText="1"/>
    </xf>
    <xf numFmtId="0" fontId="7" fillId="0" borderId="6" xfId="6" applyFont="1" applyBorder="1" applyAlignment="1">
      <alignment horizontal="center" vertical="center" textRotation="255" wrapText="1" shrinkToFit="1"/>
    </xf>
    <xf numFmtId="0" fontId="8" fillId="0" borderId="6" xfId="6" applyFont="1" applyBorder="1" applyAlignment="1">
      <alignment horizontal="center" vertical="center" textRotation="255" wrapText="1" shrinkToFit="1"/>
    </xf>
    <xf numFmtId="0" fontId="7" fillId="0" borderId="16" xfId="6" applyFont="1" applyBorder="1" applyAlignment="1">
      <alignment horizontal="center" vertical="center" textRotation="255" wrapText="1"/>
    </xf>
    <xf numFmtId="0" fontId="15" fillId="15" borderId="6" xfId="6" applyFont="1" applyFill="1" applyBorder="1" applyAlignment="1">
      <alignment horizontal="center" vertical="center" textRotation="255" wrapText="1"/>
    </xf>
    <xf numFmtId="0" fontId="15" fillId="15" borderId="17" xfId="6" applyFont="1" applyFill="1" applyBorder="1" applyAlignment="1">
      <alignment horizontal="center" vertical="center" textRotation="255" wrapText="1"/>
    </xf>
    <xf numFmtId="0" fontId="7" fillId="16" borderId="21" xfId="6" applyFont="1" applyFill="1" applyBorder="1" applyAlignment="1">
      <alignment horizontal="center" vertical="center" wrapText="1"/>
    </xf>
    <xf numFmtId="0" fontId="8" fillId="16" borderId="2" xfId="6" applyFont="1" applyFill="1" applyBorder="1" applyAlignment="1">
      <alignment horizontal="center" vertical="center" wrapText="1"/>
    </xf>
    <xf numFmtId="0" fontId="8" fillId="16" borderId="22" xfId="6" applyFont="1" applyFill="1" applyBorder="1" applyAlignment="1">
      <alignment horizontal="center" vertical="center" wrapText="1"/>
    </xf>
    <xf numFmtId="0" fontId="8" fillId="16" borderId="3" xfId="6" applyFont="1" applyFill="1" applyBorder="1" applyAlignment="1">
      <alignment horizontal="center" vertical="center" wrapText="1"/>
    </xf>
    <xf numFmtId="0" fontId="7" fillId="0" borderId="21" xfId="6" applyFont="1" applyBorder="1" applyAlignment="1">
      <alignment horizontal="center" vertical="center" textRotation="255" wrapText="1"/>
    </xf>
    <xf numFmtId="0" fontId="8" fillId="0" borderId="17" xfId="6" applyFont="1" applyBorder="1" applyAlignment="1">
      <alignment horizontal="center" vertical="center" textRotation="255" wrapText="1"/>
    </xf>
    <xf numFmtId="0" fontId="15" fillId="15" borderId="22" xfId="6" applyFont="1" applyFill="1" applyBorder="1" applyAlignment="1">
      <alignment horizontal="center" vertical="center" wrapText="1"/>
    </xf>
    <xf numFmtId="0" fontId="16" fillId="15" borderId="23" xfId="6" applyFont="1" applyFill="1" applyBorder="1" applyAlignment="1">
      <alignment horizontal="center" vertical="center" wrapText="1"/>
    </xf>
    <xf numFmtId="0" fontId="16" fillId="15" borderId="3" xfId="6" applyFont="1" applyFill="1" applyBorder="1" applyAlignment="1">
      <alignment horizontal="center" vertical="center" wrapText="1"/>
    </xf>
    <xf numFmtId="0" fontId="7" fillId="16" borderId="6" xfId="6" applyFont="1" applyFill="1" applyBorder="1" applyAlignment="1">
      <alignment horizontal="center" vertical="center" textRotation="255" wrapText="1" shrinkToFit="1"/>
    </xf>
    <xf numFmtId="0" fontId="8" fillId="16" borderId="6" xfId="6" applyFont="1" applyFill="1" applyBorder="1" applyAlignment="1">
      <alignment horizontal="center" vertical="center" textRotation="255" wrapText="1" shrinkToFit="1"/>
    </xf>
    <xf numFmtId="0" fontId="8" fillId="16" borderId="17" xfId="6" applyFont="1" applyFill="1" applyBorder="1" applyAlignment="1">
      <alignment horizontal="center" vertical="center" textRotation="255" wrapText="1" shrinkToFit="1"/>
    </xf>
    <xf numFmtId="0" fontId="15" fillId="15" borderId="16" xfId="6" applyFont="1" applyFill="1" applyBorder="1" applyAlignment="1">
      <alignment horizontal="center" vertical="center" textRotation="255" wrapText="1"/>
    </xf>
    <xf numFmtId="0" fontId="7" fillId="0" borderId="22" xfId="6" applyFont="1" applyBorder="1" applyAlignment="1">
      <alignment horizontal="center" vertical="center" wrapText="1"/>
    </xf>
    <xf numFmtId="0" fontId="8" fillId="0" borderId="23" xfId="6" applyFont="1" applyBorder="1" applyAlignment="1">
      <alignment horizontal="center" vertical="center" wrapText="1"/>
    </xf>
    <xf numFmtId="0" fontId="8" fillId="0" borderId="3" xfId="6" applyFont="1" applyBorder="1" applyAlignment="1">
      <alignment horizontal="center" vertical="center" wrapText="1"/>
    </xf>
    <xf numFmtId="3" fontId="7" fillId="8" borderId="5" xfId="8" applyNumberFormat="1" applyFont="1" applyFill="1" applyBorder="1" applyAlignment="1">
      <alignment horizontal="center" vertical="center"/>
    </xf>
    <xf numFmtId="3" fontId="7" fillId="8" borderId="19" xfId="8" applyNumberFormat="1" applyFont="1" applyFill="1" applyBorder="1" applyAlignment="1">
      <alignment horizontal="center" vertical="center"/>
    </xf>
    <xf numFmtId="3" fontId="7" fillId="8" borderId="20" xfId="8" applyNumberFormat="1" applyFont="1" applyFill="1" applyBorder="1" applyAlignment="1">
      <alignment horizontal="center" vertical="center"/>
    </xf>
    <xf numFmtId="0" fontId="15" fillId="15" borderId="5" xfId="6" applyFont="1" applyFill="1" applyBorder="1" applyAlignment="1">
      <alignment horizontal="center" vertical="center"/>
    </xf>
    <xf numFmtId="0" fontId="15" fillId="15" borderId="19" xfId="6" applyFont="1" applyFill="1" applyBorder="1" applyAlignment="1">
      <alignment horizontal="center" vertical="center"/>
    </xf>
    <xf numFmtId="0" fontId="15" fillId="15" borderId="20" xfId="6" applyFont="1" applyFill="1" applyBorder="1" applyAlignment="1">
      <alignment horizontal="center" vertical="center"/>
    </xf>
    <xf numFmtId="0" fontId="7" fillId="16" borderId="6" xfId="6" applyFont="1" applyFill="1" applyBorder="1" applyAlignment="1">
      <alignment horizontal="center" vertical="center" textRotation="255" wrapText="1"/>
    </xf>
    <xf numFmtId="0" fontId="8" fillId="16" borderId="6" xfId="6" applyFont="1" applyFill="1" applyBorder="1" applyAlignment="1">
      <alignment horizontal="center" vertical="center" textRotation="255" wrapText="1"/>
    </xf>
    <xf numFmtId="0" fontId="8" fillId="16" borderId="17" xfId="6" applyFont="1" applyFill="1" applyBorder="1" applyAlignment="1">
      <alignment horizontal="center" vertical="center" textRotation="255" wrapText="1"/>
    </xf>
    <xf numFmtId="0" fontId="7" fillId="16" borderId="16" xfId="6" applyFont="1" applyFill="1" applyBorder="1" applyAlignment="1">
      <alignment horizontal="center" vertical="center" textRotation="255" wrapText="1"/>
    </xf>
  </cellXfs>
  <cellStyles count="10">
    <cellStyle name="ANCLAS,REZONES Y SUS PARTES,DE FUNDICION,DE HIERRO O DE ACERO" xfId="1" xr:uid="{BF242A4C-BA3E-46A0-BD27-1758B8335617}"/>
    <cellStyle name="Hiperlink" xfId="2" builtinId="8"/>
    <cellStyle name="Millares 10" xfId="8" xr:uid="{AC2BD767-C883-42A6-9023-97BEEEE9218F}"/>
    <cellStyle name="Millares 2" xfId="4" xr:uid="{999AAFDB-9FB5-4187-BFD1-1E3CE9251AE9}"/>
    <cellStyle name="Normal" xfId="0" builtinId="0"/>
    <cellStyle name="Normal 2 2" xfId="6" xr:uid="{0DC79A0C-F552-4B42-B7A9-069A409268E7}"/>
    <cellStyle name="Normal_DEST REG" xfId="3" xr:uid="{2E9477F0-8339-4AE3-A3A8-8D58849EED11}"/>
    <cellStyle name="Porcentual 2 2" xfId="7" xr:uid="{F6AA7A01-FD11-4543-B00B-10ADBA2B24B8}"/>
    <cellStyle name="Vírgula" xfId="9" builtinId="3"/>
    <cellStyle name="Vírgula 2" xfId="5" xr:uid="{D2720CA6-FA66-42D7-95B3-115FF27ABA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Ethanol production (2019)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(Biofuels_Annual_production!$B$15,Biofuels_Annual_production!$D$15,Biofuels_Annual_production!$F$15)</c:f>
              <c:strCache>
                <c:ptCount val="3"/>
                <c:pt idx="0">
                  <c:v>BIOETANOL TOTAL</c:v>
                </c:pt>
                <c:pt idx="1">
                  <c:v>Corn</c:v>
                </c:pt>
                <c:pt idx="2">
                  <c:v>Sugarcane</c:v>
                </c:pt>
              </c:strCache>
            </c:strRef>
          </c:cat>
          <c:val>
            <c:numRef>
              <c:f>(Biofuels_Annual_production!$B$24,Biofuels_Annual_production!$D$24,Biofuels_Annual_production!$F$24)</c:f>
              <c:numCache>
                <c:formatCode>General</c:formatCode>
                <c:ptCount val="3"/>
                <c:pt idx="0">
                  <c:v>1073495490.0000002</c:v>
                </c:pt>
                <c:pt idx="1">
                  <c:v>553828790.00000012</c:v>
                </c:pt>
                <c:pt idx="2">
                  <c:v>519666700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B89-B50D-482AF947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780960"/>
        <c:axId val="1809779296"/>
      </c:barChart>
      <c:catAx>
        <c:axId val="18097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779296"/>
        <c:crosses val="autoZero"/>
        <c:auto val="1"/>
        <c:lblAlgn val="ctr"/>
        <c:lblOffset val="100"/>
        <c:noMultiLvlLbl val="0"/>
      </c:catAx>
      <c:valAx>
        <c:axId val="18097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78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Ethanol Production 2020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(Biofuels_Annual_production!$B$15,Biofuels_Annual_production!$D$15,Biofuels_Annual_production!$F$15)</c:f>
              <c:strCache>
                <c:ptCount val="3"/>
                <c:pt idx="0">
                  <c:v>BIOETANOL TOTAL</c:v>
                </c:pt>
                <c:pt idx="1">
                  <c:v>Corn</c:v>
                </c:pt>
                <c:pt idx="2">
                  <c:v>Sugarcane</c:v>
                </c:pt>
              </c:strCache>
            </c:strRef>
          </c:cat>
          <c:val>
            <c:numRef>
              <c:f>(Biofuels_Annual_production!$B$25,Biofuels_Annual_production!$D$25,Biofuels_Annual_production!$F$25)</c:f>
              <c:numCache>
                <c:formatCode>General</c:formatCode>
                <c:ptCount val="3"/>
                <c:pt idx="0">
                  <c:v>808724529.99999976</c:v>
                </c:pt>
                <c:pt idx="1">
                  <c:v>423574830</c:v>
                </c:pt>
                <c:pt idx="2">
                  <c:v>385149699.99999982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A-4FF8-A0B6-EFC64C9B1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770144"/>
        <c:axId val="1809776800"/>
      </c:barChart>
      <c:catAx>
        <c:axId val="18097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776800"/>
        <c:crosses val="autoZero"/>
        <c:auto val="1"/>
        <c:lblAlgn val="ctr"/>
        <c:lblOffset val="100"/>
        <c:noMultiLvlLbl val="0"/>
      </c:catAx>
      <c:valAx>
        <c:axId val="18097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77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Biodeisel production from soybean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Biofuels_Annual_production!$A$41:$A$49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 (*)</c:v>
                </c:pt>
              </c:strCache>
            </c:strRef>
          </c:cat>
          <c:val>
            <c:numRef>
              <c:f>Biofuels_Annual_production!$B$41:$B$49</c:f>
              <c:numCache>
                <c:formatCode>General</c:formatCode>
                <c:ptCount val="9"/>
                <c:pt idx="0">
                  <c:v>2456578000</c:v>
                </c:pt>
                <c:pt idx="1">
                  <c:v>1997809000</c:v>
                </c:pt>
                <c:pt idx="2">
                  <c:v>2584290000</c:v>
                </c:pt>
                <c:pt idx="3">
                  <c:v>1810659000</c:v>
                </c:pt>
                <c:pt idx="4">
                  <c:v>2659274760.0000005</c:v>
                </c:pt>
                <c:pt idx="5">
                  <c:v>2871435000.0000033</c:v>
                </c:pt>
                <c:pt idx="6">
                  <c:v>2428997060.0000014</c:v>
                </c:pt>
                <c:pt idx="7" formatCode="0.00E+00">
                  <c:v>2147270480.0000005</c:v>
                </c:pt>
                <c:pt idx="8">
                  <c:v>1157364110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B-4ADE-BF7C-7C508D4E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007360"/>
        <c:axId val="1426766032"/>
      </c:barChart>
      <c:catAx>
        <c:axId val="19420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766032"/>
        <c:crosses val="autoZero"/>
        <c:auto val="1"/>
        <c:lblAlgn val="ctr"/>
        <c:lblOffset val="100"/>
        <c:noMultiLvlLbl val="0"/>
      </c:catAx>
      <c:valAx>
        <c:axId val="14267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0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Argentina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Ethanol (Corn)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economic!$E$18</c:f>
              <c:numCache>
                <c:formatCode>0.000</c:formatCode>
                <c:ptCount val="1"/>
                <c:pt idx="0">
                  <c:v>0.48274144995442908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48-40BB-B840-DF866327617F}"/>
            </c:ext>
          </c:extLst>
        </c:ser>
        <c:ser>
          <c:idx val="1"/>
          <c:order val="1"/>
          <c:tx>
            <c:v>Ethanol (Surgarcane)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economic!$D$18</c:f>
              <c:numCache>
                <c:formatCode>0.000</c:formatCode>
                <c:ptCount val="1"/>
                <c:pt idx="0">
                  <c:v>0.5256024058583062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48-40BB-B840-DF866327617F}"/>
            </c:ext>
          </c:extLst>
        </c:ser>
        <c:ser>
          <c:idx val="2"/>
          <c:order val="2"/>
          <c:tx>
            <c:strRef>
              <c:f>economic!$E$22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economic!$E$41</c:f>
              <c:numCache>
                <c:formatCode>0.000</c:formatCode>
                <c:ptCount val="1"/>
                <c:pt idx="0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48-40BB-B840-DF866327617F}"/>
            </c:ext>
          </c:extLst>
        </c:ser>
        <c:ser>
          <c:idx val="3"/>
          <c:order val="3"/>
          <c:tx>
            <c:v>Diesel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economic!$E$44</c:f>
              <c:numCache>
                <c:formatCode>0.000</c:formatCode>
                <c:ptCount val="1"/>
                <c:pt idx="0">
                  <c:v>0.85399999999999998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48-40BB-B840-DF866327617F}"/>
            </c:ext>
          </c:extLst>
        </c:ser>
        <c:ser>
          <c:idx val="4"/>
          <c:order val="4"/>
          <c:tx>
            <c:v>Biodiesel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economic!$K$17</c:f>
              <c:numCache>
                <c:formatCode>0.000</c:formatCode>
                <c:ptCount val="1"/>
                <c:pt idx="0">
                  <c:v>0.59762973123678897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48-40BB-B840-DF866327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480752"/>
        <c:axId val="2083478256"/>
      </c:barChart>
      <c:catAx>
        <c:axId val="2083480752"/>
        <c:scaling>
          <c:orientation val="minMax"/>
        </c:scaling>
        <c:delete val="1"/>
        <c:axPos val="b"/>
        <c:numFmt formatCode="ge\r\a\l" sourceLinked="1"/>
        <c:majorTickMark val="none"/>
        <c:minorTickMark val="none"/>
        <c:tickLblPos val="nextTo"/>
        <c:crossAx val="2083478256"/>
        <c:crosses val="autoZero"/>
        <c:auto val="1"/>
        <c:lblAlgn val="ctr"/>
        <c:lblOffset val="100"/>
        <c:noMultiLvlLbl val="0"/>
      </c:catAx>
      <c:valAx>
        <c:axId val="20834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US$/L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34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tiff"/><Relationship Id="rId1" Type="http://schemas.openxmlformats.org/officeDocument/2006/relationships/image" Target="../media/image4.emf"/><Relationship Id="rId5" Type="http://schemas.openxmlformats.org/officeDocument/2006/relationships/image" Target="../media/image8.tif"/><Relationship Id="rId4" Type="http://schemas.openxmlformats.org/officeDocument/2006/relationships/image" Target="../media/image7.t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121920</xdr:colOff>
      <xdr:row>25</xdr:row>
      <xdr:rowOff>190500</xdr:rowOff>
    </xdr:from>
    <xdr:to>
      <xdr:col>11</xdr:col>
      <xdr:colOff>585327</xdr:colOff>
      <xdr:row>30</xdr:row>
      <xdr:rowOff>119812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B96C22C-CCB6-4807-9847-D95370EEA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13080" y="5273040"/>
          <a:ext cx="3541887" cy="919912"/>
        </a:xfrm>
        <a:prstGeom prst="rect">
          <a:avLst/>
        </a:prstGeom>
      </xdr:spPr>
    </xdr:pic>
    <xdr:clientData/>
  </xdr:twoCellAnchor>
  <xdr:twoCellAnchor editAs="oneCell">
    <xdr:from>
      <xdr:col>7</xdr:col>
      <xdr:colOff>1866900</xdr:colOff>
      <xdr:row>31</xdr:row>
      <xdr:rowOff>76200</xdr:rowOff>
    </xdr:from>
    <xdr:to>
      <xdr:col>9</xdr:col>
      <xdr:colOff>1498698</xdr:colOff>
      <xdr:row>32</xdr:row>
      <xdr:rowOff>190960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0634551-4AF7-43EC-84C5-DD5C119DB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23320" y="6347460"/>
          <a:ext cx="3266538" cy="312880"/>
        </a:xfrm>
        <a:prstGeom prst="rect">
          <a:avLst/>
        </a:prstGeom>
      </xdr:spPr>
    </xdr:pic>
    <xdr:clientData/>
  </xdr:twoCellAnchor>
  <xdr:twoCellAnchor editAs="oneCell">
    <xdr:from>
      <xdr:col>9</xdr:col>
      <xdr:colOff>440038</xdr:colOff>
      <xdr:row>33</xdr:row>
      <xdr:rowOff>60960</xdr:rowOff>
    </xdr:from>
    <xdr:to>
      <xdr:col>11</xdr:col>
      <xdr:colOff>386674</xdr:colOff>
      <xdr:row>37</xdr:row>
      <xdr:rowOff>85240</xdr:rowOff>
    </xdr:to>
    <xdr:pic>
      <xdr:nvPicPr>
        <xdr:cNvPr id="4" name="Imagem 3" descr="Interface gráfica do usuário, Texto&#10;&#10;Descrição gerada automaticamente">
          <a:extLst>
            <a:ext uri="{FF2B5EF4-FFF2-40B4-BE49-F238E27FC236}">
              <a16:creationId xmlns:a16="http://schemas.microsoft.com/office/drawing/2014/main" id="{6E1E6F30-F13D-4851-878C-43A66C795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1198" y="6728460"/>
          <a:ext cx="3025116" cy="771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188305</xdr:colOff>
      <xdr:row>1</xdr:row>
      <xdr:rowOff>167640</xdr:rowOff>
    </xdr:from>
    <xdr:to>
      <xdr:col>5</xdr:col>
      <xdr:colOff>1048187</xdr:colOff>
      <xdr:row>19</xdr:row>
      <xdr:rowOff>167640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1A60E7-D9FF-41DB-B837-5C6BBF8AC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3525" y="434340"/>
          <a:ext cx="3984082" cy="3550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312420</xdr:colOff>
      <xdr:row>27</xdr:row>
      <xdr:rowOff>155412</xdr:rowOff>
    </xdr:from>
    <xdr:to>
      <xdr:col>0</xdr:col>
      <xdr:colOff>2750820</xdr:colOff>
      <xdr:row>30</xdr:row>
      <xdr:rowOff>190499</xdr:rowOff>
    </xdr:to>
    <xdr:pic>
      <xdr:nvPicPr>
        <xdr:cNvPr id="3" name="Imagem 2" descr="Texto&#10;&#10;Descrição gerada automaticamente">
          <a:extLst>
            <a:ext uri="{FF2B5EF4-FFF2-40B4-BE49-F238E27FC236}">
              <a16:creationId xmlns:a16="http://schemas.microsoft.com/office/drawing/2014/main" id="{91A78635-A987-47CF-A919-516E797CC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" y="5618952"/>
          <a:ext cx="2438400" cy="629447"/>
        </a:xfrm>
        <a:prstGeom prst="rect">
          <a:avLst/>
        </a:prstGeom>
      </xdr:spPr>
    </xdr:pic>
    <xdr:clientData/>
  </xdr:twoCellAnchor>
  <xdr:twoCellAnchor editAs="oneCell">
    <xdr:from>
      <xdr:col>0</xdr:col>
      <xdr:colOff>1935480</xdr:colOff>
      <xdr:row>33</xdr:row>
      <xdr:rowOff>76200</xdr:rowOff>
    </xdr:from>
    <xdr:to>
      <xdr:col>2</xdr:col>
      <xdr:colOff>1461915</xdr:colOff>
      <xdr:row>38</xdr:row>
      <xdr:rowOff>173038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E735D4F-E46F-4AD3-9329-457103E97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5480" y="6438900"/>
          <a:ext cx="3191655" cy="1011238"/>
        </a:xfrm>
        <a:prstGeom prst="rect">
          <a:avLst/>
        </a:prstGeom>
      </xdr:spPr>
    </xdr:pic>
    <xdr:clientData/>
  </xdr:twoCellAnchor>
  <xdr:twoCellAnchor editAs="oneCell">
    <xdr:from>
      <xdr:col>5</xdr:col>
      <xdr:colOff>672530</xdr:colOff>
      <xdr:row>33</xdr:row>
      <xdr:rowOff>99060</xdr:rowOff>
    </xdr:from>
    <xdr:to>
      <xdr:col>8</xdr:col>
      <xdr:colOff>611655</xdr:colOff>
      <xdr:row>39</xdr:row>
      <xdr:rowOff>107173</xdr:rowOff>
    </xdr:to>
    <xdr:pic>
      <xdr:nvPicPr>
        <xdr:cNvPr id="5" name="Imagem 4" descr="Uma imagem contendo Interface gráfica do usuário&#10;&#10;Descrição gerada automaticamente">
          <a:extLst>
            <a:ext uri="{FF2B5EF4-FFF2-40B4-BE49-F238E27FC236}">
              <a16:creationId xmlns:a16="http://schemas.microsoft.com/office/drawing/2014/main" id="{0CF7433C-D9F1-4D25-BDA2-F7960E3E0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9410" y="6454140"/>
          <a:ext cx="3749125" cy="1105393"/>
        </a:xfrm>
        <a:prstGeom prst="rect">
          <a:avLst/>
        </a:prstGeom>
      </xdr:spPr>
    </xdr:pic>
    <xdr:clientData/>
  </xdr:twoCellAnchor>
  <xdr:twoCellAnchor editAs="oneCell">
    <xdr:from>
      <xdr:col>10</xdr:col>
      <xdr:colOff>556260</xdr:colOff>
      <xdr:row>34</xdr:row>
      <xdr:rowOff>6149</xdr:rowOff>
    </xdr:from>
    <xdr:to>
      <xdr:col>14</xdr:col>
      <xdr:colOff>300924</xdr:colOff>
      <xdr:row>39</xdr:row>
      <xdr:rowOff>155091</xdr:rowOff>
    </xdr:to>
    <xdr:pic>
      <xdr:nvPicPr>
        <xdr:cNvPr id="6" name="Imagem 5" descr="Interface gráfica do usuário, Aplicativo&#10;&#10;Descrição gerada automaticamente">
          <a:extLst>
            <a:ext uri="{FF2B5EF4-FFF2-40B4-BE49-F238E27FC236}">
              <a16:creationId xmlns:a16="http://schemas.microsoft.com/office/drawing/2014/main" id="{A0AD31B8-66ED-4D40-B100-896A6DE4B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2420" y="6544109"/>
          <a:ext cx="3828984" cy="1063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</xdr:row>
      <xdr:rowOff>34290</xdr:rowOff>
    </xdr:from>
    <xdr:to>
      <xdr:col>14</xdr:col>
      <xdr:colOff>129540</xdr:colOff>
      <xdr:row>13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4B87A4-027E-4FA7-A31F-EBADD9544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13</xdr:row>
      <xdr:rowOff>102870</xdr:rowOff>
    </xdr:from>
    <xdr:to>
      <xdr:col>14</xdr:col>
      <xdr:colOff>137160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A73C41-F737-47BA-A846-AB7DC98F8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39</xdr:row>
      <xdr:rowOff>41910</xdr:rowOff>
    </xdr:from>
    <xdr:to>
      <xdr:col>5</xdr:col>
      <xdr:colOff>594360</xdr:colOff>
      <xdr:row>51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E3411E-C902-4110-B1BF-720133E6E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22</xdr:row>
      <xdr:rowOff>80010</xdr:rowOff>
    </xdr:from>
    <xdr:to>
      <xdr:col>6</xdr:col>
      <xdr:colOff>5151120</xdr:colOff>
      <xdr:row>37</xdr:row>
      <xdr:rowOff>80010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D4FE5F-2549-4C16-BCD1-36195FB24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617220</xdr:colOff>
      <xdr:row>0</xdr:row>
      <xdr:rowOff>99060</xdr:rowOff>
    </xdr:from>
    <xdr:to>
      <xdr:col>1</xdr:col>
      <xdr:colOff>1445895</xdr:colOff>
      <xdr:row>7</xdr:row>
      <xdr:rowOff>68305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14C106-8E48-400E-9BAA-5F0C486BA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6820" y="99060"/>
          <a:ext cx="828675" cy="13560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624840</xdr:colOff>
      <xdr:row>2</xdr:row>
      <xdr:rowOff>114300</xdr:rowOff>
    </xdr:from>
    <xdr:to>
      <xdr:col>9</xdr:col>
      <xdr:colOff>160020</xdr:colOff>
      <xdr:row>4</xdr:row>
      <xdr:rowOff>172750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8A78D51-7B87-437D-9AEF-A021D5671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5520" y="525780"/>
          <a:ext cx="3535680" cy="48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1653540</xdr:colOff>
      <xdr:row>8</xdr:row>
      <xdr:rowOff>152400</xdr:rowOff>
    </xdr:from>
    <xdr:to>
      <xdr:col>9</xdr:col>
      <xdr:colOff>1089660</xdr:colOff>
      <xdr:row>12</xdr:row>
      <xdr:rowOff>79075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C479921-BE03-4A7C-A599-7FEDB6329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4420" y="1790700"/>
          <a:ext cx="3436620" cy="719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723900</xdr:colOff>
      <xdr:row>59</xdr:row>
      <xdr:rowOff>182880</xdr:rowOff>
    </xdr:from>
    <xdr:to>
      <xdr:col>14</xdr:col>
      <xdr:colOff>632460</xdr:colOff>
      <xdr:row>70</xdr:row>
      <xdr:rowOff>157189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3F0FF63-33F2-41BE-B37E-05A32D0AB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4780" y="11917680"/>
          <a:ext cx="8229600" cy="2161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atosestimaciones.magyp.gob.ar/reportes.php?reporte=Estimaciones" TargetMode="External"/><Relationship Id="rId1" Type="http://schemas.openxmlformats.org/officeDocument/2006/relationships/hyperlink" Target="http://datosestimaciones.magyp.gob.ar/reportes.php?reporte=Estimacione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datos.minem.gob.ar/dataset/estadisticas-de-biodiesel-y-bioetano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argentina.gob.ar/economia/energia/hidrocarburos/biocombustibles/precios-de-biocombustibles" TargetMode="External"/><Relationship Id="rId1" Type="http://schemas.openxmlformats.org/officeDocument/2006/relationships/hyperlink" Target="https://cepalstat-prod.cepal.org/cepalstat/tabulador/ConsultaIntegrada.asp?idIndicador=1352&amp;idioma=e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EA72-5B81-40F6-A83C-2392260FE860}">
  <dimension ref="A1:L58"/>
  <sheetViews>
    <sheetView workbookViewId="0">
      <selection activeCell="A4" sqref="A4:D4"/>
    </sheetView>
  </sheetViews>
  <sheetFormatPr defaultRowHeight="14.4" x14ac:dyDescent="0.3"/>
  <cols>
    <col min="1" max="1" width="13.77734375" bestFit="1" customWidth="1"/>
    <col min="2" max="2" width="23.21875" bestFit="1" customWidth="1"/>
    <col min="3" max="3" width="15.6640625" bestFit="1" customWidth="1"/>
    <col min="4" max="4" width="11.5546875" bestFit="1" customWidth="1"/>
    <col min="5" max="5" width="19.6640625" bestFit="1" customWidth="1"/>
    <col min="6" max="6" width="43" bestFit="1" customWidth="1"/>
    <col min="7" max="7" width="11" bestFit="1" customWidth="1"/>
    <col min="8" max="8" width="39.6640625" bestFit="1" customWidth="1"/>
    <col min="9" max="9" width="13.33203125" bestFit="1" customWidth="1"/>
    <col min="10" max="10" width="31.5546875" bestFit="1" customWidth="1"/>
    <col min="11" max="11" width="13.33203125" bestFit="1" customWidth="1"/>
  </cols>
  <sheetData>
    <row r="1" spans="1:12" ht="21" x14ac:dyDescent="0.4">
      <c r="A1" s="36" t="s">
        <v>8</v>
      </c>
      <c r="B1" s="38" t="s">
        <v>27</v>
      </c>
      <c r="C1" s="47" t="s">
        <v>28</v>
      </c>
      <c r="D1" s="40"/>
      <c r="E1" s="36" t="s">
        <v>26</v>
      </c>
      <c r="F1" s="37" t="s">
        <v>27</v>
      </c>
      <c r="G1" s="38" t="s">
        <v>29</v>
      </c>
      <c r="H1" s="38"/>
      <c r="I1" s="38"/>
      <c r="J1" s="39"/>
      <c r="K1" s="39"/>
      <c r="L1" s="40"/>
    </row>
    <row r="2" spans="1:12" ht="15.6" x14ac:dyDescent="0.3">
      <c r="A2" s="41"/>
      <c r="B2" s="43"/>
      <c r="C2" s="43"/>
      <c r="D2" s="42"/>
      <c r="E2" s="41"/>
      <c r="F2" s="279" t="s">
        <v>38</v>
      </c>
      <c r="G2" s="279"/>
      <c r="H2" s="279"/>
      <c r="I2" s="279"/>
      <c r="J2" s="279"/>
      <c r="K2" s="279"/>
      <c r="L2" s="42"/>
    </row>
    <row r="3" spans="1:12" ht="15.6" x14ac:dyDescent="0.3">
      <c r="A3" s="48" t="s">
        <v>23</v>
      </c>
      <c r="B3" s="26" t="s">
        <v>241</v>
      </c>
      <c r="C3" s="23" t="s">
        <v>22</v>
      </c>
      <c r="D3" s="24" t="s">
        <v>25</v>
      </c>
      <c r="E3" s="41"/>
      <c r="F3" s="43"/>
      <c r="G3" s="43"/>
      <c r="H3" s="43"/>
      <c r="I3" s="43"/>
      <c r="J3" s="43"/>
      <c r="K3" s="43"/>
      <c r="L3" s="42"/>
    </row>
    <row r="4" spans="1:12" ht="15.6" x14ac:dyDescent="0.3">
      <c r="A4" s="27" t="s">
        <v>425</v>
      </c>
      <c r="B4" s="277">
        <v>3696300</v>
      </c>
      <c r="C4" s="278">
        <v>21196637</v>
      </c>
      <c r="D4" s="190">
        <f>5735/1000</f>
        <v>5.7350000000000003</v>
      </c>
      <c r="E4" s="43"/>
      <c r="F4" s="43"/>
      <c r="G4" s="43"/>
      <c r="H4" s="43"/>
      <c r="I4" s="43"/>
      <c r="J4" s="43"/>
      <c r="K4" s="43"/>
      <c r="L4" s="42"/>
    </row>
    <row r="5" spans="1:12" ht="15.6" x14ac:dyDescent="0.3">
      <c r="A5" s="27" t="s">
        <v>426</v>
      </c>
      <c r="B5" s="277">
        <v>4863801</v>
      </c>
      <c r="C5" s="278">
        <v>32045751</v>
      </c>
      <c r="D5" s="190">
        <f>6589/1000</f>
        <v>6.5890000000000004</v>
      </c>
      <c r="E5" s="43"/>
      <c r="F5" s="43"/>
      <c r="G5" s="43"/>
      <c r="H5" s="43"/>
      <c r="I5" s="43"/>
      <c r="J5" s="43"/>
      <c r="K5" s="43"/>
      <c r="L5" s="42"/>
    </row>
    <row r="6" spans="1:12" ht="15.6" x14ac:dyDescent="0.3">
      <c r="A6" s="27" t="s">
        <v>427</v>
      </c>
      <c r="B6" s="277">
        <v>4836655</v>
      </c>
      <c r="C6" s="278">
        <v>33087165</v>
      </c>
      <c r="D6" s="190">
        <f>6841/1000</f>
        <v>6.8410000000000002</v>
      </c>
      <c r="E6" s="43"/>
      <c r="F6" s="43"/>
      <c r="G6" s="43"/>
      <c r="H6" s="43"/>
      <c r="I6" s="43"/>
      <c r="J6" s="43"/>
      <c r="K6" s="43"/>
      <c r="L6" s="42"/>
    </row>
    <row r="7" spans="1:12" ht="15.6" x14ac:dyDescent="0.3">
      <c r="A7" s="49" t="s">
        <v>16</v>
      </c>
      <c r="B7" s="50">
        <v>6034480</v>
      </c>
      <c r="C7" s="28">
        <v>33817449</v>
      </c>
      <c r="D7" s="29">
        <f>7308.91/1000</f>
        <v>7.30891</v>
      </c>
      <c r="E7" s="41"/>
      <c r="F7" s="26" t="s">
        <v>30</v>
      </c>
      <c r="G7" s="31" t="s">
        <v>39</v>
      </c>
      <c r="H7" s="26" t="s">
        <v>37</v>
      </c>
      <c r="I7" s="31" t="s">
        <v>39</v>
      </c>
      <c r="J7" s="26" t="s">
        <v>56</v>
      </c>
      <c r="K7" s="26" t="s">
        <v>39</v>
      </c>
      <c r="L7" s="42"/>
    </row>
    <row r="8" spans="1:12" ht="15.6" x14ac:dyDescent="0.3">
      <c r="A8" s="49" t="s">
        <v>17</v>
      </c>
      <c r="B8" s="50">
        <v>6904538</v>
      </c>
      <c r="C8" s="28">
        <v>39792854</v>
      </c>
      <c r="D8" s="29">
        <f>7442.66/1000</f>
        <v>7.4426600000000001</v>
      </c>
      <c r="E8" s="41"/>
      <c r="F8" s="27" t="s">
        <v>33</v>
      </c>
      <c r="G8" s="32">
        <v>0.14799999999999999</v>
      </c>
      <c r="H8" s="33" t="s">
        <v>40</v>
      </c>
      <c r="I8" s="274">
        <f>0.00543</f>
        <v>5.4299999999999999E-3</v>
      </c>
      <c r="J8" s="33" t="s">
        <v>57</v>
      </c>
      <c r="K8" s="33">
        <f>0.0007607</f>
        <v>7.607E-4</v>
      </c>
      <c r="L8" s="42"/>
    </row>
    <row r="9" spans="1:12" ht="15.6" x14ac:dyDescent="0.3">
      <c r="A9" s="49" t="s">
        <v>18</v>
      </c>
      <c r="B9" s="50">
        <v>8486694</v>
      </c>
      <c r="C9" s="28">
        <v>49490326</v>
      </c>
      <c r="D9" s="29">
        <f>7571.08/1000</f>
        <v>7.5710800000000003</v>
      </c>
      <c r="E9" s="41"/>
      <c r="F9" s="27" t="s">
        <v>32</v>
      </c>
      <c r="G9" s="32">
        <v>15.91</v>
      </c>
      <c r="H9" s="33" t="s">
        <v>41</v>
      </c>
      <c r="I9" s="274">
        <f>0.006704</f>
        <v>6.7039999999999999E-3</v>
      </c>
      <c r="J9" s="33" t="s">
        <v>58</v>
      </c>
      <c r="K9" s="33">
        <f>0.0003628</f>
        <v>3.6279999999999998E-4</v>
      </c>
      <c r="L9" s="42"/>
    </row>
    <row r="10" spans="1:12" ht="15.6" x14ac:dyDescent="0.3">
      <c r="A10" s="49" t="s">
        <v>19</v>
      </c>
      <c r="B10" s="50">
        <v>9139766</v>
      </c>
      <c r="C10" s="28">
        <v>43462323</v>
      </c>
      <c r="D10" s="29">
        <f>6088.34/1000</f>
        <v>6.0883400000000005</v>
      </c>
      <c r="E10" s="41"/>
      <c r="F10" s="27" t="s">
        <v>31</v>
      </c>
      <c r="G10" s="32">
        <f>0.00009599</f>
        <v>9.5989999999999994E-5</v>
      </c>
      <c r="H10" s="33" t="s">
        <v>42</v>
      </c>
      <c r="I10" s="274">
        <f>0.004999</f>
        <v>4.999E-3</v>
      </c>
      <c r="J10" s="33" t="s">
        <v>59</v>
      </c>
      <c r="K10" s="33">
        <f>0.0002107</f>
        <v>2.107E-4</v>
      </c>
      <c r="L10" s="42"/>
    </row>
    <row r="11" spans="1:12" ht="15.6" x14ac:dyDescent="0.3">
      <c r="A11" s="49" t="s">
        <v>20</v>
      </c>
      <c r="B11" s="50">
        <v>9039594</v>
      </c>
      <c r="C11" s="28">
        <v>56860703.899999999</v>
      </c>
      <c r="D11" s="29">
        <f>7861.55/1000</f>
        <v>7.8615500000000003</v>
      </c>
      <c r="E11" s="41"/>
      <c r="F11" s="27" t="s">
        <v>34</v>
      </c>
      <c r="G11" s="32">
        <f>0.0001646</f>
        <v>1.6459999999999999E-4</v>
      </c>
      <c r="H11" s="33" t="s">
        <v>43</v>
      </c>
      <c r="I11" s="274">
        <f>0.003982</f>
        <v>3.9820000000000003E-3</v>
      </c>
      <c r="J11" s="33" t="s">
        <v>60</v>
      </c>
      <c r="K11" s="33">
        <f>0.117</f>
        <v>0.11700000000000001</v>
      </c>
      <c r="L11" s="42"/>
    </row>
    <row r="12" spans="1:12" ht="15.6" x14ac:dyDescent="0.3">
      <c r="A12" s="49" t="s">
        <v>21</v>
      </c>
      <c r="B12" s="50">
        <v>9504473</v>
      </c>
      <c r="C12" s="28">
        <v>58395811</v>
      </c>
      <c r="D12" s="29">
        <f>7553.94/1000</f>
        <v>7.5539399999999999</v>
      </c>
      <c r="E12" s="41"/>
      <c r="F12" s="27" t="s">
        <v>35</v>
      </c>
      <c r="G12" s="32">
        <f>0.0001646</f>
        <v>1.6459999999999999E-4</v>
      </c>
      <c r="H12" s="33" t="s">
        <v>44</v>
      </c>
      <c r="I12" s="274">
        <f>0.004502</f>
        <v>4.5019999999999999E-3</v>
      </c>
      <c r="J12" s="26" t="s">
        <v>61</v>
      </c>
      <c r="K12" s="35"/>
      <c r="L12" s="42"/>
    </row>
    <row r="13" spans="1:12" ht="15.6" x14ac:dyDescent="0.3">
      <c r="A13" s="48" t="s">
        <v>24</v>
      </c>
      <c r="B13" s="30">
        <f>AVERAGE(B7:B12)</f>
        <v>8184924.166666667</v>
      </c>
      <c r="C13" s="30">
        <f>AVERAGE(C7:C12)</f>
        <v>46969911.149999999</v>
      </c>
      <c r="D13" s="30">
        <f>AVERAGE(D7:D12)</f>
        <v>7.3044133333333336</v>
      </c>
      <c r="E13" s="41"/>
      <c r="F13" s="27" t="s">
        <v>36</v>
      </c>
      <c r="G13" s="32">
        <v>1.35</v>
      </c>
      <c r="H13" s="33" t="s">
        <v>45</v>
      </c>
      <c r="I13" s="274">
        <f>0.000007232</f>
        <v>7.2320000000000004E-6</v>
      </c>
      <c r="J13" s="33" t="s">
        <v>62</v>
      </c>
      <c r="K13" s="33">
        <f>0.00008667</f>
        <v>8.6669999999999995E-5</v>
      </c>
      <c r="L13" s="42"/>
    </row>
    <row r="14" spans="1:12" ht="15.6" x14ac:dyDescent="0.3">
      <c r="A14" s="41"/>
      <c r="B14" s="43"/>
      <c r="C14" s="43"/>
      <c r="D14" s="42"/>
      <c r="E14" s="41"/>
      <c r="F14" s="43"/>
      <c r="G14" s="43"/>
      <c r="H14" s="33" t="s">
        <v>46</v>
      </c>
      <c r="I14" s="274">
        <f>0.0001409</f>
        <v>1.4090000000000001E-4</v>
      </c>
      <c r="J14" s="33" t="s">
        <v>63</v>
      </c>
      <c r="K14" s="33">
        <f>0.000006747</f>
        <v>6.7469999999999999E-6</v>
      </c>
      <c r="L14" s="42"/>
    </row>
    <row r="15" spans="1:12" ht="15.6" x14ac:dyDescent="0.3">
      <c r="A15" s="41"/>
      <c r="B15" s="43"/>
      <c r="C15" s="43"/>
      <c r="D15" s="42"/>
      <c r="E15" s="41"/>
      <c r="F15" s="43"/>
      <c r="G15" s="43"/>
      <c r="H15" s="33" t="s">
        <v>47</v>
      </c>
      <c r="I15" s="274">
        <f>0.0005034</f>
        <v>5.0339999999999998E-4</v>
      </c>
      <c r="J15" s="33" t="s">
        <v>64</v>
      </c>
      <c r="K15" s="33">
        <f>0.003745</f>
        <v>3.7450000000000001E-3</v>
      </c>
      <c r="L15" s="42"/>
    </row>
    <row r="16" spans="1:12" ht="15.6" x14ac:dyDescent="0.3">
      <c r="A16" s="41"/>
      <c r="B16" s="43"/>
      <c r="C16" s="43"/>
      <c r="D16" s="42"/>
      <c r="E16" s="41"/>
      <c r="F16" s="43"/>
      <c r="G16" s="43"/>
      <c r="H16" s="33" t="s">
        <v>48</v>
      </c>
      <c r="I16" s="274">
        <f>0.00003824</f>
        <v>3.824E-5</v>
      </c>
      <c r="J16" s="26" t="s">
        <v>65</v>
      </c>
      <c r="K16" s="35"/>
      <c r="L16" s="42"/>
    </row>
    <row r="17" spans="1:12" ht="15.6" x14ac:dyDescent="0.3">
      <c r="A17" s="41"/>
      <c r="B17" s="43"/>
      <c r="C17" s="43"/>
      <c r="D17" s="42"/>
      <c r="E17" s="41"/>
      <c r="F17" s="43"/>
      <c r="G17" s="43"/>
      <c r="H17" s="34" t="s">
        <v>55</v>
      </c>
      <c r="I17" s="274">
        <f>0.0001446</f>
        <v>1.4459999999999999E-4</v>
      </c>
      <c r="J17" s="33" t="s">
        <v>66</v>
      </c>
      <c r="K17" s="33">
        <f>0.0001409</f>
        <v>1.4090000000000001E-4</v>
      </c>
      <c r="L17" s="42"/>
    </row>
    <row r="18" spans="1:12" ht="15.6" x14ac:dyDescent="0.3">
      <c r="A18" s="41"/>
      <c r="B18" s="43"/>
      <c r="C18" s="43"/>
      <c r="D18" s="42"/>
      <c r="E18" s="41"/>
      <c r="F18" s="43"/>
      <c r="G18" s="43"/>
      <c r="H18" s="33" t="s">
        <v>49</v>
      </c>
      <c r="I18" s="274">
        <f>0.0001646</f>
        <v>1.6459999999999999E-4</v>
      </c>
      <c r="J18" s="33" t="s">
        <v>67</v>
      </c>
      <c r="K18" s="33">
        <f>0.000007232</f>
        <v>7.2320000000000004E-6</v>
      </c>
      <c r="L18" s="42"/>
    </row>
    <row r="19" spans="1:12" ht="15.6" x14ac:dyDescent="0.3">
      <c r="A19" s="41"/>
      <c r="B19" s="43"/>
      <c r="C19" s="43"/>
      <c r="D19" s="42"/>
      <c r="E19" s="41"/>
      <c r="F19" s="43"/>
      <c r="G19" s="43"/>
      <c r="H19" s="33" t="s">
        <v>50</v>
      </c>
      <c r="I19" s="274">
        <f>0.0001446</f>
        <v>1.4459999999999999E-4</v>
      </c>
      <c r="J19" s="33" t="s">
        <v>68</v>
      </c>
      <c r="K19" s="33">
        <f>0.00003824</f>
        <v>3.824E-5</v>
      </c>
      <c r="L19" s="42"/>
    </row>
    <row r="20" spans="1:12" ht="15.6" x14ac:dyDescent="0.3">
      <c r="A20" s="41"/>
      <c r="B20" s="43"/>
      <c r="C20" s="43"/>
      <c r="D20" s="42"/>
      <c r="E20" s="41"/>
      <c r="F20" s="43"/>
      <c r="G20" s="43"/>
      <c r="H20" s="33" t="s">
        <v>51</v>
      </c>
      <c r="I20" s="274">
        <f>0.0001294</f>
        <v>1.294E-4</v>
      </c>
      <c r="J20" s="33" t="s">
        <v>69</v>
      </c>
      <c r="K20" s="33">
        <f>0.0005034</f>
        <v>5.0339999999999998E-4</v>
      </c>
      <c r="L20" s="42"/>
    </row>
    <row r="21" spans="1:12" ht="15.6" x14ac:dyDescent="0.3">
      <c r="A21" s="41"/>
      <c r="B21" s="43"/>
      <c r="C21" s="43"/>
      <c r="D21" s="42"/>
      <c r="E21" s="41"/>
      <c r="F21" s="43"/>
      <c r="G21" s="43"/>
      <c r="H21" s="33" t="s">
        <v>52</v>
      </c>
      <c r="I21" s="274">
        <f>0.178</f>
        <v>0.17799999999999999</v>
      </c>
      <c r="J21" s="43"/>
      <c r="K21" s="43"/>
      <c r="L21" s="42"/>
    </row>
    <row r="22" spans="1:12" ht="15.6" x14ac:dyDescent="0.3">
      <c r="A22" s="41"/>
      <c r="B22" s="43"/>
      <c r="C22" s="43"/>
      <c r="D22" s="42"/>
      <c r="E22" s="41"/>
      <c r="F22" s="43"/>
      <c r="G22" s="43"/>
      <c r="H22" s="33" t="s">
        <v>53</v>
      </c>
      <c r="I22" s="274">
        <f>0.03002</f>
        <v>3.0020000000000002E-2</v>
      </c>
      <c r="J22" s="43"/>
      <c r="K22" s="43"/>
      <c r="L22" s="42"/>
    </row>
    <row r="23" spans="1:12" ht="15.6" x14ac:dyDescent="0.3">
      <c r="A23" s="41"/>
      <c r="B23" s="43"/>
      <c r="C23" s="43"/>
      <c r="D23" s="42"/>
      <c r="E23" s="41"/>
      <c r="F23" s="43"/>
      <c r="G23" s="43"/>
      <c r="H23" s="33" t="s">
        <v>54</v>
      </c>
      <c r="I23" s="274">
        <f>0.006953</f>
        <v>6.953E-3</v>
      </c>
      <c r="J23" s="43"/>
      <c r="K23" s="43"/>
      <c r="L23" s="42"/>
    </row>
    <row r="24" spans="1:12" ht="15" thickBot="1" x14ac:dyDescent="0.35">
      <c r="A24" s="44"/>
      <c r="B24" s="45"/>
      <c r="C24" s="45"/>
      <c r="D24" s="46"/>
      <c r="E24" s="44"/>
      <c r="F24" s="45"/>
      <c r="G24" s="45"/>
      <c r="H24" s="45"/>
      <c r="I24" s="45"/>
      <c r="J24" s="45"/>
      <c r="K24" s="45"/>
      <c r="L24" s="46"/>
    </row>
    <row r="25" spans="1:12" ht="21" x14ac:dyDescent="0.4">
      <c r="A25" s="36" t="s">
        <v>9</v>
      </c>
      <c r="B25" s="39"/>
      <c r="C25" s="39"/>
      <c r="D25" s="40"/>
      <c r="E25" s="136" t="s">
        <v>26</v>
      </c>
      <c r="F25" s="37" t="s">
        <v>27</v>
      </c>
      <c r="G25" s="38" t="s">
        <v>197</v>
      </c>
      <c r="H25" s="39"/>
      <c r="I25" s="39"/>
      <c r="J25" s="39"/>
      <c r="K25" s="39"/>
      <c r="L25" s="40"/>
    </row>
    <row r="26" spans="1:12" ht="15.6" x14ac:dyDescent="0.3">
      <c r="A26" s="41"/>
      <c r="B26" s="43"/>
      <c r="C26" s="43"/>
      <c r="D26" s="42"/>
      <c r="E26" s="43"/>
      <c r="F26" s="279" t="s">
        <v>198</v>
      </c>
      <c r="G26" s="279"/>
      <c r="H26" s="279"/>
      <c r="I26" s="279"/>
      <c r="J26" s="43"/>
      <c r="K26" s="43"/>
      <c r="L26" s="42"/>
    </row>
    <row r="27" spans="1:12" ht="15.6" x14ac:dyDescent="0.3">
      <c r="A27" s="48" t="s">
        <v>23</v>
      </c>
      <c r="B27" s="26" t="s">
        <v>242</v>
      </c>
      <c r="C27" s="23" t="s">
        <v>22</v>
      </c>
      <c r="D27" s="154" t="s">
        <v>25</v>
      </c>
      <c r="E27" s="43"/>
      <c r="F27" s="43"/>
      <c r="G27" s="43"/>
      <c r="H27" s="43"/>
      <c r="I27" s="43"/>
      <c r="J27" s="43"/>
      <c r="K27" s="43"/>
      <c r="L27" s="42"/>
    </row>
    <row r="28" spans="1:12" ht="15.6" x14ac:dyDescent="0.3">
      <c r="A28" s="8">
        <v>2014</v>
      </c>
      <c r="B28" s="8">
        <v>376318</v>
      </c>
      <c r="C28" s="250">
        <v>21031320</v>
      </c>
      <c r="D28" s="186">
        <f>C28/B28</f>
        <v>55.887095488390138</v>
      </c>
      <c r="E28" s="43"/>
      <c r="F28" s="26" t="s">
        <v>189</v>
      </c>
      <c r="G28" s="26" t="s">
        <v>39</v>
      </c>
      <c r="H28" s="26" t="s">
        <v>199</v>
      </c>
      <c r="I28" s="26" t="s">
        <v>39</v>
      </c>
      <c r="J28" s="43"/>
      <c r="K28" s="43"/>
      <c r="L28" s="42"/>
    </row>
    <row r="29" spans="1:12" ht="15.6" x14ac:dyDescent="0.3">
      <c r="A29" s="8">
        <v>2015</v>
      </c>
      <c r="B29" s="8">
        <v>385000</v>
      </c>
      <c r="C29" s="250">
        <v>17872791</v>
      </c>
      <c r="D29" s="186">
        <f t="shared" ref="D29:D33" si="0">C29/B29</f>
        <v>46.422833766233765</v>
      </c>
      <c r="E29" s="43"/>
      <c r="F29" s="8" t="s">
        <v>190</v>
      </c>
      <c r="G29" s="8">
        <f>1.49*10^(-5)</f>
        <v>1.4900000000000001E-5</v>
      </c>
      <c r="H29" s="8" t="s">
        <v>200</v>
      </c>
      <c r="I29" s="8" t="s">
        <v>191</v>
      </c>
      <c r="J29" s="43"/>
      <c r="K29" s="43"/>
      <c r="L29" s="42"/>
    </row>
    <row r="30" spans="1:12" ht="15.6" x14ac:dyDescent="0.3">
      <c r="A30" s="8">
        <v>2016</v>
      </c>
      <c r="B30" s="8">
        <v>409037</v>
      </c>
      <c r="C30" s="250">
        <v>18436082</v>
      </c>
      <c r="D30" s="186">
        <f t="shared" si="0"/>
        <v>45.071917699376826</v>
      </c>
      <c r="E30" s="43"/>
      <c r="F30" s="8" t="s">
        <v>282</v>
      </c>
      <c r="G30" s="8">
        <f>2.99*10^(-3)</f>
        <v>2.9900000000000005E-3</v>
      </c>
      <c r="H30" s="8" t="s">
        <v>201</v>
      </c>
      <c r="I30" s="8">
        <v>1E-3</v>
      </c>
      <c r="J30" s="43"/>
      <c r="K30" s="43"/>
      <c r="L30" s="42"/>
    </row>
    <row r="31" spans="1:12" ht="15.6" x14ac:dyDescent="0.3">
      <c r="A31" s="8">
        <v>2017</v>
      </c>
      <c r="B31" s="8">
        <v>422098</v>
      </c>
      <c r="C31" s="250">
        <v>18698786</v>
      </c>
      <c r="D31" s="186">
        <f t="shared" si="0"/>
        <v>44.299631839051592</v>
      </c>
      <c r="E31" s="43"/>
      <c r="F31" s="8" t="s">
        <v>193</v>
      </c>
      <c r="G31" s="8">
        <f>3.58*10^(-4)</f>
        <v>3.5800000000000003E-4</v>
      </c>
      <c r="H31" s="8" t="s">
        <v>203</v>
      </c>
      <c r="I31" s="8">
        <v>1E-3</v>
      </c>
      <c r="J31" s="43"/>
      <c r="K31" s="43"/>
      <c r="L31" s="42"/>
    </row>
    <row r="32" spans="1:12" ht="15.6" x14ac:dyDescent="0.3">
      <c r="A32" s="8">
        <v>2018</v>
      </c>
      <c r="B32" s="8">
        <v>457884</v>
      </c>
      <c r="C32" s="250">
        <v>18464782</v>
      </c>
      <c r="D32" s="186">
        <f t="shared" si="0"/>
        <v>40.326331559958419</v>
      </c>
      <c r="E32" s="43"/>
      <c r="F32" s="8" t="s">
        <v>194</v>
      </c>
      <c r="G32" s="8">
        <f>2.69*10^(-4)</f>
        <v>2.6900000000000003E-4</v>
      </c>
      <c r="H32" s="43"/>
      <c r="I32" s="43"/>
      <c r="J32" s="43"/>
      <c r="K32" s="43"/>
      <c r="L32" s="42"/>
    </row>
    <row r="33" spans="1:12" ht="15.6" x14ac:dyDescent="0.3">
      <c r="A33" s="8">
        <v>2019</v>
      </c>
      <c r="B33" s="8">
        <v>476176</v>
      </c>
      <c r="C33" s="273">
        <v>17652814</v>
      </c>
      <c r="D33" s="186">
        <f t="shared" si="0"/>
        <v>37.072036389906252</v>
      </c>
      <c r="E33" s="43"/>
      <c r="F33" s="8" t="s">
        <v>195</v>
      </c>
      <c r="G33" s="8">
        <f>1.78*10^(-3)</f>
        <v>1.7800000000000001E-3</v>
      </c>
      <c r="H33" s="43"/>
      <c r="I33" s="43"/>
      <c r="J33" s="43"/>
      <c r="K33" s="43"/>
      <c r="L33" s="42"/>
    </row>
    <row r="34" spans="1:12" ht="15.6" x14ac:dyDescent="0.3">
      <c r="A34" s="41"/>
      <c r="B34" s="43"/>
      <c r="C34" s="43"/>
      <c r="D34" s="270">
        <f>AVERAGE(D28:D33)</f>
        <v>44.846641123819495</v>
      </c>
      <c r="E34" s="43"/>
      <c r="F34" s="8" t="s">
        <v>196</v>
      </c>
      <c r="G34" s="8">
        <f>4*10^(-4)</f>
        <v>4.0000000000000002E-4</v>
      </c>
      <c r="H34" s="43"/>
      <c r="I34" s="43"/>
      <c r="J34" s="43"/>
      <c r="K34" s="43"/>
      <c r="L34" s="42"/>
    </row>
    <row r="35" spans="1:12" x14ac:dyDescent="0.3">
      <c r="A35" s="41"/>
      <c r="B35" s="43" t="s">
        <v>365</v>
      </c>
      <c r="C35" s="43" t="s">
        <v>366</v>
      </c>
      <c r="D35" s="42"/>
      <c r="E35" s="43"/>
      <c r="F35" s="43"/>
      <c r="G35" s="43"/>
      <c r="H35" s="43"/>
      <c r="I35" s="43"/>
      <c r="J35" s="43"/>
      <c r="K35" s="43"/>
      <c r="L35" s="42"/>
    </row>
    <row r="36" spans="1:12" x14ac:dyDescent="0.3">
      <c r="A36" s="41"/>
      <c r="B36" s="43"/>
      <c r="C36" s="43"/>
      <c r="D36" s="42"/>
      <c r="E36" s="43"/>
      <c r="F36" s="43"/>
      <c r="G36" s="43"/>
      <c r="H36" s="43"/>
      <c r="I36" s="43"/>
      <c r="J36" s="43"/>
      <c r="K36" s="43"/>
      <c r="L36" s="42"/>
    </row>
    <row r="37" spans="1:12" x14ac:dyDescent="0.3">
      <c r="A37" s="41"/>
      <c r="B37" s="43" t="s">
        <v>331</v>
      </c>
      <c r="C37" s="43" t="s">
        <v>332</v>
      </c>
      <c r="D37" s="42"/>
      <c r="E37" s="43"/>
      <c r="F37" s="43"/>
      <c r="G37" s="43"/>
      <c r="H37" s="43"/>
      <c r="I37" s="43"/>
      <c r="J37" s="43"/>
      <c r="K37" s="43"/>
      <c r="L37" s="42"/>
    </row>
    <row r="38" spans="1:12" ht="15" thickBot="1" x14ac:dyDescent="0.35">
      <c r="A38" s="44"/>
      <c r="B38" s="45" t="s">
        <v>333</v>
      </c>
      <c r="C38" s="45"/>
      <c r="D38" s="46"/>
      <c r="E38" s="45"/>
      <c r="F38" s="45"/>
      <c r="G38" s="45"/>
      <c r="H38" s="45"/>
      <c r="I38" s="45"/>
      <c r="J38" s="45"/>
      <c r="K38" s="45"/>
      <c r="L38" s="46"/>
    </row>
    <row r="39" spans="1:12" ht="21" x14ac:dyDescent="0.4">
      <c r="A39" s="36" t="s">
        <v>70</v>
      </c>
      <c r="B39" s="38" t="s">
        <v>27</v>
      </c>
      <c r="C39" s="47" t="s">
        <v>28</v>
      </c>
      <c r="D39" s="40"/>
      <c r="E39" s="136" t="s">
        <v>26</v>
      </c>
      <c r="F39" s="37" t="s">
        <v>27</v>
      </c>
      <c r="G39" s="38" t="s">
        <v>258</v>
      </c>
      <c r="H39" s="39"/>
      <c r="I39" s="39"/>
      <c r="J39" s="39"/>
      <c r="K39" s="39"/>
      <c r="L39" s="40"/>
    </row>
    <row r="40" spans="1:12" x14ac:dyDescent="0.3">
      <c r="A40" s="41"/>
      <c r="B40" s="43"/>
      <c r="C40" s="43"/>
      <c r="D40" s="42"/>
      <c r="E40" s="43"/>
      <c r="F40" s="43"/>
      <c r="G40" s="43"/>
      <c r="H40" s="43"/>
      <c r="I40" s="43"/>
      <c r="J40" s="43"/>
      <c r="K40" s="43"/>
      <c r="L40" s="42"/>
    </row>
    <row r="41" spans="1:12" ht="15.6" x14ac:dyDescent="0.3">
      <c r="A41" s="48" t="s">
        <v>23</v>
      </c>
      <c r="B41" s="26" t="s">
        <v>242</v>
      </c>
      <c r="C41" s="23" t="s">
        <v>22</v>
      </c>
      <c r="D41" s="154" t="s">
        <v>25</v>
      </c>
      <c r="E41" s="43"/>
      <c r="F41" s="26" t="s">
        <v>189</v>
      </c>
      <c r="G41" s="26" t="s">
        <v>39</v>
      </c>
      <c r="H41" s="26" t="s">
        <v>199</v>
      </c>
      <c r="I41" s="26" t="s">
        <v>39</v>
      </c>
      <c r="J41" s="43"/>
      <c r="K41" s="43"/>
      <c r="L41" s="42"/>
    </row>
    <row r="42" spans="1:12" ht="15.6" x14ac:dyDescent="0.3">
      <c r="A42" s="49" t="s">
        <v>16</v>
      </c>
      <c r="B42" s="50">
        <v>19792100</v>
      </c>
      <c r="C42" s="50">
        <v>61398276</v>
      </c>
      <c r="D42" s="155">
        <f>3175.51/1000</f>
        <v>3.1755100000000001</v>
      </c>
      <c r="E42" s="43"/>
      <c r="F42" s="27" t="s">
        <v>243</v>
      </c>
      <c r="G42" s="27">
        <v>10.6</v>
      </c>
      <c r="H42" s="43"/>
      <c r="I42" s="43"/>
      <c r="J42" s="43"/>
      <c r="K42" s="43"/>
      <c r="L42" s="42"/>
    </row>
    <row r="43" spans="1:12" ht="15.6" x14ac:dyDescent="0.3">
      <c r="A43" s="49" t="s">
        <v>17</v>
      </c>
      <c r="B43" s="50">
        <v>20562233</v>
      </c>
      <c r="C43" s="50">
        <v>59095246.200000003</v>
      </c>
      <c r="D43" s="155">
        <f>3016.47/1000</f>
        <v>3.01647</v>
      </c>
      <c r="E43" s="43"/>
      <c r="F43" s="27" t="s">
        <v>244</v>
      </c>
      <c r="G43" s="27">
        <v>52</v>
      </c>
      <c r="H43" s="43"/>
      <c r="I43" s="43"/>
      <c r="J43" s="43"/>
      <c r="K43" s="43"/>
      <c r="L43" s="42"/>
    </row>
    <row r="44" spans="1:12" ht="15.6" x14ac:dyDescent="0.3">
      <c r="A44" s="49" t="s">
        <v>18</v>
      </c>
      <c r="B44" s="50">
        <v>18057162</v>
      </c>
      <c r="C44" s="50">
        <v>54972546</v>
      </c>
      <c r="D44" s="155">
        <f>3171.07/1000</f>
        <v>3.1710700000000003</v>
      </c>
      <c r="E44" s="43"/>
      <c r="F44" s="27" t="s">
        <v>245</v>
      </c>
      <c r="G44" s="27">
        <v>10</v>
      </c>
      <c r="H44" s="43"/>
      <c r="I44" s="43"/>
      <c r="J44" s="43"/>
      <c r="K44" s="43"/>
      <c r="L44" s="42"/>
    </row>
    <row r="45" spans="1:12" ht="15.6" x14ac:dyDescent="0.3">
      <c r="A45" s="49" t="s">
        <v>19</v>
      </c>
      <c r="B45" s="50">
        <v>17259260</v>
      </c>
      <c r="C45" s="50">
        <v>37785927</v>
      </c>
      <c r="D45" s="155">
        <f>2315.59/1000</f>
        <v>2.3155900000000003</v>
      </c>
      <c r="E45" s="43"/>
      <c r="F45" s="27" t="s">
        <v>246</v>
      </c>
      <c r="G45" s="27">
        <v>10.5</v>
      </c>
      <c r="H45" s="43"/>
      <c r="I45" s="43"/>
      <c r="J45" s="43"/>
      <c r="K45" s="43"/>
      <c r="L45" s="42"/>
    </row>
    <row r="46" spans="1:12" ht="15.6" x14ac:dyDescent="0.3">
      <c r="A46" s="49" t="s">
        <v>20</v>
      </c>
      <c r="B46" s="50">
        <v>17010277</v>
      </c>
      <c r="C46" s="50">
        <v>55263891</v>
      </c>
      <c r="D46" s="155">
        <f>3333.99/1000</f>
        <v>3.3339899999999996</v>
      </c>
      <c r="E46" s="43"/>
      <c r="F46" s="27" t="s">
        <v>247</v>
      </c>
      <c r="G46" s="27">
        <v>67</v>
      </c>
      <c r="H46" s="43"/>
      <c r="I46" s="43"/>
      <c r="J46" s="43"/>
      <c r="K46" s="43"/>
      <c r="L46" s="42"/>
    </row>
    <row r="47" spans="1:12" ht="15.6" x14ac:dyDescent="0.3">
      <c r="A47" s="49" t="s">
        <v>21</v>
      </c>
      <c r="B47" s="50">
        <v>16882238</v>
      </c>
      <c r="C47" s="50">
        <v>48778260</v>
      </c>
      <c r="D47" s="155">
        <f>2927.14/1000</f>
        <v>2.9271400000000001</v>
      </c>
      <c r="E47" s="43"/>
      <c r="F47" s="27" t="s">
        <v>248</v>
      </c>
      <c r="G47" s="27">
        <v>5</v>
      </c>
      <c r="H47" s="43"/>
      <c r="I47" s="43"/>
      <c r="J47" s="43"/>
      <c r="K47" s="43"/>
      <c r="L47" s="42"/>
    </row>
    <row r="48" spans="1:12" ht="15.6" x14ac:dyDescent="0.3">
      <c r="A48" s="48" t="s">
        <v>24</v>
      </c>
      <c r="B48" s="30">
        <f>AVERAGE(B42:B47)</f>
        <v>18260545</v>
      </c>
      <c r="C48" s="30">
        <f>AVERAGE(C42:C47)</f>
        <v>52882357.699999996</v>
      </c>
      <c r="D48" s="156">
        <f>AVERAGE(D42:D47)</f>
        <v>2.9899616666666673</v>
      </c>
      <c r="E48" s="43"/>
      <c r="F48" s="27" t="s">
        <v>249</v>
      </c>
      <c r="G48" s="27">
        <v>45</v>
      </c>
      <c r="H48" s="43"/>
      <c r="I48" s="43"/>
      <c r="J48" s="43"/>
      <c r="K48" s="43"/>
      <c r="L48" s="42"/>
    </row>
    <row r="49" spans="1:12" ht="15.6" x14ac:dyDescent="0.3">
      <c r="A49" s="41"/>
      <c r="B49" s="43"/>
      <c r="C49" s="43"/>
      <c r="D49" s="42"/>
      <c r="E49" s="43"/>
      <c r="F49" s="27" t="s">
        <v>250</v>
      </c>
      <c r="G49" s="27">
        <v>421</v>
      </c>
      <c r="H49" s="43"/>
      <c r="I49" s="43"/>
      <c r="J49" s="43"/>
      <c r="K49" s="43"/>
      <c r="L49" s="42"/>
    </row>
    <row r="50" spans="1:12" ht="15.6" x14ac:dyDescent="0.3">
      <c r="A50" s="41"/>
      <c r="B50" s="43"/>
      <c r="C50" s="43"/>
      <c r="D50" s="42"/>
      <c r="E50" s="43"/>
      <c r="F50" s="27" t="s">
        <v>251</v>
      </c>
      <c r="G50" s="27">
        <v>68</v>
      </c>
      <c r="H50" s="43"/>
      <c r="I50" s="43"/>
      <c r="J50" s="43"/>
      <c r="K50" s="43"/>
      <c r="L50" s="42"/>
    </row>
    <row r="51" spans="1:12" ht="15.6" x14ac:dyDescent="0.3">
      <c r="A51" s="41"/>
      <c r="B51" s="43"/>
      <c r="C51" s="43"/>
      <c r="D51" s="42"/>
      <c r="E51" s="43"/>
      <c r="F51" s="27" t="s">
        <v>252</v>
      </c>
      <c r="G51" s="27">
        <v>14</v>
      </c>
      <c r="H51" s="43"/>
      <c r="I51" s="43"/>
      <c r="J51" s="43"/>
      <c r="K51" s="43"/>
      <c r="L51" s="42"/>
    </row>
    <row r="52" spans="1:12" ht="15.6" x14ac:dyDescent="0.3">
      <c r="A52" s="41"/>
      <c r="B52" s="43"/>
      <c r="C52" s="43"/>
      <c r="D52" s="42"/>
      <c r="E52" s="43"/>
      <c r="F52" s="27" t="s">
        <v>253</v>
      </c>
      <c r="G52" s="27">
        <v>56</v>
      </c>
      <c r="H52" s="43"/>
      <c r="I52" s="43"/>
      <c r="J52" s="43"/>
      <c r="K52" s="43"/>
      <c r="L52" s="42"/>
    </row>
    <row r="53" spans="1:12" ht="15.6" x14ac:dyDescent="0.3">
      <c r="A53" s="41"/>
      <c r="B53" s="43"/>
      <c r="C53" s="43"/>
      <c r="D53" s="42"/>
      <c r="E53" s="43"/>
      <c r="F53" s="27" t="s">
        <v>254</v>
      </c>
      <c r="G53" s="27">
        <v>2340</v>
      </c>
      <c r="H53" s="43"/>
      <c r="I53" s="43"/>
      <c r="J53" s="43"/>
      <c r="K53" s="43"/>
      <c r="L53" s="42"/>
    </row>
    <row r="54" spans="1:12" ht="15.6" x14ac:dyDescent="0.3">
      <c r="A54" s="41"/>
      <c r="B54" s="43"/>
      <c r="C54" s="43"/>
      <c r="D54" s="42"/>
      <c r="E54" s="43"/>
      <c r="F54" s="27" t="s">
        <v>255</v>
      </c>
      <c r="G54" s="27">
        <v>240</v>
      </c>
      <c r="H54" s="43"/>
      <c r="I54" s="43"/>
      <c r="J54" s="43"/>
      <c r="K54" s="43"/>
      <c r="L54" s="42"/>
    </row>
    <row r="55" spans="1:12" ht="15.6" x14ac:dyDescent="0.3">
      <c r="A55" s="41"/>
      <c r="B55" s="43"/>
      <c r="C55" s="43"/>
      <c r="D55" s="42"/>
      <c r="E55" s="43"/>
      <c r="F55" s="27" t="s">
        <v>256</v>
      </c>
      <c r="G55" s="27">
        <v>3</v>
      </c>
      <c r="H55" s="43"/>
      <c r="I55" s="43"/>
      <c r="J55" s="43"/>
      <c r="K55" s="43"/>
      <c r="L55" s="42"/>
    </row>
    <row r="56" spans="1:12" ht="15.6" x14ac:dyDescent="0.3">
      <c r="A56" s="41"/>
      <c r="B56" s="43"/>
      <c r="C56" s="43"/>
      <c r="D56" s="42"/>
      <c r="E56" s="43"/>
      <c r="F56" s="27" t="s">
        <v>257</v>
      </c>
      <c r="G56" s="27">
        <v>3</v>
      </c>
      <c r="H56" s="43"/>
      <c r="I56" s="43"/>
      <c r="J56" s="43"/>
      <c r="K56" s="43"/>
      <c r="L56" s="42"/>
    </row>
    <row r="57" spans="1:12" ht="15.6" x14ac:dyDescent="0.3">
      <c r="A57" s="41"/>
      <c r="B57" s="43"/>
      <c r="C57" s="43"/>
      <c r="D57" s="42"/>
      <c r="E57" s="43"/>
      <c r="F57" s="180" t="s">
        <v>289</v>
      </c>
      <c r="G57" s="183">
        <f>SUM(G46:G56)</f>
        <v>3262</v>
      </c>
      <c r="H57" s="43"/>
      <c r="I57" s="43"/>
      <c r="J57" s="43"/>
      <c r="K57" s="43"/>
      <c r="L57" s="42"/>
    </row>
    <row r="58" spans="1:12" ht="16.2" thickBot="1" x14ac:dyDescent="0.35">
      <c r="A58" s="44"/>
      <c r="B58" s="45"/>
      <c r="C58" s="45"/>
      <c r="D58" s="46"/>
      <c r="E58" s="45"/>
      <c r="F58" s="182" t="s">
        <v>290</v>
      </c>
      <c r="G58" s="184">
        <f>G44+G45</f>
        <v>20.5</v>
      </c>
      <c r="H58" s="45"/>
      <c r="I58" s="45"/>
      <c r="J58" s="45"/>
      <c r="K58" s="45"/>
      <c r="L58" s="46"/>
    </row>
  </sheetData>
  <mergeCells count="2">
    <mergeCell ref="F2:K2"/>
    <mergeCell ref="F26:I26"/>
  </mergeCells>
  <hyperlinks>
    <hyperlink ref="C1" r:id="rId1" xr:uid="{3F04FF39-3950-4189-935C-C0F4360F70E1}"/>
    <hyperlink ref="C39" r:id="rId2" xr:uid="{61C9E2D2-2DB5-409C-AB17-335E47A512C5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241F-4618-45C1-B0E1-FC831D29FCC5}">
  <dimension ref="A1:P57"/>
  <sheetViews>
    <sheetView workbookViewId="0">
      <selection activeCell="B20" sqref="B20"/>
    </sheetView>
  </sheetViews>
  <sheetFormatPr defaultRowHeight="14.4" x14ac:dyDescent="0.3"/>
  <cols>
    <col min="1" max="1" width="44.109375" bestFit="1" customWidth="1"/>
    <col min="2" max="2" width="9.33203125" bestFit="1" customWidth="1"/>
    <col min="3" max="3" width="27.77734375" bestFit="1" customWidth="1"/>
    <col min="6" max="6" width="19.44140625" bestFit="1" customWidth="1"/>
    <col min="7" max="7" width="13.33203125" bestFit="1" customWidth="1"/>
    <col min="8" max="8" width="22.77734375" bestFit="1" customWidth="1"/>
    <col min="9" max="9" width="18.21875" bestFit="1" customWidth="1"/>
    <col min="11" max="11" width="13.88671875" bestFit="1" customWidth="1"/>
    <col min="12" max="12" width="11.33203125" bestFit="1" customWidth="1"/>
    <col min="13" max="13" width="25.44140625" bestFit="1" customWidth="1"/>
  </cols>
  <sheetData>
    <row r="1" spans="1:9" ht="21" x14ac:dyDescent="0.4">
      <c r="A1" s="2" t="s">
        <v>116</v>
      </c>
      <c r="B1" s="137"/>
      <c r="C1" s="137"/>
    </row>
    <row r="3" spans="1:9" ht="15.6" x14ac:dyDescent="0.3">
      <c r="A3" s="26" t="s">
        <v>189</v>
      </c>
      <c r="B3" s="26" t="s">
        <v>39</v>
      </c>
      <c r="G3" t="s">
        <v>327</v>
      </c>
      <c r="H3" t="s">
        <v>328</v>
      </c>
    </row>
    <row r="4" spans="1:9" ht="15.6" x14ac:dyDescent="0.3">
      <c r="A4" s="27" t="s">
        <v>367</v>
      </c>
      <c r="B4" s="27">
        <v>0.11</v>
      </c>
      <c r="H4">
        <v>20.7</v>
      </c>
      <c r="I4" t="s">
        <v>329</v>
      </c>
    </row>
    <row r="5" spans="1:9" ht="15.6" x14ac:dyDescent="0.3">
      <c r="A5" s="27" t="s">
        <v>206</v>
      </c>
      <c r="B5" s="27">
        <v>0.247</v>
      </c>
    </row>
    <row r="6" spans="1:9" ht="15.6" x14ac:dyDescent="0.3">
      <c r="A6" s="27" t="s">
        <v>368</v>
      </c>
      <c r="B6" s="252">
        <v>8.7600000000000004E-4</v>
      </c>
    </row>
    <row r="7" spans="1:9" ht="15.6" x14ac:dyDescent="0.3">
      <c r="A7" s="27" t="s">
        <v>369</v>
      </c>
      <c r="B7" s="252">
        <v>1.31E-3</v>
      </c>
    </row>
    <row r="8" spans="1:9" ht="15.6" x14ac:dyDescent="0.3">
      <c r="A8" s="27" t="s">
        <v>370</v>
      </c>
      <c r="B8" s="252">
        <v>3.5179999999999999E-4</v>
      </c>
    </row>
    <row r="9" spans="1:9" ht="15.6" x14ac:dyDescent="0.3">
      <c r="A9" s="27" t="s">
        <v>371</v>
      </c>
      <c r="B9" s="252">
        <v>3.5179999999999999E-4</v>
      </c>
    </row>
    <row r="10" spans="1:9" ht="15.6" x14ac:dyDescent="0.3">
      <c r="A10" s="27" t="s">
        <v>372</v>
      </c>
      <c r="B10" s="252">
        <v>7.0000000000000001E-3</v>
      </c>
    </row>
    <row r="11" spans="1:9" ht="15.6" x14ac:dyDescent="0.3">
      <c r="A11" s="27" t="s">
        <v>373</v>
      </c>
      <c r="B11" s="252">
        <v>2.7E-2</v>
      </c>
    </row>
    <row r="12" spans="1:9" ht="15.6" x14ac:dyDescent="0.3">
      <c r="A12" s="27" t="s">
        <v>374</v>
      </c>
      <c r="B12" s="252">
        <v>6.6799999999999997E-4</v>
      </c>
    </row>
    <row r="13" spans="1:9" ht="15.6" x14ac:dyDescent="0.3">
      <c r="A13" s="27" t="s">
        <v>375</v>
      </c>
      <c r="B13" s="252">
        <v>1.0999999999999999E-2</v>
      </c>
    </row>
    <row r="14" spans="1:9" ht="15.6" x14ac:dyDescent="0.3">
      <c r="A14" s="27" t="s">
        <v>376</v>
      </c>
      <c r="B14" s="252">
        <v>0.28100000000000003</v>
      </c>
    </row>
    <row r="15" spans="1:9" ht="15.6" x14ac:dyDescent="0.3">
      <c r="A15" s="27" t="s">
        <v>377</v>
      </c>
      <c r="B15" s="252">
        <v>0.27200000000000002</v>
      </c>
    </row>
    <row r="16" spans="1:9" ht="15.6" x14ac:dyDescent="0.3">
      <c r="A16" s="27" t="s">
        <v>378</v>
      </c>
      <c r="B16" s="252">
        <v>5.4350000000000004E-4</v>
      </c>
    </row>
    <row r="17" spans="1:16" ht="15.6" x14ac:dyDescent="0.3">
      <c r="A17" s="26" t="s">
        <v>199</v>
      </c>
      <c r="B17" s="26" t="s">
        <v>39</v>
      </c>
    </row>
    <row r="18" spans="1:16" ht="15.6" x14ac:dyDescent="0.3">
      <c r="A18" s="27" t="s">
        <v>379</v>
      </c>
      <c r="B18" s="252">
        <v>9.1999999999999998E-2</v>
      </c>
    </row>
    <row r="19" spans="1:16" ht="15.6" x14ac:dyDescent="0.3">
      <c r="A19" s="27" t="s">
        <v>423</v>
      </c>
      <c r="B19" s="252">
        <v>0.38500000000000001</v>
      </c>
    </row>
    <row r="20" spans="1:16" ht="15.6" x14ac:dyDescent="0.3">
      <c r="A20" s="27" t="s">
        <v>380</v>
      </c>
      <c r="B20" s="252">
        <v>1</v>
      </c>
    </row>
    <row r="21" spans="1:16" ht="16.2" thickBot="1" x14ac:dyDescent="0.35">
      <c r="A21" s="27" t="s">
        <v>381</v>
      </c>
      <c r="B21" s="252">
        <v>3.3000000000000002E-2</v>
      </c>
    </row>
    <row r="22" spans="1:16" ht="21" x14ac:dyDescent="0.4">
      <c r="A22" s="253" t="s">
        <v>204</v>
      </c>
      <c r="B22" s="254" t="s">
        <v>27</v>
      </c>
      <c r="C22" s="141" t="s">
        <v>197</v>
      </c>
      <c r="D22" s="141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0"/>
    </row>
    <row r="23" spans="1:16" x14ac:dyDescent="0.3">
      <c r="A23" s="41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2"/>
    </row>
    <row r="24" spans="1:16" ht="15.6" x14ac:dyDescent="0.3">
      <c r="A24" s="280" t="s">
        <v>207</v>
      </c>
      <c r="B24" s="279"/>
      <c r="C24" s="279"/>
      <c r="D24" s="279"/>
      <c r="E24" s="43"/>
      <c r="F24" s="279" t="s">
        <v>212</v>
      </c>
      <c r="G24" s="279"/>
      <c r="H24" s="279"/>
      <c r="I24" s="279"/>
      <c r="J24" s="43"/>
      <c r="K24" s="279" t="s">
        <v>229</v>
      </c>
      <c r="L24" s="279"/>
      <c r="M24" s="279"/>
      <c r="N24" s="279"/>
      <c r="O24" s="43"/>
      <c r="P24" s="42"/>
    </row>
    <row r="25" spans="1:16" ht="15.6" x14ac:dyDescent="0.3">
      <c r="A25" s="142" t="s">
        <v>189</v>
      </c>
      <c r="B25" s="31" t="s">
        <v>39</v>
      </c>
      <c r="C25" s="26" t="s">
        <v>199</v>
      </c>
      <c r="D25" s="26" t="s">
        <v>39</v>
      </c>
      <c r="E25" s="43"/>
      <c r="F25" s="26" t="s">
        <v>189</v>
      </c>
      <c r="G25" s="26" t="s">
        <v>39</v>
      </c>
      <c r="H25" s="26" t="s">
        <v>199</v>
      </c>
      <c r="I25" s="26" t="s">
        <v>39</v>
      </c>
      <c r="J25" s="43"/>
      <c r="K25" s="26" t="s">
        <v>189</v>
      </c>
      <c r="L25" s="26" t="s">
        <v>39</v>
      </c>
      <c r="M25" s="26" t="s">
        <v>199</v>
      </c>
      <c r="N25" s="26" t="s">
        <v>39</v>
      </c>
      <c r="O25" s="43"/>
      <c r="P25" s="42"/>
    </row>
    <row r="26" spans="1:16" ht="15.6" x14ac:dyDescent="0.3">
      <c r="A26" s="143" t="s">
        <v>205</v>
      </c>
      <c r="B26" s="138">
        <v>1.1100000000000001</v>
      </c>
      <c r="C26" s="33" t="s">
        <v>208</v>
      </c>
      <c r="D26" s="33">
        <f>4.09*10^(-2)</f>
        <v>4.0899999999999999E-2</v>
      </c>
      <c r="E26" s="43"/>
      <c r="F26" s="33" t="s">
        <v>213</v>
      </c>
      <c r="G26" s="33">
        <v>4.13</v>
      </c>
      <c r="H26" s="33" t="s">
        <v>201</v>
      </c>
      <c r="I26" s="33">
        <f>5 *10^(-1)</f>
        <v>0.5</v>
      </c>
      <c r="J26" s="43" t="s">
        <v>221</v>
      </c>
      <c r="K26" s="33" t="s">
        <v>222</v>
      </c>
      <c r="L26" s="33">
        <v>4</v>
      </c>
      <c r="M26" s="33" t="s">
        <v>228</v>
      </c>
      <c r="N26" s="33">
        <v>3.31</v>
      </c>
      <c r="O26" s="43"/>
      <c r="P26" s="42"/>
    </row>
    <row r="27" spans="1:16" ht="15.6" x14ac:dyDescent="0.3">
      <c r="A27" s="143" t="s">
        <v>206</v>
      </c>
      <c r="B27" s="138">
        <v>0.45</v>
      </c>
      <c r="C27" s="33" t="s">
        <v>209</v>
      </c>
      <c r="D27" s="33">
        <f>1.67*10^(-2)</f>
        <v>1.67E-2</v>
      </c>
      <c r="E27" s="43"/>
      <c r="F27" s="33" t="s">
        <v>210</v>
      </c>
      <c r="G27" s="33">
        <v>2.04</v>
      </c>
      <c r="H27" s="33" t="s">
        <v>203</v>
      </c>
      <c r="I27" s="33">
        <v>3.8899999999999997E-2</v>
      </c>
      <c r="J27" s="43"/>
      <c r="K27" s="33" t="s">
        <v>210</v>
      </c>
      <c r="L27" s="33">
        <v>3.85</v>
      </c>
      <c r="M27" s="33" t="s">
        <v>203</v>
      </c>
      <c r="N27" s="33">
        <v>3.89</v>
      </c>
      <c r="O27" s="43"/>
      <c r="P27" s="42"/>
    </row>
    <row r="28" spans="1:16" ht="15.6" x14ac:dyDescent="0.3">
      <c r="A28" s="41"/>
      <c r="B28" s="43"/>
      <c r="C28" s="33" t="s">
        <v>210</v>
      </c>
      <c r="D28" s="33">
        <f>5.61*10^(-1)</f>
        <v>0.56100000000000005</v>
      </c>
      <c r="E28" s="43"/>
      <c r="F28" s="33" t="s">
        <v>214</v>
      </c>
      <c r="G28" s="33">
        <f>9.32*10^(-3)</f>
        <v>9.3200000000000002E-3</v>
      </c>
      <c r="H28" s="33" t="s">
        <v>196</v>
      </c>
      <c r="I28" s="33">
        <f>8.09 *10^(-1)</f>
        <v>0.80900000000000005</v>
      </c>
      <c r="J28" s="43"/>
      <c r="K28" s="33" t="s">
        <v>192</v>
      </c>
      <c r="L28" s="33">
        <f>4.26*10^(-3)</f>
        <v>4.2599999999999999E-3</v>
      </c>
      <c r="M28" s="33" t="s">
        <v>225</v>
      </c>
      <c r="N28" s="33">
        <v>1.1100000000000001</v>
      </c>
      <c r="O28" s="43"/>
      <c r="P28" s="42"/>
    </row>
    <row r="29" spans="1:16" ht="15.6" x14ac:dyDescent="0.3">
      <c r="A29" s="41"/>
      <c r="B29" s="43"/>
      <c r="C29" s="33" t="s">
        <v>211</v>
      </c>
      <c r="D29" s="33">
        <f>2.23*10^(-1)</f>
        <v>0.223</v>
      </c>
      <c r="E29" s="43"/>
      <c r="F29" s="33" t="s">
        <v>215</v>
      </c>
      <c r="G29" s="33">
        <f>1.4*10^(-3)</f>
        <v>1.4E-3</v>
      </c>
      <c r="H29" s="33" t="s">
        <v>220</v>
      </c>
      <c r="I29" s="33">
        <f>6.57*10^(-1)</f>
        <v>0.65700000000000003</v>
      </c>
      <c r="J29" s="43"/>
      <c r="K29" s="33" t="s">
        <v>223</v>
      </c>
      <c r="L29" s="33">
        <f>3.55*10^(-4)</f>
        <v>3.5500000000000001E-4</v>
      </c>
      <c r="M29" s="33" t="s">
        <v>226</v>
      </c>
      <c r="N29" s="33">
        <f>1.53*10^(-3)</f>
        <v>1.5300000000000001E-3</v>
      </c>
      <c r="O29" s="43"/>
      <c r="P29" s="42"/>
    </row>
    <row r="30" spans="1:16" ht="15.6" x14ac:dyDescent="0.3">
      <c r="A30" s="41"/>
      <c r="B30" s="43"/>
      <c r="C30" s="33" t="s">
        <v>201</v>
      </c>
      <c r="D30" s="33" t="s">
        <v>202</v>
      </c>
      <c r="E30" s="43"/>
      <c r="F30" s="33" t="s">
        <v>216</v>
      </c>
      <c r="G30" s="33">
        <f>2.52*10^(-3)</f>
        <v>2.5200000000000001E-3</v>
      </c>
      <c r="H30" s="33" t="s">
        <v>222</v>
      </c>
      <c r="I30" s="69">
        <v>1</v>
      </c>
      <c r="J30" s="43"/>
      <c r="K30" s="33" t="s">
        <v>206</v>
      </c>
      <c r="L30" s="33">
        <f>1.63*10^(-3)</f>
        <v>1.6299999999999999E-3</v>
      </c>
      <c r="M30" s="33" t="s">
        <v>227</v>
      </c>
      <c r="N30" s="33">
        <v>1</v>
      </c>
      <c r="O30" s="43"/>
      <c r="P30" s="42"/>
    </row>
    <row r="31" spans="1:16" ht="15.6" x14ac:dyDescent="0.3">
      <c r="A31" s="41"/>
      <c r="B31" s="43"/>
      <c r="C31" s="33" t="s">
        <v>203</v>
      </c>
      <c r="D31" s="33" t="s">
        <v>202</v>
      </c>
      <c r="E31" s="43"/>
      <c r="F31" s="33" t="s">
        <v>217</v>
      </c>
      <c r="G31" s="33">
        <f>5.59*10^(-7)</f>
        <v>5.5899999999999996E-7</v>
      </c>
      <c r="H31" s="43"/>
      <c r="I31" s="43"/>
      <c r="J31" s="43"/>
      <c r="K31" s="33" t="s">
        <v>224</v>
      </c>
      <c r="L31" s="33">
        <f>1.15*10^(-2)</f>
        <v>1.15E-2</v>
      </c>
      <c r="M31" s="139" t="s">
        <v>281</v>
      </c>
      <c r="N31" s="139">
        <v>15</v>
      </c>
      <c r="O31" s="43"/>
      <c r="P31" s="42"/>
    </row>
    <row r="32" spans="1:16" ht="15.6" x14ac:dyDescent="0.3">
      <c r="A32" s="41"/>
      <c r="B32" s="43"/>
      <c r="C32" s="33" t="s">
        <v>213</v>
      </c>
      <c r="D32" s="69">
        <v>1</v>
      </c>
      <c r="E32" s="43"/>
      <c r="F32" s="33" t="s">
        <v>218</v>
      </c>
      <c r="G32" s="33">
        <f>7.82*10^(-4)</f>
        <v>7.8200000000000003E-4</v>
      </c>
      <c r="H32" s="43"/>
      <c r="I32" s="43"/>
      <c r="J32" s="43"/>
      <c r="K32" s="33" t="s">
        <v>218</v>
      </c>
      <c r="L32" s="33">
        <f>7.82*10^(-4)</f>
        <v>7.8200000000000003E-4</v>
      </c>
      <c r="M32" s="43"/>
      <c r="N32" s="43"/>
      <c r="O32" s="43"/>
      <c r="P32" s="42"/>
    </row>
    <row r="33" spans="1:16" ht="15.6" x14ac:dyDescent="0.3">
      <c r="A33" s="41"/>
      <c r="B33" s="43"/>
      <c r="C33" s="43"/>
      <c r="D33" s="43"/>
      <c r="E33" s="43"/>
      <c r="F33" s="33" t="s">
        <v>219</v>
      </c>
      <c r="G33" s="33">
        <f>1.51*10^(-3)</f>
        <v>1.5100000000000001E-3</v>
      </c>
      <c r="H33" s="43"/>
      <c r="I33" s="43"/>
      <c r="J33" s="43"/>
      <c r="K33" s="33" t="s">
        <v>219</v>
      </c>
      <c r="L33" s="33">
        <f>1.51*10^(-3)</f>
        <v>1.5100000000000001E-3</v>
      </c>
      <c r="M33" s="43"/>
      <c r="N33" s="43"/>
      <c r="O33" s="43"/>
      <c r="P33" s="42"/>
    </row>
    <row r="34" spans="1:16" x14ac:dyDescent="0.3">
      <c r="A34" s="41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2"/>
    </row>
    <row r="35" spans="1:16" x14ac:dyDescent="0.3">
      <c r="A35" s="41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2"/>
    </row>
    <row r="36" spans="1:16" x14ac:dyDescent="0.3">
      <c r="A36" s="41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2"/>
    </row>
    <row r="37" spans="1:16" x14ac:dyDescent="0.3">
      <c r="A37" s="41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2"/>
    </row>
    <row r="38" spans="1:16" x14ac:dyDescent="0.3">
      <c r="A38" s="41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2"/>
    </row>
    <row r="39" spans="1:16" x14ac:dyDescent="0.3">
      <c r="A39" s="41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2"/>
    </row>
    <row r="40" spans="1:16" x14ac:dyDescent="0.3">
      <c r="A40" s="41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2"/>
    </row>
    <row r="41" spans="1:16" ht="15" thickBot="1" x14ac:dyDescent="0.35">
      <c r="A41" s="44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6"/>
    </row>
    <row r="42" spans="1:16" ht="21" x14ac:dyDescent="0.4">
      <c r="A42" s="2" t="s">
        <v>230</v>
      </c>
      <c r="B42" s="140" t="s">
        <v>27</v>
      </c>
      <c r="C42" s="38" t="s">
        <v>258</v>
      </c>
    </row>
    <row r="45" spans="1:16" ht="15.6" x14ac:dyDescent="0.3">
      <c r="A45" s="157" t="s">
        <v>259</v>
      </c>
      <c r="B45" s="158" t="s">
        <v>260</v>
      </c>
      <c r="C45" s="159"/>
      <c r="D45" s="159"/>
      <c r="E45" s="162"/>
    </row>
    <row r="46" spans="1:16" ht="15.6" x14ac:dyDescent="0.3">
      <c r="A46" s="161" t="s">
        <v>261</v>
      </c>
      <c r="B46" s="26" t="s">
        <v>39</v>
      </c>
      <c r="C46" s="26" t="s">
        <v>269</v>
      </c>
      <c r="D46" s="26" t="s">
        <v>39</v>
      </c>
    </row>
    <row r="47" spans="1:16" ht="15.6" x14ac:dyDescent="0.3">
      <c r="A47" s="27" t="s">
        <v>263</v>
      </c>
      <c r="B47" s="27">
        <v>1</v>
      </c>
      <c r="C47" s="27" t="s">
        <v>266</v>
      </c>
      <c r="D47" s="27">
        <v>1000</v>
      </c>
    </row>
    <row r="48" spans="1:16" ht="15.6" x14ac:dyDescent="0.3">
      <c r="A48" s="27" t="s">
        <v>262</v>
      </c>
      <c r="B48" s="27">
        <v>2.1</v>
      </c>
      <c r="C48" s="27" t="s">
        <v>270</v>
      </c>
      <c r="D48" s="27">
        <f>110.5</f>
        <v>110.5</v>
      </c>
    </row>
    <row r="49" spans="1:4" ht="15.6" x14ac:dyDescent="0.3">
      <c r="A49" s="27" t="s">
        <v>264</v>
      </c>
      <c r="B49" s="27">
        <v>85.8</v>
      </c>
      <c r="C49" s="27" t="s">
        <v>271</v>
      </c>
      <c r="D49" s="27">
        <f>4.5</f>
        <v>4.5</v>
      </c>
    </row>
    <row r="50" spans="1:4" ht="15.6" x14ac:dyDescent="0.3">
      <c r="A50" s="27" t="s">
        <v>209</v>
      </c>
      <c r="B50" s="27">
        <v>56.2</v>
      </c>
      <c r="C50" s="27" t="s">
        <v>264</v>
      </c>
      <c r="D50" s="27">
        <f>26.6</f>
        <v>26.6</v>
      </c>
    </row>
    <row r="51" spans="1:4" ht="15.6" x14ac:dyDescent="0.3">
      <c r="A51" s="27" t="s">
        <v>265</v>
      </c>
      <c r="B51" s="27">
        <v>978</v>
      </c>
      <c r="C51" s="27" t="s">
        <v>209</v>
      </c>
      <c r="D51" s="27">
        <f>41.1</f>
        <v>41.1</v>
      </c>
    </row>
    <row r="52" spans="1:4" ht="15.6" x14ac:dyDescent="0.3">
      <c r="A52" s="26" t="s">
        <v>199</v>
      </c>
      <c r="B52" s="26" t="s">
        <v>39</v>
      </c>
      <c r="C52" s="27" t="s">
        <v>272</v>
      </c>
      <c r="D52" s="27">
        <f>898.6</f>
        <v>898.6</v>
      </c>
    </row>
    <row r="53" spans="1:4" ht="15.6" x14ac:dyDescent="0.3">
      <c r="A53" s="27" t="s">
        <v>279</v>
      </c>
      <c r="B53" s="27">
        <v>188.1</v>
      </c>
      <c r="C53" s="26" t="s">
        <v>199</v>
      </c>
      <c r="D53" s="26" t="s">
        <v>39</v>
      </c>
    </row>
    <row r="54" spans="1:4" ht="15.6" x14ac:dyDescent="0.3">
      <c r="A54" s="27" t="s">
        <v>280</v>
      </c>
      <c r="B54" s="27">
        <v>794</v>
      </c>
      <c r="C54" s="27" t="s">
        <v>273</v>
      </c>
      <c r="D54" s="27">
        <f>106.1</f>
        <v>106.1</v>
      </c>
    </row>
    <row r="55" spans="1:4" ht="15.6" x14ac:dyDescent="0.3">
      <c r="A55" s="27" t="s">
        <v>267</v>
      </c>
      <c r="B55" s="27">
        <v>13.9</v>
      </c>
      <c r="C55" s="27" t="s">
        <v>274</v>
      </c>
      <c r="D55" s="27">
        <f>16.4</f>
        <v>16.399999999999999</v>
      </c>
    </row>
    <row r="56" spans="1:4" ht="15.6" x14ac:dyDescent="0.3">
      <c r="A56" s="27" t="s">
        <v>268</v>
      </c>
      <c r="B56" s="27">
        <v>2.1</v>
      </c>
      <c r="C56" s="27" t="s">
        <v>275</v>
      </c>
      <c r="D56" s="27">
        <f>58.7</f>
        <v>58.7</v>
      </c>
    </row>
    <row r="57" spans="1:4" ht="15.6" x14ac:dyDescent="0.3">
      <c r="A57" s="27" t="s">
        <v>420</v>
      </c>
      <c r="B57" s="27">
        <v>89.8</v>
      </c>
      <c r="C57" s="27" t="s">
        <v>276</v>
      </c>
      <c r="D57" s="27">
        <f>972.7</f>
        <v>972.7</v>
      </c>
    </row>
  </sheetData>
  <mergeCells count="3">
    <mergeCell ref="A24:D24"/>
    <mergeCell ref="F24:I24"/>
    <mergeCell ref="K24:N2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F6A3-B463-4CD2-8E61-C20C808FBAC4}">
  <dimension ref="A1:G51"/>
  <sheetViews>
    <sheetView topLeftCell="A25" workbookViewId="0">
      <selection activeCell="H31" sqref="H31"/>
    </sheetView>
  </sheetViews>
  <sheetFormatPr defaultRowHeight="14.4" x14ac:dyDescent="0.3"/>
  <cols>
    <col min="1" max="1" width="12.88671875" customWidth="1"/>
    <col min="2" max="2" width="16.33203125" customWidth="1"/>
    <col min="3" max="3" width="19.6640625" customWidth="1"/>
    <col min="4" max="4" width="16.33203125" bestFit="1" customWidth="1"/>
    <col min="5" max="5" width="16.5546875" customWidth="1"/>
    <col min="6" max="6" width="15.6640625" customWidth="1"/>
    <col min="7" max="7" width="13.33203125" bestFit="1" customWidth="1"/>
  </cols>
  <sheetData>
    <row r="1" spans="1:7" ht="21" x14ac:dyDescent="0.4">
      <c r="A1" s="2" t="s">
        <v>4</v>
      </c>
      <c r="B1" t="s">
        <v>5</v>
      </c>
      <c r="C1" s="3" t="s">
        <v>6</v>
      </c>
    </row>
    <row r="2" spans="1:7" x14ac:dyDescent="0.3">
      <c r="D2" s="281" t="s">
        <v>7</v>
      </c>
      <c r="E2" s="281"/>
      <c r="F2" s="281"/>
      <c r="G2" s="281"/>
    </row>
    <row r="3" spans="1:7" ht="15.6" x14ac:dyDescent="0.3">
      <c r="A3" s="284" t="s">
        <v>3</v>
      </c>
      <c r="B3" s="282" t="s">
        <v>0</v>
      </c>
      <c r="C3" s="282"/>
      <c r="D3" s="282" t="s">
        <v>8</v>
      </c>
      <c r="E3" s="282"/>
      <c r="F3" s="282" t="s">
        <v>9</v>
      </c>
      <c r="G3" s="282"/>
    </row>
    <row r="4" spans="1:7" ht="31.2" x14ac:dyDescent="0.3">
      <c r="A4" s="285"/>
      <c r="B4" s="25" t="s">
        <v>1</v>
      </c>
      <c r="C4" s="25" t="s">
        <v>2</v>
      </c>
      <c r="D4" s="25" t="s">
        <v>1</v>
      </c>
      <c r="E4" s="25" t="s">
        <v>2</v>
      </c>
      <c r="F4" s="25" t="s">
        <v>1</v>
      </c>
      <c r="G4" s="25" t="s">
        <v>2</v>
      </c>
    </row>
    <row r="5" spans="1:7" ht="15.6" x14ac:dyDescent="0.3">
      <c r="A5" s="20">
        <v>2012</v>
      </c>
      <c r="B5" s="18">
        <v>250489</v>
      </c>
      <c r="C5" s="18">
        <v>237843</v>
      </c>
      <c r="D5" s="18">
        <v>20500</v>
      </c>
      <c r="E5" s="18">
        <v>17395</v>
      </c>
      <c r="F5" s="18">
        <v>229989</v>
      </c>
      <c r="G5" s="18">
        <v>220448</v>
      </c>
    </row>
    <row r="6" spans="1:7" ht="15.6" x14ac:dyDescent="0.3">
      <c r="A6" s="5">
        <v>2013</v>
      </c>
      <c r="B6" s="19">
        <v>472380</v>
      </c>
      <c r="C6" s="19">
        <v>474752</v>
      </c>
      <c r="D6" s="19">
        <v>167594</v>
      </c>
      <c r="E6" s="19">
        <v>169143</v>
      </c>
      <c r="F6" s="19">
        <v>304786</v>
      </c>
      <c r="G6" s="19">
        <v>305609</v>
      </c>
    </row>
    <row r="7" spans="1:7" ht="15.6" x14ac:dyDescent="0.3">
      <c r="A7" s="20">
        <v>2014</v>
      </c>
      <c r="B7" s="18">
        <v>671121</v>
      </c>
      <c r="C7" s="18">
        <v>663102</v>
      </c>
      <c r="D7" s="18">
        <v>371257</v>
      </c>
      <c r="E7" s="18">
        <v>364900</v>
      </c>
      <c r="F7" s="18">
        <v>299864</v>
      </c>
      <c r="G7" s="18">
        <v>298202</v>
      </c>
    </row>
    <row r="8" spans="1:7" ht="15.6" x14ac:dyDescent="0.3">
      <c r="A8" s="5">
        <v>2015</v>
      </c>
      <c r="B8" s="19">
        <v>815408</v>
      </c>
      <c r="C8" s="19">
        <v>803639</v>
      </c>
      <c r="D8" s="19">
        <v>479265</v>
      </c>
      <c r="E8" s="19">
        <v>475570</v>
      </c>
      <c r="F8" s="19">
        <v>336144</v>
      </c>
      <c r="G8" s="19">
        <v>328069</v>
      </c>
    </row>
    <row r="9" spans="1:7" ht="15.6" x14ac:dyDescent="0.3">
      <c r="A9" s="20">
        <v>2016</v>
      </c>
      <c r="B9" s="18">
        <v>889945.48</v>
      </c>
      <c r="C9" s="18">
        <v>910890.86</v>
      </c>
      <c r="D9" s="18">
        <v>489836.79999999999</v>
      </c>
      <c r="E9" s="18">
        <v>490525.25</v>
      </c>
      <c r="F9" s="18">
        <v>400108.68</v>
      </c>
      <c r="G9" s="18">
        <v>420365.6</v>
      </c>
    </row>
    <row r="10" spans="1:7" ht="15.6" x14ac:dyDescent="0.3">
      <c r="A10" s="5">
        <v>2017</v>
      </c>
      <c r="B10" s="19">
        <v>1105106.8379677758</v>
      </c>
      <c r="C10" s="19">
        <v>1076874.6057735919</v>
      </c>
      <c r="D10" s="19">
        <v>551963.52695288137</v>
      </c>
      <c r="E10" s="19">
        <v>550743.61041820364</v>
      </c>
      <c r="F10" s="19">
        <v>553143.31101489428</v>
      </c>
      <c r="G10" s="19">
        <v>526130.99535538815</v>
      </c>
    </row>
    <row r="11" spans="1:7" ht="15.6" x14ac:dyDescent="0.3">
      <c r="A11" s="20">
        <v>2018</v>
      </c>
      <c r="B11" s="18">
        <v>1113780.8000000003</v>
      </c>
      <c r="C11" s="18">
        <v>1063867.8</v>
      </c>
      <c r="D11" s="18">
        <v>585618.64000000013</v>
      </c>
      <c r="E11" s="18">
        <v>562957.42000000004</v>
      </c>
      <c r="F11" s="18">
        <v>528162.16000000015</v>
      </c>
      <c r="G11" s="18">
        <v>500910.38</v>
      </c>
    </row>
    <row r="12" spans="1:7" ht="15.6" x14ac:dyDescent="0.3">
      <c r="A12" s="5">
        <v>2019</v>
      </c>
      <c r="B12" s="19">
        <v>1073495.4900000002</v>
      </c>
      <c r="C12" s="19">
        <v>1063417.9910000002</v>
      </c>
      <c r="D12" s="19">
        <v>553828.79000000015</v>
      </c>
      <c r="E12" s="19">
        <v>549319.7980000003</v>
      </c>
      <c r="F12" s="19">
        <v>519666.7</v>
      </c>
      <c r="G12" s="19">
        <v>514098.19299999985</v>
      </c>
    </row>
    <row r="13" spans="1:7" ht="15.6" x14ac:dyDescent="0.3">
      <c r="A13" s="20">
        <v>2020</v>
      </c>
      <c r="B13" s="18">
        <v>808724.5299999998</v>
      </c>
      <c r="C13" s="18">
        <v>764328.66599999997</v>
      </c>
      <c r="D13" s="18">
        <v>423574.83</v>
      </c>
      <c r="E13" s="18">
        <v>389484.30200000003</v>
      </c>
      <c r="F13" s="18">
        <v>385149.69999999984</v>
      </c>
      <c r="G13" s="18">
        <v>374844.36399999988</v>
      </c>
    </row>
    <row r="14" spans="1:7" ht="15.6" x14ac:dyDescent="0.3">
      <c r="A14" s="4"/>
      <c r="B14" s="9"/>
      <c r="C14" s="9"/>
      <c r="D14" s="9"/>
      <c r="E14" s="9"/>
      <c r="F14" s="9"/>
      <c r="G14" s="9"/>
    </row>
    <row r="15" spans="1:7" ht="15.6" x14ac:dyDescent="0.3">
      <c r="A15" s="283" t="s">
        <v>10</v>
      </c>
      <c r="B15" s="282" t="s">
        <v>0</v>
      </c>
      <c r="C15" s="282"/>
      <c r="D15" s="282" t="s">
        <v>8</v>
      </c>
      <c r="E15" s="282"/>
      <c r="F15" s="282" t="s">
        <v>9</v>
      </c>
      <c r="G15" s="282"/>
    </row>
    <row r="16" spans="1:7" ht="31.2" x14ac:dyDescent="0.3">
      <c r="A16" s="283"/>
      <c r="B16" s="25" t="s">
        <v>1</v>
      </c>
      <c r="C16" s="25" t="s">
        <v>2</v>
      </c>
      <c r="D16" s="25" t="s">
        <v>1</v>
      </c>
      <c r="E16" s="25" t="s">
        <v>2</v>
      </c>
      <c r="F16" s="25" t="s">
        <v>1</v>
      </c>
      <c r="G16" s="25" t="s">
        <v>2</v>
      </c>
    </row>
    <row r="17" spans="1:7" ht="15.6" x14ac:dyDescent="0.3">
      <c r="A17" s="5">
        <v>2012</v>
      </c>
      <c r="B17" s="6">
        <f>B5*1000</f>
        <v>250489000</v>
      </c>
      <c r="C17" s="6">
        <f>C5*1000</f>
        <v>237843000</v>
      </c>
      <c r="D17" s="6">
        <f t="shared" ref="D17:G17" si="0">D5*1000</f>
        <v>20500000</v>
      </c>
      <c r="E17" s="6">
        <f t="shared" si="0"/>
        <v>17395000</v>
      </c>
      <c r="F17" s="6">
        <f t="shared" si="0"/>
        <v>229989000</v>
      </c>
      <c r="G17" s="6">
        <f t="shared" si="0"/>
        <v>220448000</v>
      </c>
    </row>
    <row r="18" spans="1:7" ht="15.6" x14ac:dyDescent="0.3">
      <c r="A18" s="7">
        <v>2013</v>
      </c>
      <c r="B18" s="8">
        <f t="shared" ref="B18:G25" si="1">B6*1000</f>
        <v>472380000</v>
      </c>
      <c r="C18" s="8">
        <f t="shared" si="1"/>
        <v>474752000</v>
      </c>
      <c r="D18" s="8">
        <f t="shared" si="1"/>
        <v>167594000</v>
      </c>
      <c r="E18" s="8">
        <f t="shared" si="1"/>
        <v>169143000</v>
      </c>
      <c r="F18" s="8">
        <f t="shared" si="1"/>
        <v>304786000</v>
      </c>
      <c r="G18" s="8">
        <f t="shared" si="1"/>
        <v>305609000</v>
      </c>
    </row>
    <row r="19" spans="1:7" ht="15.6" x14ac:dyDescent="0.3">
      <c r="A19" s="5">
        <v>2014</v>
      </c>
      <c r="B19" s="6">
        <f t="shared" si="1"/>
        <v>671121000</v>
      </c>
      <c r="C19" s="6">
        <f t="shared" si="1"/>
        <v>663102000</v>
      </c>
      <c r="D19" s="6">
        <f t="shared" si="1"/>
        <v>371257000</v>
      </c>
      <c r="E19" s="6">
        <f t="shared" si="1"/>
        <v>364900000</v>
      </c>
      <c r="F19" s="6">
        <f t="shared" si="1"/>
        <v>299864000</v>
      </c>
      <c r="G19" s="6">
        <f t="shared" si="1"/>
        <v>298202000</v>
      </c>
    </row>
    <row r="20" spans="1:7" ht="15.6" x14ac:dyDescent="0.3">
      <c r="A20" s="7">
        <v>2015</v>
      </c>
      <c r="B20" s="8">
        <f t="shared" si="1"/>
        <v>815408000</v>
      </c>
      <c r="C20" s="8">
        <f t="shared" si="1"/>
        <v>803639000</v>
      </c>
      <c r="D20" s="8">
        <f t="shared" si="1"/>
        <v>479265000</v>
      </c>
      <c r="E20" s="8">
        <f t="shared" si="1"/>
        <v>475570000</v>
      </c>
      <c r="F20" s="8">
        <f t="shared" si="1"/>
        <v>336144000</v>
      </c>
      <c r="G20" s="8">
        <f t="shared" si="1"/>
        <v>328069000</v>
      </c>
    </row>
    <row r="21" spans="1:7" ht="15.6" x14ac:dyDescent="0.3">
      <c r="A21" s="5">
        <v>2016</v>
      </c>
      <c r="B21" s="6">
        <f t="shared" si="1"/>
        <v>889945480</v>
      </c>
      <c r="C21" s="6">
        <f t="shared" si="1"/>
        <v>910890860</v>
      </c>
      <c r="D21" s="6">
        <f t="shared" si="1"/>
        <v>489836800</v>
      </c>
      <c r="E21" s="6">
        <f t="shared" si="1"/>
        <v>490525250</v>
      </c>
      <c r="F21" s="6">
        <f t="shared" si="1"/>
        <v>400108680</v>
      </c>
      <c r="G21" s="6">
        <f t="shared" si="1"/>
        <v>420365600</v>
      </c>
    </row>
    <row r="22" spans="1:7" ht="15.6" x14ac:dyDescent="0.3">
      <c r="A22" s="7">
        <v>2017</v>
      </c>
      <c r="B22" s="8">
        <f t="shared" si="1"/>
        <v>1105106837.9677758</v>
      </c>
      <c r="C22" s="8">
        <f t="shared" si="1"/>
        <v>1076874605.773592</v>
      </c>
      <c r="D22" s="8">
        <f t="shared" si="1"/>
        <v>551963526.95288134</v>
      </c>
      <c r="E22" s="8">
        <f t="shared" si="1"/>
        <v>550743610.41820359</v>
      </c>
      <c r="F22" s="8">
        <f t="shared" si="1"/>
        <v>553143311.01489425</v>
      </c>
      <c r="G22" s="8">
        <f t="shared" si="1"/>
        <v>526130995.35538816</v>
      </c>
    </row>
    <row r="23" spans="1:7" ht="15.6" x14ac:dyDescent="0.3">
      <c r="A23" s="5">
        <v>2018</v>
      </c>
      <c r="B23" s="6">
        <f t="shared" si="1"/>
        <v>1113780800.0000002</v>
      </c>
      <c r="C23" s="6">
        <f t="shared" si="1"/>
        <v>1063867800</v>
      </c>
      <c r="D23" s="6">
        <f t="shared" si="1"/>
        <v>585618640.00000012</v>
      </c>
      <c r="E23" s="6">
        <f t="shared" si="1"/>
        <v>562957420</v>
      </c>
      <c r="F23" s="6">
        <f t="shared" si="1"/>
        <v>528162160.00000012</v>
      </c>
      <c r="G23" s="6">
        <f t="shared" si="1"/>
        <v>500910380</v>
      </c>
    </row>
    <row r="24" spans="1:7" ht="15.6" x14ac:dyDescent="0.3">
      <c r="A24" s="7">
        <v>2019</v>
      </c>
      <c r="B24" s="8">
        <f t="shared" si="1"/>
        <v>1073495490.0000002</v>
      </c>
      <c r="C24" s="8">
        <f t="shared" si="1"/>
        <v>1063417991.0000001</v>
      </c>
      <c r="D24" s="8">
        <f t="shared" si="1"/>
        <v>553828790.00000012</v>
      </c>
      <c r="E24" s="8">
        <f t="shared" si="1"/>
        <v>549319798.00000036</v>
      </c>
      <c r="F24" s="8">
        <f t="shared" si="1"/>
        <v>519666700</v>
      </c>
      <c r="G24" s="8">
        <f t="shared" si="1"/>
        <v>514098192.99999988</v>
      </c>
    </row>
    <row r="25" spans="1:7" ht="15.6" x14ac:dyDescent="0.3">
      <c r="A25" s="5">
        <v>2020</v>
      </c>
      <c r="B25" s="6">
        <f t="shared" si="1"/>
        <v>808724529.99999976</v>
      </c>
      <c r="C25" s="6">
        <f t="shared" si="1"/>
        <v>764328666</v>
      </c>
      <c r="D25" s="6">
        <f t="shared" si="1"/>
        <v>423574830</v>
      </c>
      <c r="E25" s="6">
        <f t="shared" si="1"/>
        <v>389484302</v>
      </c>
      <c r="F25" s="6">
        <f t="shared" si="1"/>
        <v>385149699.99999982</v>
      </c>
      <c r="G25" s="6">
        <f t="shared" si="1"/>
        <v>374844363.99999988</v>
      </c>
    </row>
    <row r="26" spans="1:7" ht="15.6" x14ac:dyDescent="0.3">
      <c r="A26" s="1"/>
      <c r="B26" s="174">
        <f>B24/(1000000)</f>
        <v>1073.4954900000002</v>
      </c>
    </row>
    <row r="27" spans="1:7" x14ac:dyDescent="0.3">
      <c r="A27" s="1"/>
      <c r="D27">
        <f>D24/(10^6)</f>
        <v>553.82879000000014</v>
      </c>
    </row>
    <row r="28" spans="1:7" ht="21" x14ac:dyDescent="0.4">
      <c r="A28" s="10" t="s">
        <v>11</v>
      </c>
      <c r="G28" s="250"/>
    </row>
    <row r="29" spans="1:7" x14ac:dyDescent="0.3">
      <c r="A29" s="1"/>
    </row>
    <row r="30" spans="1:7" ht="31.2" x14ac:dyDescent="0.3">
      <c r="A30" s="21" t="s">
        <v>3</v>
      </c>
      <c r="B30" s="16" t="s">
        <v>1</v>
      </c>
      <c r="C30" s="17" t="s">
        <v>13</v>
      </c>
      <c r="D30" s="16" t="s">
        <v>14</v>
      </c>
      <c r="E30" s="16" t="s">
        <v>15</v>
      </c>
    </row>
    <row r="31" spans="1:7" ht="15.6" x14ac:dyDescent="0.3">
      <c r="A31" s="11">
        <v>2012</v>
      </c>
      <c r="B31" s="12">
        <v>2456578</v>
      </c>
      <c r="C31" s="12">
        <v>824394</v>
      </c>
      <c r="D31" s="12">
        <v>50400</v>
      </c>
      <c r="E31" s="12">
        <v>1543094</v>
      </c>
    </row>
    <row r="32" spans="1:7" ht="15.6" x14ac:dyDescent="0.3">
      <c r="A32" s="13">
        <v>2013</v>
      </c>
      <c r="B32" s="14">
        <v>1997809</v>
      </c>
      <c r="C32" s="14">
        <v>884358</v>
      </c>
      <c r="D32" s="14">
        <v>618</v>
      </c>
      <c r="E32" s="14">
        <v>1149259</v>
      </c>
    </row>
    <row r="33" spans="1:5" ht="15.6" x14ac:dyDescent="0.3">
      <c r="A33" s="11">
        <v>2014</v>
      </c>
      <c r="B33" s="12">
        <v>2584290</v>
      </c>
      <c r="C33" s="12">
        <v>969456</v>
      </c>
      <c r="D33" s="12">
        <v>685</v>
      </c>
      <c r="E33" s="12">
        <v>1602695</v>
      </c>
    </row>
    <row r="34" spans="1:5" ht="15.6" x14ac:dyDescent="0.3">
      <c r="A34" s="13">
        <v>2015</v>
      </c>
      <c r="B34" s="15">
        <v>1810659</v>
      </c>
      <c r="C34" s="15">
        <v>1012958</v>
      </c>
      <c r="D34" s="15">
        <v>1403</v>
      </c>
      <c r="E34" s="15">
        <v>788226</v>
      </c>
    </row>
    <row r="35" spans="1:5" ht="15.6" x14ac:dyDescent="0.3">
      <c r="A35" s="11">
        <v>2016</v>
      </c>
      <c r="B35" s="12">
        <v>2659274.7600000002</v>
      </c>
      <c r="C35" s="12">
        <v>1033331.2300000001</v>
      </c>
      <c r="D35" s="12">
        <v>3068.5200000000004</v>
      </c>
      <c r="E35" s="12">
        <v>1626263.79</v>
      </c>
    </row>
    <row r="36" spans="1:5" ht="15.6" x14ac:dyDescent="0.3">
      <c r="A36" s="13">
        <v>2017</v>
      </c>
      <c r="B36" s="15">
        <v>2871435.0000000033</v>
      </c>
      <c r="C36" s="15">
        <v>1173294.9599999997</v>
      </c>
      <c r="D36" s="15">
        <v>238.11</v>
      </c>
      <c r="E36" s="15">
        <v>1650119.0499999998</v>
      </c>
    </row>
    <row r="37" spans="1:5" ht="15.6" x14ac:dyDescent="0.3">
      <c r="A37" s="11">
        <v>2018</v>
      </c>
      <c r="B37" s="12">
        <v>2428997.0600000015</v>
      </c>
      <c r="C37" s="12">
        <v>1098458.2100000004</v>
      </c>
      <c r="D37" s="12">
        <v>1433.2899999999997</v>
      </c>
      <c r="E37" s="12">
        <v>1401316.8599999999</v>
      </c>
    </row>
    <row r="38" spans="1:5" ht="15.6" x14ac:dyDescent="0.3">
      <c r="A38" s="13">
        <v>2019</v>
      </c>
      <c r="B38" s="15">
        <v>2147270.4800000004</v>
      </c>
      <c r="C38" s="15">
        <v>1070961.4900000002</v>
      </c>
      <c r="D38" s="15">
        <v>65767.179999999993</v>
      </c>
      <c r="E38" s="15">
        <v>1015006.8200000001</v>
      </c>
    </row>
    <row r="39" spans="1:5" ht="15.6" x14ac:dyDescent="0.3">
      <c r="A39" s="11" t="s">
        <v>12</v>
      </c>
      <c r="B39" s="12">
        <v>1157364.1100000001</v>
      </c>
      <c r="C39" s="12">
        <v>477523.69199999992</v>
      </c>
      <c r="D39" s="12">
        <v>21335.580000000005</v>
      </c>
      <c r="E39" s="12">
        <v>597204.88</v>
      </c>
    </row>
    <row r="40" spans="1:5" ht="15.6" x14ac:dyDescent="0.3">
      <c r="A40" s="22" t="s">
        <v>10</v>
      </c>
      <c r="B40" s="16" t="s">
        <v>1</v>
      </c>
    </row>
    <row r="41" spans="1:5" ht="15.6" x14ac:dyDescent="0.3">
      <c r="A41" s="11">
        <v>2012</v>
      </c>
      <c r="B41" s="8">
        <f>B31*1000</f>
        <v>2456578000</v>
      </c>
    </row>
    <row r="42" spans="1:5" ht="15.6" x14ac:dyDescent="0.3">
      <c r="A42" s="13">
        <v>2013</v>
      </c>
      <c r="B42" s="8">
        <f t="shared" ref="B42:B49" si="2">B32*1000</f>
        <v>1997809000</v>
      </c>
    </row>
    <row r="43" spans="1:5" ht="15.6" x14ac:dyDescent="0.3">
      <c r="A43" s="11">
        <v>2014</v>
      </c>
      <c r="B43" s="8">
        <f t="shared" si="2"/>
        <v>2584290000</v>
      </c>
    </row>
    <row r="44" spans="1:5" ht="15.6" x14ac:dyDescent="0.3">
      <c r="A44" s="13">
        <v>2015</v>
      </c>
      <c r="B44" s="8">
        <f t="shared" si="2"/>
        <v>1810659000</v>
      </c>
    </row>
    <row r="45" spans="1:5" ht="15.6" x14ac:dyDescent="0.3">
      <c r="A45" s="11">
        <v>2016</v>
      </c>
      <c r="B45" s="8">
        <f t="shared" si="2"/>
        <v>2659274760.0000005</v>
      </c>
    </row>
    <row r="46" spans="1:5" ht="15.6" x14ac:dyDescent="0.3">
      <c r="A46" s="13">
        <v>2017</v>
      </c>
      <c r="B46" s="8">
        <f t="shared" si="2"/>
        <v>2871435000.0000033</v>
      </c>
    </row>
    <row r="47" spans="1:5" ht="15.6" x14ac:dyDescent="0.3">
      <c r="A47" s="11">
        <v>2018</v>
      </c>
      <c r="B47" s="8">
        <f t="shared" si="2"/>
        <v>2428997060.0000014</v>
      </c>
    </row>
    <row r="48" spans="1:5" ht="15.6" x14ac:dyDescent="0.3">
      <c r="A48" s="13">
        <v>2019</v>
      </c>
      <c r="B48" s="271">
        <f t="shared" si="2"/>
        <v>2147270480.0000005</v>
      </c>
    </row>
    <row r="49" spans="1:2" ht="15.6" x14ac:dyDescent="0.3">
      <c r="A49" s="11" t="s">
        <v>12</v>
      </c>
      <c r="B49" s="8">
        <f t="shared" si="2"/>
        <v>1157364110</v>
      </c>
    </row>
    <row r="50" spans="1:2" x14ac:dyDescent="0.3">
      <c r="A50" s="1"/>
    </row>
    <row r="51" spans="1:2" x14ac:dyDescent="0.3">
      <c r="B51" s="272"/>
    </row>
  </sheetData>
  <mergeCells count="9">
    <mergeCell ref="D2:G2"/>
    <mergeCell ref="B15:C15"/>
    <mergeCell ref="D15:E15"/>
    <mergeCell ref="F15:G15"/>
    <mergeCell ref="A15:A16"/>
    <mergeCell ref="B3:C3"/>
    <mergeCell ref="D3:E3"/>
    <mergeCell ref="F3:G3"/>
    <mergeCell ref="A3:A4"/>
  </mergeCells>
  <hyperlinks>
    <hyperlink ref="C1" r:id="rId1" xr:uid="{044A93F2-82AD-437E-BA73-0235BEF8A659}"/>
  </hyperlink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B9E0-1F10-4845-9964-FD168F431091}">
  <dimension ref="A1:L73"/>
  <sheetViews>
    <sheetView topLeftCell="A22" workbookViewId="0">
      <selection activeCell="G1" sqref="G1"/>
    </sheetView>
  </sheetViews>
  <sheetFormatPr defaultRowHeight="14.4" x14ac:dyDescent="0.3"/>
  <cols>
    <col min="1" max="1" width="21" bestFit="1" customWidth="1"/>
    <col min="2" max="2" width="25.6640625" bestFit="1" customWidth="1"/>
    <col min="3" max="3" width="25.21875" bestFit="1" customWidth="1"/>
    <col min="4" max="4" width="34.5546875" bestFit="1" customWidth="1"/>
    <col min="5" max="5" width="32.33203125" bestFit="1" customWidth="1"/>
    <col min="7" max="7" width="80.88671875" bestFit="1" customWidth="1"/>
    <col min="8" max="8" width="15.88671875" bestFit="1" customWidth="1"/>
  </cols>
  <sheetData>
    <row r="1" spans="1:11" ht="23.4" x14ac:dyDescent="0.45">
      <c r="C1" s="294" t="s">
        <v>231</v>
      </c>
      <c r="D1" s="294"/>
      <c r="E1" s="294"/>
      <c r="F1" s="9" t="s">
        <v>27</v>
      </c>
      <c r="G1" s="3" t="s">
        <v>233</v>
      </c>
    </row>
    <row r="2" spans="1:11" x14ac:dyDescent="0.3">
      <c r="A2" t="s">
        <v>71</v>
      </c>
    </row>
    <row r="3" spans="1:11" ht="15" thickBot="1" x14ac:dyDescent="0.35">
      <c r="A3" t="s">
        <v>72</v>
      </c>
    </row>
    <row r="4" spans="1:11" ht="15" thickBot="1" x14ac:dyDescent="0.35">
      <c r="A4" s="286" t="s">
        <v>73</v>
      </c>
      <c r="B4" s="286" t="s">
        <v>74</v>
      </c>
      <c r="C4" s="286" t="s">
        <v>75</v>
      </c>
      <c r="D4" s="286" t="s">
        <v>76</v>
      </c>
      <c r="E4" s="286" t="s">
        <v>77</v>
      </c>
      <c r="G4" s="163" t="s">
        <v>93</v>
      </c>
      <c r="H4" s="64" t="s">
        <v>94</v>
      </c>
      <c r="I4" s="64" t="s">
        <v>95</v>
      </c>
      <c r="J4" s="65" t="s">
        <v>96</v>
      </c>
      <c r="K4" s="65" t="s">
        <v>97</v>
      </c>
    </row>
    <row r="5" spans="1:11" ht="15" thickBot="1" x14ac:dyDescent="0.35">
      <c r="A5" s="286"/>
      <c r="B5" s="286"/>
      <c r="C5" s="286"/>
      <c r="D5" s="286"/>
      <c r="E5" s="286"/>
      <c r="F5" s="165"/>
      <c r="G5" s="164" t="s">
        <v>98</v>
      </c>
      <c r="H5" s="60">
        <v>44121</v>
      </c>
      <c r="I5" s="61">
        <f>H5/C69</f>
        <v>738.95239291546284</v>
      </c>
      <c r="J5" s="62">
        <f>I5/1000</f>
        <v>0.73895239291546289</v>
      </c>
      <c r="K5" s="63">
        <f>J5*$H$22/1000</f>
        <v>0.65027810576560741</v>
      </c>
    </row>
    <row r="6" spans="1:11" ht="15" thickBot="1" x14ac:dyDescent="0.35">
      <c r="A6" s="51">
        <v>43466</v>
      </c>
      <c r="B6" s="52">
        <v>22.225999999999999</v>
      </c>
      <c r="C6" s="52">
        <v>20.218</v>
      </c>
      <c r="D6" s="53">
        <f>B6/C22</f>
        <v>0.597762358130278</v>
      </c>
      <c r="E6" s="53">
        <f>C6/C22</f>
        <v>0.54375773223602819</v>
      </c>
      <c r="G6" s="166" t="s">
        <v>99</v>
      </c>
      <c r="H6" s="60">
        <v>38486</v>
      </c>
      <c r="I6" s="61">
        <f>H6/C65</f>
        <v>645.00775128838984</v>
      </c>
      <c r="J6" s="62">
        <f t="shared" ref="J6:J16" si="0">I6/1000</f>
        <v>0.64500775128838983</v>
      </c>
      <c r="K6" s="63">
        <f t="shared" ref="K6:K16" si="1">J6*$H$22/1000</f>
        <v>0.56760682113378302</v>
      </c>
    </row>
    <row r="7" spans="1:11" ht="15" thickBot="1" x14ac:dyDescent="0.35">
      <c r="A7" s="51">
        <v>43497</v>
      </c>
      <c r="B7" s="52">
        <v>22.547000000000001</v>
      </c>
      <c r="C7" s="52">
        <v>20.725999999999999</v>
      </c>
      <c r="D7" s="53">
        <f>B7/C27</f>
        <v>0.58050978372811535</v>
      </c>
      <c r="E7" s="53">
        <f>C7/C27</f>
        <v>0.53362512873326462</v>
      </c>
      <c r="G7" s="60" t="s">
        <v>100</v>
      </c>
      <c r="H7" s="60">
        <v>35635</v>
      </c>
      <c r="I7" s="61">
        <f>H7/C61</f>
        <v>606.55319148936167</v>
      </c>
      <c r="J7" s="62">
        <f t="shared" si="0"/>
        <v>0.60655319148936171</v>
      </c>
      <c r="K7" s="63">
        <f t="shared" si="1"/>
        <v>0.53376680851063829</v>
      </c>
    </row>
    <row r="8" spans="1:11" ht="15" thickBot="1" x14ac:dyDescent="0.35">
      <c r="A8" s="51">
        <v>43525</v>
      </c>
      <c r="B8" s="52">
        <v>22.547000000000001</v>
      </c>
      <c r="C8" s="52">
        <v>20.725999999999999</v>
      </c>
      <c r="D8" s="53">
        <f>B8/C31</f>
        <v>0.54290874066939565</v>
      </c>
      <c r="E8" s="53">
        <f>C8/C31</f>
        <v>0.49906091981699974</v>
      </c>
      <c r="G8" s="60" t="s">
        <v>101</v>
      </c>
      <c r="H8" s="60">
        <v>33618</v>
      </c>
      <c r="I8" s="61">
        <f>H8/C57</f>
        <v>595.7997341603899</v>
      </c>
      <c r="J8" s="62">
        <f t="shared" si="0"/>
        <v>0.59579973416038989</v>
      </c>
      <c r="K8" s="63">
        <f t="shared" si="1"/>
        <v>0.52430376606114304</v>
      </c>
    </row>
    <row r="9" spans="1:11" ht="15" thickBot="1" x14ac:dyDescent="0.35">
      <c r="A9" s="51">
        <v>43556</v>
      </c>
      <c r="B9" s="52">
        <v>22.731999999999999</v>
      </c>
      <c r="C9" s="52">
        <v>20.867000000000001</v>
      </c>
      <c r="D9" s="53">
        <f>B9/C35</f>
        <v>0.52374863199124477</v>
      </c>
      <c r="E9" s="53">
        <f>C9/C35</f>
        <v>0.48077875698404476</v>
      </c>
      <c r="G9" s="167">
        <v>43678</v>
      </c>
      <c r="H9" s="60">
        <v>31549</v>
      </c>
      <c r="I9" s="61">
        <f>H9/C52</f>
        <v>608.30248341817048</v>
      </c>
      <c r="J9" s="62">
        <f t="shared" si="0"/>
        <v>0.6083024834181705</v>
      </c>
      <c r="K9" s="63">
        <f t="shared" si="1"/>
        <v>0.53530618540799002</v>
      </c>
    </row>
    <row r="10" spans="1:11" ht="15" thickBot="1" x14ac:dyDescent="0.35">
      <c r="A10" s="51">
        <v>43586</v>
      </c>
      <c r="B10" s="52">
        <v>23.408999999999999</v>
      </c>
      <c r="C10" s="52">
        <v>21.27</v>
      </c>
      <c r="D10" s="53">
        <f>B10/C39</f>
        <v>0.52357414448669193</v>
      </c>
      <c r="E10" s="53">
        <f>C10/C39</f>
        <v>0.4757324983225229</v>
      </c>
      <c r="G10" s="60" t="s">
        <v>102</v>
      </c>
      <c r="H10" s="60">
        <v>31549</v>
      </c>
      <c r="I10" s="61">
        <f>H10/C48</f>
        <v>746.98709601041787</v>
      </c>
      <c r="J10" s="62">
        <f t="shared" si="0"/>
        <v>0.74698709601041791</v>
      </c>
      <c r="K10" s="63">
        <f t="shared" si="1"/>
        <v>0.65734864448916774</v>
      </c>
    </row>
    <row r="11" spans="1:11" ht="15" thickBot="1" x14ac:dyDescent="0.35">
      <c r="A11" s="51">
        <v>43617</v>
      </c>
      <c r="B11" s="52">
        <v>24.073</v>
      </c>
      <c r="C11" s="52">
        <v>21.800999999999998</v>
      </c>
      <c r="D11" s="53">
        <f>B11/C44</f>
        <v>0.55346591562248537</v>
      </c>
      <c r="E11" s="53">
        <f>C11/C44</f>
        <v>0.50123002643982062</v>
      </c>
      <c r="G11" s="60" t="s">
        <v>103</v>
      </c>
      <c r="H11" s="60">
        <v>30482</v>
      </c>
      <c r="I11" s="61">
        <f>H11/C48</f>
        <v>721.72368888362735</v>
      </c>
      <c r="J11" s="62">
        <f t="shared" si="0"/>
        <v>0.72172368888362737</v>
      </c>
      <c r="K11" s="63">
        <f t="shared" si="1"/>
        <v>0.63511684621759212</v>
      </c>
    </row>
    <row r="12" spans="1:11" ht="15" thickBot="1" x14ac:dyDescent="0.35">
      <c r="A12" s="51">
        <v>43647</v>
      </c>
      <c r="B12" s="52">
        <v>24.916</v>
      </c>
      <c r="C12" s="52">
        <v>22.564</v>
      </c>
      <c r="D12" s="53">
        <f>B12/C48</f>
        <v>0.58993725583047241</v>
      </c>
      <c r="E12" s="53">
        <f>C12/C48</f>
        <v>0.53424884574405118</v>
      </c>
      <c r="G12" s="60" t="s">
        <v>104</v>
      </c>
      <c r="H12" s="60">
        <v>29739</v>
      </c>
      <c r="I12" s="61">
        <f>H12/C44</f>
        <v>683.73376250143701</v>
      </c>
      <c r="J12" s="62">
        <f t="shared" si="0"/>
        <v>0.68373376250143703</v>
      </c>
      <c r="K12" s="63">
        <f t="shared" si="1"/>
        <v>0.60168571100126467</v>
      </c>
    </row>
    <row r="13" spans="1:11" ht="15" thickBot="1" x14ac:dyDescent="0.35">
      <c r="A13" s="51">
        <v>43678</v>
      </c>
      <c r="B13" s="52">
        <v>25.663</v>
      </c>
      <c r="C13" s="52">
        <v>23.241</v>
      </c>
      <c r="D13" s="53">
        <f>B13/C52</f>
        <v>0.49481335801326537</v>
      </c>
      <c r="E13" s="53">
        <f>C13/C52</f>
        <v>0.44811429893567784</v>
      </c>
      <c r="G13" s="168">
        <v>43556</v>
      </c>
      <c r="H13" s="60">
        <v>28734</v>
      </c>
      <c r="I13" s="61">
        <f>H13/C35</f>
        <v>662.03559702782104</v>
      </c>
      <c r="J13" s="62">
        <f t="shared" si="0"/>
        <v>0.662035597027821</v>
      </c>
      <c r="K13" s="63">
        <f t="shared" si="1"/>
        <v>0.58259132538448255</v>
      </c>
    </row>
    <row r="14" spans="1:11" ht="15" thickBot="1" x14ac:dyDescent="0.35">
      <c r="A14" s="51">
        <v>43709</v>
      </c>
      <c r="B14" s="52">
        <v>25.663</v>
      </c>
      <c r="C14" s="52">
        <v>23.241</v>
      </c>
      <c r="D14" s="53">
        <f>B14/C57</f>
        <v>0.45481612760301288</v>
      </c>
      <c r="E14" s="53">
        <f>C14/C57</f>
        <v>0.4118918918918919</v>
      </c>
      <c r="G14" s="166" t="s">
        <v>105</v>
      </c>
      <c r="H14" s="60">
        <v>27660</v>
      </c>
      <c r="I14" s="61">
        <f>H14/C31</f>
        <v>666.02456055863229</v>
      </c>
      <c r="J14" s="62">
        <f t="shared" si="0"/>
        <v>0.66602456055863224</v>
      </c>
      <c r="K14" s="63">
        <f t="shared" si="1"/>
        <v>0.58610161329159627</v>
      </c>
    </row>
    <row r="15" spans="1:11" ht="15" thickBot="1" x14ac:dyDescent="0.35">
      <c r="A15" s="51">
        <v>43739</v>
      </c>
      <c r="B15" s="52">
        <v>27.202999999999999</v>
      </c>
      <c r="C15" s="52">
        <v>24.635000000000002</v>
      </c>
      <c r="D15" s="53">
        <f>B15/C61</f>
        <v>0.46302978723404248</v>
      </c>
      <c r="E15" s="53">
        <f>C15/C61</f>
        <v>0.41931914893617017</v>
      </c>
      <c r="G15" s="166" t="s">
        <v>106</v>
      </c>
      <c r="H15" s="60">
        <v>27660</v>
      </c>
      <c r="I15" s="61">
        <f>H15/C27</f>
        <v>712.15242018537583</v>
      </c>
      <c r="J15" s="62">
        <f t="shared" si="0"/>
        <v>0.71215242018537583</v>
      </c>
      <c r="K15" s="63">
        <f t="shared" si="1"/>
        <v>0.62669412976313077</v>
      </c>
    </row>
    <row r="16" spans="1:11" ht="15" thickBot="1" x14ac:dyDescent="0.35">
      <c r="A16" s="51">
        <v>43770</v>
      </c>
      <c r="B16" s="52">
        <v>28.844999999999999</v>
      </c>
      <c r="C16" s="52">
        <v>26.606000000000002</v>
      </c>
      <c r="D16" s="53">
        <f>B16/C65</f>
        <v>0.48342900238823483</v>
      </c>
      <c r="E16" s="53">
        <f>C16/C65</f>
        <v>0.44590438681024014</v>
      </c>
      <c r="G16" s="60" t="s">
        <v>107</v>
      </c>
      <c r="H16" s="60">
        <v>28341</v>
      </c>
      <c r="I16" s="61">
        <f>H16/C22</f>
        <v>762.22365660803609</v>
      </c>
      <c r="J16" s="62">
        <f t="shared" si="0"/>
        <v>0.76222365660803615</v>
      </c>
      <c r="K16" s="63">
        <f t="shared" si="1"/>
        <v>0.67075681781507179</v>
      </c>
    </row>
    <row r="17" spans="1:12" ht="15" thickBot="1" x14ac:dyDescent="0.35">
      <c r="A17" s="51">
        <v>43800</v>
      </c>
      <c r="B17" s="52">
        <v>29.808</v>
      </c>
      <c r="C17" s="52">
        <v>29.808</v>
      </c>
      <c r="D17" s="53">
        <f>B17/C69</f>
        <v>0.49923376460243685</v>
      </c>
      <c r="E17" s="53">
        <f>C17/C69</f>
        <v>0.49923376460243685</v>
      </c>
      <c r="G17" s="40"/>
      <c r="H17" s="170">
        <f>AVERAGE(H5:H16)</f>
        <v>32297.833333333332</v>
      </c>
      <c r="I17" s="169">
        <f>AVERAGE(I5:I16)</f>
        <v>679.12469458726025</v>
      </c>
      <c r="J17" s="54">
        <f>AVERAGE(J5:J16)</f>
        <v>0.67912469458726032</v>
      </c>
      <c r="K17" s="169">
        <f>AVERAGE(K5:K16)</f>
        <v>0.59762973123678897</v>
      </c>
      <c r="L17" s="41"/>
    </row>
    <row r="18" spans="1:12" x14ac:dyDescent="0.3">
      <c r="D18" s="54">
        <f>AVERAGE(D6:D17)</f>
        <v>0.5256024058583062</v>
      </c>
      <c r="E18" s="54">
        <f>AVERAGE(E6:E17)</f>
        <v>0.48274144995442908</v>
      </c>
      <c r="J18" s="39"/>
    </row>
    <row r="21" spans="1:12" x14ac:dyDescent="0.3">
      <c r="A21" s="56">
        <v>2019</v>
      </c>
      <c r="B21" s="56" t="s">
        <v>78</v>
      </c>
      <c r="C21" s="57" t="s">
        <v>79</v>
      </c>
      <c r="F21" s="66"/>
      <c r="H21" t="s">
        <v>108</v>
      </c>
      <c r="I21" t="s">
        <v>109</v>
      </c>
      <c r="J21" t="s">
        <v>110</v>
      </c>
    </row>
    <row r="22" spans="1:12" x14ac:dyDescent="0.3">
      <c r="A22" s="291" t="s">
        <v>80</v>
      </c>
      <c r="B22" s="55">
        <v>37.340000000000003</v>
      </c>
      <c r="C22" s="287">
        <f>AVERAGE(B22:B26)</f>
        <v>37.182000000000002</v>
      </c>
      <c r="E22" s="57" t="s">
        <v>112</v>
      </c>
      <c r="F22" s="57">
        <v>2019</v>
      </c>
      <c r="H22">
        <v>880</v>
      </c>
      <c r="I22">
        <v>9000</v>
      </c>
      <c r="J22">
        <v>37.681199999999997</v>
      </c>
    </row>
    <row r="23" spans="1:12" x14ac:dyDescent="0.3">
      <c r="A23" s="292"/>
      <c r="B23" s="55">
        <v>36.86</v>
      </c>
      <c r="C23" s="287"/>
      <c r="E23" s="67">
        <v>43466</v>
      </c>
      <c r="F23" s="68">
        <v>636.77637903576647</v>
      </c>
    </row>
    <row r="24" spans="1:12" x14ac:dyDescent="0.3">
      <c r="A24" s="292"/>
      <c r="B24" s="55">
        <v>37.58</v>
      </c>
      <c r="C24" s="287"/>
      <c r="E24" s="69" t="s">
        <v>113</v>
      </c>
      <c r="F24" s="68">
        <v>980.90620153909981</v>
      </c>
    </row>
    <row r="25" spans="1:12" x14ac:dyDescent="0.3">
      <c r="A25" s="292"/>
      <c r="B25" s="55">
        <v>37.01</v>
      </c>
      <c r="C25" s="287"/>
      <c r="E25" s="67">
        <v>43525</v>
      </c>
      <c r="F25" s="68">
        <v>1057.4375880973835</v>
      </c>
    </row>
    <row r="26" spans="1:12" x14ac:dyDescent="0.3">
      <c r="A26" s="293"/>
      <c r="B26" s="55">
        <v>37.119999999999997</v>
      </c>
      <c r="C26" s="287"/>
      <c r="E26" s="67">
        <v>43556</v>
      </c>
      <c r="F26" s="68">
        <v>1097.1349714992048</v>
      </c>
    </row>
    <row r="27" spans="1:12" x14ac:dyDescent="0.3">
      <c r="A27" s="288" t="s">
        <v>81</v>
      </c>
      <c r="B27" s="55">
        <v>37.82</v>
      </c>
      <c r="C27" s="287">
        <f>AVERAGE(B27:B30)</f>
        <v>38.840000000000003</v>
      </c>
      <c r="E27" s="67">
        <v>43586</v>
      </c>
      <c r="F27" s="68">
        <v>1139.2409554915744</v>
      </c>
    </row>
    <row r="28" spans="1:12" x14ac:dyDescent="0.3">
      <c r="A28" s="289"/>
      <c r="B28" s="55">
        <v>38.58</v>
      </c>
      <c r="C28" s="287"/>
      <c r="E28" s="67">
        <v>43617</v>
      </c>
      <c r="F28" s="68">
        <v>1073.288922920055</v>
      </c>
    </row>
    <row r="29" spans="1:12" x14ac:dyDescent="0.3">
      <c r="A29" s="289"/>
      <c r="B29" s="55">
        <v>39.17</v>
      </c>
      <c r="C29" s="287"/>
      <c r="E29" s="67">
        <v>43647</v>
      </c>
      <c r="F29" s="68">
        <v>1040.6721322276749</v>
      </c>
    </row>
    <row r="30" spans="1:12" x14ac:dyDescent="0.3">
      <c r="A30" s="290"/>
      <c r="B30" s="55">
        <v>39.79</v>
      </c>
      <c r="C30" s="287"/>
      <c r="E30" s="67">
        <v>43678</v>
      </c>
      <c r="F30" s="68">
        <v>980.44717453954286</v>
      </c>
    </row>
    <row r="31" spans="1:12" x14ac:dyDescent="0.3">
      <c r="A31" s="288" t="s">
        <v>82</v>
      </c>
      <c r="B31" s="55">
        <v>41.12</v>
      </c>
      <c r="C31" s="287">
        <f>AVERAGE(B31:B34)</f>
        <v>41.53</v>
      </c>
      <c r="E31" s="67">
        <v>43709</v>
      </c>
      <c r="F31" s="68">
        <v>954.86448161746716</v>
      </c>
    </row>
    <row r="32" spans="1:12" x14ac:dyDescent="0.3">
      <c r="A32" s="289"/>
      <c r="B32" s="55">
        <v>39.979999999999997</v>
      </c>
      <c r="C32" s="287"/>
      <c r="E32" s="67">
        <v>43739</v>
      </c>
      <c r="F32" s="68">
        <v>889.54111887256545</v>
      </c>
    </row>
    <row r="33" spans="1:6" x14ac:dyDescent="0.3">
      <c r="A33" s="289"/>
      <c r="B33" s="55">
        <v>41.74</v>
      </c>
      <c r="C33" s="287"/>
      <c r="E33" s="67">
        <v>43770</v>
      </c>
      <c r="F33" s="68">
        <v>929.40090001809585</v>
      </c>
    </row>
    <row r="34" spans="1:6" x14ac:dyDescent="0.3">
      <c r="A34" s="290"/>
      <c r="B34" s="55">
        <v>43.28</v>
      </c>
      <c r="C34" s="287"/>
      <c r="E34" s="67">
        <v>43800</v>
      </c>
      <c r="F34" s="68">
        <v>987.13215871116495</v>
      </c>
    </row>
    <row r="35" spans="1:6" x14ac:dyDescent="0.3">
      <c r="A35" s="291" t="s">
        <v>83</v>
      </c>
      <c r="B35" s="55">
        <v>43.87</v>
      </c>
      <c r="C35" s="287">
        <f>AVERAGE(B35:B38)</f>
        <v>43.402499999999996</v>
      </c>
      <c r="E35" s="57" t="s">
        <v>111</v>
      </c>
      <c r="F35" s="70">
        <f>AVERAGE(F23:F34)</f>
        <v>980.57024871413296</v>
      </c>
    </row>
    <row r="36" spans="1:6" x14ac:dyDescent="0.3">
      <c r="A36" s="292"/>
      <c r="B36" s="55">
        <v>42.14</v>
      </c>
      <c r="C36" s="287"/>
      <c r="E36" s="57" t="s">
        <v>97</v>
      </c>
      <c r="F36" s="71">
        <f>F35/1000</f>
        <v>0.98057024871413301</v>
      </c>
    </row>
    <row r="37" spans="1:6" x14ac:dyDescent="0.3">
      <c r="A37" s="292"/>
      <c r="B37" s="55">
        <v>41.79</v>
      </c>
      <c r="C37" s="287"/>
    </row>
    <row r="38" spans="1:6" ht="15" thickBot="1" x14ac:dyDescent="0.35">
      <c r="A38" s="293"/>
      <c r="B38" s="55">
        <v>45.81</v>
      </c>
      <c r="C38" s="287"/>
      <c r="E38" s="135" t="s">
        <v>27</v>
      </c>
      <c r="F38" s="3" t="s">
        <v>232</v>
      </c>
    </row>
    <row r="39" spans="1:6" ht="16.2" thickBot="1" x14ac:dyDescent="0.35">
      <c r="A39" s="291" t="s">
        <v>84</v>
      </c>
      <c r="B39" s="55">
        <v>44.44</v>
      </c>
      <c r="C39" s="295">
        <f>AVERAGE(B39:B43)</f>
        <v>44.71</v>
      </c>
      <c r="D39" s="173" t="s">
        <v>278</v>
      </c>
      <c r="E39" s="144" t="s">
        <v>234</v>
      </c>
      <c r="F39" s="145" t="s">
        <v>235</v>
      </c>
    </row>
    <row r="40" spans="1:6" ht="15.6" x14ac:dyDescent="0.3">
      <c r="A40" s="292"/>
      <c r="B40" s="55">
        <v>44.72</v>
      </c>
      <c r="C40" s="295"/>
      <c r="D40" s="152" t="s">
        <v>237</v>
      </c>
      <c r="E40" s="146" t="s">
        <v>236</v>
      </c>
      <c r="F40" s="147" t="s">
        <v>236</v>
      </c>
    </row>
    <row r="41" spans="1:6" ht="15.6" x14ac:dyDescent="0.3">
      <c r="A41" s="292"/>
      <c r="B41" s="55">
        <v>44.95</v>
      </c>
      <c r="C41" s="295"/>
      <c r="D41" s="171" t="s">
        <v>238</v>
      </c>
      <c r="E41" s="148">
        <v>0.91300000000000003</v>
      </c>
      <c r="F41" s="149">
        <v>0.84199999999999997</v>
      </c>
    </row>
    <row r="42" spans="1:6" ht="15.6" x14ac:dyDescent="0.3">
      <c r="A42" s="292"/>
      <c r="B42" s="55">
        <v>44.75</v>
      </c>
      <c r="C42" s="295"/>
      <c r="D42" s="171" t="s">
        <v>239</v>
      </c>
      <c r="E42" s="148">
        <v>0.45</v>
      </c>
      <c r="F42" s="149">
        <v>0.40799999999999997</v>
      </c>
    </row>
    <row r="43" spans="1:6" ht="15.6" x14ac:dyDescent="0.3">
      <c r="A43" s="293"/>
      <c r="B43" s="55">
        <v>44.69</v>
      </c>
      <c r="C43" s="295"/>
      <c r="D43" s="153" t="s">
        <v>240</v>
      </c>
      <c r="E43" s="146" t="s">
        <v>236</v>
      </c>
      <c r="F43" s="147" t="s">
        <v>236</v>
      </c>
    </row>
    <row r="44" spans="1:6" ht="15.6" x14ac:dyDescent="0.3">
      <c r="A44" s="291" t="s">
        <v>85</v>
      </c>
      <c r="B44" s="55">
        <v>44.84</v>
      </c>
      <c r="C44" s="295">
        <f>AVERAGE(B44:B47)</f>
        <v>43.494999999999997</v>
      </c>
      <c r="D44" s="171" t="s">
        <v>238</v>
      </c>
      <c r="E44" s="148">
        <v>0.85399999999999998</v>
      </c>
      <c r="F44" s="149">
        <v>0.78800000000000003</v>
      </c>
    </row>
    <row r="45" spans="1:6" ht="16.2" thickBot="1" x14ac:dyDescent="0.35">
      <c r="A45" s="292"/>
      <c r="B45" s="55">
        <v>43.95</v>
      </c>
      <c r="C45" s="295"/>
      <c r="D45" s="172" t="s">
        <v>239</v>
      </c>
      <c r="E45" s="150">
        <v>0.47199999999999998</v>
      </c>
      <c r="F45" s="151">
        <v>0.42899999999999999</v>
      </c>
    </row>
    <row r="46" spans="1:6" x14ac:dyDescent="0.3">
      <c r="A46" s="292"/>
      <c r="B46" s="55">
        <v>42.72</v>
      </c>
      <c r="C46" s="287"/>
    </row>
    <row r="47" spans="1:6" x14ac:dyDescent="0.3">
      <c r="A47" s="293"/>
      <c r="B47" s="55">
        <v>42.47</v>
      </c>
      <c r="C47" s="287"/>
    </row>
    <row r="48" spans="1:6" x14ac:dyDescent="0.3">
      <c r="A48" s="291" t="s">
        <v>86</v>
      </c>
      <c r="B48" s="55">
        <v>41.8</v>
      </c>
      <c r="C48" s="287">
        <f>AVERAGE(B48:B51)</f>
        <v>42.234999999999999</v>
      </c>
    </row>
    <row r="49" spans="1:3" x14ac:dyDescent="0.3">
      <c r="A49" s="292"/>
      <c r="B49" s="55">
        <v>41.59</v>
      </c>
      <c r="C49" s="287"/>
    </row>
    <row r="50" spans="1:3" x14ac:dyDescent="0.3">
      <c r="A50" s="292"/>
      <c r="B50" s="55">
        <v>42.28</v>
      </c>
      <c r="C50" s="287"/>
    </row>
    <row r="51" spans="1:3" x14ac:dyDescent="0.3">
      <c r="A51" s="293"/>
      <c r="B51" s="55">
        <v>43.27</v>
      </c>
      <c r="C51" s="287"/>
    </row>
    <row r="52" spans="1:3" x14ac:dyDescent="0.3">
      <c r="A52" s="291" t="s">
        <v>87</v>
      </c>
      <c r="B52" s="55">
        <v>44.59</v>
      </c>
      <c r="C52" s="287">
        <f>AVERAGE(B52:B56)</f>
        <v>51.864000000000011</v>
      </c>
    </row>
    <row r="53" spans="1:3" x14ac:dyDescent="0.3">
      <c r="A53" s="292"/>
      <c r="B53" s="55">
        <v>45.25</v>
      </c>
      <c r="C53" s="287"/>
    </row>
    <row r="54" spans="1:3" x14ac:dyDescent="0.3">
      <c r="A54" s="292"/>
      <c r="B54" s="55">
        <v>54.83</v>
      </c>
      <c r="C54" s="287"/>
    </row>
    <row r="55" spans="1:3" x14ac:dyDescent="0.3">
      <c r="A55" s="292"/>
      <c r="B55" s="55">
        <v>55.15</v>
      </c>
      <c r="C55" s="287"/>
    </row>
    <row r="56" spans="1:3" x14ac:dyDescent="0.3">
      <c r="A56" s="293"/>
      <c r="B56" s="55">
        <v>59.5</v>
      </c>
      <c r="C56" s="287"/>
    </row>
    <row r="57" spans="1:3" x14ac:dyDescent="0.3">
      <c r="A57" s="291" t="s">
        <v>88</v>
      </c>
      <c r="B57" s="55">
        <v>55.8</v>
      </c>
      <c r="C57" s="287">
        <f>AVERAGE(B57:B60)</f>
        <v>56.424999999999997</v>
      </c>
    </row>
    <row r="58" spans="1:3" x14ac:dyDescent="0.3">
      <c r="A58" s="292"/>
      <c r="B58" s="55">
        <v>55.92</v>
      </c>
      <c r="C58" s="287"/>
    </row>
    <row r="59" spans="1:3" x14ac:dyDescent="0.3">
      <c r="A59" s="292"/>
      <c r="B59" s="55">
        <v>56.66</v>
      </c>
      <c r="C59" s="287"/>
    </row>
    <row r="60" spans="1:3" x14ac:dyDescent="0.3">
      <c r="A60" s="293"/>
      <c r="B60" s="55">
        <v>57.32</v>
      </c>
      <c r="C60" s="287"/>
    </row>
    <row r="61" spans="1:3" x14ac:dyDescent="0.3">
      <c r="A61" s="291" t="s">
        <v>89</v>
      </c>
      <c r="B61" s="55">
        <v>57.54</v>
      </c>
      <c r="C61" s="287">
        <f>AVERAGE(B61:B64)</f>
        <v>58.750000000000007</v>
      </c>
    </row>
    <row r="62" spans="1:3" x14ac:dyDescent="0.3">
      <c r="A62" s="292"/>
      <c r="B62" s="55">
        <v>58.02</v>
      </c>
      <c r="C62" s="287"/>
    </row>
    <row r="63" spans="1:3" x14ac:dyDescent="0.3">
      <c r="A63" s="292"/>
      <c r="B63" s="55">
        <v>59.92</v>
      </c>
      <c r="C63" s="287"/>
    </row>
    <row r="64" spans="1:3" x14ac:dyDescent="0.3">
      <c r="A64" s="293"/>
      <c r="B64" s="55">
        <v>59.52</v>
      </c>
      <c r="C64" s="287"/>
    </row>
    <row r="65" spans="1:3" x14ac:dyDescent="0.3">
      <c r="A65" s="291" t="s">
        <v>90</v>
      </c>
      <c r="B65" s="55">
        <v>59.49</v>
      </c>
      <c r="C65" s="287">
        <f>AVERAGE(B65:B68)</f>
        <v>59.667499999999997</v>
      </c>
    </row>
    <row r="66" spans="1:3" x14ac:dyDescent="0.3">
      <c r="A66" s="292"/>
      <c r="B66" s="55">
        <v>59.49</v>
      </c>
      <c r="C66" s="287"/>
    </row>
    <row r="67" spans="1:3" x14ac:dyDescent="0.3">
      <c r="A67" s="292"/>
      <c r="B67" s="55">
        <v>59.78</v>
      </c>
      <c r="C67" s="287"/>
    </row>
    <row r="68" spans="1:3" x14ac:dyDescent="0.3">
      <c r="A68" s="293"/>
      <c r="B68" s="55">
        <v>59.91</v>
      </c>
      <c r="C68" s="287"/>
    </row>
    <row r="69" spans="1:3" x14ac:dyDescent="0.3">
      <c r="A69" s="291" t="s">
        <v>91</v>
      </c>
      <c r="B69" s="55">
        <v>59.76</v>
      </c>
      <c r="C69" s="287">
        <f>AVERAGE(B69:B72)</f>
        <v>59.707500000000003</v>
      </c>
    </row>
    <row r="70" spans="1:3" x14ac:dyDescent="0.3">
      <c r="A70" s="292"/>
      <c r="B70" s="55">
        <v>59.63</v>
      </c>
      <c r="C70" s="287"/>
    </row>
    <row r="71" spans="1:3" x14ac:dyDescent="0.3">
      <c r="A71" s="292"/>
      <c r="B71" s="55">
        <v>59.63</v>
      </c>
      <c r="C71" s="287"/>
    </row>
    <row r="72" spans="1:3" x14ac:dyDescent="0.3">
      <c r="A72" s="293"/>
      <c r="B72" s="55">
        <v>59.81</v>
      </c>
      <c r="C72" s="287"/>
    </row>
    <row r="73" spans="1:3" x14ac:dyDescent="0.3">
      <c r="A73" s="58" t="s">
        <v>92</v>
      </c>
      <c r="B73" s="59">
        <f>AVERAGE(B22:B72)</f>
        <v>47.940980392156867</v>
      </c>
    </row>
  </sheetData>
  <mergeCells count="30">
    <mergeCell ref="A65:A68"/>
    <mergeCell ref="C65:C68"/>
    <mergeCell ref="A69:A72"/>
    <mergeCell ref="C69:C72"/>
    <mergeCell ref="C1:E1"/>
    <mergeCell ref="A52:A56"/>
    <mergeCell ref="C52:C56"/>
    <mergeCell ref="A57:A60"/>
    <mergeCell ref="C57:C60"/>
    <mergeCell ref="A61:A64"/>
    <mergeCell ref="C61:C64"/>
    <mergeCell ref="A39:A43"/>
    <mergeCell ref="C39:C43"/>
    <mergeCell ref="A44:A47"/>
    <mergeCell ref="C44:C47"/>
    <mergeCell ref="A48:A51"/>
    <mergeCell ref="D4:D5"/>
    <mergeCell ref="E4:E5"/>
    <mergeCell ref="C48:C51"/>
    <mergeCell ref="A27:A30"/>
    <mergeCell ref="C27:C30"/>
    <mergeCell ref="A31:A34"/>
    <mergeCell ref="C31:C34"/>
    <mergeCell ref="A35:A38"/>
    <mergeCell ref="C35:C38"/>
    <mergeCell ref="A22:A26"/>
    <mergeCell ref="C22:C26"/>
    <mergeCell ref="A4:A5"/>
    <mergeCell ref="B4:B5"/>
    <mergeCell ref="C4:C5"/>
  </mergeCells>
  <hyperlinks>
    <hyperlink ref="F38" r:id="rId1" xr:uid="{5D427B3B-CA9A-48C2-889A-97F3B2D9BEE8}"/>
    <hyperlink ref="G1" r:id="rId2" xr:uid="{A28E2B77-5FE4-49F9-9046-29FF632E82D8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FAFD-5348-44B3-9865-44003381CA4D}">
  <dimension ref="A1:Z61"/>
  <sheetViews>
    <sheetView topLeftCell="A25" workbookViewId="0">
      <selection activeCell="M29" sqref="M29"/>
    </sheetView>
  </sheetViews>
  <sheetFormatPr defaultRowHeight="14.4" x14ac:dyDescent="0.3"/>
  <cols>
    <col min="2" max="2" width="32.88671875" bestFit="1" customWidth="1"/>
  </cols>
  <sheetData>
    <row r="1" spans="1:26" ht="15.6" x14ac:dyDescent="0.3">
      <c r="A1" s="74"/>
      <c r="B1" s="75"/>
      <c r="C1" s="297" t="s">
        <v>117</v>
      </c>
      <c r="D1" s="297"/>
      <c r="E1" s="297"/>
      <c r="F1" s="297"/>
      <c r="G1" s="297"/>
      <c r="H1" s="297"/>
      <c r="I1" s="297"/>
      <c r="J1" s="298"/>
      <c r="K1" s="299" t="s">
        <v>118</v>
      </c>
      <c r="L1" s="300"/>
      <c r="M1" s="300"/>
      <c r="N1" s="300"/>
      <c r="O1" s="300"/>
      <c r="P1" s="300"/>
      <c r="Q1" s="300"/>
      <c r="R1" s="301"/>
      <c r="S1" s="302" t="s">
        <v>119</v>
      </c>
      <c r="T1" s="297"/>
      <c r="U1" s="297"/>
      <c r="V1" s="297"/>
      <c r="W1" s="297"/>
      <c r="X1" s="297"/>
      <c r="Y1" s="297"/>
      <c r="Z1" s="298"/>
    </row>
    <row r="2" spans="1:26" ht="15.6" x14ac:dyDescent="0.3">
      <c r="A2" s="74"/>
      <c r="B2" s="72"/>
      <c r="C2" s="303" t="s">
        <v>1</v>
      </c>
      <c r="D2" s="305" t="s">
        <v>120</v>
      </c>
      <c r="E2" s="307" t="s">
        <v>121</v>
      </c>
      <c r="F2" s="309" t="s">
        <v>122</v>
      </c>
      <c r="G2" s="307" t="s">
        <v>123</v>
      </c>
      <c r="H2" s="307" t="s">
        <v>124</v>
      </c>
      <c r="I2" s="307" t="s">
        <v>125</v>
      </c>
      <c r="J2" s="312" t="s">
        <v>126</v>
      </c>
      <c r="K2" s="314" t="s">
        <v>127</v>
      </c>
      <c r="L2" s="315"/>
      <c r="M2" s="336" t="s">
        <v>128</v>
      </c>
      <c r="N2" s="323" t="s">
        <v>129</v>
      </c>
      <c r="O2" s="323" t="s">
        <v>130</v>
      </c>
      <c r="P2" s="336" t="s">
        <v>131</v>
      </c>
      <c r="Q2" s="336" t="s">
        <v>132</v>
      </c>
      <c r="R2" s="336" t="s">
        <v>133</v>
      </c>
      <c r="S2" s="318" t="s">
        <v>134</v>
      </c>
      <c r="T2" s="320" t="s">
        <v>135</v>
      </c>
      <c r="U2" s="321"/>
      <c r="V2" s="321"/>
      <c r="W2" s="321"/>
      <c r="X2" s="321"/>
      <c r="Y2" s="321"/>
      <c r="Z2" s="322"/>
    </row>
    <row r="3" spans="1:26" ht="15.6" x14ac:dyDescent="0.3">
      <c r="A3" s="74"/>
      <c r="B3" s="72"/>
      <c r="C3" s="304"/>
      <c r="D3" s="306"/>
      <c r="E3" s="308"/>
      <c r="F3" s="310"/>
      <c r="G3" s="308"/>
      <c r="H3" s="308"/>
      <c r="I3" s="308"/>
      <c r="J3" s="312"/>
      <c r="K3" s="316"/>
      <c r="L3" s="317"/>
      <c r="M3" s="337"/>
      <c r="N3" s="324"/>
      <c r="O3" s="324"/>
      <c r="P3" s="337"/>
      <c r="Q3" s="337"/>
      <c r="R3" s="337"/>
      <c r="S3" s="308"/>
      <c r="T3" s="326" t="s">
        <v>136</v>
      </c>
      <c r="U3" s="307" t="s">
        <v>137</v>
      </c>
      <c r="V3" s="327"/>
      <c r="W3" s="328"/>
      <c r="X3" s="328"/>
      <c r="Y3" s="328"/>
      <c r="Z3" s="329"/>
    </row>
    <row r="4" spans="1:26" ht="15.6" x14ac:dyDescent="0.3">
      <c r="A4" s="74"/>
      <c r="B4" s="72"/>
      <c r="C4" s="304"/>
      <c r="D4" s="306"/>
      <c r="E4" s="308"/>
      <c r="F4" s="310"/>
      <c r="G4" s="308"/>
      <c r="H4" s="308"/>
      <c r="I4" s="308"/>
      <c r="J4" s="312"/>
      <c r="K4" s="339" t="s">
        <v>138</v>
      </c>
      <c r="L4" s="339" t="s">
        <v>139</v>
      </c>
      <c r="M4" s="337"/>
      <c r="N4" s="324"/>
      <c r="O4" s="324"/>
      <c r="P4" s="337"/>
      <c r="Q4" s="337"/>
      <c r="R4" s="337"/>
      <c r="S4" s="308"/>
      <c r="T4" s="312"/>
      <c r="U4" s="308"/>
      <c r="V4" s="311" t="s">
        <v>140</v>
      </c>
      <c r="W4" s="311" t="s">
        <v>141</v>
      </c>
      <c r="X4" s="311" t="s">
        <v>142</v>
      </c>
      <c r="Y4" s="311" t="s">
        <v>143</v>
      </c>
      <c r="Z4" s="311" t="s">
        <v>144</v>
      </c>
    </row>
    <row r="5" spans="1:26" ht="15.6" x14ac:dyDescent="0.3">
      <c r="A5" s="74"/>
      <c r="B5" s="76"/>
      <c r="C5" s="304"/>
      <c r="D5" s="306"/>
      <c r="E5" s="308"/>
      <c r="F5" s="310"/>
      <c r="G5" s="308"/>
      <c r="H5" s="308"/>
      <c r="I5" s="308"/>
      <c r="J5" s="312"/>
      <c r="K5" s="337"/>
      <c r="L5" s="337"/>
      <c r="M5" s="337"/>
      <c r="N5" s="324"/>
      <c r="O5" s="324"/>
      <c r="P5" s="337"/>
      <c r="Q5" s="337"/>
      <c r="R5" s="337"/>
      <c r="S5" s="308"/>
      <c r="T5" s="312"/>
      <c r="U5" s="308"/>
      <c r="V5" s="308"/>
      <c r="W5" s="308"/>
      <c r="X5" s="308"/>
      <c r="Y5" s="308"/>
      <c r="Z5" s="308"/>
    </row>
    <row r="6" spans="1:26" ht="15.6" x14ac:dyDescent="0.3">
      <c r="A6" s="74"/>
      <c r="B6" s="72"/>
      <c r="C6" s="304"/>
      <c r="D6" s="306"/>
      <c r="E6" s="308"/>
      <c r="F6" s="310"/>
      <c r="G6" s="308"/>
      <c r="H6" s="308"/>
      <c r="I6" s="308"/>
      <c r="J6" s="312"/>
      <c r="K6" s="337"/>
      <c r="L6" s="337"/>
      <c r="M6" s="337"/>
      <c r="N6" s="324"/>
      <c r="O6" s="324"/>
      <c r="P6" s="337"/>
      <c r="Q6" s="337"/>
      <c r="R6" s="337"/>
      <c r="S6" s="308"/>
      <c r="T6" s="312"/>
      <c r="U6" s="308"/>
      <c r="V6" s="308"/>
      <c r="W6" s="308"/>
      <c r="X6" s="308"/>
      <c r="Y6" s="308"/>
      <c r="Z6" s="308"/>
    </row>
    <row r="7" spans="1:26" ht="15.6" x14ac:dyDescent="0.3">
      <c r="A7" s="74"/>
      <c r="B7" s="77"/>
      <c r="C7" s="304"/>
      <c r="D7" s="306"/>
      <c r="E7" s="308"/>
      <c r="F7" s="310"/>
      <c r="G7" s="308"/>
      <c r="H7" s="308"/>
      <c r="I7" s="308"/>
      <c r="J7" s="312"/>
      <c r="K7" s="337"/>
      <c r="L7" s="337"/>
      <c r="M7" s="337"/>
      <c r="N7" s="324"/>
      <c r="O7" s="324"/>
      <c r="P7" s="337"/>
      <c r="Q7" s="337"/>
      <c r="R7" s="337"/>
      <c r="S7" s="308"/>
      <c r="T7" s="312"/>
      <c r="U7" s="308"/>
      <c r="V7" s="308"/>
      <c r="W7" s="308"/>
      <c r="X7" s="308"/>
      <c r="Y7" s="308"/>
      <c r="Z7" s="308"/>
    </row>
    <row r="8" spans="1:26" ht="15.6" x14ac:dyDescent="0.3">
      <c r="A8" s="74"/>
      <c r="B8" s="72"/>
      <c r="C8" s="304"/>
      <c r="D8" s="306"/>
      <c r="E8" s="308"/>
      <c r="F8" s="310"/>
      <c r="G8" s="308"/>
      <c r="H8" s="308"/>
      <c r="I8" s="308"/>
      <c r="J8" s="312"/>
      <c r="K8" s="337"/>
      <c r="L8" s="337"/>
      <c r="M8" s="337"/>
      <c r="N8" s="324"/>
      <c r="O8" s="324"/>
      <c r="P8" s="337"/>
      <c r="Q8" s="337"/>
      <c r="R8" s="337"/>
      <c r="S8" s="308"/>
      <c r="T8" s="312"/>
      <c r="U8" s="308"/>
      <c r="V8" s="308"/>
      <c r="W8" s="308"/>
      <c r="X8" s="308"/>
      <c r="Y8" s="308"/>
      <c r="Z8" s="308"/>
    </row>
    <row r="9" spans="1:26" ht="15.6" x14ac:dyDescent="0.3">
      <c r="A9" s="74"/>
      <c r="B9" s="78"/>
      <c r="C9" s="304"/>
      <c r="D9" s="306"/>
      <c r="E9" s="308"/>
      <c r="F9" s="310"/>
      <c r="G9" s="308"/>
      <c r="H9" s="308"/>
      <c r="I9" s="308"/>
      <c r="J9" s="312"/>
      <c r="K9" s="337"/>
      <c r="L9" s="337"/>
      <c r="M9" s="337"/>
      <c r="N9" s="324"/>
      <c r="O9" s="324"/>
      <c r="P9" s="337"/>
      <c r="Q9" s="337"/>
      <c r="R9" s="337"/>
      <c r="S9" s="308"/>
      <c r="T9" s="312"/>
      <c r="U9" s="308"/>
      <c r="V9" s="308"/>
      <c r="W9" s="308"/>
      <c r="X9" s="308"/>
      <c r="Y9" s="308"/>
      <c r="Z9" s="308"/>
    </row>
    <row r="10" spans="1:26" ht="15.6" x14ac:dyDescent="0.3">
      <c r="A10" s="74"/>
      <c r="B10" s="78" t="s">
        <v>145</v>
      </c>
      <c r="C10" s="304"/>
      <c r="D10" s="306"/>
      <c r="E10" s="308"/>
      <c r="F10" s="310"/>
      <c r="G10" s="308"/>
      <c r="H10" s="308"/>
      <c r="I10" s="308"/>
      <c r="J10" s="312"/>
      <c r="K10" s="337"/>
      <c r="L10" s="337"/>
      <c r="M10" s="337"/>
      <c r="N10" s="324"/>
      <c r="O10" s="324"/>
      <c r="P10" s="337"/>
      <c r="Q10" s="337"/>
      <c r="R10" s="337"/>
      <c r="S10" s="308"/>
      <c r="T10" s="312"/>
      <c r="U10" s="308"/>
      <c r="V10" s="308"/>
      <c r="W10" s="308"/>
      <c r="X10" s="308"/>
      <c r="Y10" s="308"/>
      <c r="Z10" s="308"/>
    </row>
    <row r="11" spans="1:26" ht="15.6" x14ac:dyDescent="0.3">
      <c r="A11" s="74"/>
      <c r="B11" s="79" t="s">
        <v>146</v>
      </c>
      <c r="C11" s="304"/>
      <c r="D11" s="306"/>
      <c r="E11" s="308"/>
      <c r="F11" s="310"/>
      <c r="G11" s="308"/>
      <c r="H11" s="308"/>
      <c r="I11" s="308"/>
      <c r="J11" s="312"/>
      <c r="K11" s="337"/>
      <c r="L11" s="337"/>
      <c r="M11" s="337"/>
      <c r="N11" s="324"/>
      <c r="O11" s="324"/>
      <c r="P11" s="337"/>
      <c r="Q11" s="337"/>
      <c r="R11" s="337"/>
      <c r="S11" s="308"/>
      <c r="T11" s="312"/>
      <c r="U11" s="308"/>
      <c r="V11" s="308"/>
      <c r="W11" s="308"/>
      <c r="X11" s="308"/>
      <c r="Y11" s="308"/>
      <c r="Z11" s="308"/>
    </row>
    <row r="12" spans="1:26" ht="15.6" x14ac:dyDescent="0.3">
      <c r="A12" s="74"/>
      <c r="B12" s="80" t="s">
        <v>147</v>
      </c>
      <c r="C12" s="304"/>
      <c r="D12" s="306"/>
      <c r="E12" s="308"/>
      <c r="F12" s="310"/>
      <c r="G12" s="308"/>
      <c r="H12" s="308"/>
      <c r="I12" s="308"/>
      <c r="J12" s="312"/>
      <c r="K12" s="337"/>
      <c r="L12" s="337"/>
      <c r="M12" s="337"/>
      <c r="N12" s="324"/>
      <c r="O12" s="324"/>
      <c r="P12" s="337"/>
      <c r="Q12" s="337"/>
      <c r="R12" s="337"/>
      <c r="S12" s="308"/>
      <c r="T12" s="312"/>
      <c r="U12" s="308"/>
      <c r="V12" s="308"/>
      <c r="W12" s="308"/>
      <c r="X12" s="308"/>
      <c r="Y12" s="308"/>
      <c r="Z12" s="308"/>
    </row>
    <row r="13" spans="1:26" ht="15.6" x14ac:dyDescent="0.3">
      <c r="A13" s="74"/>
      <c r="B13" s="79"/>
      <c r="C13" s="304"/>
      <c r="D13" s="306"/>
      <c r="E13" s="308"/>
      <c r="F13" s="310"/>
      <c r="G13" s="308"/>
      <c r="H13" s="308"/>
      <c r="I13" s="308"/>
      <c r="J13" s="312"/>
      <c r="K13" s="337"/>
      <c r="L13" s="337"/>
      <c r="M13" s="337"/>
      <c r="N13" s="324"/>
      <c r="O13" s="324"/>
      <c r="P13" s="337"/>
      <c r="Q13" s="337"/>
      <c r="R13" s="337"/>
      <c r="S13" s="308"/>
      <c r="T13" s="312"/>
      <c r="U13" s="308"/>
      <c r="V13" s="308"/>
      <c r="W13" s="308"/>
      <c r="X13" s="308"/>
      <c r="Y13" s="308"/>
      <c r="Z13" s="308"/>
    </row>
    <row r="14" spans="1:26" ht="15.6" x14ac:dyDescent="0.3">
      <c r="A14" s="74"/>
      <c r="B14" s="72" t="s">
        <v>148</v>
      </c>
      <c r="C14" s="304"/>
      <c r="D14" s="306"/>
      <c r="E14" s="308"/>
      <c r="F14" s="310"/>
      <c r="G14" s="308"/>
      <c r="H14" s="308"/>
      <c r="I14" s="308"/>
      <c r="J14" s="312"/>
      <c r="K14" s="337"/>
      <c r="L14" s="337"/>
      <c r="M14" s="337"/>
      <c r="N14" s="324"/>
      <c r="O14" s="324"/>
      <c r="P14" s="337"/>
      <c r="Q14" s="337"/>
      <c r="R14" s="337"/>
      <c r="S14" s="308"/>
      <c r="T14" s="312"/>
      <c r="U14" s="308"/>
      <c r="V14" s="308"/>
      <c r="W14" s="308"/>
      <c r="X14" s="308"/>
      <c r="Y14" s="308"/>
      <c r="Z14" s="308"/>
    </row>
    <row r="15" spans="1:26" ht="15.6" x14ac:dyDescent="0.3">
      <c r="A15" s="74"/>
      <c r="B15" s="72"/>
      <c r="C15" s="304"/>
      <c r="D15" s="306"/>
      <c r="E15" s="308"/>
      <c r="F15" s="310"/>
      <c r="G15" s="308"/>
      <c r="H15" s="308"/>
      <c r="I15" s="308"/>
      <c r="J15" s="312"/>
      <c r="K15" s="337"/>
      <c r="L15" s="337"/>
      <c r="M15" s="337"/>
      <c r="N15" s="324"/>
      <c r="O15" s="324"/>
      <c r="P15" s="337"/>
      <c r="Q15" s="337"/>
      <c r="R15" s="337"/>
      <c r="S15" s="308"/>
      <c r="T15" s="312"/>
      <c r="U15" s="308"/>
      <c r="V15" s="308"/>
      <c r="W15" s="308"/>
      <c r="X15" s="308"/>
      <c r="Y15" s="308"/>
      <c r="Z15" s="308"/>
    </row>
    <row r="16" spans="1:26" ht="15.6" x14ac:dyDescent="0.3">
      <c r="A16" s="74"/>
      <c r="B16" s="81" t="s">
        <v>149</v>
      </c>
      <c r="C16" s="304"/>
      <c r="D16" s="306"/>
      <c r="E16" s="308"/>
      <c r="F16" s="310"/>
      <c r="G16" s="308"/>
      <c r="H16" s="308"/>
      <c r="I16" s="308"/>
      <c r="J16" s="313"/>
      <c r="K16" s="338"/>
      <c r="L16" s="338"/>
      <c r="M16" s="338"/>
      <c r="N16" s="325"/>
      <c r="O16" s="325"/>
      <c r="P16" s="338"/>
      <c r="Q16" s="338"/>
      <c r="R16" s="338"/>
      <c r="S16" s="319"/>
      <c r="T16" s="313"/>
      <c r="U16" s="308"/>
      <c r="V16" s="308"/>
      <c r="W16" s="308"/>
      <c r="X16" s="308"/>
      <c r="Y16" s="308"/>
      <c r="Z16" s="308"/>
    </row>
    <row r="17" spans="1:26" ht="15.6" x14ac:dyDescent="0.3">
      <c r="A17" s="312" t="s">
        <v>150</v>
      </c>
      <c r="B17" s="82" t="s">
        <v>151</v>
      </c>
      <c r="C17" s="83">
        <v>3030.7403493436391</v>
      </c>
      <c r="D17" s="83">
        <v>0</v>
      </c>
      <c r="E17" s="83">
        <v>0</v>
      </c>
      <c r="F17" s="83">
        <v>0</v>
      </c>
      <c r="G17" s="83">
        <v>0</v>
      </c>
      <c r="H17" s="83">
        <v>-30.007330191521177</v>
      </c>
      <c r="I17" s="83">
        <v>0</v>
      </c>
      <c r="J17" s="84">
        <v>3000.7330191521178</v>
      </c>
      <c r="K17" s="85">
        <v>-2995.5354252060247</v>
      </c>
      <c r="L17" s="85">
        <v>-5.1975939460930434</v>
      </c>
      <c r="M17" s="85">
        <v>0</v>
      </c>
      <c r="N17" s="85">
        <v>0</v>
      </c>
      <c r="O17" s="85">
        <v>0</v>
      </c>
      <c r="P17" s="85">
        <v>0</v>
      </c>
      <c r="Q17" s="85">
        <v>0</v>
      </c>
      <c r="R17" s="85">
        <v>0</v>
      </c>
      <c r="S17" s="83">
        <v>0</v>
      </c>
      <c r="T17" s="86">
        <v>0</v>
      </c>
      <c r="U17" s="83">
        <v>0</v>
      </c>
      <c r="V17" s="83">
        <v>0</v>
      </c>
      <c r="W17" s="83">
        <v>0</v>
      </c>
      <c r="X17" s="83">
        <v>0</v>
      </c>
      <c r="Y17" s="83">
        <v>0</v>
      </c>
      <c r="Z17" s="83">
        <v>0</v>
      </c>
    </row>
    <row r="18" spans="1:26" ht="17.399999999999999" x14ac:dyDescent="0.3">
      <c r="A18" s="312"/>
      <c r="B18" s="87" t="s">
        <v>186</v>
      </c>
      <c r="C18" s="88">
        <v>0</v>
      </c>
      <c r="D18" s="88">
        <v>2200.1243176853632</v>
      </c>
      <c r="E18" s="88">
        <v>0</v>
      </c>
      <c r="F18" s="88">
        <v>0</v>
      </c>
      <c r="G18" s="88">
        <v>0</v>
      </c>
      <c r="H18" s="88">
        <v>0</v>
      </c>
      <c r="I18" s="88">
        <v>0</v>
      </c>
      <c r="J18" s="84">
        <v>2200.1243176853632</v>
      </c>
      <c r="K18" s="85">
        <v>-2200.1243176853632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8">
        <v>0</v>
      </c>
      <c r="T18" s="86">
        <v>0</v>
      </c>
      <c r="U18" s="88">
        <v>0</v>
      </c>
      <c r="V18" s="88">
        <v>0</v>
      </c>
      <c r="W18" s="88">
        <v>0</v>
      </c>
      <c r="X18" s="88">
        <v>0</v>
      </c>
      <c r="Y18" s="88">
        <v>0</v>
      </c>
      <c r="Z18" s="88">
        <v>0</v>
      </c>
    </row>
    <row r="19" spans="1:26" ht="15.6" x14ac:dyDescent="0.3">
      <c r="A19" s="312"/>
      <c r="B19" s="87" t="s">
        <v>152</v>
      </c>
      <c r="C19" s="88">
        <v>43347.715170204458</v>
      </c>
      <c r="D19" s="88">
        <v>0</v>
      </c>
      <c r="E19" s="88">
        <v>0</v>
      </c>
      <c r="F19" s="88">
        <v>0</v>
      </c>
      <c r="G19" s="88">
        <v>-246.04847127000025</v>
      </c>
      <c r="H19" s="88">
        <v>-1051.1312735340014</v>
      </c>
      <c r="I19" s="88">
        <v>0</v>
      </c>
      <c r="J19" s="84">
        <v>42050.535425400456</v>
      </c>
      <c r="K19" s="85">
        <v>0</v>
      </c>
      <c r="L19" s="85">
        <v>0</v>
      </c>
      <c r="M19" s="85">
        <v>-37693.732645470445</v>
      </c>
      <c r="N19" s="85">
        <v>0</v>
      </c>
      <c r="O19" s="85">
        <v>0</v>
      </c>
      <c r="P19" s="85">
        <v>0</v>
      </c>
      <c r="Q19" s="85">
        <v>0</v>
      </c>
      <c r="R19" s="85">
        <v>0</v>
      </c>
      <c r="S19" s="88">
        <v>-4356.8027799300053</v>
      </c>
      <c r="T19" s="86">
        <v>0</v>
      </c>
      <c r="U19" s="88">
        <v>0</v>
      </c>
      <c r="V19" s="88">
        <v>0</v>
      </c>
      <c r="W19" s="88">
        <v>0</v>
      </c>
      <c r="X19" s="88">
        <v>0</v>
      </c>
      <c r="Y19" s="88">
        <v>0</v>
      </c>
      <c r="Z19" s="88">
        <v>0</v>
      </c>
    </row>
    <row r="20" spans="1:26" ht="15.6" x14ac:dyDescent="0.3">
      <c r="A20" s="312"/>
      <c r="B20" s="87" t="s">
        <v>153</v>
      </c>
      <c r="C20" s="88">
        <v>26269.332748679954</v>
      </c>
      <c r="D20" s="88">
        <v>0</v>
      </c>
      <c r="E20" s="88">
        <v>372.62452048500012</v>
      </c>
      <c r="F20" s="88">
        <v>-3388.9153560699997</v>
      </c>
      <c r="G20" s="88">
        <v>0</v>
      </c>
      <c r="H20" s="88">
        <v>0</v>
      </c>
      <c r="I20" s="88">
        <v>458</v>
      </c>
      <c r="J20" s="84">
        <v>23711.041913094952</v>
      </c>
      <c r="K20" s="85">
        <v>0</v>
      </c>
      <c r="L20" s="85">
        <v>0</v>
      </c>
      <c r="M20" s="85">
        <v>0</v>
      </c>
      <c r="N20" s="85">
        <v>-23611.990071914999</v>
      </c>
      <c r="O20" s="85">
        <v>0</v>
      </c>
      <c r="P20" s="85">
        <v>0</v>
      </c>
      <c r="Q20" s="85">
        <v>0</v>
      </c>
      <c r="R20" s="85">
        <v>0</v>
      </c>
      <c r="S20" s="88">
        <v>-99.438810000000004</v>
      </c>
      <c r="T20" s="86">
        <v>-0.38696882004660438</v>
      </c>
      <c r="U20" s="88">
        <v>0</v>
      </c>
      <c r="V20" s="88">
        <v>0</v>
      </c>
      <c r="W20" s="88">
        <v>0</v>
      </c>
      <c r="X20" s="88">
        <v>0</v>
      </c>
      <c r="Y20" s="88">
        <v>0</v>
      </c>
      <c r="Z20" s="88">
        <v>0</v>
      </c>
    </row>
    <row r="21" spans="1:26" ht="15.6" x14ac:dyDescent="0.3">
      <c r="A21" s="312"/>
      <c r="B21" s="87" t="s">
        <v>154</v>
      </c>
      <c r="C21" s="88">
        <v>61.95</v>
      </c>
      <c r="D21" s="88">
        <v>546.048</v>
      </c>
      <c r="E21" s="88">
        <v>159.72623999999999</v>
      </c>
      <c r="F21" s="88">
        <v>-36.1892</v>
      </c>
      <c r="G21" s="88">
        <v>0</v>
      </c>
      <c r="H21" s="88">
        <v>0</v>
      </c>
      <c r="I21" s="88">
        <v>-33</v>
      </c>
      <c r="J21" s="84">
        <v>698.53503999999998</v>
      </c>
      <c r="K21" s="85">
        <v>-119.79468000000001</v>
      </c>
      <c r="L21" s="85">
        <v>-17.11</v>
      </c>
      <c r="M21" s="85">
        <v>0</v>
      </c>
      <c r="N21" s="85">
        <v>0</v>
      </c>
      <c r="O21" s="85">
        <v>0</v>
      </c>
      <c r="P21" s="85">
        <v>-519.49727999999993</v>
      </c>
      <c r="Q21" s="85">
        <v>0</v>
      </c>
      <c r="R21" s="85">
        <v>0</v>
      </c>
      <c r="S21" s="88">
        <v>0</v>
      </c>
      <c r="T21" s="86">
        <v>42.133080000000064</v>
      </c>
      <c r="U21" s="88">
        <v>0</v>
      </c>
      <c r="V21" s="88">
        <v>0</v>
      </c>
      <c r="W21" s="88">
        <v>0</v>
      </c>
      <c r="X21" s="88">
        <v>0</v>
      </c>
      <c r="Y21" s="88">
        <v>0</v>
      </c>
      <c r="Z21" s="88">
        <v>43.110839999999996</v>
      </c>
    </row>
    <row r="22" spans="1:26" ht="15.6" x14ac:dyDescent="0.3">
      <c r="A22" s="312"/>
      <c r="B22" s="87" t="s">
        <v>155</v>
      </c>
      <c r="C22" s="88">
        <v>1016.31958498532</v>
      </c>
      <c r="D22" s="88">
        <v>0</v>
      </c>
      <c r="E22" s="88">
        <v>0</v>
      </c>
      <c r="F22" s="88">
        <v>0</v>
      </c>
      <c r="G22" s="88">
        <v>0</v>
      </c>
      <c r="H22" s="88">
        <v>0</v>
      </c>
      <c r="I22" s="88">
        <v>0</v>
      </c>
      <c r="J22" s="84">
        <v>1016.31958498532</v>
      </c>
      <c r="K22" s="85">
        <v>0</v>
      </c>
      <c r="L22" s="85">
        <v>-361.27561357531999</v>
      </c>
      <c r="M22" s="85">
        <v>0</v>
      </c>
      <c r="N22" s="85">
        <v>0</v>
      </c>
      <c r="O22" s="85">
        <v>0</v>
      </c>
      <c r="P22" s="85">
        <v>0</v>
      </c>
      <c r="Q22" s="85">
        <v>-425.32725113999999</v>
      </c>
      <c r="R22" s="85">
        <v>0</v>
      </c>
      <c r="S22" s="88">
        <v>0</v>
      </c>
      <c r="T22" s="86">
        <v>229.71672027</v>
      </c>
      <c r="U22" s="88">
        <v>0</v>
      </c>
      <c r="V22" s="88">
        <v>91.886688107999987</v>
      </c>
      <c r="W22" s="88">
        <v>45.943344053999994</v>
      </c>
      <c r="X22" s="88">
        <v>0</v>
      </c>
      <c r="Y22" s="88">
        <v>0</v>
      </c>
      <c r="Z22" s="88">
        <v>91.886688107999987</v>
      </c>
    </row>
    <row r="23" spans="1:26" ht="15.6" x14ac:dyDescent="0.3">
      <c r="A23" s="312"/>
      <c r="B23" s="87" t="s">
        <v>156</v>
      </c>
      <c r="C23" s="88">
        <v>1038.8185199999998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4">
        <v>1038.8185199999998</v>
      </c>
      <c r="K23" s="85">
        <v>0</v>
      </c>
      <c r="L23" s="85">
        <v>-117.38217300319167</v>
      </c>
      <c r="M23" s="85">
        <v>0</v>
      </c>
      <c r="N23" s="85">
        <v>0</v>
      </c>
      <c r="O23" s="85">
        <v>0</v>
      </c>
      <c r="P23" s="85">
        <v>0</v>
      </c>
      <c r="Q23" s="85">
        <v>0</v>
      </c>
      <c r="R23" s="85">
        <v>0</v>
      </c>
      <c r="S23" s="88">
        <v>0</v>
      </c>
      <c r="T23" s="86">
        <v>921.4363469968082</v>
      </c>
      <c r="U23" s="88">
        <v>0</v>
      </c>
      <c r="V23" s="88">
        <v>0</v>
      </c>
      <c r="W23" s="88">
        <v>0</v>
      </c>
      <c r="X23" s="88">
        <v>0</v>
      </c>
      <c r="Y23" s="88">
        <v>0</v>
      </c>
      <c r="Z23" s="88">
        <v>921.4363469968082</v>
      </c>
    </row>
    <row r="24" spans="1:26" ht="15.6" x14ac:dyDescent="0.3">
      <c r="A24" s="312"/>
      <c r="B24" s="87" t="s">
        <v>157</v>
      </c>
      <c r="C24" s="88">
        <v>1992.358973311093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4">
        <v>1992.358973311093</v>
      </c>
      <c r="K24" s="85">
        <v>0</v>
      </c>
      <c r="L24" s="85">
        <v>0</v>
      </c>
      <c r="M24" s="85">
        <v>0</v>
      </c>
      <c r="N24" s="85">
        <v>0</v>
      </c>
      <c r="O24" s="85">
        <v>-1992.358973311093</v>
      </c>
      <c r="P24" s="85">
        <v>0</v>
      </c>
      <c r="Q24" s="85">
        <v>0</v>
      </c>
      <c r="R24" s="85">
        <v>0</v>
      </c>
      <c r="S24" s="88">
        <v>0</v>
      </c>
      <c r="T24" s="86">
        <v>0</v>
      </c>
      <c r="U24" s="88">
        <v>0</v>
      </c>
      <c r="V24" s="88">
        <v>0</v>
      </c>
      <c r="W24" s="88">
        <v>0</v>
      </c>
      <c r="X24" s="88">
        <v>0</v>
      </c>
      <c r="Y24" s="88">
        <v>0</v>
      </c>
      <c r="Z24" s="88">
        <v>0</v>
      </c>
    </row>
    <row r="25" spans="1:26" ht="15.6" x14ac:dyDescent="0.3">
      <c r="A25" s="312"/>
      <c r="B25" s="87" t="s">
        <v>158</v>
      </c>
      <c r="C25" s="88">
        <v>560.08844928870121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4">
        <v>560.08844928870121</v>
      </c>
      <c r="K25" s="85">
        <v>0</v>
      </c>
      <c r="L25" s="85">
        <v>0</v>
      </c>
      <c r="M25" s="85">
        <v>0</v>
      </c>
      <c r="N25" s="85">
        <v>0</v>
      </c>
      <c r="O25" s="85">
        <v>-560.08844928870121</v>
      </c>
      <c r="P25" s="85">
        <v>0</v>
      </c>
      <c r="Q25" s="85">
        <v>0</v>
      </c>
      <c r="R25" s="85">
        <v>0</v>
      </c>
      <c r="S25" s="88">
        <v>0</v>
      </c>
      <c r="T25" s="86">
        <v>0</v>
      </c>
      <c r="U25" s="88">
        <v>0</v>
      </c>
      <c r="V25" s="88">
        <v>0</v>
      </c>
      <c r="W25" s="88">
        <v>0</v>
      </c>
      <c r="X25" s="88">
        <v>0</v>
      </c>
      <c r="Y25" s="88">
        <v>0</v>
      </c>
      <c r="Z25" s="88">
        <v>0</v>
      </c>
    </row>
    <row r="26" spans="1:26" ht="17.399999999999999" x14ac:dyDescent="0.3">
      <c r="A26" s="312"/>
      <c r="B26" s="87" t="s">
        <v>187</v>
      </c>
      <c r="C26" s="88">
        <v>558.58173246399974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4">
        <v>558.58173246399974</v>
      </c>
      <c r="K26" s="85">
        <v>-429.65311246399972</v>
      </c>
      <c r="L26" s="85">
        <v>0</v>
      </c>
      <c r="M26" s="85">
        <v>0</v>
      </c>
      <c r="N26" s="85">
        <v>0</v>
      </c>
      <c r="O26" s="85">
        <v>0</v>
      </c>
      <c r="P26" s="85">
        <v>0</v>
      </c>
      <c r="Q26" s="85">
        <v>0</v>
      </c>
      <c r="R26" s="85">
        <v>0</v>
      </c>
      <c r="S26" s="88">
        <v>0</v>
      </c>
      <c r="T26" s="86">
        <v>128.92862000000002</v>
      </c>
      <c r="U26" s="88">
        <v>0</v>
      </c>
      <c r="V26" s="88">
        <v>0</v>
      </c>
      <c r="W26" s="88">
        <v>0</v>
      </c>
      <c r="X26" s="88">
        <v>0</v>
      </c>
      <c r="Y26" s="88">
        <v>128.92862</v>
      </c>
      <c r="Z26" s="88">
        <v>0</v>
      </c>
    </row>
    <row r="27" spans="1:26" ht="15.6" x14ac:dyDescent="0.3">
      <c r="A27" s="312"/>
      <c r="B27" s="87" t="s">
        <v>159</v>
      </c>
      <c r="C27" s="88">
        <v>68.774020518000015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4">
        <v>68.774020518000015</v>
      </c>
      <c r="K27" s="85">
        <v>-68.772902518000009</v>
      </c>
      <c r="L27" s="85">
        <v>-1.1179999999999999E-3</v>
      </c>
      <c r="M27" s="85">
        <v>0</v>
      </c>
      <c r="N27" s="85">
        <v>0</v>
      </c>
      <c r="O27" s="85">
        <v>0</v>
      </c>
      <c r="P27" s="85">
        <v>0</v>
      </c>
      <c r="Q27" s="85">
        <v>0</v>
      </c>
      <c r="R27" s="85">
        <v>0</v>
      </c>
      <c r="S27" s="88">
        <v>0</v>
      </c>
      <c r="T27" s="86">
        <v>0</v>
      </c>
      <c r="U27" s="88">
        <v>0</v>
      </c>
      <c r="V27" s="88">
        <v>0</v>
      </c>
      <c r="W27" s="88">
        <v>0</v>
      </c>
      <c r="X27" s="88">
        <v>0</v>
      </c>
      <c r="Y27" s="88">
        <v>0</v>
      </c>
      <c r="Z27" s="88">
        <v>0</v>
      </c>
    </row>
    <row r="28" spans="1:26" ht="15.6" x14ac:dyDescent="0.3">
      <c r="A28" s="312"/>
      <c r="B28" s="89" t="s">
        <v>160</v>
      </c>
      <c r="C28" s="90">
        <v>295.28804660000003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84">
        <v>295.28804660000003</v>
      </c>
      <c r="K28" s="91">
        <v>-29.827293999999998</v>
      </c>
      <c r="L28" s="91">
        <v>-265.46075259999998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  <c r="R28" s="91">
        <v>0</v>
      </c>
      <c r="S28" s="90">
        <v>0</v>
      </c>
      <c r="T28" s="86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</row>
    <row r="29" spans="1:26" ht="15.6" x14ac:dyDescent="0.3">
      <c r="A29" s="312"/>
      <c r="B29" s="92" t="s">
        <v>161</v>
      </c>
      <c r="C29" s="93">
        <v>78239.967595395152</v>
      </c>
      <c r="D29" s="93">
        <v>2746.1723176853629</v>
      </c>
      <c r="E29" s="93">
        <v>532.35076048500014</v>
      </c>
      <c r="F29" s="93">
        <v>-3425.1045560699995</v>
      </c>
      <c r="G29" s="93">
        <v>-246.04847127000025</v>
      </c>
      <c r="H29" s="93">
        <v>-1081.1386037255224</v>
      </c>
      <c r="I29" s="93">
        <v>425</v>
      </c>
      <c r="J29" s="94">
        <v>77191.199042499997</v>
      </c>
      <c r="K29" s="95">
        <v>-5843.7077318733873</v>
      </c>
      <c r="L29" s="95">
        <v>-766.42725112460471</v>
      </c>
      <c r="M29" s="95">
        <v>-37693.732645470445</v>
      </c>
      <c r="N29" s="95">
        <v>-23611.990071914999</v>
      </c>
      <c r="O29" s="95">
        <v>-2552.4474225997942</v>
      </c>
      <c r="P29" s="95">
        <v>-519.49727999999993</v>
      </c>
      <c r="Q29" s="95">
        <v>-425.32725113999999</v>
      </c>
      <c r="R29" s="95">
        <v>0</v>
      </c>
      <c r="S29" s="95">
        <v>-4456.2415899300049</v>
      </c>
      <c r="T29" s="94">
        <v>1321.8277984467568</v>
      </c>
      <c r="U29" s="93">
        <v>0</v>
      </c>
      <c r="V29" s="93">
        <v>91.886688107999987</v>
      </c>
      <c r="W29" s="93">
        <v>45.943344053999994</v>
      </c>
      <c r="X29" s="93">
        <v>0</v>
      </c>
      <c r="Y29" s="93">
        <v>128.92862</v>
      </c>
      <c r="Z29" s="93">
        <v>1056.4338751048081</v>
      </c>
    </row>
    <row r="30" spans="1:26" ht="15.6" x14ac:dyDescent="0.3">
      <c r="A30" s="96"/>
      <c r="B30" s="97"/>
      <c r="C30" s="98"/>
      <c r="D30" s="98"/>
      <c r="E30" s="98"/>
      <c r="F30" s="98"/>
      <c r="G30" s="98"/>
      <c r="H30" s="98"/>
      <c r="I30" s="98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8"/>
      <c r="V30" s="98"/>
      <c r="W30" s="98"/>
      <c r="X30" s="98"/>
      <c r="Y30" s="98"/>
      <c r="Z30" s="100"/>
    </row>
    <row r="31" spans="1:26" ht="15.6" x14ac:dyDescent="0.3">
      <c r="A31" s="312" t="s">
        <v>162</v>
      </c>
      <c r="B31" s="82" t="s">
        <v>163</v>
      </c>
      <c r="C31" s="83">
        <v>11999.57333093038</v>
      </c>
      <c r="D31" s="83">
        <v>941.35707010229885</v>
      </c>
      <c r="E31" s="83">
        <v>0</v>
      </c>
      <c r="F31" s="83">
        <v>-22.461651999999997</v>
      </c>
      <c r="G31" s="83">
        <v>0</v>
      </c>
      <c r="H31" s="83">
        <v>-1794.1450326703443</v>
      </c>
      <c r="I31" s="83">
        <v>0</v>
      </c>
      <c r="J31" s="84">
        <v>11124.323716362334</v>
      </c>
      <c r="K31" s="85">
        <v>10662.412512696234</v>
      </c>
      <c r="L31" s="101">
        <v>1337.1608182341458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83">
        <v>-320.97865017923044</v>
      </c>
      <c r="T31" s="86">
        <v>10803.345066183105</v>
      </c>
      <c r="U31" s="83">
        <v>0</v>
      </c>
      <c r="V31" s="83">
        <v>3713.115770661233</v>
      </c>
      <c r="W31" s="83">
        <v>2677.923320859416</v>
      </c>
      <c r="X31" s="83">
        <v>45.436621940405701</v>
      </c>
      <c r="Y31" s="83">
        <v>76.466516279707008</v>
      </c>
      <c r="Z31" s="83">
        <v>4290.4028364423411</v>
      </c>
    </row>
    <row r="32" spans="1:26" ht="15.6" x14ac:dyDescent="0.3">
      <c r="A32" s="312"/>
      <c r="B32" s="87" t="s">
        <v>164</v>
      </c>
      <c r="C32" s="88">
        <v>33034</v>
      </c>
      <c r="D32" s="88">
        <v>5697.95</v>
      </c>
      <c r="E32" s="88">
        <v>18.259999999999998</v>
      </c>
      <c r="F32" s="88">
        <v>-230.73999999999998</v>
      </c>
      <c r="G32" s="88">
        <v>-134.45999999999998</v>
      </c>
      <c r="H32" s="88">
        <v>-3194.67</v>
      </c>
      <c r="I32" s="88">
        <v>0</v>
      </c>
      <c r="J32" s="84">
        <v>35190.340000000004</v>
      </c>
      <c r="K32" s="85">
        <v>-12537.15</v>
      </c>
      <c r="L32" s="85">
        <v>-2419.1926999999996</v>
      </c>
      <c r="M32" s="85">
        <v>33034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8">
        <v>-773.56</v>
      </c>
      <c r="T32" s="86">
        <v>19460.437300000005</v>
      </c>
      <c r="U32" s="88">
        <v>0</v>
      </c>
      <c r="V32" s="88">
        <v>8474.2999999999993</v>
      </c>
      <c r="W32" s="88">
        <v>1208.48</v>
      </c>
      <c r="X32" s="88">
        <v>2043.4599999999998</v>
      </c>
      <c r="Y32" s="88">
        <v>0</v>
      </c>
      <c r="Z32" s="88">
        <v>7734.1972999999989</v>
      </c>
    </row>
    <row r="33" spans="1:26" ht="15.6" x14ac:dyDescent="0.3">
      <c r="A33" s="312"/>
      <c r="B33" s="87" t="s">
        <v>165</v>
      </c>
      <c r="C33" s="88">
        <v>1099.162</v>
      </c>
      <c r="D33" s="88">
        <v>0</v>
      </c>
      <c r="E33" s="88">
        <v>0</v>
      </c>
      <c r="F33" s="88">
        <v>0</v>
      </c>
      <c r="G33" s="88">
        <v>0</v>
      </c>
      <c r="H33" s="88">
        <v>0</v>
      </c>
      <c r="I33" s="88">
        <v>-51</v>
      </c>
      <c r="J33" s="84">
        <v>1048.162</v>
      </c>
      <c r="K33" s="85">
        <v>0</v>
      </c>
      <c r="L33" s="85">
        <v>-58.2301</v>
      </c>
      <c r="M33" s="85">
        <v>0</v>
      </c>
      <c r="N33" s="85">
        <v>1099.162</v>
      </c>
      <c r="O33" s="85">
        <v>0</v>
      </c>
      <c r="P33" s="85">
        <v>0</v>
      </c>
      <c r="Q33" s="85">
        <v>0</v>
      </c>
      <c r="R33" s="85">
        <v>0</v>
      </c>
      <c r="S33" s="88">
        <v>-989.94240000000002</v>
      </c>
      <c r="T33" s="86">
        <v>0</v>
      </c>
      <c r="U33" s="88">
        <v>0</v>
      </c>
      <c r="V33" s="88">
        <v>0</v>
      </c>
      <c r="W33" s="88">
        <v>0</v>
      </c>
      <c r="X33" s="88">
        <v>0</v>
      </c>
      <c r="Y33" s="88">
        <v>0</v>
      </c>
      <c r="Z33" s="88">
        <v>0</v>
      </c>
    </row>
    <row r="34" spans="1:26" ht="15.6" x14ac:dyDescent="0.3">
      <c r="A34" s="312"/>
      <c r="B34" s="87" t="s">
        <v>166</v>
      </c>
      <c r="C34" s="88">
        <v>3045.3500000000004</v>
      </c>
      <c r="D34" s="88">
        <v>0</v>
      </c>
      <c r="E34" s="88">
        <v>-6.6000000000000005</v>
      </c>
      <c r="F34" s="88">
        <v>-1346.4</v>
      </c>
      <c r="G34" s="88">
        <v>0</v>
      </c>
      <c r="H34" s="88">
        <v>0</v>
      </c>
      <c r="I34" s="88">
        <v>0</v>
      </c>
      <c r="J34" s="84">
        <v>1692.3500000000004</v>
      </c>
      <c r="K34" s="85">
        <v>0</v>
      </c>
      <c r="L34" s="85">
        <v>0</v>
      </c>
      <c r="M34" s="85">
        <v>2194.7200000000003</v>
      </c>
      <c r="N34" s="85">
        <v>850.63</v>
      </c>
      <c r="O34" s="85">
        <v>0</v>
      </c>
      <c r="P34" s="85">
        <v>0</v>
      </c>
      <c r="Q34" s="85">
        <v>0</v>
      </c>
      <c r="R34" s="85">
        <v>0</v>
      </c>
      <c r="S34" s="88">
        <v>-37.400000000000006</v>
      </c>
      <c r="T34" s="86">
        <v>1654.9500000000003</v>
      </c>
      <c r="U34" s="88">
        <v>0</v>
      </c>
      <c r="V34" s="88">
        <v>1191.5640000000001</v>
      </c>
      <c r="W34" s="88">
        <v>198.59400000000002</v>
      </c>
      <c r="X34" s="88">
        <v>0</v>
      </c>
      <c r="Y34" s="88">
        <v>82.747500000000016</v>
      </c>
      <c r="Z34" s="88">
        <v>182.04450000000003</v>
      </c>
    </row>
    <row r="35" spans="1:26" ht="15.6" x14ac:dyDescent="0.3">
      <c r="A35" s="312"/>
      <c r="B35" s="87" t="s">
        <v>167</v>
      </c>
      <c r="C35" s="88">
        <v>1008.794250599962</v>
      </c>
      <c r="D35" s="88">
        <v>0</v>
      </c>
      <c r="E35" s="88">
        <v>0</v>
      </c>
      <c r="F35" s="88">
        <v>-280.27999999999997</v>
      </c>
      <c r="G35" s="88">
        <v>0</v>
      </c>
      <c r="H35" s="88">
        <v>0</v>
      </c>
      <c r="I35" s="88">
        <v>69</v>
      </c>
      <c r="J35" s="84">
        <v>797.514250599962</v>
      </c>
      <c r="K35" s="85">
        <v>0</v>
      </c>
      <c r="L35" s="85">
        <v>0</v>
      </c>
      <c r="M35" s="85">
        <v>1008.794250599962</v>
      </c>
      <c r="N35" s="85">
        <v>-797.94133750240064</v>
      </c>
      <c r="O35" s="85">
        <v>0</v>
      </c>
      <c r="P35" s="85">
        <v>0</v>
      </c>
      <c r="Q35" s="85">
        <v>0</v>
      </c>
      <c r="R35" s="85">
        <v>0</v>
      </c>
      <c r="S35" s="88">
        <v>0</v>
      </c>
      <c r="T35" s="86">
        <v>0</v>
      </c>
      <c r="U35" s="88">
        <v>0</v>
      </c>
      <c r="V35" s="88">
        <v>0</v>
      </c>
      <c r="W35" s="88">
        <v>0</v>
      </c>
      <c r="X35" s="88">
        <v>0</v>
      </c>
      <c r="Y35" s="88">
        <v>0</v>
      </c>
      <c r="Z35" s="88">
        <v>0</v>
      </c>
    </row>
    <row r="36" spans="1:26" ht="15.6" x14ac:dyDescent="0.3">
      <c r="A36" s="312"/>
      <c r="B36" s="87" t="s">
        <v>168</v>
      </c>
      <c r="C36" s="88">
        <v>678.05261680000001</v>
      </c>
      <c r="D36" s="88">
        <v>113.22814</v>
      </c>
      <c r="E36" s="88">
        <v>5.0358479999999997</v>
      </c>
      <c r="F36" s="88">
        <v>-594.68423159999998</v>
      </c>
      <c r="G36" s="88">
        <v>0</v>
      </c>
      <c r="H36" s="88">
        <v>0</v>
      </c>
      <c r="I36" s="88">
        <v>48</v>
      </c>
      <c r="J36" s="84">
        <v>249.63237320000007</v>
      </c>
      <c r="K36" s="85">
        <v>0</v>
      </c>
      <c r="L36" s="85">
        <v>0</v>
      </c>
      <c r="M36" s="85">
        <v>0</v>
      </c>
      <c r="N36" s="85">
        <v>678.05261680000001</v>
      </c>
      <c r="O36" s="85">
        <v>0</v>
      </c>
      <c r="P36" s="85">
        <v>0</v>
      </c>
      <c r="Q36" s="85">
        <v>0</v>
      </c>
      <c r="R36" s="85">
        <v>0</v>
      </c>
      <c r="S36" s="88">
        <v>0</v>
      </c>
      <c r="T36" s="86">
        <v>249.63237320000007</v>
      </c>
      <c r="U36" s="88">
        <v>249.63237320000007</v>
      </c>
      <c r="V36" s="88">
        <v>0</v>
      </c>
      <c r="W36" s="88">
        <v>0</v>
      </c>
      <c r="X36" s="88">
        <v>0</v>
      </c>
      <c r="Y36" s="88">
        <v>0</v>
      </c>
      <c r="Z36" s="88">
        <v>0</v>
      </c>
    </row>
    <row r="37" spans="1:26" ht="15.6" x14ac:dyDescent="0.3">
      <c r="A37" s="312"/>
      <c r="B37" s="87" t="s">
        <v>169</v>
      </c>
      <c r="C37" s="88">
        <v>5755.6455719999994</v>
      </c>
      <c r="D37" s="88">
        <v>391.31209919999998</v>
      </c>
      <c r="E37" s="88">
        <v>29.272010399999999</v>
      </c>
      <c r="F37" s="88">
        <v>0</v>
      </c>
      <c r="G37" s="88">
        <v>0</v>
      </c>
      <c r="H37" s="88">
        <v>0</v>
      </c>
      <c r="I37" s="88">
        <v>0</v>
      </c>
      <c r="J37" s="84">
        <v>6176.2296815999998</v>
      </c>
      <c r="K37" s="85">
        <v>0</v>
      </c>
      <c r="L37" s="85">
        <v>0</v>
      </c>
      <c r="M37" s="85">
        <v>0</v>
      </c>
      <c r="N37" s="85">
        <v>5755.6455719999994</v>
      </c>
      <c r="O37" s="85">
        <v>0</v>
      </c>
      <c r="P37" s="85">
        <v>0</v>
      </c>
      <c r="Q37" s="85">
        <v>0</v>
      </c>
      <c r="R37" s="85">
        <v>0</v>
      </c>
      <c r="S37" s="88">
        <v>-1.2770400000000001E-2</v>
      </c>
      <c r="T37" s="86">
        <v>6176.2169112000001</v>
      </c>
      <c r="U37" s="88">
        <v>0</v>
      </c>
      <c r="V37" s="88">
        <v>0</v>
      </c>
      <c r="W37" s="88">
        <v>0</v>
      </c>
      <c r="X37" s="88">
        <v>6176.2169112000001</v>
      </c>
      <c r="Y37" s="88">
        <v>0</v>
      </c>
      <c r="Z37" s="88">
        <v>0</v>
      </c>
    </row>
    <row r="38" spans="1:26" ht="15.6" x14ac:dyDescent="0.3">
      <c r="A38" s="312"/>
      <c r="B38" s="87" t="s">
        <v>170</v>
      </c>
      <c r="C38" s="88">
        <v>1547.6428799999999</v>
      </c>
      <c r="D38" s="88">
        <v>224.37912</v>
      </c>
      <c r="E38" s="88">
        <v>-3.40116</v>
      </c>
      <c r="F38" s="88">
        <v>-1144.5726179999999</v>
      </c>
      <c r="G38" s="88">
        <v>0</v>
      </c>
      <c r="H38" s="88">
        <v>0</v>
      </c>
      <c r="I38" s="88">
        <v>0</v>
      </c>
      <c r="J38" s="84">
        <v>624.04822200000012</v>
      </c>
      <c r="K38" s="85">
        <v>0</v>
      </c>
      <c r="L38" s="85">
        <v>0</v>
      </c>
      <c r="M38" s="85">
        <v>0</v>
      </c>
      <c r="N38" s="85">
        <v>1547.6428799999999</v>
      </c>
      <c r="O38" s="85">
        <v>0</v>
      </c>
      <c r="P38" s="85">
        <v>0</v>
      </c>
      <c r="Q38" s="85">
        <v>0</v>
      </c>
      <c r="R38" s="85">
        <v>0</v>
      </c>
      <c r="S38" s="88">
        <v>0</v>
      </c>
      <c r="T38" s="86">
        <v>624.04822200000012</v>
      </c>
      <c r="U38" s="88">
        <v>0</v>
      </c>
      <c r="V38" s="88">
        <v>9.1610399999999998</v>
      </c>
      <c r="W38" s="88">
        <v>0</v>
      </c>
      <c r="X38" s="88">
        <v>614.88718199999983</v>
      </c>
      <c r="Y38" s="88">
        <v>0</v>
      </c>
      <c r="Z38" s="88">
        <v>0</v>
      </c>
    </row>
    <row r="39" spans="1:26" ht="15.6" x14ac:dyDescent="0.3">
      <c r="A39" s="312"/>
      <c r="B39" s="87" t="s">
        <v>171</v>
      </c>
      <c r="C39" s="88">
        <v>8572.1686848000008</v>
      </c>
      <c r="D39" s="88">
        <v>1977.6425424000001</v>
      </c>
      <c r="E39" s="88">
        <v>158.97936694416018</v>
      </c>
      <c r="F39" s="88">
        <v>-110.5027848</v>
      </c>
      <c r="G39" s="88">
        <v>0</v>
      </c>
      <c r="H39" s="88">
        <v>0</v>
      </c>
      <c r="I39" s="88">
        <v>0</v>
      </c>
      <c r="J39" s="84">
        <v>10598.287809344161</v>
      </c>
      <c r="K39" s="85">
        <v>-347.98214640000003</v>
      </c>
      <c r="L39" s="85">
        <v>-69.16924800000001</v>
      </c>
      <c r="M39" s="85">
        <v>0</v>
      </c>
      <c r="N39" s="85">
        <v>8572.1686848000008</v>
      </c>
      <c r="O39" s="85">
        <v>0</v>
      </c>
      <c r="P39" s="85">
        <v>0</v>
      </c>
      <c r="Q39" s="85">
        <v>0</v>
      </c>
      <c r="R39" s="85">
        <v>0</v>
      </c>
      <c r="S39" s="88">
        <v>-4.8128976000000003</v>
      </c>
      <c r="T39" s="86">
        <v>10176.323517344161</v>
      </c>
      <c r="U39" s="88">
        <v>0</v>
      </c>
      <c r="V39" s="88">
        <v>0</v>
      </c>
      <c r="W39" s="88">
        <v>101.76323517344163</v>
      </c>
      <c r="X39" s="88">
        <v>6716.3735214471481</v>
      </c>
      <c r="Y39" s="88">
        <v>3256.4235255501321</v>
      </c>
      <c r="Z39" s="88">
        <v>101.76323517344163</v>
      </c>
    </row>
    <row r="40" spans="1:26" ht="15.6" x14ac:dyDescent="0.3">
      <c r="A40" s="312"/>
      <c r="B40" s="87" t="s">
        <v>172</v>
      </c>
      <c r="C40" s="88">
        <v>2095.65454</v>
      </c>
      <c r="D40" s="88">
        <v>0</v>
      </c>
      <c r="E40" s="88">
        <v>47.00864</v>
      </c>
      <c r="F40" s="88">
        <v>-1215.13336</v>
      </c>
      <c r="G40" s="88">
        <v>0</v>
      </c>
      <c r="H40" s="88">
        <v>0</v>
      </c>
      <c r="I40" s="88">
        <v>202</v>
      </c>
      <c r="J40" s="84">
        <v>1129.52982</v>
      </c>
      <c r="K40" s="85">
        <v>-181.88015999999999</v>
      </c>
      <c r="L40" s="85">
        <v>-156.67161999999999</v>
      </c>
      <c r="M40" s="85">
        <v>0</v>
      </c>
      <c r="N40" s="85">
        <v>2095.65454</v>
      </c>
      <c r="O40" s="85">
        <v>0</v>
      </c>
      <c r="P40" s="85">
        <v>0</v>
      </c>
      <c r="Q40" s="85">
        <v>0</v>
      </c>
      <c r="R40" s="85">
        <v>0</v>
      </c>
      <c r="S40" s="88">
        <v>-418.28458000000001</v>
      </c>
      <c r="T40" s="86">
        <v>372.69345999999996</v>
      </c>
      <c r="U40" s="88">
        <v>0</v>
      </c>
      <c r="V40" s="88">
        <v>0</v>
      </c>
      <c r="W40" s="88">
        <v>52.177084400000034</v>
      </c>
      <c r="X40" s="88">
        <v>70.811757400000033</v>
      </c>
      <c r="Y40" s="88">
        <v>100.62723420000006</v>
      </c>
      <c r="Z40" s="88">
        <v>149.07738400000008</v>
      </c>
    </row>
    <row r="41" spans="1:26" ht="15.6" x14ac:dyDescent="0.3">
      <c r="A41" s="312"/>
      <c r="B41" s="87" t="s">
        <v>173</v>
      </c>
      <c r="C41" s="88">
        <v>0</v>
      </c>
      <c r="D41" s="88">
        <v>0</v>
      </c>
      <c r="E41" s="88">
        <v>0</v>
      </c>
      <c r="F41" s="88">
        <v>0</v>
      </c>
      <c r="G41" s="88">
        <v>0</v>
      </c>
      <c r="H41" s="88">
        <v>0</v>
      </c>
      <c r="I41" s="88">
        <v>0</v>
      </c>
      <c r="J41" s="84">
        <v>0</v>
      </c>
      <c r="K41" s="85">
        <v>0</v>
      </c>
      <c r="L41" s="85">
        <v>0</v>
      </c>
      <c r="M41" s="85">
        <v>0</v>
      </c>
      <c r="N41" s="85">
        <v>0</v>
      </c>
      <c r="O41" s="85">
        <v>0</v>
      </c>
      <c r="P41" s="85">
        <v>0</v>
      </c>
      <c r="Q41" s="85">
        <v>0</v>
      </c>
      <c r="R41" s="85">
        <v>0</v>
      </c>
      <c r="S41" s="88">
        <v>0</v>
      </c>
      <c r="T41" s="86">
        <v>0</v>
      </c>
      <c r="U41" s="88">
        <v>0</v>
      </c>
      <c r="V41" s="88">
        <v>0</v>
      </c>
      <c r="W41" s="88">
        <v>0</v>
      </c>
      <c r="X41" s="88">
        <v>0</v>
      </c>
      <c r="Y41" s="88">
        <v>0</v>
      </c>
      <c r="Z41" s="88">
        <v>0</v>
      </c>
    </row>
    <row r="42" spans="1:26" ht="15.6" x14ac:dyDescent="0.3">
      <c r="A42" s="312"/>
      <c r="B42" s="87" t="s">
        <v>174</v>
      </c>
      <c r="C42" s="88">
        <v>2662.1678975824261</v>
      </c>
      <c r="D42" s="88">
        <v>113.729456</v>
      </c>
      <c r="E42" s="88">
        <v>-6.3794517999999973</v>
      </c>
      <c r="F42" s="88">
        <v>-89.450657200000009</v>
      </c>
      <c r="G42" s="88">
        <v>0</v>
      </c>
      <c r="H42" s="88">
        <v>0</v>
      </c>
      <c r="I42" s="88">
        <v>0</v>
      </c>
      <c r="J42" s="84">
        <v>2680.0672445824262</v>
      </c>
      <c r="K42" s="85">
        <v>0</v>
      </c>
      <c r="L42" s="85">
        <v>0</v>
      </c>
      <c r="M42" s="85">
        <v>1456.5357489344262</v>
      </c>
      <c r="N42" s="85">
        <v>704.38953939999988</v>
      </c>
      <c r="O42" s="85">
        <v>0</v>
      </c>
      <c r="P42" s="85">
        <v>15.584918399999998</v>
      </c>
      <c r="Q42" s="85">
        <v>0</v>
      </c>
      <c r="R42" s="85">
        <v>485.65769084800007</v>
      </c>
      <c r="S42" s="88">
        <v>0</v>
      </c>
      <c r="T42" s="86">
        <v>2680.0672445824262</v>
      </c>
      <c r="U42" s="88">
        <v>2680.0672445824262</v>
      </c>
      <c r="V42" s="88">
        <v>0</v>
      </c>
      <c r="W42" s="88">
        <v>0</v>
      </c>
      <c r="X42" s="88">
        <v>0</v>
      </c>
      <c r="Y42" s="88">
        <v>0</v>
      </c>
      <c r="Z42" s="88">
        <v>0</v>
      </c>
    </row>
    <row r="43" spans="1:26" ht="15.6" x14ac:dyDescent="0.3">
      <c r="A43" s="312"/>
      <c r="B43" s="87" t="s">
        <v>175</v>
      </c>
      <c r="C43" s="88">
        <v>77.92459199999999</v>
      </c>
      <c r="D43" s="88">
        <v>0</v>
      </c>
      <c r="E43" s="88">
        <v>0</v>
      </c>
      <c r="F43" s="88">
        <v>0</v>
      </c>
      <c r="G43" s="88">
        <v>0</v>
      </c>
      <c r="H43" s="88">
        <v>0</v>
      </c>
      <c r="I43" s="88">
        <v>0</v>
      </c>
      <c r="J43" s="84">
        <v>77.92459199999999</v>
      </c>
      <c r="K43" s="85">
        <v>0</v>
      </c>
      <c r="L43" s="85">
        <v>-11.670209932553263</v>
      </c>
      <c r="M43" s="85">
        <v>0</v>
      </c>
      <c r="N43" s="85">
        <v>0</v>
      </c>
      <c r="O43" s="85">
        <v>0</v>
      </c>
      <c r="P43" s="85">
        <v>77.92459199999999</v>
      </c>
      <c r="Q43" s="85">
        <v>0</v>
      </c>
      <c r="R43" s="85">
        <v>0</v>
      </c>
      <c r="S43" s="88">
        <v>-66.254382067446727</v>
      </c>
      <c r="T43" s="86">
        <v>0</v>
      </c>
      <c r="U43" s="88">
        <v>0</v>
      </c>
      <c r="V43" s="88">
        <v>0</v>
      </c>
      <c r="W43" s="88">
        <v>0</v>
      </c>
      <c r="X43" s="88">
        <v>0</v>
      </c>
      <c r="Y43" s="88">
        <v>0</v>
      </c>
      <c r="Z43" s="88">
        <v>0</v>
      </c>
    </row>
    <row r="44" spans="1:26" ht="15.6" x14ac:dyDescent="0.3">
      <c r="A44" s="312"/>
      <c r="B44" s="87" t="s">
        <v>176</v>
      </c>
      <c r="C44" s="88">
        <v>517.33101851200001</v>
      </c>
      <c r="D44" s="88">
        <v>0</v>
      </c>
      <c r="E44" s="88">
        <v>0</v>
      </c>
      <c r="F44" s="88">
        <v>0</v>
      </c>
      <c r="G44" s="88">
        <v>0</v>
      </c>
      <c r="H44" s="88">
        <v>0</v>
      </c>
      <c r="I44" s="88">
        <v>0</v>
      </c>
      <c r="J44" s="84">
        <v>517.33101851200001</v>
      </c>
      <c r="K44" s="85">
        <v>0</v>
      </c>
      <c r="L44" s="85">
        <v>-159.90431878738846</v>
      </c>
      <c r="M44" s="85">
        <v>0</v>
      </c>
      <c r="N44" s="85">
        <v>0</v>
      </c>
      <c r="O44" s="85">
        <v>0</v>
      </c>
      <c r="P44" s="85">
        <v>0</v>
      </c>
      <c r="Q44" s="85">
        <v>0</v>
      </c>
      <c r="R44" s="85">
        <v>517.33101851200001</v>
      </c>
      <c r="S44" s="88">
        <v>-357.42669972461158</v>
      </c>
      <c r="T44" s="86">
        <v>0</v>
      </c>
      <c r="U44" s="88">
        <v>0</v>
      </c>
      <c r="V44" s="88">
        <v>0</v>
      </c>
      <c r="W44" s="88">
        <v>0</v>
      </c>
      <c r="X44" s="88">
        <v>0</v>
      </c>
      <c r="Y44" s="88">
        <v>0</v>
      </c>
      <c r="Z44" s="88">
        <v>0</v>
      </c>
    </row>
    <row r="45" spans="1:26" ht="15.6" x14ac:dyDescent="0.3">
      <c r="A45" s="312"/>
      <c r="B45" s="102" t="s">
        <v>177</v>
      </c>
      <c r="C45" s="88">
        <v>1383.8835999999999</v>
      </c>
      <c r="D45" s="88">
        <v>0</v>
      </c>
      <c r="E45" s="88">
        <v>0</v>
      </c>
      <c r="F45" s="88">
        <v>0</v>
      </c>
      <c r="G45" s="88">
        <v>0</v>
      </c>
      <c r="H45" s="88">
        <v>0</v>
      </c>
      <c r="I45" s="88">
        <v>0</v>
      </c>
      <c r="J45" s="84">
        <v>1383.8835999999999</v>
      </c>
      <c r="K45" s="85">
        <v>0</v>
      </c>
      <c r="L45" s="85">
        <v>0</v>
      </c>
      <c r="M45" s="85">
        <v>0</v>
      </c>
      <c r="N45" s="85">
        <v>994.26063999999997</v>
      </c>
      <c r="O45" s="85">
        <v>0</v>
      </c>
      <c r="P45" s="85">
        <v>389.62295999999992</v>
      </c>
      <c r="Q45" s="85">
        <v>0</v>
      </c>
      <c r="R45" s="85">
        <v>-1055.7775888000001</v>
      </c>
      <c r="S45" s="88">
        <v>0</v>
      </c>
      <c r="T45" s="86">
        <v>328.10601119999978</v>
      </c>
      <c r="U45" s="103">
        <v>328.1060111999999</v>
      </c>
      <c r="V45" s="103">
        <v>0</v>
      </c>
      <c r="W45" s="103">
        <v>0</v>
      </c>
      <c r="X45" s="103">
        <v>0</v>
      </c>
      <c r="Y45" s="103">
        <v>0</v>
      </c>
      <c r="Z45" s="103">
        <v>0</v>
      </c>
    </row>
    <row r="46" spans="1:26" ht="15.6" x14ac:dyDescent="0.3">
      <c r="A46" s="312"/>
      <c r="B46" s="87" t="s">
        <v>178</v>
      </c>
      <c r="C46" s="88">
        <v>287.66094280000004</v>
      </c>
      <c r="D46" s="88">
        <v>0</v>
      </c>
      <c r="E46" s="88">
        <v>0</v>
      </c>
      <c r="F46" s="88">
        <v>0</v>
      </c>
      <c r="G46" s="88">
        <v>0</v>
      </c>
      <c r="H46" s="88">
        <v>0</v>
      </c>
      <c r="I46" s="88">
        <v>0</v>
      </c>
      <c r="J46" s="84">
        <v>287.66094280000004</v>
      </c>
      <c r="K46" s="85">
        <v>0</v>
      </c>
      <c r="L46" s="85">
        <v>0</v>
      </c>
      <c r="M46" s="85">
        <v>0</v>
      </c>
      <c r="N46" s="85">
        <v>0</v>
      </c>
      <c r="O46" s="85">
        <v>0</v>
      </c>
      <c r="P46" s="85">
        <v>0</v>
      </c>
      <c r="Q46" s="85">
        <v>287.66094280000004</v>
      </c>
      <c r="R46" s="85">
        <v>0</v>
      </c>
      <c r="S46" s="88">
        <v>0</v>
      </c>
      <c r="T46" s="86">
        <v>287.66094280000004</v>
      </c>
      <c r="U46" s="88">
        <v>0</v>
      </c>
      <c r="V46" s="88">
        <v>172.59656568000003</v>
      </c>
      <c r="W46" s="88">
        <v>115.06437712000002</v>
      </c>
      <c r="X46" s="88">
        <v>0</v>
      </c>
      <c r="Y46" s="88">
        <v>0</v>
      </c>
      <c r="Z46" s="88">
        <v>0</v>
      </c>
    </row>
    <row r="47" spans="1:26" ht="15.6" x14ac:dyDescent="0.3">
      <c r="A47" s="312"/>
      <c r="B47" s="87" t="s">
        <v>179</v>
      </c>
      <c r="C47" s="88">
        <v>543.78987541440017</v>
      </c>
      <c r="D47" s="88">
        <v>0</v>
      </c>
      <c r="E47" s="88">
        <v>0</v>
      </c>
      <c r="F47" s="88">
        <v>0</v>
      </c>
      <c r="G47" s="88">
        <v>0</v>
      </c>
      <c r="H47" s="88">
        <v>0</v>
      </c>
      <c r="I47" s="88">
        <v>-5</v>
      </c>
      <c r="J47" s="84">
        <v>538.78987541440017</v>
      </c>
      <c r="K47" s="85">
        <v>0</v>
      </c>
      <c r="L47" s="85">
        <v>0</v>
      </c>
      <c r="M47" s="85">
        <v>0</v>
      </c>
      <c r="N47" s="85">
        <v>0</v>
      </c>
      <c r="O47" s="85">
        <v>543.78987541440017</v>
      </c>
      <c r="P47" s="85">
        <v>0</v>
      </c>
      <c r="Q47" s="85">
        <v>0</v>
      </c>
      <c r="R47" s="85">
        <v>0</v>
      </c>
      <c r="S47" s="88">
        <v>0</v>
      </c>
      <c r="T47" s="86">
        <v>538.78987541440017</v>
      </c>
      <c r="U47" s="88">
        <v>0</v>
      </c>
      <c r="V47" s="88">
        <v>0</v>
      </c>
      <c r="W47" s="88">
        <v>0</v>
      </c>
      <c r="X47" s="88">
        <v>538.68501752096006</v>
      </c>
      <c r="Y47" s="88">
        <v>0</v>
      </c>
      <c r="Z47" s="88">
        <v>0</v>
      </c>
    </row>
    <row r="48" spans="1:26" ht="15.6" x14ac:dyDescent="0.3">
      <c r="A48" s="312"/>
      <c r="B48" s="87" t="s">
        <v>11</v>
      </c>
      <c r="C48" s="88">
        <v>1911.0707272000004</v>
      </c>
      <c r="D48" s="88">
        <v>0</v>
      </c>
      <c r="E48" s="88">
        <v>0</v>
      </c>
      <c r="F48" s="88">
        <v>-903.3560698</v>
      </c>
      <c r="G48" s="88">
        <v>0</v>
      </c>
      <c r="H48" s="88">
        <v>0</v>
      </c>
      <c r="I48" s="88">
        <v>4</v>
      </c>
      <c r="J48" s="84">
        <v>1011.7146574000004</v>
      </c>
      <c r="K48" s="85">
        <v>0</v>
      </c>
      <c r="L48" s="85">
        <v>0</v>
      </c>
      <c r="M48" s="85">
        <v>0</v>
      </c>
      <c r="N48" s="85">
        <v>0</v>
      </c>
      <c r="O48" s="85">
        <v>1911.0707272000004</v>
      </c>
      <c r="P48" s="85">
        <v>0</v>
      </c>
      <c r="Q48" s="85">
        <v>0</v>
      </c>
      <c r="R48" s="85">
        <v>0</v>
      </c>
      <c r="S48" s="88">
        <v>0</v>
      </c>
      <c r="T48" s="86">
        <v>1011.7146574000004</v>
      </c>
      <c r="U48" s="88">
        <v>0</v>
      </c>
      <c r="V48" s="88">
        <v>0</v>
      </c>
      <c r="W48" s="88">
        <v>0</v>
      </c>
      <c r="X48" s="88">
        <v>1011.6885163000002</v>
      </c>
      <c r="Y48" s="88">
        <v>0</v>
      </c>
      <c r="Z48" s="88">
        <v>0</v>
      </c>
    </row>
    <row r="49" spans="1:26" ht="15.6" x14ac:dyDescent="0.3">
      <c r="A49" s="312"/>
      <c r="B49" s="104" t="s">
        <v>180</v>
      </c>
      <c r="C49" s="105">
        <v>76219.872528639156</v>
      </c>
      <c r="D49" s="105">
        <v>9459.5984277022981</v>
      </c>
      <c r="E49" s="105">
        <v>242.1752535441602</v>
      </c>
      <c r="F49" s="105">
        <v>-5937.5813734000003</v>
      </c>
      <c r="G49" s="105">
        <v>-134.45999999999998</v>
      </c>
      <c r="H49" s="105">
        <v>-4988.8150326703444</v>
      </c>
      <c r="I49" s="105">
        <v>267</v>
      </c>
      <c r="J49" s="106">
        <v>75127.789803815263</v>
      </c>
      <c r="K49" s="105">
        <v>-13067.0123064</v>
      </c>
      <c r="L49" s="105">
        <v>-2874.8381967199421</v>
      </c>
      <c r="M49" s="105">
        <v>0</v>
      </c>
      <c r="N49" s="105">
        <v>-797.94133750240064</v>
      </c>
      <c r="O49" s="105">
        <v>0</v>
      </c>
      <c r="P49" s="105">
        <v>0</v>
      </c>
      <c r="Q49" s="105">
        <v>0</v>
      </c>
      <c r="R49" s="105">
        <v>-1055.7775888000001</v>
      </c>
      <c r="S49" s="105">
        <v>-2968.672379971289</v>
      </c>
      <c r="T49" s="107">
        <v>54363.547994421635</v>
      </c>
      <c r="U49" s="105">
        <v>3257.8056289824262</v>
      </c>
      <c r="V49" s="105">
        <v>13560.737376341232</v>
      </c>
      <c r="W49" s="105">
        <v>4354.002017552858</v>
      </c>
      <c r="X49" s="105">
        <v>17217.559527808517</v>
      </c>
      <c r="Y49" s="105">
        <v>3516.2647760298396</v>
      </c>
      <c r="Z49" s="105">
        <v>12457.48525561578</v>
      </c>
    </row>
    <row r="50" spans="1:26" ht="15.6" x14ac:dyDescent="0.3">
      <c r="A50" s="108"/>
      <c r="B50" s="109"/>
      <c r="C50" s="330" t="s">
        <v>181</v>
      </c>
      <c r="D50" s="331"/>
      <c r="E50" s="331"/>
      <c r="F50" s="331"/>
      <c r="G50" s="331"/>
      <c r="H50" s="331"/>
      <c r="I50" s="331"/>
      <c r="J50" s="331"/>
      <c r="K50" s="331"/>
      <c r="L50" s="331"/>
      <c r="M50" s="331"/>
      <c r="N50" s="331"/>
      <c r="O50" s="331"/>
      <c r="P50" s="331"/>
      <c r="Q50" s="331"/>
      <c r="R50" s="332"/>
      <c r="S50" s="110">
        <v>-7424.913969901294</v>
      </c>
      <c r="T50" s="106">
        <v>55685.375792868392</v>
      </c>
      <c r="U50" s="110">
        <v>3257.8056289824262</v>
      </c>
      <c r="V50" s="110">
        <v>13652.624064449232</v>
      </c>
      <c r="W50" s="110">
        <v>4399.9453616068577</v>
      </c>
      <c r="X50" s="110">
        <v>17217.559527808517</v>
      </c>
      <c r="Y50" s="110">
        <v>3645.1933960298397</v>
      </c>
      <c r="Z50" s="110">
        <v>13513.919130720587</v>
      </c>
    </row>
    <row r="51" spans="1:26" ht="15.6" x14ac:dyDescent="0.3">
      <c r="A51" s="111"/>
      <c r="B51" s="111"/>
      <c r="C51" s="112"/>
      <c r="D51" s="112"/>
      <c r="E51" s="112"/>
      <c r="F51" s="112"/>
      <c r="G51" s="113"/>
      <c r="H51" s="112"/>
      <c r="I51" s="112"/>
      <c r="J51" s="114"/>
      <c r="K51" s="333" t="s">
        <v>182</v>
      </c>
      <c r="L51" s="334"/>
      <c r="M51" s="334"/>
      <c r="N51" s="334"/>
      <c r="O51" s="334"/>
      <c r="P51" s="334"/>
      <c r="Q51" s="334"/>
      <c r="R51" s="335"/>
      <c r="S51" s="115"/>
      <c r="T51" s="116"/>
      <c r="U51" s="117"/>
      <c r="V51" s="117"/>
      <c r="W51" s="117"/>
      <c r="X51" s="117"/>
      <c r="Y51" s="117"/>
      <c r="Z51" s="117"/>
    </row>
    <row r="52" spans="1:26" ht="15.6" x14ac:dyDescent="0.3">
      <c r="A52" s="111"/>
      <c r="B52" s="296"/>
      <c r="C52" s="296"/>
      <c r="D52" s="296"/>
      <c r="E52" s="296"/>
      <c r="F52" s="111"/>
      <c r="G52" s="118"/>
      <c r="H52" s="119" t="s">
        <v>183</v>
      </c>
      <c r="I52" s="120"/>
      <c r="J52" s="121"/>
      <c r="K52" s="122">
        <v>-5843.7077318733873</v>
      </c>
      <c r="L52" s="122">
        <v>-766.42725112460471</v>
      </c>
      <c r="M52" s="122">
        <v>-37693.732645470445</v>
      </c>
      <c r="N52" s="122">
        <v>-23611.990071914999</v>
      </c>
      <c r="O52" s="122">
        <v>-2552.4474225997942</v>
      </c>
      <c r="P52" s="122">
        <v>-519.49727999999993</v>
      </c>
      <c r="Q52" s="122">
        <v>-425.32725113999999</v>
      </c>
      <c r="R52" s="122">
        <v>0</v>
      </c>
      <c r="S52" s="74"/>
      <c r="T52" s="74"/>
      <c r="U52" s="74"/>
      <c r="V52" s="74"/>
      <c r="W52" s="74"/>
      <c r="X52" s="74"/>
      <c r="Y52" s="74"/>
      <c r="Z52" s="74"/>
    </row>
    <row r="53" spans="1:26" ht="15.6" x14ac:dyDescent="0.3">
      <c r="A53" s="111"/>
      <c r="B53" s="296"/>
      <c r="C53" s="296"/>
      <c r="D53" s="296"/>
      <c r="E53" s="296"/>
      <c r="F53" s="111"/>
      <c r="G53" s="123" t="s">
        <v>184</v>
      </c>
      <c r="H53" s="124" t="s">
        <v>185</v>
      </c>
      <c r="I53" s="125"/>
      <c r="J53" s="126"/>
      <c r="K53" s="127">
        <v>-13067.0123064</v>
      </c>
      <c r="L53" s="127">
        <v>-2874.8381967199421</v>
      </c>
      <c r="M53" s="127">
        <v>0</v>
      </c>
      <c r="N53" s="127">
        <v>-797.94133750240064</v>
      </c>
      <c r="O53" s="127">
        <v>0</v>
      </c>
      <c r="P53" s="127">
        <v>0</v>
      </c>
      <c r="Q53" s="127">
        <v>0</v>
      </c>
      <c r="R53" s="127">
        <v>-1055.7775888000001</v>
      </c>
      <c r="S53" s="128"/>
      <c r="T53" s="74"/>
      <c r="U53" s="74"/>
      <c r="V53" s="128"/>
      <c r="W53" s="128"/>
      <c r="X53" s="128"/>
      <c r="Y53" s="128"/>
      <c r="Z53" s="128"/>
    </row>
    <row r="54" spans="1:26" ht="15.6" x14ac:dyDescent="0.3">
      <c r="A54" s="111"/>
      <c r="B54" s="296"/>
      <c r="C54" s="296"/>
      <c r="D54" s="296"/>
      <c r="E54" s="296"/>
      <c r="F54" s="111"/>
      <c r="G54" s="129"/>
      <c r="H54" s="124" t="s">
        <v>136</v>
      </c>
      <c r="I54" s="125"/>
      <c r="J54" s="126"/>
      <c r="K54" s="127">
        <v>-18910.720038273386</v>
      </c>
      <c r="L54" s="127">
        <v>-3641.2654478445465</v>
      </c>
      <c r="M54" s="127">
        <v>-37693.732645470445</v>
      </c>
      <c r="N54" s="127">
        <v>-24409.931409417401</v>
      </c>
      <c r="O54" s="127">
        <v>-2552.4474225997942</v>
      </c>
      <c r="P54" s="127">
        <v>-519.49727999999993</v>
      </c>
      <c r="Q54" s="127">
        <v>-425.32725113999999</v>
      </c>
      <c r="R54" s="127">
        <v>-1055.7775888000001</v>
      </c>
      <c r="S54" s="74"/>
      <c r="T54" s="74"/>
      <c r="U54" s="74"/>
      <c r="V54" s="74"/>
      <c r="W54" s="74"/>
      <c r="X54" s="74"/>
      <c r="Y54" s="74"/>
      <c r="Z54" s="74"/>
    </row>
    <row r="55" spans="1:26" ht="15.6" x14ac:dyDescent="0.3">
      <c r="A55" s="111"/>
      <c r="B55" s="296"/>
      <c r="C55" s="296"/>
      <c r="D55" s="296"/>
      <c r="E55" s="296"/>
      <c r="F55" s="111"/>
      <c r="G55" s="112"/>
      <c r="H55" s="124" t="s">
        <v>1</v>
      </c>
      <c r="I55" s="125"/>
      <c r="J55" s="126"/>
      <c r="K55" s="127">
        <v>10662.412512696234</v>
      </c>
      <c r="L55" s="127">
        <v>1337.1608182341458</v>
      </c>
      <c r="M55" s="127">
        <v>37694.049999534385</v>
      </c>
      <c r="N55" s="127">
        <v>22297.606472999996</v>
      </c>
      <c r="O55" s="127">
        <v>2454.8606026144007</v>
      </c>
      <c r="P55" s="127">
        <v>483.13247039999987</v>
      </c>
      <c r="Q55" s="127">
        <v>287.66094280000004</v>
      </c>
      <c r="R55" s="127">
        <v>1002.98870936</v>
      </c>
      <c r="S55" s="73"/>
      <c r="T55" s="74"/>
      <c r="U55" s="74"/>
      <c r="V55" s="73"/>
      <c r="W55" s="73"/>
      <c r="X55" s="73"/>
      <c r="Y55" s="73"/>
      <c r="Z55" s="73"/>
    </row>
    <row r="56" spans="1:26" ht="15.6" x14ac:dyDescent="0.3">
      <c r="A56" s="111"/>
      <c r="B56" s="296"/>
      <c r="C56" s="296"/>
      <c r="D56" s="296"/>
      <c r="E56" s="296"/>
      <c r="F56" s="111"/>
      <c r="G56" s="111"/>
      <c r="H56" s="130" t="s">
        <v>124</v>
      </c>
      <c r="I56" s="131"/>
      <c r="J56" s="132"/>
      <c r="K56" s="133">
        <v>8248.3075255771528</v>
      </c>
      <c r="L56" s="133">
        <v>2304.1046296104005</v>
      </c>
      <c r="M56" s="133">
        <v>-0.31735406394000165</v>
      </c>
      <c r="N56" s="133">
        <v>2112.3249364174044</v>
      </c>
      <c r="O56" s="133">
        <v>97.586819985393504</v>
      </c>
      <c r="P56" s="133">
        <v>36.364809600000058</v>
      </c>
      <c r="Q56" s="133">
        <v>137.66630833999994</v>
      </c>
      <c r="R56" s="133">
        <v>52.788879440000073</v>
      </c>
      <c r="S56" s="74"/>
      <c r="T56" s="128"/>
      <c r="U56" s="74"/>
      <c r="V56" s="74"/>
      <c r="W56" s="74"/>
      <c r="X56" s="74"/>
      <c r="Y56" s="74"/>
      <c r="Z56" s="74"/>
    </row>
    <row r="59" spans="1:26" ht="15.6" x14ac:dyDescent="0.3">
      <c r="B59" s="134" t="s">
        <v>188</v>
      </c>
    </row>
    <row r="61" spans="1:26" ht="15.6" x14ac:dyDescent="0.3">
      <c r="B61" s="160" t="s">
        <v>277</v>
      </c>
      <c r="C61" s="160">
        <f>((J48+J47+J46+J27+J26+J25+J24+J23+J22)/(T50))*100</f>
        <v>12.701910789811652</v>
      </c>
    </row>
  </sheetData>
  <mergeCells count="35">
    <mergeCell ref="C50:R50"/>
    <mergeCell ref="K51:R51"/>
    <mergeCell ref="Q2:Q16"/>
    <mergeCell ref="R2:R16"/>
    <mergeCell ref="L4:L16"/>
    <mergeCell ref="M2:M16"/>
    <mergeCell ref="P2:P16"/>
    <mergeCell ref="K4:K16"/>
    <mergeCell ref="O2:O16"/>
    <mergeCell ref="S2:S16"/>
    <mergeCell ref="T2:Z2"/>
    <mergeCell ref="N2:N16"/>
    <mergeCell ref="A17:A29"/>
    <mergeCell ref="A31:A49"/>
    <mergeCell ref="T3:T16"/>
    <mergeCell ref="U3:U16"/>
    <mergeCell ref="V3:Z3"/>
    <mergeCell ref="V4:V16"/>
    <mergeCell ref="Y4:Y16"/>
    <mergeCell ref="B52:E56"/>
    <mergeCell ref="C1:J1"/>
    <mergeCell ref="K1:R1"/>
    <mergeCell ref="S1:Z1"/>
    <mergeCell ref="C2:C16"/>
    <mergeCell ref="D2:D16"/>
    <mergeCell ref="E2:E16"/>
    <mergeCell ref="F2:F16"/>
    <mergeCell ref="G2:G16"/>
    <mergeCell ref="H2:H16"/>
    <mergeCell ref="I2:I16"/>
    <mergeCell ref="W4:W16"/>
    <mergeCell ref="X4:X16"/>
    <mergeCell ref="J2:J16"/>
    <mergeCell ref="K2:L3"/>
    <mergeCell ref="Z4:Z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CA34-79F0-428E-A3F5-A612AEAA11AC}">
  <dimension ref="A1:R142"/>
  <sheetViews>
    <sheetView tabSelected="1" zoomScaleNormal="100" workbookViewId="0">
      <selection activeCell="C123" sqref="C123"/>
    </sheetView>
  </sheetViews>
  <sheetFormatPr defaultRowHeight="14.4" x14ac:dyDescent="0.3"/>
  <cols>
    <col min="1" max="1" width="47.44140625" bestFit="1" customWidth="1"/>
    <col min="2" max="2" width="21.109375" bestFit="1" customWidth="1"/>
    <col min="3" max="4" width="30.5546875" bestFit="1" customWidth="1"/>
    <col min="5" max="5" width="28.5546875" bestFit="1" customWidth="1"/>
    <col min="6" max="6" width="24.33203125" bestFit="1" customWidth="1"/>
    <col min="7" max="7" width="10.44140625" bestFit="1" customWidth="1"/>
    <col min="8" max="8" width="14.6640625" bestFit="1" customWidth="1"/>
    <col min="10" max="10" width="16.88671875" bestFit="1" customWidth="1"/>
    <col min="11" max="11" width="12.77734375" bestFit="1" customWidth="1"/>
    <col min="14" max="14" width="15.5546875" bestFit="1" customWidth="1"/>
    <col min="15" max="15" width="29.5546875" bestFit="1" customWidth="1"/>
    <col min="16" max="16" width="16.109375" bestFit="1" customWidth="1"/>
    <col min="17" max="17" width="22.33203125" bestFit="1" customWidth="1"/>
    <col min="18" max="18" width="18.109375" bestFit="1" customWidth="1"/>
  </cols>
  <sheetData>
    <row r="1" spans="1:18" ht="18" x14ac:dyDescent="0.35">
      <c r="A1" s="187" t="s">
        <v>293</v>
      </c>
    </row>
    <row r="2" spans="1:18" ht="15" thickBot="1" x14ac:dyDescent="0.35"/>
    <row r="3" spans="1:18" ht="15.6" x14ac:dyDescent="0.3">
      <c r="A3" s="178" t="s">
        <v>285</v>
      </c>
      <c r="B3" s="26" t="s">
        <v>283</v>
      </c>
      <c r="C3" s="26" t="s">
        <v>284</v>
      </c>
      <c r="D3" s="31" t="s">
        <v>351</v>
      </c>
      <c r="E3" s="218" t="s">
        <v>354</v>
      </c>
      <c r="O3" s="160" t="s">
        <v>319</v>
      </c>
    </row>
    <row r="4" spans="1:18" ht="18" x14ac:dyDescent="0.35">
      <c r="A4" s="175" t="s">
        <v>282</v>
      </c>
      <c r="B4" s="8">
        <f>2.99*10^(-3)</f>
        <v>2.9900000000000005E-3</v>
      </c>
      <c r="C4" s="8">
        <f>B4*1000</f>
        <v>2.9900000000000007</v>
      </c>
      <c r="D4" s="175">
        <v>56.3</v>
      </c>
      <c r="E4" s="239">
        <f>D4*C4*0.46</f>
        <v>77.435020000000009</v>
      </c>
      <c r="O4" s="197" t="s">
        <v>320</v>
      </c>
      <c r="P4" s="198" t="s">
        <v>321</v>
      </c>
      <c r="Q4" s="198" t="s">
        <v>322</v>
      </c>
      <c r="R4" s="263" t="s">
        <v>416</v>
      </c>
    </row>
    <row r="5" spans="1:18" ht="15.6" x14ac:dyDescent="0.3">
      <c r="A5" s="175" t="s">
        <v>193</v>
      </c>
      <c r="B5" s="8">
        <f>3.58*10^(-4)</f>
        <v>3.5800000000000003E-4</v>
      </c>
      <c r="C5" s="8">
        <f t="shared" ref="C5:C8" si="0">B5*1000</f>
        <v>0.35800000000000004</v>
      </c>
      <c r="D5" s="175">
        <v>7.5</v>
      </c>
      <c r="E5" s="239">
        <f t="shared" ref="E5:E6" si="1">D5*C5</f>
        <v>2.6850000000000005</v>
      </c>
      <c r="O5" s="199" t="s">
        <v>323</v>
      </c>
      <c r="P5" s="27">
        <v>476176</v>
      </c>
      <c r="Q5" s="27">
        <v>16882238</v>
      </c>
      <c r="R5" s="264">
        <v>9504473</v>
      </c>
    </row>
    <row r="6" spans="1:18" ht="15.6" x14ac:dyDescent="0.3">
      <c r="A6" s="175" t="s">
        <v>194</v>
      </c>
      <c r="B6" s="8">
        <f>2.69*10^(-4)</f>
        <v>2.6900000000000003E-4</v>
      </c>
      <c r="C6" s="8">
        <f t="shared" si="0"/>
        <v>0.26900000000000002</v>
      </c>
      <c r="D6" s="175">
        <v>358</v>
      </c>
      <c r="E6" s="239">
        <f t="shared" si="1"/>
        <v>96.302000000000007</v>
      </c>
      <c r="G6" s="66"/>
      <c r="H6" s="178" t="s">
        <v>287</v>
      </c>
      <c r="O6" s="199" t="s">
        <v>324</v>
      </c>
      <c r="P6" s="27">
        <f>30*44.85</f>
        <v>1345.5</v>
      </c>
      <c r="Q6" s="27">
        <v>609.30999999999995</v>
      </c>
      <c r="R6" s="27">
        <v>2363</v>
      </c>
    </row>
    <row r="7" spans="1:18" ht="15.6" x14ac:dyDescent="0.3">
      <c r="A7" s="175" t="s">
        <v>195</v>
      </c>
      <c r="B7" s="8">
        <f>1.78*10^(-3)</f>
        <v>1.7800000000000001E-3</v>
      </c>
      <c r="C7" s="8">
        <f t="shared" si="0"/>
        <v>1.78</v>
      </c>
      <c r="D7" s="175">
        <v>50.3</v>
      </c>
      <c r="E7" s="239">
        <f>D7*C7</f>
        <v>89.533999999999992</v>
      </c>
      <c r="G7" s="178" t="s">
        <v>417</v>
      </c>
      <c r="H7" s="194">
        <f>(E40+E14+E27)/(E10+E16+E29+E41)</f>
        <v>7.759714835855652</v>
      </c>
      <c r="O7" s="199" t="s">
        <v>325</v>
      </c>
      <c r="P7" s="190">
        <f>P5/P6</f>
        <v>353.90263842437753</v>
      </c>
      <c r="Q7" s="190">
        <f>Q5/Q6</f>
        <v>27707.140864256293</v>
      </c>
      <c r="R7" s="190">
        <f>R5/R6</f>
        <v>4022.2060939483708</v>
      </c>
    </row>
    <row r="8" spans="1:18" ht="15.6" x14ac:dyDescent="0.3">
      <c r="A8" s="175" t="s">
        <v>196</v>
      </c>
      <c r="B8" s="8">
        <f>4*10^(-4)</f>
        <v>4.0000000000000002E-4</v>
      </c>
      <c r="C8" s="8">
        <f t="shared" si="0"/>
        <v>0.4</v>
      </c>
      <c r="D8" s="235" t="s">
        <v>115</v>
      </c>
      <c r="E8" s="240" t="s">
        <v>115</v>
      </c>
      <c r="G8" s="178" t="s">
        <v>418</v>
      </c>
      <c r="H8" s="194">
        <f>E40/(E10+E16+E29+E41)</f>
        <v>2.1057034293025922</v>
      </c>
    </row>
    <row r="9" spans="1:18" ht="15.6" x14ac:dyDescent="0.3">
      <c r="A9" s="185" t="s">
        <v>205</v>
      </c>
      <c r="B9" s="177">
        <v>1</v>
      </c>
      <c r="C9" s="177">
        <v>1</v>
      </c>
      <c r="D9" s="235">
        <v>4.43</v>
      </c>
      <c r="E9" s="239">
        <f>D9*C9*1000</f>
        <v>4430</v>
      </c>
      <c r="F9">
        <f>E9*40/1000</f>
        <v>177.2</v>
      </c>
    </row>
    <row r="10" spans="1:18" ht="15.6" x14ac:dyDescent="0.3">
      <c r="D10" s="236" t="s">
        <v>357</v>
      </c>
      <c r="E10" s="241">
        <f>SUM(E4:E7)</f>
        <v>265.95602000000002</v>
      </c>
      <c r="F10">
        <f>E10*40/1000</f>
        <v>10.638240800000002</v>
      </c>
    </row>
    <row r="11" spans="1:18" ht="15.6" x14ac:dyDescent="0.3">
      <c r="A11" s="179" t="s">
        <v>286</v>
      </c>
      <c r="B11" s="26" t="s">
        <v>352</v>
      </c>
      <c r="C11" s="26" t="s">
        <v>284</v>
      </c>
      <c r="D11" s="31" t="s">
        <v>351</v>
      </c>
      <c r="E11" s="242" t="s">
        <v>354</v>
      </c>
    </row>
    <row r="12" spans="1:18" ht="15.6" x14ac:dyDescent="0.3">
      <c r="A12" s="8" t="s">
        <v>205</v>
      </c>
      <c r="B12" s="8">
        <v>1.1000000000000001</v>
      </c>
      <c r="C12" s="8">
        <f>B12*0.91</f>
        <v>1.0010000000000001</v>
      </c>
      <c r="D12" s="175">
        <v>4.43</v>
      </c>
      <c r="E12" s="239">
        <f>C12*D12</f>
        <v>4.4344299999999999</v>
      </c>
    </row>
    <row r="13" spans="1:18" ht="15.6" x14ac:dyDescent="0.3">
      <c r="A13" s="8" t="s">
        <v>264</v>
      </c>
      <c r="B13" s="8">
        <v>0.40500000000000003</v>
      </c>
      <c r="C13" s="8">
        <f>B13*0.91*1000</f>
        <v>368.55000000000007</v>
      </c>
      <c r="D13" s="175">
        <f>0.00494</f>
        <v>4.9399999999999999E-3</v>
      </c>
      <c r="E13" s="239">
        <f>C13*D13</f>
        <v>1.8206370000000003</v>
      </c>
    </row>
    <row r="14" spans="1:18" ht="15.6" x14ac:dyDescent="0.3">
      <c r="A14" s="8" t="s">
        <v>353</v>
      </c>
      <c r="B14" s="8">
        <f>0.0409</f>
        <v>4.0899999999999999E-2</v>
      </c>
      <c r="C14" s="186">
        <f>B14*1000</f>
        <v>40.9</v>
      </c>
      <c r="D14" s="175" t="s">
        <v>202</v>
      </c>
      <c r="E14" s="243">
        <f>(C14/(0.0000002778))/(10^6)</f>
        <v>147.22822174226062</v>
      </c>
      <c r="G14" s="178" t="s">
        <v>288</v>
      </c>
    </row>
    <row r="15" spans="1:18" ht="15.6" x14ac:dyDescent="0.3">
      <c r="A15" s="185" t="s">
        <v>213</v>
      </c>
      <c r="B15" s="185">
        <v>1</v>
      </c>
      <c r="C15" s="176"/>
      <c r="D15" s="175">
        <v>2.6</v>
      </c>
      <c r="E15" s="240"/>
      <c r="G15" s="194">
        <f>(E40-(E10+E16+E29+E41))/E40</f>
        <v>0.52509931546666122</v>
      </c>
    </row>
    <row r="16" spans="1:18" ht="15.6" x14ac:dyDescent="0.3">
      <c r="D16" s="237" t="s">
        <v>357</v>
      </c>
      <c r="E16" s="244">
        <f>SUM(E12:E13)</f>
        <v>6.2550670000000004</v>
      </c>
    </row>
    <row r="17" spans="1:6" ht="15.6" x14ac:dyDescent="0.3">
      <c r="A17" s="179" t="s">
        <v>291</v>
      </c>
      <c r="B17" s="26" t="s">
        <v>355</v>
      </c>
      <c r="C17" s="26" t="s">
        <v>284</v>
      </c>
      <c r="D17" s="31" t="s">
        <v>351</v>
      </c>
      <c r="E17" s="242" t="s">
        <v>354</v>
      </c>
    </row>
    <row r="18" spans="1:6" ht="15.6" x14ac:dyDescent="0.3">
      <c r="A18" s="8" t="s">
        <v>213</v>
      </c>
      <c r="B18" s="226">
        <v>4.13</v>
      </c>
      <c r="C18" s="232">
        <f t="shared" ref="C18:C25" si="2">B18*0.22*1000</f>
        <v>908.59999999999991</v>
      </c>
      <c r="D18" s="238">
        <f>(620*4.19)/1000</f>
        <v>2.5978000000000003</v>
      </c>
      <c r="E18" s="239">
        <f>D18*C18</f>
        <v>2360.3610800000001</v>
      </c>
    </row>
    <row r="19" spans="1:6" ht="15.6" x14ac:dyDescent="0.3">
      <c r="A19" s="8" t="s">
        <v>210</v>
      </c>
      <c r="B19" s="225">
        <v>2.04</v>
      </c>
      <c r="C19" s="232">
        <f t="shared" si="2"/>
        <v>448.8</v>
      </c>
      <c r="D19" s="175">
        <v>1122</v>
      </c>
      <c r="E19" s="245" t="s">
        <v>115</v>
      </c>
      <c r="F19" t="s">
        <v>361</v>
      </c>
    </row>
    <row r="20" spans="1:6" ht="15.6" x14ac:dyDescent="0.3">
      <c r="A20" s="8" t="s">
        <v>214</v>
      </c>
      <c r="B20" s="225">
        <v>9.3200000000000002E-3</v>
      </c>
      <c r="C20" s="186">
        <f t="shared" si="2"/>
        <v>2.0503999999999998</v>
      </c>
      <c r="D20" s="175">
        <v>0.1</v>
      </c>
      <c r="E20" s="239">
        <f>D20*C20</f>
        <v>0.20504</v>
      </c>
    </row>
    <row r="21" spans="1:6" ht="15.6" x14ac:dyDescent="0.3">
      <c r="A21" s="8" t="s">
        <v>215</v>
      </c>
      <c r="B21" s="227">
        <v>1.4E-3</v>
      </c>
      <c r="C21" s="230">
        <f t="shared" si="2"/>
        <v>0.308</v>
      </c>
      <c r="D21" s="175">
        <v>6.04</v>
      </c>
      <c r="E21" s="239">
        <f>D21*C21</f>
        <v>1.86032</v>
      </c>
      <c r="F21" t="s">
        <v>356</v>
      </c>
    </row>
    <row r="22" spans="1:6" ht="15.6" x14ac:dyDescent="0.3">
      <c r="A22" s="8" t="s">
        <v>216</v>
      </c>
      <c r="B22" s="227">
        <v>2.5200000000000001E-3</v>
      </c>
      <c r="C22" s="186">
        <f t="shared" si="2"/>
        <v>0.5544</v>
      </c>
      <c r="D22" s="235" t="s">
        <v>202</v>
      </c>
      <c r="E22" s="245" t="s">
        <v>115</v>
      </c>
    </row>
    <row r="23" spans="1:6" ht="15.6" x14ac:dyDescent="0.3">
      <c r="A23" s="8" t="s">
        <v>217</v>
      </c>
      <c r="B23" s="228">
        <v>5.5899999999999996E-7</v>
      </c>
      <c r="C23" s="231">
        <f t="shared" si="2"/>
        <v>1.2297999999999999E-4</v>
      </c>
      <c r="D23" s="235" t="s">
        <v>202</v>
      </c>
      <c r="E23" s="245" t="s">
        <v>115</v>
      </c>
    </row>
    <row r="24" spans="1:6" ht="15.6" x14ac:dyDescent="0.3">
      <c r="A24" s="8" t="s">
        <v>218</v>
      </c>
      <c r="B24" s="229">
        <v>7.8200000000000003E-4</v>
      </c>
      <c r="C24" s="186">
        <f t="shared" si="2"/>
        <v>0.17204000000000003</v>
      </c>
      <c r="D24" s="175">
        <v>19.95</v>
      </c>
      <c r="E24" s="239">
        <f>D24*C24</f>
        <v>3.4321980000000005</v>
      </c>
    </row>
    <row r="25" spans="1:6" ht="15.6" x14ac:dyDescent="0.3">
      <c r="A25" s="8" t="s">
        <v>219</v>
      </c>
      <c r="B25" s="227">
        <v>1.5100000000000001E-3</v>
      </c>
      <c r="C25" s="186">
        <f t="shared" si="2"/>
        <v>0.3322</v>
      </c>
      <c r="D25" s="175">
        <v>21.03</v>
      </c>
      <c r="E25" s="239">
        <f>D25*C25</f>
        <v>6.9861659999999999</v>
      </c>
    </row>
    <row r="26" spans="1:6" ht="15.6" x14ac:dyDescent="0.3">
      <c r="A26" s="185" t="s">
        <v>222</v>
      </c>
      <c r="B26" s="233">
        <v>1</v>
      </c>
      <c r="C26" s="234">
        <f>B26*0.22*1000</f>
        <v>220</v>
      </c>
      <c r="D26" s="238">
        <f>(1850*4.19)/1000</f>
        <v>7.7515000000000009</v>
      </c>
      <c r="E26" s="243">
        <f>D26*C26</f>
        <v>1705.3300000000002</v>
      </c>
    </row>
    <row r="27" spans="1:6" ht="15.6" x14ac:dyDescent="0.3">
      <c r="A27" s="185" t="s">
        <v>220</v>
      </c>
      <c r="B27" s="233">
        <v>0.65700000000000003</v>
      </c>
      <c r="C27" s="234">
        <f>B27*0.144*1000</f>
        <v>94.608000000000004</v>
      </c>
      <c r="D27" s="175">
        <v>16.5</v>
      </c>
      <c r="E27" s="243">
        <f>C27*D27</f>
        <v>1561.0320000000002</v>
      </c>
      <c r="F27" t="s">
        <v>419</v>
      </c>
    </row>
    <row r="28" spans="1:6" ht="15.6" x14ac:dyDescent="0.3">
      <c r="A28" s="185" t="s">
        <v>196</v>
      </c>
      <c r="B28" s="233">
        <v>0.80900000000000005</v>
      </c>
      <c r="C28" s="234">
        <f>B28*0.178*1000</f>
        <v>144.00199999999998</v>
      </c>
      <c r="D28" s="235" t="s">
        <v>202</v>
      </c>
      <c r="E28" s="269" t="s">
        <v>202</v>
      </c>
    </row>
    <row r="29" spans="1:6" ht="15.6" x14ac:dyDescent="0.3">
      <c r="D29" s="237" t="s">
        <v>357</v>
      </c>
      <c r="E29" s="244">
        <f>SUM(E19:E25)</f>
        <v>12.483724</v>
      </c>
    </row>
    <row r="30" spans="1:6" ht="15.6" x14ac:dyDescent="0.3">
      <c r="A30" s="179" t="s">
        <v>292</v>
      </c>
      <c r="B30" s="26" t="s">
        <v>359</v>
      </c>
      <c r="C30" s="26" t="s">
        <v>284</v>
      </c>
      <c r="D30" s="31" t="s">
        <v>351</v>
      </c>
      <c r="E30" s="242" t="s">
        <v>354</v>
      </c>
    </row>
    <row r="31" spans="1:6" ht="15.6" x14ac:dyDescent="0.3">
      <c r="A31" s="185" t="s">
        <v>222</v>
      </c>
      <c r="B31" s="185">
        <v>4</v>
      </c>
      <c r="C31" s="186">
        <f>B31*55</f>
        <v>220</v>
      </c>
      <c r="D31" s="175">
        <v>7.75</v>
      </c>
      <c r="E31" s="239">
        <f>D31*C31</f>
        <v>1705</v>
      </c>
    </row>
    <row r="32" spans="1:6" ht="15.6" x14ac:dyDescent="0.3">
      <c r="A32" s="185" t="s">
        <v>210</v>
      </c>
      <c r="B32" s="185">
        <v>3.85</v>
      </c>
      <c r="C32" s="186">
        <f>B32*55</f>
        <v>211.75</v>
      </c>
      <c r="D32" s="235" t="s">
        <v>115</v>
      </c>
      <c r="E32" s="245" t="s">
        <v>115</v>
      </c>
      <c r="F32" t="s">
        <v>361</v>
      </c>
    </row>
    <row r="33" spans="1:6" ht="15.6" x14ac:dyDescent="0.3">
      <c r="A33" s="185" t="s">
        <v>192</v>
      </c>
      <c r="B33" s="185">
        <f>4.26*10^(-3)</f>
        <v>4.2599999999999999E-3</v>
      </c>
      <c r="C33" s="186">
        <f>B33*55</f>
        <v>0.23430000000000001</v>
      </c>
      <c r="D33" s="175">
        <v>56.3</v>
      </c>
      <c r="E33" s="239">
        <f>D33*C33</f>
        <v>13.191089999999999</v>
      </c>
    </row>
    <row r="34" spans="1:6" ht="15.6" x14ac:dyDescent="0.3">
      <c r="A34" s="185" t="s">
        <v>223</v>
      </c>
      <c r="B34" s="185">
        <f>3.55*10^(-4)</f>
        <v>3.5500000000000001E-4</v>
      </c>
      <c r="C34" s="186">
        <f t="shared" ref="C34:C37" si="3">B34*55</f>
        <v>1.9525000000000001E-2</v>
      </c>
      <c r="D34" s="175">
        <v>10.32</v>
      </c>
      <c r="E34" s="239">
        <f t="shared" ref="E34:E38" si="4">D34*C34</f>
        <v>0.20149800000000001</v>
      </c>
      <c r="F34" t="s">
        <v>360</v>
      </c>
    </row>
    <row r="35" spans="1:6" ht="15.6" x14ac:dyDescent="0.3">
      <c r="A35" s="185" t="s">
        <v>206</v>
      </c>
      <c r="B35" s="185">
        <f>1.63*10^(-3)</f>
        <v>1.6299999999999999E-3</v>
      </c>
      <c r="C35" s="186">
        <f t="shared" si="3"/>
        <v>8.9649999999999994E-2</v>
      </c>
      <c r="D35" s="175">
        <f>0.00494</f>
        <v>4.9399999999999999E-3</v>
      </c>
      <c r="E35" s="247">
        <f t="shared" si="4"/>
        <v>4.4287099999999995E-4</v>
      </c>
    </row>
    <row r="36" spans="1:6" ht="15.6" x14ac:dyDescent="0.3">
      <c r="A36" s="185" t="s">
        <v>224</v>
      </c>
      <c r="B36" s="185">
        <f>1.15*10^(-2)</f>
        <v>1.15E-2</v>
      </c>
      <c r="C36" s="186">
        <f t="shared" si="3"/>
        <v>0.63249999999999995</v>
      </c>
      <c r="D36" s="175" t="s">
        <v>362</v>
      </c>
      <c r="E36" s="248">
        <f>B40*48/1000</f>
        <v>1.44</v>
      </c>
      <c r="F36" t="s">
        <v>363</v>
      </c>
    </row>
    <row r="37" spans="1:6" ht="15.6" x14ac:dyDescent="0.3">
      <c r="A37" s="185" t="s">
        <v>218</v>
      </c>
      <c r="B37" s="185">
        <f>7.82*10^(-4)</f>
        <v>7.8200000000000003E-4</v>
      </c>
      <c r="C37" s="186">
        <f t="shared" si="3"/>
        <v>4.301E-2</v>
      </c>
      <c r="D37" s="175">
        <v>19.95</v>
      </c>
      <c r="E37" s="239">
        <f t="shared" si="4"/>
        <v>0.85804949999999991</v>
      </c>
      <c r="F37" t="s">
        <v>360</v>
      </c>
    </row>
    <row r="38" spans="1:6" ht="15.6" x14ac:dyDescent="0.3">
      <c r="A38" s="185" t="s">
        <v>219</v>
      </c>
      <c r="B38" s="185">
        <f>1.51*10^(-3)</f>
        <v>1.5100000000000001E-3</v>
      </c>
      <c r="C38" s="186">
        <f>B38*55</f>
        <v>8.3049999999999999E-2</v>
      </c>
      <c r="D38" s="175">
        <v>21.03</v>
      </c>
      <c r="E38" s="239">
        <f t="shared" si="4"/>
        <v>1.7465415</v>
      </c>
      <c r="F38" t="s">
        <v>360</v>
      </c>
    </row>
    <row r="39" spans="1:6" ht="15.6" x14ac:dyDescent="0.3">
      <c r="A39" s="185" t="s">
        <v>227</v>
      </c>
      <c r="B39" s="8">
        <v>1</v>
      </c>
      <c r="C39" s="176"/>
      <c r="D39" s="175">
        <v>26.81</v>
      </c>
      <c r="E39" s="240"/>
    </row>
    <row r="40" spans="1:6" ht="16.2" thickBot="1" x14ac:dyDescent="0.35">
      <c r="A40" s="185" t="s">
        <v>358</v>
      </c>
      <c r="B40" s="8">
        <v>30</v>
      </c>
      <c r="C40" s="176"/>
      <c r="D40" s="175">
        <v>26.81</v>
      </c>
      <c r="E40" s="246">
        <f>B40*D40*0.791</f>
        <v>636.20129999999995</v>
      </c>
    </row>
    <row r="41" spans="1:6" ht="16.2" thickBot="1" x14ac:dyDescent="0.35">
      <c r="A41" s="251" t="s">
        <v>364</v>
      </c>
      <c r="B41" s="250">
        <f>B40*37.7</f>
        <v>1131</v>
      </c>
      <c r="D41" s="237" t="s">
        <v>357</v>
      </c>
      <c r="E41" s="249">
        <f>SUM(E33:E38)</f>
        <v>17.437621871000001</v>
      </c>
    </row>
    <row r="44" spans="1:6" ht="18" x14ac:dyDescent="0.35">
      <c r="A44" s="187" t="s">
        <v>386</v>
      </c>
      <c r="B44" t="s">
        <v>396</v>
      </c>
    </row>
    <row r="46" spans="1:6" ht="15" thickBot="1" x14ac:dyDescent="0.35"/>
    <row r="47" spans="1:6" ht="15.6" x14ac:dyDescent="0.3">
      <c r="A47" s="179" t="s">
        <v>285</v>
      </c>
      <c r="B47" s="26" t="s">
        <v>39</v>
      </c>
      <c r="C47" s="31" t="s">
        <v>351</v>
      </c>
      <c r="D47" s="256" t="s">
        <v>394</v>
      </c>
    </row>
    <row r="48" spans="1:6" ht="15.6" x14ac:dyDescent="0.3">
      <c r="A48" s="8" t="s">
        <v>387</v>
      </c>
      <c r="B48" s="186">
        <f>3292922/545915</f>
        <v>6.031931710980647</v>
      </c>
      <c r="C48" s="255">
        <f>8619*4.19/1000</f>
        <v>36.113610000000001</v>
      </c>
      <c r="D48" s="248">
        <f>B48*C48</f>
        <v>217.8348293569878</v>
      </c>
    </row>
    <row r="49" spans="1:8" ht="15.6" x14ac:dyDescent="0.3">
      <c r="A49" s="8" t="s">
        <v>388</v>
      </c>
      <c r="B49" s="186">
        <f>395151/545915</f>
        <v>0.72383246476099761</v>
      </c>
      <c r="C49" s="255">
        <f>8503*4.19/1000</f>
        <v>35.627569999999999</v>
      </c>
      <c r="D49" s="248">
        <f t="shared" ref="D49" si="5">B49*C49</f>
        <v>25.788391806544976</v>
      </c>
    </row>
    <row r="50" spans="1:8" ht="15.6" x14ac:dyDescent="0.3">
      <c r="A50" s="8" t="s">
        <v>395</v>
      </c>
      <c r="B50" s="8" t="s">
        <v>202</v>
      </c>
      <c r="C50" s="175" t="s">
        <v>202</v>
      </c>
      <c r="D50" s="239">
        <f>(12808/545915)*1000</f>
        <v>23.461527893536541</v>
      </c>
    </row>
    <row r="51" spans="1:8" ht="15.6" x14ac:dyDescent="0.3">
      <c r="A51" s="8" t="s">
        <v>389</v>
      </c>
      <c r="B51" s="186">
        <f>4754134/545915</f>
        <v>8.7085608565436008</v>
      </c>
      <c r="C51" s="175">
        <f>49</f>
        <v>49</v>
      </c>
      <c r="D51" s="248">
        <f>B51*C51</f>
        <v>426.71948197063642</v>
      </c>
    </row>
    <row r="52" spans="1:8" ht="15.6" x14ac:dyDescent="0.3">
      <c r="A52" s="8" t="s">
        <v>390</v>
      </c>
      <c r="B52" s="186">
        <f>1306185/545915</f>
        <v>2.3926527023437716</v>
      </c>
      <c r="C52" s="175">
        <v>15</v>
      </c>
      <c r="D52" s="248">
        <f>B52*C52</f>
        <v>35.889790535156571</v>
      </c>
    </row>
    <row r="53" spans="1:8" ht="15.6" x14ac:dyDescent="0.3">
      <c r="A53" s="8" t="s">
        <v>391</v>
      </c>
      <c r="B53" s="186" t="s">
        <v>202</v>
      </c>
      <c r="C53" s="175">
        <v>10</v>
      </c>
      <c r="D53" s="248" t="s">
        <v>202</v>
      </c>
    </row>
    <row r="54" spans="1:8" ht="15.6" x14ac:dyDescent="0.3">
      <c r="A54" s="8" t="s">
        <v>392</v>
      </c>
      <c r="B54" s="186">
        <f>426261/545915</f>
        <v>0.78081935832501392</v>
      </c>
      <c r="C54" s="175">
        <v>6.04</v>
      </c>
      <c r="D54" s="248">
        <f>B54*C54</f>
        <v>4.7161489242830843</v>
      </c>
    </row>
    <row r="55" spans="1:8" ht="15.6" x14ac:dyDescent="0.3">
      <c r="A55" s="8" t="s">
        <v>393</v>
      </c>
      <c r="B55" s="186">
        <f>827601/545915</f>
        <v>1.5159887528278211</v>
      </c>
      <c r="C55" s="175">
        <v>268</v>
      </c>
      <c r="D55" s="248">
        <f>B55*C55</f>
        <v>406.28498575785608</v>
      </c>
    </row>
    <row r="56" spans="1:8" ht="16.2" thickBot="1" x14ac:dyDescent="0.35">
      <c r="C56" s="237" t="s">
        <v>397</v>
      </c>
      <c r="D56" s="257">
        <f>SUM(D48:D55)</f>
        <v>1140.6951562450015</v>
      </c>
      <c r="E56">
        <f>D56*7.5/1000</f>
        <v>8.555213671837512</v>
      </c>
    </row>
    <row r="57" spans="1:8" ht="15" thickBot="1" x14ac:dyDescent="0.35">
      <c r="D57" s="211"/>
    </row>
    <row r="58" spans="1:8" ht="15.6" x14ac:dyDescent="0.3">
      <c r="A58" s="179" t="s">
        <v>398</v>
      </c>
      <c r="B58" s="26" t="s">
        <v>39</v>
      </c>
      <c r="C58" s="31" t="s">
        <v>351</v>
      </c>
      <c r="D58" s="218" t="s">
        <v>394</v>
      </c>
    </row>
    <row r="59" spans="1:8" ht="15.6" x14ac:dyDescent="0.3">
      <c r="A59" s="8" t="s">
        <v>399</v>
      </c>
      <c r="B59" s="186">
        <f>1743708/545915</f>
        <v>3.1941016458606195</v>
      </c>
      <c r="C59" s="255">
        <f>8619*4.19/1000</f>
        <v>36.113610000000001</v>
      </c>
      <c r="D59" s="248">
        <f>B59*C59</f>
        <v>115.35054113896854</v>
      </c>
    </row>
    <row r="60" spans="1:8" ht="15.6" x14ac:dyDescent="0.3">
      <c r="A60" s="8" t="s">
        <v>400</v>
      </c>
      <c r="B60" s="8" t="s">
        <v>202</v>
      </c>
      <c r="C60" s="175" t="s">
        <v>202</v>
      </c>
      <c r="D60" s="239">
        <f>6064*1000/545915</f>
        <v>11.107956366833665</v>
      </c>
      <c r="H60" t="s">
        <v>382</v>
      </c>
    </row>
    <row r="61" spans="1:8" ht="16.2" thickBot="1" x14ac:dyDescent="0.35">
      <c r="C61" s="237" t="s">
        <v>397</v>
      </c>
      <c r="D61" s="257">
        <f>SUM(D59:D60)</f>
        <v>126.4584975058022</v>
      </c>
    </row>
    <row r="62" spans="1:8" ht="15" thickBot="1" x14ac:dyDescent="0.35">
      <c r="A62" s="258" t="s">
        <v>403</v>
      </c>
      <c r="D62" s="211"/>
    </row>
    <row r="63" spans="1:8" ht="15.6" x14ac:dyDescent="0.3">
      <c r="A63" s="179" t="s">
        <v>401</v>
      </c>
      <c r="B63" s="26" t="s">
        <v>39</v>
      </c>
      <c r="C63" s="31" t="s">
        <v>351</v>
      </c>
      <c r="D63" s="218" t="s">
        <v>394</v>
      </c>
      <c r="E63" s="192" t="s">
        <v>405</v>
      </c>
    </row>
    <row r="64" spans="1:8" ht="15.6" x14ac:dyDescent="0.3">
      <c r="A64" s="8" t="s">
        <v>402</v>
      </c>
      <c r="B64" s="177" t="s">
        <v>202</v>
      </c>
      <c r="C64" s="235" t="s">
        <v>202</v>
      </c>
      <c r="D64" s="239">
        <f>(740358*1000)/545915</f>
        <v>1356.1781596036012</v>
      </c>
    </row>
    <row r="65" spans="1:11" ht="15.6" x14ac:dyDescent="0.3">
      <c r="A65" s="8" t="s">
        <v>114</v>
      </c>
      <c r="B65" s="177" t="s">
        <v>202</v>
      </c>
      <c r="C65" s="235" t="s">
        <v>202</v>
      </c>
      <c r="D65" s="239">
        <f>(333878*1000)/545915</f>
        <v>611.59337992178268</v>
      </c>
    </row>
    <row r="66" spans="1:11" ht="15.6" x14ac:dyDescent="0.3">
      <c r="A66" s="8" t="s">
        <v>240</v>
      </c>
      <c r="B66" s="177" t="s">
        <v>202</v>
      </c>
      <c r="C66" s="235" t="s">
        <v>202</v>
      </c>
      <c r="D66" s="265"/>
    </row>
    <row r="67" spans="1:11" ht="16.2" thickBot="1" x14ac:dyDescent="0.35">
      <c r="A67" s="185" t="s">
        <v>404</v>
      </c>
      <c r="B67" s="177" t="s">
        <v>202</v>
      </c>
      <c r="C67" s="235" t="s">
        <v>202</v>
      </c>
      <c r="D67" s="265"/>
    </row>
    <row r="68" spans="1:11" ht="15.6" x14ac:dyDescent="0.3">
      <c r="A68" s="259" t="s">
        <v>199</v>
      </c>
      <c r="B68" s="260" t="s">
        <v>39</v>
      </c>
      <c r="C68" s="261" t="s">
        <v>351</v>
      </c>
      <c r="D68" s="256" t="s">
        <v>394</v>
      </c>
    </row>
    <row r="69" spans="1:11" ht="15.6" x14ac:dyDescent="0.3">
      <c r="A69" s="185" t="s">
        <v>410</v>
      </c>
      <c r="B69" s="8">
        <v>313.5</v>
      </c>
      <c r="C69" s="175" t="s">
        <v>415</v>
      </c>
      <c r="D69" s="266">
        <f>B69*0.791*27.3</f>
        <v>6769.8130500000007</v>
      </c>
    </row>
    <row r="70" spans="1:11" ht="15.6" x14ac:dyDescent="0.3">
      <c r="A70" s="185" t="s">
        <v>411</v>
      </c>
      <c r="B70" s="8">
        <v>95.6</v>
      </c>
      <c r="C70" s="175">
        <v>15</v>
      </c>
      <c r="D70" s="267">
        <f>C70*B70</f>
        <v>1434</v>
      </c>
    </row>
    <row r="71" spans="1:11" ht="15.6" x14ac:dyDescent="0.3">
      <c r="A71" s="185" t="s">
        <v>412</v>
      </c>
      <c r="B71" s="8">
        <v>382.5</v>
      </c>
      <c r="C71" s="175">
        <v>5.41</v>
      </c>
      <c r="D71" s="266">
        <f t="shared" ref="D71:D72" si="6">C71*B71</f>
        <v>2069.3250000000003</v>
      </c>
    </row>
    <row r="72" spans="1:11" ht="15.6" x14ac:dyDescent="0.3">
      <c r="A72" s="185" t="s">
        <v>413</v>
      </c>
      <c r="B72" s="8">
        <v>7.1</v>
      </c>
      <c r="C72" s="175">
        <v>38.200000000000003</v>
      </c>
      <c r="D72" s="267">
        <f t="shared" si="6"/>
        <v>271.22000000000003</v>
      </c>
    </row>
    <row r="73" spans="1:11" ht="16.2" thickBot="1" x14ac:dyDescent="0.35">
      <c r="A73" s="185" t="s">
        <v>414</v>
      </c>
      <c r="B73" s="185">
        <v>50.97</v>
      </c>
      <c r="C73" s="235" t="s">
        <v>202</v>
      </c>
      <c r="D73" s="268"/>
      <c r="G73" s="178" t="s">
        <v>406</v>
      </c>
      <c r="J73" s="178" t="s">
        <v>408</v>
      </c>
      <c r="K73" s="178" t="s">
        <v>287</v>
      </c>
    </row>
    <row r="74" spans="1:11" ht="15.6" x14ac:dyDescent="0.3">
      <c r="G74" s="194">
        <f>2446105/3700601</f>
        <v>0.66100209128192966</v>
      </c>
      <c r="J74" s="195" t="s">
        <v>407</v>
      </c>
      <c r="K74" s="194">
        <f>5764542/2350996</f>
        <v>2.4519573831686654</v>
      </c>
    </row>
    <row r="75" spans="1:11" ht="15.6" x14ac:dyDescent="0.3">
      <c r="J75" s="178" t="s">
        <v>409</v>
      </c>
      <c r="K75" s="194">
        <f>3700601/2350996</f>
        <v>1.5740566976719654</v>
      </c>
    </row>
    <row r="80" spans="1:11" ht="16.2" thickBot="1" x14ac:dyDescent="0.35">
      <c r="A80" s="193" t="s">
        <v>297</v>
      </c>
      <c r="B80" s="193">
        <v>2.93</v>
      </c>
    </row>
    <row r="81" spans="1:15" ht="15.6" x14ac:dyDescent="0.3">
      <c r="A81" s="188" t="s">
        <v>294</v>
      </c>
      <c r="B81" s="217"/>
      <c r="C81" s="26" t="s">
        <v>298</v>
      </c>
      <c r="D81" s="216" t="s">
        <v>301</v>
      </c>
      <c r="E81" s="218" t="s">
        <v>336</v>
      </c>
      <c r="G81" s="137"/>
      <c r="H81" s="137"/>
      <c r="I81" s="137"/>
      <c r="J81" s="137"/>
    </row>
    <row r="82" spans="1:15" ht="15.6" x14ac:dyDescent="0.3">
      <c r="A82" s="27" t="s">
        <v>422</v>
      </c>
      <c r="B82" s="32">
        <v>5</v>
      </c>
      <c r="C82" s="190"/>
      <c r="D82" s="32"/>
      <c r="E82" s="207"/>
      <c r="G82" s="137"/>
      <c r="H82" s="137"/>
      <c r="I82" s="137"/>
      <c r="J82" s="137"/>
    </row>
    <row r="83" spans="1:15" ht="15.6" x14ac:dyDescent="0.3">
      <c r="A83" s="27" t="s">
        <v>243</v>
      </c>
      <c r="B83" s="32">
        <v>10.6</v>
      </c>
      <c r="C83" s="190">
        <f>B83/$B$80</f>
        <v>3.6177474402730372</v>
      </c>
      <c r="D83" s="32" t="s">
        <v>302</v>
      </c>
      <c r="E83" s="207">
        <f>C83*47.72</f>
        <v>172.63890784982934</v>
      </c>
      <c r="G83" s="137"/>
      <c r="H83" s="220"/>
      <c r="I83" s="137"/>
      <c r="J83" s="220"/>
    </row>
    <row r="84" spans="1:15" ht="15.6" x14ac:dyDescent="0.3">
      <c r="A84" s="27" t="s">
        <v>299</v>
      </c>
      <c r="B84" s="32">
        <v>52</v>
      </c>
      <c r="C84" s="190">
        <f>B84/$B$80</f>
        <v>17.74744027303754</v>
      </c>
      <c r="D84" s="32" t="s">
        <v>302</v>
      </c>
      <c r="E84" s="207">
        <f>C84*47.72</f>
        <v>846.90784982935145</v>
      </c>
      <c r="G84" s="137"/>
      <c r="H84" s="221"/>
      <c r="I84" s="137"/>
      <c r="J84" s="221"/>
    </row>
    <row r="85" spans="1:15" ht="15.6" x14ac:dyDescent="0.3">
      <c r="A85" s="27" t="s">
        <v>305</v>
      </c>
      <c r="B85" s="32">
        <v>3.262</v>
      </c>
      <c r="C85" s="190">
        <f>B85/$B$80</f>
        <v>1.113310580204778</v>
      </c>
      <c r="D85" s="32" t="s">
        <v>303</v>
      </c>
      <c r="E85" s="207">
        <f>C85*330.9</f>
        <v>368.39447098976103</v>
      </c>
      <c r="G85" s="137"/>
      <c r="H85" s="137"/>
      <c r="I85" s="137"/>
      <c r="J85" s="137"/>
    </row>
    <row r="86" spans="1:15" ht="15.6" x14ac:dyDescent="0.3">
      <c r="A86" s="27" t="s">
        <v>290</v>
      </c>
      <c r="B86" s="32">
        <v>20.5</v>
      </c>
      <c r="C86" s="190">
        <f>B86/$B$80</f>
        <v>6.9965870307167233</v>
      </c>
      <c r="D86" s="32" t="s">
        <v>304</v>
      </c>
      <c r="E86" s="207">
        <f>C86*7.5</f>
        <v>52.474402730375424</v>
      </c>
    </row>
    <row r="87" spans="1:15" ht="15.6" x14ac:dyDescent="0.3">
      <c r="A87" s="27" t="s">
        <v>295</v>
      </c>
      <c r="B87" s="32">
        <v>2.5</v>
      </c>
      <c r="C87" s="190">
        <f>B87/$B$80</f>
        <v>0.85324232081911255</v>
      </c>
      <c r="D87" s="32" t="s">
        <v>302</v>
      </c>
      <c r="E87" s="207">
        <f>(140/25)*47.72/10</f>
        <v>26.723199999999999</v>
      </c>
      <c r="F87" s="9" t="s">
        <v>310</v>
      </c>
    </row>
    <row r="88" spans="1:15" ht="15.6" x14ac:dyDescent="0.3">
      <c r="A88" s="26" t="s">
        <v>296</v>
      </c>
      <c r="B88" s="35"/>
      <c r="C88" s="189"/>
      <c r="D88" s="200"/>
      <c r="E88" s="209"/>
      <c r="F88" s="205" t="s">
        <v>316</v>
      </c>
    </row>
    <row r="89" spans="1:15" ht="15.6" x14ac:dyDescent="0.3">
      <c r="A89" s="27" t="s">
        <v>300</v>
      </c>
      <c r="B89" s="27">
        <v>2.93</v>
      </c>
      <c r="C89" s="181">
        <v>1</v>
      </c>
      <c r="D89" s="32" t="s">
        <v>318</v>
      </c>
      <c r="E89" s="210">
        <f>39.95*1000</f>
        <v>39950</v>
      </c>
      <c r="F89" s="206">
        <f>SUM(E83:E87)</f>
        <v>1467.1388313993173</v>
      </c>
    </row>
    <row r="90" spans="1:15" ht="16.2" thickBot="1" x14ac:dyDescent="0.35">
      <c r="A90" s="191"/>
      <c r="B90" s="191"/>
      <c r="E90" s="211"/>
      <c r="H90" s="137"/>
      <c r="I90" s="137"/>
      <c r="J90" s="137"/>
    </row>
    <row r="91" spans="1:15" ht="15.6" x14ac:dyDescent="0.3">
      <c r="A91" s="192" t="s">
        <v>306</v>
      </c>
      <c r="B91" s="217"/>
      <c r="C91" s="26" t="s">
        <v>298</v>
      </c>
      <c r="D91" s="216" t="s">
        <v>301</v>
      </c>
      <c r="E91" s="218" t="s">
        <v>336</v>
      </c>
      <c r="H91" s="220"/>
      <c r="I91" s="137"/>
      <c r="J91" s="220"/>
    </row>
    <row r="92" spans="1:15" ht="15.6" x14ac:dyDescent="0.3">
      <c r="A92" s="27" t="s">
        <v>263</v>
      </c>
      <c r="B92" s="27">
        <v>1000</v>
      </c>
      <c r="C92" s="181">
        <v>1</v>
      </c>
      <c r="D92" s="32" t="s">
        <v>318</v>
      </c>
      <c r="E92" s="208">
        <f>39.95*1000</f>
        <v>39950</v>
      </c>
      <c r="F92" t="s">
        <v>311</v>
      </c>
      <c r="H92" s="221"/>
      <c r="I92" s="137"/>
      <c r="J92" s="220"/>
    </row>
    <row r="93" spans="1:15" ht="15.6" x14ac:dyDescent="0.3">
      <c r="A93" s="27" t="s">
        <v>312</v>
      </c>
      <c r="B93" s="27">
        <v>2.1</v>
      </c>
      <c r="C93" s="27">
        <v>2.1</v>
      </c>
      <c r="D93" s="32" t="s">
        <v>307</v>
      </c>
      <c r="E93" s="208">
        <f>C93*22.5</f>
        <v>47.25</v>
      </c>
    </row>
    <row r="94" spans="1:15" ht="15.6" x14ac:dyDescent="0.3">
      <c r="A94" s="27" t="s">
        <v>421</v>
      </c>
      <c r="B94" s="27">
        <v>85.8</v>
      </c>
      <c r="C94" s="27">
        <v>85.8</v>
      </c>
      <c r="D94" s="32" t="s">
        <v>308</v>
      </c>
      <c r="E94" s="212">
        <f>(C94*4.9/(10^6))</f>
        <v>4.2042000000000002E-4</v>
      </c>
      <c r="O94" s="262" t="s">
        <v>383</v>
      </c>
    </row>
    <row r="95" spans="1:15" ht="15.6" x14ac:dyDescent="0.3">
      <c r="A95" s="27" t="s">
        <v>337</v>
      </c>
      <c r="B95" s="27">
        <v>56.2</v>
      </c>
      <c r="C95" s="27">
        <v>56.2</v>
      </c>
      <c r="D95" s="201" t="s">
        <v>202</v>
      </c>
      <c r="E95" s="207">
        <f>(C95/(0.0000002778))/(10^6)</f>
        <v>202.3038156947444</v>
      </c>
      <c r="K95" s="195" t="s">
        <v>317</v>
      </c>
      <c r="O95" s="178" t="s">
        <v>287</v>
      </c>
    </row>
    <row r="96" spans="1:15" ht="15.6" x14ac:dyDescent="0.3">
      <c r="A96" s="27" t="s">
        <v>338</v>
      </c>
      <c r="B96" s="27">
        <v>978</v>
      </c>
      <c r="C96" s="27">
        <v>978</v>
      </c>
      <c r="D96" s="202" t="s">
        <v>202</v>
      </c>
      <c r="E96" s="208">
        <v>978</v>
      </c>
      <c r="F96" s="205" t="s">
        <v>316</v>
      </c>
      <c r="J96" s="195" t="s">
        <v>384</v>
      </c>
      <c r="K96" s="194">
        <f>SUM(E113,E115+E99)/(F112+F97+F89)</f>
        <v>4.4741912749399066</v>
      </c>
      <c r="N96" s="195" t="s">
        <v>384</v>
      </c>
      <c r="O96" s="194">
        <f>(35+81.75)/29.32</f>
        <v>3.9819236016371078</v>
      </c>
    </row>
    <row r="97" spans="1:15" ht="15.6" x14ac:dyDescent="0.3">
      <c r="A97" s="26" t="s">
        <v>296</v>
      </c>
      <c r="B97" s="35"/>
      <c r="C97" s="189"/>
      <c r="D97" s="200"/>
      <c r="E97" s="209"/>
      <c r="F97" s="206">
        <f>SUM(E93:E96)</f>
        <v>1227.5542361147445</v>
      </c>
      <c r="J97" s="178" t="s">
        <v>385</v>
      </c>
      <c r="K97" s="194">
        <f>E115/(F112+F97+F89)</f>
        <v>1.4359451530469876</v>
      </c>
      <c r="N97" s="178" t="s">
        <v>385</v>
      </c>
      <c r="O97" s="194">
        <f>35/29.2</f>
        <v>1.1986301369863015</v>
      </c>
    </row>
    <row r="98" spans="1:15" ht="15.6" x14ac:dyDescent="0.3">
      <c r="A98" s="27" t="s">
        <v>339</v>
      </c>
      <c r="B98" s="27">
        <v>188.1</v>
      </c>
      <c r="C98" s="27">
        <v>188.1</v>
      </c>
      <c r="D98" s="32">
        <v>39.6</v>
      </c>
      <c r="E98" s="210">
        <f>C98*D98</f>
        <v>7448.76</v>
      </c>
    </row>
    <row r="99" spans="1:15" ht="15.6" x14ac:dyDescent="0.3">
      <c r="A99" s="27" t="s">
        <v>340</v>
      </c>
      <c r="B99" s="27">
        <v>794</v>
      </c>
      <c r="C99" s="27">
        <v>794</v>
      </c>
      <c r="D99" s="32">
        <v>17.2</v>
      </c>
      <c r="E99" s="210">
        <f>C99*D99</f>
        <v>13656.8</v>
      </c>
    </row>
    <row r="100" spans="1:15" ht="15.6" x14ac:dyDescent="0.3">
      <c r="A100" s="27" t="s">
        <v>341</v>
      </c>
      <c r="B100" s="27">
        <v>13.9</v>
      </c>
      <c r="C100" s="27">
        <v>13.9</v>
      </c>
      <c r="D100" s="203" t="s">
        <v>309</v>
      </c>
      <c r="E100" s="213" t="s">
        <v>115</v>
      </c>
      <c r="F100" s="222"/>
      <c r="K100" s="195" t="s">
        <v>326</v>
      </c>
      <c r="O100" s="178" t="s">
        <v>326</v>
      </c>
    </row>
    <row r="101" spans="1:15" ht="15.6" x14ac:dyDescent="0.3">
      <c r="A101" s="27" t="s">
        <v>312</v>
      </c>
      <c r="B101" s="27">
        <v>2.1</v>
      </c>
      <c r="C101" s="27">
        <v>2.1</v>
      </c>
      <c r="D101" s="32" t="s">
        <v>307</v>
      </c>
      <c r="E101" s="210">
        <f>C101*22.5</f>
        <v>47.25</v>
      </c>
      <c r="K101" s="194">
        <f>(E115-(F112+F97+F89))/E115</f>
        <v>0.30359457122853095</v>
      </c>
      <c r="O101" s="194">
        <f>(35-29.32)/35</f>
        <v>0.16228571428571428</v>
      </c>
    </row>
    <row r="102" spans="1:15" x14ac:dyDescent="0.3">
      <c r="E102" s="211"/>
    </row>
    <row r="103" spans="1:15" ht="15" thickBot="1" x14ac:dyDescent="0.35">
      <c r="E103" s="211"/>
    </row>
    <row r="104" spans="1:15" ht="15.6" x14ac:dyDescent="0.3">
      <c r="A104" s="26" t="s">
        <v>315</v>
      </c>
      <c r="B104" s="26"/>
      <c r="C104" s="26" t="s">
        <v>298</v>
      </c>
      <c r="D104" s="216" t="s">
        <v>301</v>
      </c>
      <c r="E104" s="218" t="s">
        <v>336</v>
      </c>
    </row>
    <row r="105" spans="1:15" ht="15.6" x14ac:dyDescent="0.3">
      <c r="A105" s="27" t="s">
        <v>266</v>
      </c>
      <c r="B105" s="27">
        <v>1000</v>
      </c>
      <c r="C105" s="27">
        <v>1000</v>
      </c>
      <c r="D105" s="32">
        <v>39.6</v>
      </c>
      <c r="E105" s="208">
        <f>C105*D105</f>
        <v>39600</v>
      </c>
    </row>
    <row r="106" spans="1:15" ht="15.6" x14ac:dyDescent="0.3">
      <c r="A106" s="27" t="s">
        <v>342</v>
      </c>
      <c r="B106" s="27">
        <f>110.5</f>
        <v>110.5</v>
      </c>
      <c r="C106" s="27">
        <f>B106*0.188</f>
        <v>20.774000000000001</v>
      </c>
      <c r="D106" s="32">
        <v>39.299999999999997</v>
      </c>
      <c r="E106" s="207">
        <f t="shared" ref="E106:E108" si="7">C106*D106</f>
        <v>816.41819999999996</v>
      </c>
    </row>
    <row r="107" spans="1:15" ht="15.6" x14ac:dyDescent="0.3">
      <c r="A107" s="27" t="s">
        <v>343</v>
      </c>
      <c r="B107" s="27">
        <f>4.5</f>
        <v>4.5</v>
      </c>
      <c r="C107" s="27">
        <f t="shared" ref="C107:C108" si="8">B107*0.188</f>
        <v>0.84599999999999997</v>
      </c>
      <c r="D107" s="32">
        <v>21.03</v>
      </c>
      <c r="E107" s="207">
        <f t="shared" si="7"/>
        <v>17.79138</v>
      </c>
      <c r="F107" t="s">
        <v>313</v>
      </c>
    </row>
    <row r="108" spans="1:15" ht="15.6" x14ac:dyDescent="0.3">
      <c r="A108" s="27" t="s">
        <v>344</v>
      </c>
      <c r="B108" s="27">
        <v>11</v>
      </c>
      <c r="C108" s="27">
        <f t="shared" si="8"/>
        <v>2.0680000000000001</v>
      </c>
      <c r="D108" s="32">
        <v>10.32</v>
      </c>
      <c r="E108" s="207">
        <f t="shared" si="7"/>
        <v>21.341760000000001</v>
      </c>
      <c r="F108" t="s">
        <v>313</v>
      </c>
    </row>
    <row r="109" spans="1:15" ht="15.6" x14ac:dyDescent="0.3">
      <c r="A109" s="27" t="s">
        <v>345</v>
      </c>
      <c r="B109" s="27">
        <f>26.6</f>
        <v>26.6</v>
      </c>
      <c r="C109" s="27">
        <f>26.6</f>
        <v>26.6</v>
      </c>
      <c r="D109" s="32" t="s">
        <v>308</v>
      </c>
      <c r="E109" s="212">
        <f>(C109*4.9/(10^6))</f>
        <v>1.3034E-4</v>
      </c>
    </row>
    <row r="110" spans="1:15" ht="15.6" x14ac:dyDescent="0.3">
      <c r="A110" s="27" t="s">
        <v>346</v>
      </c>
      <c r="B110" s="27">
        <f>41.1</f>
        <v>41.1</v>
      </c>
      <c r="C110" s="27">
        <f>41.1</f>
        <v>41.1</v>
      </c>
      <c r="D110" s="201" t="s">
        <v>202</v>
      </c>
      <c r="E110" s="207">
        <f>(C110/(0.0000002778))/(10^6)</f>
        <v>147.94816414686827</v>
      </c>
    </row>
    <row r="111" spans="1:15" ht="15.6" x14ac:dyDescent="0.3">
      <c r="A111" s="27" t="s">
        <v>347</v>
      </c>
      <c r="B111" s="27">
        <f>898.6</f>
        <v>898.6</v>
      </c>
      <c r="C111" s="27">
        <f>898.6</f>
        <v>898.6</v>
      </c>
      <c r="D111" s="201" t="s">
        <v>202</v>
      </c>
      <c r="E111" s="208">
        <v>898.6</v>
      </c>
      <c r="F111" s="205" t="s">
        <v>316</v>
      </c>
    </row>
    <row r="112" spans="1:15" ht="15.6" x14ac:dyDescent="0.3">
      <c r="A112" s="26" t="s">
        <v>199</v>
      </c>
      <c r="B112" s="26"/>
      <c r="C112" s="26"/>
      <c r="D112" s="196"/>
      <c r="E112" s="214"/>
      <c r="F112" s="206">
        <f>SUM(E106:E111)</f>
        <v>1902.0996344868684</v>
      </c>
    </row>
    <row r="113" spans="1:5" ht="15.6" x14ac:dyDescent="0.3">
      <c r="A113" s="27" t="s">
        <v>348</v>
      </c>
      <c r="B113" s="27">
        <f>106.1</f>
        <v>106.1</v>
      </c>
      <c r="C113" s="190">
        <f>106.1*0.18</f>
        <v>19.097999999999999</v>
      </c>
      <c r="D113" s="32" t="s">
        <v>314</v>
      </c>
      <c r="E113" s="210">
        <f>C113*16.2</f>
        <v>309.38759999999996</v>
      </c>
    </row>
    <row r="114" spans="1:5" ht="15.6" x14ac:dyDescent="0.3">
      <c r="A114" s="27" t="s">
        <v>349</v>
      </c>
      <c r="B114" s="27">
        <f>58.7</f>
        <v>58.7</v>
      </c>
      <c r="C114" s="190">
        <f>58.7*0.18</f>
        <v>10.566000000000001</v>
      </c>
      <c r="D114" s="204" t="s">
        <v>115</v>
      </c>
      <c r="E114" s="213"/>
    </row>
    <row r="115" spans="1:5" ht="16.2" thickBot="1" x14ac:dyDescent="0.35">
      <c r="A115" s="27" t="s">
        <v>350</v>
      </c>
      <c r="B115" s="27">
        <f>972.7</f>
        <v>972.7</v>
      </c>
      <c r="C115" s="190">
        <f>972.7*0.18</f>
        <v>175.08600000000001</v>
      </c>
      <c r="D115" s="32" t="s">
        <v>330</v>
      </c>
      <c r="E115" s="215">
        <f>C115*37.7</f>
        <v>6600.7422000000006</v>
      </c>
    </row>
    <row r="119" spans="1:5" ht="15.6" x14ac:dyDescent="0.3">
      <c r="A119" s="219" t="s">
        <v>334</v>
      </c>
      <c r="B119" s="223">
        <f>1/5.45</f>
        <v>0.18348623853211007</v>
      </c>
    </row>
    <row r="120" spans="1:5" ht="15.6" x14ac:dyDescent="0.3">
      <c r="A120" s="219" t="s">
        <v>335</v>
      </c>
      <c r="B120" s="224">
        <f>(183*2.93)/0.88</f>
        <v>609.30681818181824</v>
      </c>
    </row>
    <row r="121" spans="1:5" ht="15.6" x14ac:dyDescent="0.3">
      <c r="A121" s="219" t="s">
        <v>424</v>
      </c>
      <c r="B121" s="224">
        <f>B120/2.93</f>
        <v>207.95454545454547</v>
      </c>
    </row>
    <row r="130" spans="4:4" x14ac:dyDescent="0.3">
      <c r="D130" s="275"/>
    </row>
    <row r="131" spans="4:4" x14ac:dyDescent="0.3">
      <c r="D131" s="275"/>
    </row>
    <row r="132" spans="4:4" x14ac:dyDescent="0.3">
      <c r="D132" s="275"/>
    </row>
    <row r="133" spans="4:4" x14ac:dyDescent="0.3">
      <c r="D133" s="275"/>
    </row>
    <row r="134" spans="4:4" x14ac:dyDescent="0.3">
      <c r="D134" s="275"/>
    </row>
    <row r="135" spans="4:4" x14ac:dyDescent="0.3">
      <c r="D135" s="275"/>
    </row>
    <row r="136" spans="4:4" x14ac:dyDescent="0.3">
      <c r="D136" s="275"/>
    </row>
    <row r="137" spans="4:4" x14ac:dyDescent="0.3">
      <c r="D137" s="275"/>
    </row>
    <row r="138" spans="4:4" x14ac:dyDescent="0.3">
      <c r="D138" s="275"/>
    </row>
    <row r="139" spans="4:4" x14ac:dyDescent="0.3">
      <c r="D139" s="275"/>
    </row>
    <row r="140" spans="4:4" x14ac:dyDescent="0.3">
      <c r="D140" s="275"/>
    </row>
    <row r="141" spans="4:4" x14ac:dyDescent="0.3">
      <c r="D141" s="275"/>
    </row>
    <row r="142" spans="4:4" x14ac:dyDescent="0.3">
      <c r="D142" s="276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Agriculture_data</vt:lpstr>
      <vt:lpstr>Processing_data</vt:lpstr>
      <vt:lpstr>Biofuels_Annual_production</vt:lpstr>
      <vt:lpstr>economic</vt:lpstr>
      <vt:lpstr>energy_matrix</vt:lpstr>
      <vt:lpstr>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Canabarro</dc:creator>
  <cp:lastModifiedBy>Nicholas Canabarro</cp:lastModifiedBy>
  <dcterms:created xsi:type="dcterms:W3CDTF">2021-05-02T22:32:10Z</dcterms:created>
  <dcterms:modified xsi:type="dcterms:W3CDTF">2022-05-25T10:29:37Z</dcterms:modified>
</cp:coreProperties>
</file>