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74da24a3820722/Área de Trabalho/Pós-doc_IEA/Guatemala/"/>
    </mc:Choice>
  </mc:AlternateContent>
  <xr:revisionPtr revIDLastSave="388" documentId="13_ncr:1_{B8A55DE2-7913-40DF-A7B4-8F9BECD7EDE2}" xr6:coauthVersionLast="47" xr6:coauthVersionMax="47" xr10:uidLastSave="{DE19FB64-C495-413C-8BC0-3FD9A9857FD4}"/>
  <bookViews>
    <workbookView xWindow="-108" yWindow="-108" windowWidth="23256" windowHeight="12456" activeTab="6" xr2:uid="{56E792AC-A589-42D9-B9BF-72AC66DD210C}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  <sheet name="Planilha6" sheetId="6" r:id="rId6"/>
    <sheet name="indicators" sheetId="7" r:id="rId7"/>
    <sheet name="economic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9" i="7" l="1"/>
  <c r="U11" i="7"/>
  <c r="U20" i="7"/>
  <c r="G35" i="7"/>
  <c r="G43" i="7"/>
  <c r="E14" i="8"/>
  <c r="D14" i="8"/>
  <c r="E3" i="8"/>
  <c r="E4" i="8"/>
  <c r="E5" i="8"/>
  <c r="E6" i="8"/>
  <c r="E7" i="8"/>
  <c r="E8" i="8"/>
  <c r="E9" i="8"/>
  <c r="E10" i="8"/>
  <c r="E11" i="8"/>
  <c r="E12" i="8"/>
  <c r="E13" i="8"/>
  <c r="E2" i="8"/>
  <c r="C14" i="8"/>
  <c r="B14" i="8"/>
  <c r="C3" i="8"/>
  <c r="C4" i="8"/>
  <c r="C5" i="8"/>
  <c r="C6" i="8"/>
  <c r="C7" i="8"/>
  <c r="C8" i="8"/>
  <c r="C9" i="8"/>
  <c r="C10" i="8"/>
  <c r="C11" i="8"/>
  <c r="C12" i="8"/>
  <c r="C13" i="8"/>
  <c r="C2" i="8"/>
  <c r="N12" i="7"/>
  <c r="U14" i="7"/>
  <c r="N29" i="7"/>
  <c r="U12" i="7" l="1"/>
  <c r="U21" i="7"/>
  <c r="R25" i="7" s="1"/>
  <c r="N31" i="7"/>
  <c r="N7" i="7" l="1"/>
  <c r="N11" i="7"/>
  <c r="N10" i="7"/>
  <c r="N6" i="7"/>
  <c r="N28" i="7"/>
  <c r="G27" i="7" l="1"/>
  <c r="G20" i="7"/>
  <c r="G21" i="7"/>
  <c r="G22" i="7"/>
  <c r="G23" i="7"/>
  <c r="G19" i="7"/>
  <c r="G18" i="7"/>
  <c r="G12" i="7"/>
  <c r="G13" i="7"/>
  <c r="G14" i="7"/>
  <c r="G15" i="7"/>
  <c r="G16" i="7"/>
  <c r="G10" i="7"/>
  <c r="G11" i="7"/>
  <c r="G9" i="7"/>
  <c r="G6" i="7"/>
  <c r="G8" i="7" l="1"/>
  <c r="G25" i="7"/>
  <c r="G28" i="7"/>
  <c r="G26" i="7"/>
</calcChain>
</file>

<file path=xl/sharedStrings.xml><?xml version="1.0" encoding="utf-8"?>
<sst xmlns="http://schemas.openxmlformats.org/spreadsheetml/2006/main" count="318" uniqueCount="99">
  <si>
    <t>Entradas desde la tecnósfera</t>
  </si>
  <si>
    <t>Suelo</t>
  </si>
  <si>
    <t>Variedades de semilla</t>
  </si>
  <si>
    <t>Herbicidas</t>
  </si>
  <si>
    <t>PROWL 45</t>
  </si>
  <si>
    <t>GESAPAX 500</t>
  </si>
  <si>
    <t>2,4 D</t>
  </si>
  <si>
    <t>ADHERENTE 810 SL</t>
  </si>
  <si>
    <t>IGRAN 50</t>
  </si>
  <si>
    <t>HARNESS</t>
  </si>
  <si>
    <t>KARMEX 80 WG</t>
  </si>
  <si>
    <t>VELPAR</t>
  </si>
  <si>
    <t>FINALE 15 SL</t>
  </si>
  <si>
    <t>ha</t>
  </si>
  <si>
    <t>t</t>
  </si>
  <si>
    <t>kg</t>
  </si>
  <si>
    <t>l</t>
  </si>
  <si>
    <t>Madurantes e Inhibidores</t>
  </si>
  <si>
    <t>Glifosato</t>
  </si>
  <si>
    <t xml:space="preserve">Fusilade </t>
  </si>
  <si>
    <t>Roundup</t>
  </si>
  <si>
    <t>Rooundup Max</t>
  </si>
  <si>
    <t>Touchdown</t>
  </si>
  <si>
    <t>Etefon</t>
  </si>
  <si>
    <t>Fertilizantes minerales</t>
  </si>
  <si>
    <t>NPK</t>
  </si>
  <si>
    <t>Urea</t>
  </si>
  <si>
    <t>Nitrato de amonio</t>
  </si>
  <si>
    <t>Pentóxido de fósforo (P2O5)</t>
  </si>
  <si>
    <t>Feritlizantes Orgánicos</t>
  </si>
  <si>
    <t>Vinazas diluidas</t>
  </si>
  <si>
    <t>cachaza</t>
  </si>
  <si>
    <t>Consumo de agua</t>
  </si>
  <si>
    <t>agua</t>
  </si>
  <si>
    <t>Consumo de combustibles</t>
  </si>
  <si>
    <t>m3</t>
  </si>
  <si>
    <t>Diesel</t>
  </si>
  <si>
    <t>Entrada desde la naturaleza</t>
  </si>
  <si>
    <t>Fijación de carbono</t>
  </si>
  <si>
    <t>Residuos sólidos</t>
  </si>
  <si>
    <t>Paja</t>
  </si>
  <si>
    <t>Otros residuos</t>
  </si>
  <si>
    <t>Salida de la Tecnósfera</t>
  </si>
  <si>
    <t>Caña de azúcar</t>
  </si>
  <si>
    <t>Datos de entrada y salida del Cultivo de la Caña de Azúcar</t>
  </si>
  <si>
    <t xml:space="preserve">Materiales </t>
  </si>
  <si>
    <t>UM</t>
  </si>
  <si>
    <t>Cantidad/</t>
  </si>
  <si>
    <t>Índice</t>
  </si>
  <si>
    <t>Melaza (miel final o miel B)</t>
  </si>
  <si>
    <t>Aire Comprimido</t>
  </si>
  <si>
    <t>Levadura Seca Activa</t>
  </si>
  <si>
    <t>Antiespumante</t>
  </si>
  <si>
    <t>Ácido Sulfúrico (H2SO4)</t>
  </si>
  <si>
    <t>Fosfato de Amonio</t>
  </si>
  <si>
    <t>Ácido Clorhídrico (HCl)</t>
  </si>
  <si>
    <t>Electricidad/Calor</t>
  </si>
  <si>
    <t>Salida producto evitado</t>
  </si>
  <si>
    <t>Residuos Líquidos</t>
  </si>
  <si>
    <t>Vapor</t>
  </si>
  <si>
    <t>Dióxido de Carbono</t>
  </si>
  <si>
    <t>Vinazas</t>
  </si>
  <si>
    <t>Etanol de Caña</t>
  </si>
  <si>
    <t>Datos de entrada y salida de la elaboración de Etanol</t>
  </si>
  <si>
    <t>Datos de entrada y salida de la producción de Melaza</t>
  </si>
  <si>
    <t>Óxido de calcio</t>
  </si>
  <si>
    <t>Agua de Imbibición</t>
  </si>
  <si>
    <t>kWh</t>
  </si>
  <si>
    <t>Energía Consumida</t>
  </si>
  <si>
    <t>Energía Aportada</t>
  </si>
  <si>
    <t>Vapor de biomasa</t>
  </si>
  <si>
    <t>Emisiones al Agua</t>
  </si>
  <si>
    <t>g</t>
  </si>
  <si>
    <t>Residuales líquidos</t>
  </si>
  <si>
    <t>DBO</t>
  </si>
  <si>
    <t xml:space="preserve">DQO </t>
  </si>
  <si>
    <t>Ntotal</t>
  </si>
  <si>
    <t>Bagacillo</t>
  </si>
  <si>
    <t>Flujos finales de residuos</t>
  </si>
  <si>
    <t>Cachaza</t>
  </si>
  <si>
    <t>Melaza (miel final)</t>
  </si>
  <si>
    <t>Azúcar de caña</t>
  </si>
  <si>
    <t>Bagazo</t>
  </si>
  <si>
    <t>ER</t>
  </si>
  <si>
    <t>prod+bypro</t>
  </si>
  <si>
    <t>E (MJ/TC)</t>
  </si>
  <si>
    <t xml:space="preserve">Supondo que a refinaria seja auto suficiente em vapor </t>
  </si>
  <si>
    <t>TOTAL</t>
  </si>
  <si>
    <t>NEB</t>
  </si>
  <si>
    <t>gasolina regular (US$/gal)</t>
  </si>
  <si>
    <t>1 gal</t>
  </si>
  <si>
    <t>L</t>
  </si>
  <si>
    <t>gasolina regular (US$/L)</t>
  </si>
  <si>
    <t>Média</t>
  </si>
  <si>
    <t>Source</t>
  </si>
  <si>
    <t>MEM Guatemala</t>
  </si>
  <si>
    <t>Diesel (US$/gal)</t>
  </si>
  <si>
    <t>Diesel (US$/L)</t>
  </si>
  <si>
    <t>Energía Aportada (GRID)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</si>
</sst>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.000"/>
    <numFmt numFmtId="165" formatCode="0.0000"/>
    <numFmt numFmtId="166" formatCode="0.0"/>
    <numFmt numFmtId="167" formatCode="_ * #,##0.00_ ;_ * \-#,##0.00_ ;_ * &quot;-&quot;??_ ;_ @_ "/>
    <numFmt numFmtId="168" formatCode="_-* #,##0.00\ _E_s_c_._-;\-* #,##0.00\ _E_s_c_._-;_-* &quot;-&quot;??\ _E_s_c_._-;_-@_-"/>
    <numFmt numFmtId="169" formatCode="_(* #,##0.00_);_(* \(#,##0.00\);_(* \-??_);_(@_)"/>
    <numFmt numFmtId="170" formatCode="_-* #,##0.00\ _E_s_c_._-;\-* #,##0.00\ _E_s_c_._-;_-* \-??\ _E_s_c_._-;_-@_-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u/>
      <sz val="7.5"/>
      <color indexed="12"/>
      <name val="Arial"/>
      <family val="2"/>
    </font>
    <font>
      <sz val="10"/>
      <name val="Mang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</borders>
  <cellStyleXfs count="31">
    <xf numFmtId="0" fontId="0" fillId="0" borderId="0"/>
    <xf numFmtId="43" fontId="6" fillId="0" borderId="0" applyFont="0" applyFill="0" applyBorder="0" applyAlignment="0" applyProtection="0"/>
    <xf numFmtId="0" fontId="8" fillId="0" borderId="0" applyNumberFormat="0" applyFill="0" applyBorder="0" applyAlignment="0" applyProtection="0"/>
    <xf numFmtId="167" fontId="8" fillId="0" borderId="0" applyFont="0" applyFill="0" applyBorder="0" applyAlignment="0" applyProtection="0"/>
    <xf numFmtId="0" fontId="8" fillId="0" borderId="0"/>
    <xf numFmtId="0" fontId="8" fillId="0" borderId="0"/>
    <xf numFmtId="0" fontId="11" fillId="0" borderId="0" applyNumberFormat="0" applyFill="0" applyBorder="0" applyAlignment="0" applyProtection="0"/>
    <xf numFmtId="0" fontId="8" fillId="0" borderId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6" fillId="0" borderId="0"/>
    <xf numFmtId="9" fontId="8" fillId="0" borderId="0" applyFont="0" applyFill="0" applyBorder="0" applyAlignment="0" applyProtection="0"/>
    <xf numFmtId="9" fontId="8" fillId="0" borderId="0"/>
    <xf numFmtId="9" fontId="8" fillId="0" borderId="0" applyFill="0" applyBorder="0" applyAlignment="0" applyProtection="0"/>
    <xf numFmtId="9" fontId="8" fillId="0" borderId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8" fontId="8" fillId="0" borderId="0" applyFont="0" applyFill="0" applyBorder="0" applyAlignment="0" applyProtection="0"/>
    <xf numFmtId="169" fontId="8" fillId="0" borderId="0" applyFill="0" applyBorder="0" applyAlignment="0" applyProtection="0"/>
    <xf numFmtId="168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170" fontId="12" fillId="0" borderId="0" applyFill="0" applyBorder="0" applyAlignment="0" applyProtection="0"/>
    <xf numFmtId="170" fontId="12" fillId="0" borderId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4" fillId="4" borderId="0" xfId="0" applyNumberFormat="1" applyFont="1" applyFill="1" applyAlignment="1">
      <alignment horizontal="center"/>
    </xf>
    <xf numFmtId="0" fontId="0" fillId="5" borderId="0" xfId="0" applyFill="1"/>
    <xf numFmtId="2" fontId="0" fillId="5" borderId="0" xfId="0" applyNumberFormat="1" applyFill="1"/>
    <xf numFmtId="0" fontId="4" fillId="4" borderId="0" xfId="0" applyFont="1" applyFill="1"/>
    <xf numFmtId="2" fontId="4" fillId="4" borderId="0" xfId="0" applyNumberFormat="1" applyFont="1" applyFill="1"/>
    <xf numFmtId="0" fontId="5" fillId="4" borderId="0" xfId="0" applyFont="1" applyFill="1" applyAlignment="1">
      <alignment horizontal="center"/>
    </xf>
    <xf numFmtId="2" fontId="5" fillId="4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5" borderId="0" xfId="0" applyNumberFormat="1" applyFill="1" applyAlignment="1">
      <alignment horizontal="center"/>
    </xf>
    <xf numFmtId="165" fontId="0" fillId="5" borderId="0" xfId="0" applyNumberForma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166" fontId="0" fillId="0" borderId="0" xfId="0" applyNumberFormat="1"/>
    <xf numFmtId="0" fontId="1" fillId="5" borderId="0" xfId="0" applyFont="1" applyFill="1" applyAlignment="1">
      <alignment horizontal="center"/>
    </xf>
    <xf numFmtId="0" fontId="7" fillId="0" borderId="0" xfId="0" applyFont="1"/>
    <xf numFmtId="0" fontId="0" fillId="0" borderId="2" xfId="0" applyBorder="1"/>
    <xf numFmtId="0" fontId="0" fillId="0" borderId="2" xfId="0" applyBorder="1" applyAlignment="1">
      <alignment horizontal="center"/>
    </xf>
    <xf numFmtId="17" fontId="0" fillId="0" borderId="2" xfId="0" applyNumberFormat="1" applyBorder="1"/>
    <xf numFmtId="2" fontId="0" fillId="0" borderId="2" xfId="0" applyNumberFormat="1" applyBorder="1" applyAlignment="1">
      <alignment horizontal="center"/>
    </xf>
    <xf numFmtId="0" fontId="0" fillId="6" borderId="2" xfId="0" applyFill="1" applyBorder="1" applyAlignment="1">
      <alignment horizontal="center"/>
    </xf>
    <xf numFmtId="2" fontId="0" fillId="6" borderId="2" xfId="0" applyNumberFormat="1" applyFill="1" applyBorder="1" applyAlignment="1">
      <alignment horizontal="center"/>
    </xf>
    <xf numFmtId="1" fontId="0" fillId="0" borderId="0" xfId="0" applyNumberFormat="1"/>
  </cellXfs>
  <cellStyles count="31">
    <cellStyle name="ANCLAS,REZONES Y SUS PARTES,DE FUNDICION,DE HIERRO O DE ACERO" xfId="2" xr:uid="{89F9BE83-0767-44C3-9290-944B5B2D3025}"/>
    <cellStyle name="Excel Built-in Normal" xfId="5" xr:uid="{711EFA71-7857-422C-9A52-580F350D5BB0}"/>
    <cellStyle name="Hiperlink 2" xfId="6" xr:uid="{140CDAC6-5408-4B79-B2C4-5FF7316743C9}"/>
    <cellStyle name="Millares 2" xfId="3" xr:uid="{73254E1F-2D64-4F63-8DDE-85B30ACE6F66}"/>
    <cellStyle name="Normal" xfId="0" builtinId="0"/>
    <cellStyle name="Normal 2" xfId="7" xr:uid="{85A804DB-915F-4DC4-AD36-E9B16F5230DC}"/>
    <cellStyle name="Normal 3" xfId="8" xr:uid="{81D513D3-1DBB-4E76-B909-6B0ADA159C07}"/>
    <cellStyle name="Normal 4" xfId="9" xr:uid="{51D8BE3B-E866-49EE-88BC-B4FB522B3708}"/>
    <cellStyle name="Normal 5" xfId="10" xr:uid="{B67BEA4C-093D-44C4-BBD4-245F334128C1}"/>
    <cellStyle name="Normal 6" xfId="11" xr:uid="{A1E82861-662A-45A2-9E1F-A128E68CBCB8}"/>
    <cellStyle name="Normal 7" xfId="12" xr:uid="{F6C5421E-25E4-4144-BFBD-EBD81175C925}"/>
    <cellStyle name="Normal 8" xfId="13" xr:uid="{3FED54EA-8C30-4552-A095-BB14B0A70328}"/>
    <cellStyle name="Normal 9" xfId="4" xr:uid="{13BFBD7A-29B2-4BBA-AF32-E61424A3D043}"/>
    <cellStyle name="Porcentagem 2" xfId="15" xr:uid="{3863E33C-CB82-4CE0-8C36-1AE9E475243E}"/>
    <cellStyle name="Porcentagem 3" xfId="16" xr:uid="{9A715992-57B6-4E3B-87DC-0E89933E19F3}"/>
    <cellStyle name="Porcentagem 4" xfId="17" xr:uid="{CA415BC8-7474-4BE6-9BDF-AF533F8999A2}"/>
    <cellStyle name="Porcentagem 5" xfId="14" xr:uid="{74267F70-A4BE-494E-849C-76D6608A803E}"/>
    <cellStyle name="Título 1 1" xfId="18" xr:uid="{94C7B18B-CDF4-4C5B-AB23-E0D1B2563ACD}"/>
    <cellStyle name="Título 1 1 1" xfId="19" xr:uid="{CFB0A8BE-CB19-4CC4-BACB-C0FCCED825F2}"/>
    <cellStyle name="Título 1 1 1 1" xfId="20" xr:uid="{88911EFC-BDD0-44FA-A936-3F0580E49740}"/>
    <cellStyle name="Título 1 1 1 1 1" xfId="21" xr:uid="{12E3EC9B-46C6-4541-A439-8CA885A44088}"/>
    <cellStyle name="Título 1 1 1 1 1 1" xfId="22" xr:uid="{9ACC454B-E7B8-4FD5-AB58-FD35EE1D3578}"/>
    <cellStyle name="Título 5" xfId="23" xr:uid="{DDCCD8CA-220E-4267-A8ED-43A4C0B84E47}"/>
    <cellStyle name="Título 6" xfId="24" xr:uid="{E592B33B-203C-4C4A-9C89-95BDC4ACDBEC}"/>
    <cellStyle name="Vírgula 2" xfId="26" xr:uid="{D5A87C7B-F0A4-4253-825B-6E101D017FD7}"/>
    <cellStyle name="Vírgula 3" xfId="27" xr:uid="{19F23A84-5C16-433B-9611-DF22D858AA47}"/>
    <cellStyle name="Vírgula 4" xfId="28" xr:uid="{944FF0DC-39A9-44D9-8A06-5557587FC49B}"/>
    <cellStyle name="Vírgula 4 2" xfId="30" xr:uid="{0EA5463D-5351-4F73-BBC1-EFD0B0022109}"/>
    <cellStyle name="Vírgula 5" xfId="29" xr:uid="{695C3D3D-10EC-4E26-8482-ADFEE18D61FC}"/>
    <cellStyle name="Vírgula 6" xfId="25" xr:uid="{B880A644-95E1-412B-B0B8-AA247E1A2C0E}"/>
    <cellStyle name="Vírgula 7" xfId="1" xr:uid="{0E088382-A6BC-4802-B370-4347C90CBA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3</xdr:row>
      <xdr:rowOff>19051</xdr:rowOff>
    </xdr:from>
    <xdr:to>
      <xdr:col>12</xdr:col>
      <xdr:colOff>72993</xdr:colOff>
      <xdr:row>52</xdr:row>
      <xdr:rowOff>114301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A70A1E3-B929-4351-BF65-FA32DE436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300" y="590551"/>
          <a:ext cx="6130893" cy="9429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4</xdr:row>
      <xdr:rowOff>1</xdr:rowOff>
    </xdr:from>
    <xdr:to>
      <xdr:col>12</xdr:col>
      <xdr:colOff>592809</xdr:colOff>
      <xdr:row>53</xdr:row>
      <xdr:rowOff>171451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0C6B863-0A43-4475-9ABA-D073EE8F9E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1" y="762001"/>
          <a:ext cx="6079208" cy="95059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12</xdr:col>
      <xdr:colOff>227886</xdr:colOff>
      <xdr:row>47</xdr:row>
      <xdr:rowOff>94167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144F0E5-FBBD-4637-B4E5-4637C87BE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5714286" cy="866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11</xdr:col>
      <xdr:colOff>602062</xdr:colOff>
      <xdr:row>44</xdr:row>
      <xdr:rowOff>142875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2868772-BE53-44ED-A475-0F13E820F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6088462" cy="81629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2</xdr:row>
      <xdr:rowOff>19050</xdr:rowOff>
    </xdr:from>
    <xdr:to>
      <xdr:col>10</xdr:col>
      <xdr:colOff>600460</xdr:colOff>
      <xdr:row>37</xdr:row>
      <xdr:rowOff>76200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B335B91-40DF-416D-B4E9-C2DE4D34C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" y="400050"/>
          <a:ext cx="5467735" cy="67532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9526</xdr:colOff>
      <xdr:row>3</xdr:row>
      <xdr:rowOff>38100</xdr:rowOff>
    </xdr:from>
    <xdr:to>
      <xdr:col>11</xdr:col>
      <xdr:colOff>584186</xdr:colOff>
      <xdr:row>31</xdr:row>
      <xdr:rowOff>28575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9F515A0-8C14-4739-A68E-85B13FE95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8726" y="609600"/>
          <a:ext cx="6061060" cy="5343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A45D6-60F9-4F5F-AC84-F6295AABF74C}">
  <dimension ref="A1"/>
  <sheetViews>
    <sheetView topLeftCell="A25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8771-5BB1-4542-B168-D426AD12C46B}">
  <dimension ref="A1"/>
  <sheetViews>
    <sheetView topLeftCell="A31" workbookViewId="0">
      <selection activeCell="P22" sqref="P22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B687-2C18-4B9C-B692-14CE220B09F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B1443-F0C9-4C33-98D0-C64113659FE7}">
  <dimension ref="N6:S47"/>
  <sheetViews>
    <sheetView topLeftCell="A19" workbookViewId="0">
      <selection activeCell="N15" sqref="N15"/>
    </sheetView>
  </sheetViews>
  <sheetFormatPr defaultRowHeight="14.4" x14ac:dyDescent="0.3"/>
  <cols>
    <col min="2" max="2" width="4.6640625" customWidth="1"/>
    <col min="19" max="19" width="9.109375" style="2"/>
  </cols>
  <sheetData>
    <row r="6" spans="14:19" ht="15" thickBot="1" x14ac:dyDescent="0.35">
      <c r="N6" s="13" t="s">
        <v>44</v>
      </c>
      <c r="O6" s="11"/>
      <c r="P6" s="11"/>
      <c r="Q6" s="11"/>
      <c r="R6" s="11"/>
      <c r="S6" s="12"/>
    </row>
    <row r="7" spans="14:19" ht="15" thickTop="1" x14ac:dyDescent="0.3">
      <c r="N7" s="3" t="s">
        <v>45</v>
      </c>
      <c r="O7" s="3"/>
      <c r="P7" s="3"/>
      <c r="Q7" s="3"/>
      <c r="R7" s="10" t="s">
        <v>46</v>
      </c>
      <c r="S7" s="8" t="s">
        <v>47</v>
      </c>
    </row>
    <row r="8" spans="14:19" x14ac:dyDescent="0.3">
      <c r="S8" s="9" t="s">
        <v>48</v>
      </c>
    </row>
    <row r="9" spans="14:19" x14ac:dyDescent="0.3">
      <c r="N9" s="4" t="s">
        <v>0</v>
      </c>
      <c r="O9" s="5"/>
      <c r="P9" s="5"/>
      <c r="Q9" s="5"/>
      <c r="R9" s="5"/>
      <c r="S9" s="6"/>
    </row>
    <row r="10" spans="14:19" x14ac:dyDescent="0.3">
      <c r="N10" t="s">
        <v>1</v>
      </c>
      <c r="R10" s="1" t="s">
        <v>13</v>
      </c>
      <c r="S10" s="2">
        <v>0.01</v>
      </c>
    </row>
    <row r="11" spans="14:19" x14ac:dyDescent="0.3">
      <c r="N11" t="s">
        <v>2</v>
      </c>
      <c r="R11" s="1" t="s">
        <v>14</v>
      </c>
      <c r="S11" s="2">
        <v>0.06</v>
      </c>
    </row>
    <row r="12" spans="14:19" x14ac:dyDescent="0.3">
      <c r="N12" t="s">
        <v>3</v>
      </c>
    </row>
    <row r="13" spans="14:19" x14ac:dyDescent="0.3">
      <c r="N13" t="s">
        <v>4</v>
      </c>
      <c r="R13" s="1" t="s">
        <v>15</v>
      </c>
      <c r="S13" s="2">
        <v>0.03</v>
      </c>
    </row>
    <row r="14" spans="14:19" x14ac:dyDescent="0.3">
      <c r="N14" t="s">
        <v>5</v>
      </c>
      <c r="R14" s="1" t="s">
        <v>16</v>
      </c>
      <c r="S14" s="2">
        <v>0.03</v>
      </c>
    </row>
    <row r="15" spans="14:19" x14ac:dyDescent="0.3">
      <c r="N15" t="s">
        <v>6</v>
      </c>
      <c r="R15" s="1" t="s">
        <v>16</v>
      </c>
      <c r="S15" s="2">
        <v>0.01</v>
      </c>
    </row>
    <row r="16" spans="14:19" x14ac:dyDescent="0.3">
      <c r="N16" t="s">
        <v>7</v>
      </c>
      <c r="R16" s="1" t="s">
        <v>16</v>
      </c>
      <c r="S16" s="2">
        <v>0.01</v>
      </c>
    </row>
    <row r="17" spans="14:19" x14ac:dyDescent="0.3">
      <c r="N17" t="s">
        <v>8</v>
      </c>
      <c r="R17" s="1" t="s">
        <v>15</v>
      </c>
      <c r="S17" s="2">
        <v>0.03</v>
      </c>
    </row>
    <row r="18" spans="14:19" x14ac:dyDescent="0.3">
      <c r="N18" t="s">
        <v>9</v>
      </c>
      <c r="R18" s="1" t="s">
        <v>16</v>
      </c>
      <c r="S18" s="2">
        <v>0.03</v>
      </c>
    </row>
    <row r="19" spans="14:19" x14ac:dyDescent="0.3">
      <c r="N19" t="s">
        <v>10</v>
      </c>
      <c r="R19" s="1" t="s">
        <v>16</v>
      </c>
      <c r="S19" s="2">
        <v>0.01</v>
      </c>
    </row>
    <row r="20" spans="14:19" x14ac:dyDescent="0.3">
      <c r="N20" t="s">
        <v>11</v>
      </c>
      <c r="R20" s="1" t="s">
        <v>16</v>
      </c>
      <c r="S20" s="2">
        <v>0.01</v>
      </c>
    </row>
    <row r="21" spans="14:19" x14ac:dyDescent="0.3">
      <c r="N21" t="s">
        <v>12</v>
      </c>
      <c r="R21" s="1" t="s">
        <v>16</v>
      </c>
      <c r="S21" s="2">
        <v>0.02</v>
      </c>
    </row>
    <row r="22" spans="14:19" x14ac:dyDescent="0.3">
      <c r="N22" s="4" t="s">
        <v>17</v>
      </c>
      <c r="O22" s="5"/>
      <c r="P22" s="5"/>
      <c r="Q22" s="5"/>
      <c r="R22" s="5"/>
      <c r="S22" s="6"/>
    </row>
    <row r="23" spans="14:19" x14ac:dyDescent="0.3">
      <c r="N23" t="s">
        <v>18</v>
      </c>
      <c r="R23" s="1" t="s">
        <v>16</v>
      </c>
      <c r="S23" s="2">
        <v>0.06</v>
      </c>
    </row>
    <row r="24" spans="14:19" x14ac:dyDescent="0.3">
      <c r="N24" t="s">
        <v>19</v>
      </c>
      <c r="R24" s="1" t="s">
        <v>16</v>
      </c>
      <c r="S24" s="2">
        <v>0.01</v>
      </c>
    </row>
    <row r="25" spans="14:19" x14ac:dyDescent="0.3">
      <c r="N25" t="s">
        <v>20</v>
      </c>
      <c r="R25" s="1" t="s">
        <v>16</v>
      </c>
      <c r="S25" s="2">
        <v>0.01</v>
      </c>
    </row>
    <row r="26" spans="14:19" x14ac:dyDescent="0.3">
      <c r="N26" t="s">
        <v>21</v>
      </c>
      <c r="R26" s="1" t="s">
        <v>16</v>
      </c>
      <c r="S26" s="2">
        <v>0.01</v>
      </c>
    </row>
    <row r="27" spans="14:19" x14ac:dyDescent="0.3">
      <c r="N27" t="s">
        <v>22</v>
      </c>
      <c r="R27" s="1" t="s">
        <v>16</v>
      </c>
      <c r="S27" s="2">
        <v>0.01</v>
      </c>
    </row>
    <row r="28" spans="14:19" x14ac:dyDescent="0.3">
      <c r="N28" t="s">
        <v>23</v>
      </c>
      <c r="R28" s="1" t="s">
        <v>15</v>
      </c>
      <c r="S28" s="2">
        <v>0.01</v>
      </c>
    </row>
    <row r="29" spans="14:19" x14ac:dyDescent="0.3">
      <c r="N29" s="4" t="s">
        <v>24</v>
      </c>
      <c r="O29" s="5"/>
      <c r="P29" s="5"/>
      <c r="Q29" s="5"/>
      <c r="R29" s="7"/>
      <c r="S29" s="6"/>
    </row>
    <row r="30" spans="14:19" x14ac:dyDescent="0.3">
      <c r="N30" t="s">
        <v>25</v>
      </c>
      <c r="R30" s="1" t="s">
        <v>15</v>
      </c>
      <c r="S30" s="2">
        <v>1.76</v>
      </c>
    </row>
    <row r="31" spans="14:19" x14ac:dyDescent="0.3">
      <c r="N31" t="s">
        <v>26</v>
      </c>
      <c r="R31" s="1" t="s">
        <v>15</v>
      </c>
      <c r="S31" s="2">
        <v>0.89</v>
      </c>
    </row>
    <row r="32" spans="14:19" x14ac:dyDescent="0.3">
      <c r="N32" t="s">
        <v>27</v>
      </c>
      <c r="R32" s="1" t="s">
        <v>15</v>
      </c>
      <c r="S32" s="2">
        <v>2.56</v>
      </c>
    </row>
    <row r="33" spans="14:19" x14ac:dyDescent="0.3">
      <c r="N33" t="s">
        <v>28</v>
      </c>
      <c r="R33" s="1" t="s">
        <v>15</v>
      </c>
      <c r="S33" s="2">
        <v>1.67</v>
      </c>
    </row>
    <row r="34" spans="14:19" x14ac:dyDescent="0.3">
      <c r="N34" s="4" t="s">
        <v>29</v>
      </c>
      <c r="O34" s="5"/>
      <c r="P34" s="5"/>
      <c r="Q34" s="5"/>
      <c r="R34" s="7"/>
      <c r="S34" s="6"/>
    </row>
    <row r="35" spans="14:19" x14ac:dyDescent="0.3">
      <c r="N35" t="s">
        <v>30</v>
      </c>
      <c r="R35" s="1" t="s">
        <v>35</v>
      </c>
      <c r="S35" s="2">
        <v>0.44</v>
      </c>
    </row>
    <row r="36" spans="14:19" x14ac:dyDescent="0.3">
      <c r="N36" t="s">
        <v>31</v>
      </c>
      <c r="R36" s="1" t="s">
        <v>14</v>
      </c>
      <c r="S36" s="2">
        <v>4.4400000000000004</v>
      </c>
    </row>
    <row r="37" spans="14:19" x14ac:dyDescent="0.3">
      <c r="N37" s="4" t="s">
        <v>32</v>
      </c>
      <c r="O37" s="5"/>
      <c r="P37" s="5"/>
      <c r="Q37" s="5"/>
      <c r="R37" s="7"/>
      <c r="S37" s="6"/>
    </row>
    <row r="38" spans="14:19" x14ac:dyDescent="0.3">
      <c r="N38" t="s">
        <v>33</v>
      </c>
      <c r="R38" s="1" t="s">
        <v>35</v>
      </c>
      <c r="S38" s="2">
        <v>2E-3</v>
      </c>
    </row>
    <row r="39" spans="14:19" x14ac:dyDescent="0.3">
      <c r="N39" s="4" t="s">
        <v>34</v>
      </c>
      <c r="O39" s="5"/>
      <c r="P39" s="5"/>
      <c r="Q39" s="5"/>
      <c r="R39" s="7"/>
      <c r="S39" s="6"/>
    </row>
    <row r="40" spans="14:19" x14ac:dyDescent="0.3">
      <c r="N40" s="18" t="s">
        <v>36</v>
      </c>
      <c r="O40" s="18"/>
      <c r="P40" s="18"/>
      <c r="Q40" s="18"/>
      <c r="R40" s="19" t="s">
        <v>15</v>
      </c>
      <c r="S40" s="20">
        <v>15</v>
      </c>
    </row>
    <row r="41" spans="14:19" x14ac:dyDescent="0.3">
      <c r="N41" s="4" t="s">
        <v>37</v>
      </c>
      <c r="O41" s="5"/>
      <c r="P41" s="5"/>
      <c r="Q41" s="5"/>
      <c r="R41" s="7"/>
      <c r="S41" s="6"/>
    </row>
    <row r="42" spans="14:19" x14ac:dyDescent="0.3">
      <c r="N42" t="s">
        <v>38</v>
      </c>
      <c r="R42" s="1" t="s">
        <v>14</v>
      </c>
      <c r="S42" s="2">
        <v>0.02</v>
      </c>
    </row>
    <row r="43" spans="14:19" x14ac:dyDescent="0.3">
      <c r="N43" s="4" t="s">
        <v>39</v>
      </c>
      <c r="O43" s="5"/>
      <c r="P43" s="5"/>
      <c r="Q43" s="5"/>
      <c r="R43" s="7"/>
      <c r="S43" s="6"/>
    </row>
    <row r="44" spans="14:19" x14ac:dyDescent="0.3">
      <c r="N44" t="s">
        <v>40</v>
      </c>
      <c r="R44" s="1" t="s">
        <v>14</v>
      </c>
      <c r="S44" s="2">
        <v>0.19</v>
      </c>
    </row>
    <row r="45" spans="14:19" x14ac:dyDescent="0.3">
      <c r="N45" t="s">
        <v>41</v>
      </c>
      <c r="R45" s="1" t="s">
        <v>14</v>
      </c>
      <c r="S45" s="2">
        <v>0.05</v>
      </c>
    </row>
    <row r="46" spans="14:19" x14ac:dyDescent="0.3">
      <c r="N46" s="4" t="s">
        <v>42</v>
      </c>
      <c r="O46" s="5"/>
      <c r="P46" s="5"/>
      <c r="Q46" s="5"/>
      <c r="R46" s="7"/>
      <c r="S46" s="6"/>
    </row>
    <row r="47" spans="14:19" x14ac:dyDescent="0.3">
      <c r="N47" t="s">
        <v>43</v>
      </c>
      <c r="R47" s="1" t="s">
        <v>14</v>
      </c>
      <c r="S47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CE1FE-74D5-4343-B220-4E3C2D7101AC}">
  <dimension ref="M8:R38"/>
  <sheetViews>
    <sheetView topLeftCell="A10" workbookViewId="0">
      <selection activeCell="M8" sqref="M8:R37"/>
    </sheetView>
  </sheetViews>
  <sheetFormatPr defaultRowHeight="14.4" x14ac:dyDescent="0.3"/>
  <cols>
    <col min="2" max="2" width="5.6640625" customWidth="1"/>
  </cols>
  <sheetData>
    <row r="8" spans="13:18" ht="15" thickBot="1" x14ac:dyDescent="0.35">
      <c r="M8" s="13" t="s">
        <v>64</v>
      </c>
      <c r="N8" s="11"/>
      <c r="O8" s="11"/>
      <c r="P8" s="11"/>
      <c r="Q8" s="11"/>
      <c r="R8" s="12"/>
    </row>
    <row r="9" spans="13:18" ht="15" thickTop="1" x14ac:dyDescent="0.3">
      <c r="M9" s="3" t="s">
        <v>45</v>
      </c>
      <c r="N9" s="3"/>
      <c r="O9" s="3"/>
      <c r="P9" s="3"/>
      <c r="Q9" s="10" t="s">
        <v>46</v>
      </c>
      <c r="R9" s="8" t="s">
        <v>47</v>
      </c>
    </row>
    <row r="10" spans="13:18" x14ac:dyDescent="0.3">
      <c r="R10" s="9" t="s">
        <v>48</v>
      </c>
    </row>
    <row r="11" spans="13:18" x14ac:dyDescent="0.3">
      <c r="M11" s="4" t="s">
        <v>0</v>
      </c>
      <c r="N11" s="5"/>
      <c r="O11" s="5"/>
      <c r="P11" s="5"/>
      <c r="Q11" s="5"/>
      <c r="R11" s="6"/>
    </row>
    <row r="12" spans="13:18" x14ac:dyDescent="0.3">
      <c r="M12" t="s">
        <v>43</v>
      </c>
      <c r="Q12" s="1" t="s">
        <v>14</v>
      </c>
      <c r="R12" s="2">
        <v>30.3</v>
      </c>
    </row>
    <row r="13" spans="13:18" x14ac:dyDescent="0.3">
      <c r="M13" t="s">
        <v>65</v>
      </c>
      <c r="Q13" s="1" t="s">
        <v>15</v>
      </c>
      <c r="R13" s="2">
        <v>15.15</v>
      </c>
    </row>
    <row r="14" spans="13:18" x14ac:dyDescent="0.3">
      <c r="M14" t="s">
        <v>66</v>
      </c>
      <c r="Q14" s="14" t="s">
        <v>14</v>
      </c>
      <c r="R14" s="2">
        <v>6.06</v>
      </c>
    </row>
    <row r="15" spans="13:18" x14ac:dyDescent="0.3">
      <c r="Q15" s="1"/>
      <c r="R15" s="2"/>
    </row>
    <row r="16" spans="13:18" x14ac:dyDescent="0.3">
      <c r="M16" s="4" t="s">
        <v>56</v>
      </c>
      <c r="N16" s="5"/>
      <c r="O16" s="5"/>
      <c r="P16" s="5"/>
      <c r="Q16" s="5"/>
      <c r="R16" s="6"/>
    </row>
    <row r="17" spans="13:18" x14ac:dyDescent="0.3">
      <c r="M17" t="s">
        <v>68</v>
      </c>
      <c r="Q17" s="1" t="s">
        <v>67</v>
      </c>
      <c r="R17" s="2">
        <v>1.05</v>
      </c>
    </row>
    <row r="18" spans="13:18" x14ac:dyDescent="0.3">
      <c r="M18" t="s">
        <v>69</v>
      </c>
      <c r="Q18" s="1" t="s">
        <v>67</v>
      </c>
      <c r="R18" s="2">
        <v>0.43</v>
      </c>
    </row>
    <row r="19" spans="13:18" x14ac:dyDescent="0.3">
      <c r="M19" t="s">
        <v>70</v>
      </c>
      <c r="Q19" s="1" t="s">
        <v>14</v>
      </c>
      <c r="R19" s="2">
        <v>78.55</v>
      </c>
    </row>
    <row r="21" spans="13:18" x14ac:dyDescent="0.3">
      <c r="M21" s="4" t="s">
        <v>71</v>
      </c>
      <c r="N21" s="5"/>
      <c r="O21" s="5"/>
      <c r="P21" s="5"/>
      <c r="Q21" s="7"/>
      <c r="R21" s="6"/>
    </row>
    <row r="22" spans="13:18" x14ac:dyDescent="0.3">
      <c r="M22" t="s">
        <v>73</v>
      </c>
      <c r="Q22" s="1" t="s">
        <v>35</v>
      </c>
      <c r="R22" s="2">
        <v>6.06</v>
      </c>
    </row>
    <row r="23" spans="13:18" x14ac:dyDescent="0.3">
      <c r="M23" t="s">
        <v>74</v>
      </c>
      <c r="Q23" s="1" t="s">
        <v>15</v>
      </c>
      <c r="R23" s="2">
        <v>0.01</v>
      </c>
    </row>
    <row r="24" spans="13:18" x14ac:dyDescent="0.3">
      <c r="M24" t="s">
        <v>75</v>
      </c>
      <c r="Q24" s="1" t="s">
        <v>15</v>
      </c>
      <c r="R24" s="2">
        <v>0.01</v>
      </c>
    </row>
    <row r="25" spans="13:18" x14ac:dyDescent="0.3">
      <c r="M25" t="s">
        <v>76</v>
      </c>
      <c r="Q25" s="1" t="s">
        <v>72</v>
      </c>
      <c r="R25" s="2">
        <v>0.09</v>
      </c>
    </row>
    <row r="27" spans="13:18" x14ac:dyDescent="0.3">
      <c r="M27" s="4"/>
      <c r="N27" s="5"/>
      <c r="O27" s="5"/>
      <c r="P27" s="5"/>
      <c r="Q27" s="7"/>
      <c r="R27" s="6"/>
    </row>
    <row r="28" spans="13:18" x14ac:dyDescent="0.3">
      <c r="M28" t="s">
        <v>77</v>
      </c>
      <c r="Q28" s="1" t="s">
        <v>14</v>
      </c>
      <c r="R28" s="2">
        <v>4.3600000000000003</v>
      </c>
    </row>
    <row r="29" spans="13:18" x14ac:dyDescent="0.3">
      <c r="Q29" s="1"/>
      <c r="R29" s="2"/>
    </row>
    <row r="30" spans="13:18" x14ac:dyDescent="0.3">
      <c r="M30" s="4" t="s">
        <v>78</v>
      </c>
      <c r="N30" s="5"/>
      <c r="O30" s="5"/>
      <c r="P30" s="5"/>
      <c r="Q30" s="7"/>
      <c r="R30" s="6"/>
    </row>
    <row r="31" spans="13:18" x14ac:dyDescent="0.3">
      <c r="M31" t="s">
        <v>79</v>
      </c>
      <c r="Q31" s="1" t="s">
        <v>14</v>
      </c>
      <c r="R31" s="2">
        <v>0.83</v>
      </c>
    </row>
    <row r="32" spans="13:18" x14ac:dyDescent="0.3">
      <c r="Q32" s="1"/>
      <c r="R32" s="2"/>
    </row>
    <row r="33" spans="13:18" x14ac:dyDescent="0.3">
      <c r="M33" s="4" t="s">
        <v>42</v>
      </c>
      <c r="N33" s="5"/>
      <c r="O33" s="5"/>
      <c r="P33" s="5"/>
      <c r="Q33" s="7"/>
      <c r="R33" s="6"/>
    </row>
    <row r="34" spans="13:18" x14ac:dyDescent="0.3">
      <c r="M34" t="s">
        <v>80</v>
      </c>
      <c r="Q34" s="1" t="s">
        <v>14</v>
      </c>
      <c r="R34" s="2">
        <v>1</v>
      </c>
    </row>
    <row r="35" spans="13:18" x14ac:dyDescent="0.3">
      <c r="M35" t="s">
        <v>81</v>
      </c>
      <c r="Q35" s="1" t="s">
        <v>14</v>
      </c>
      <c r="R35" s="2">
        <v>3.52</v>
      </c>
    </row>
    <row r="36" spans="13:18" x14ac:dyDescent="0.3">
      <c r="M36" s="15" t="s">
        <v>82</v>
      </c>
      <c r="N36" s="15"/>
      <c r="O36" s="15"/>
      <c r="P36" s="15"/>
      <c r="Q36" s="16" t="s">
        <v>14</v>
      </c>
      <c r="R36" s="17">
        <v>9.09</v>
      </c>
    </row>
    <row r="37" spans="13:18" ht="15" thickBot="1" x14ac:dyDescent="0.35">
      <c r="M37" s="11"/>
      <c r="N37" s="11"/>
      <c r="O37" s="11"/>
      <c r="P37" s="11"/>
      <c r="Q37" s="11"/>
      <c r="R37" s="11"/>
    </row>
    <row r="38" spans="13:18" ht="15" thickTop="1" x14ac:dyDescent="0.3"/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F0122-A718-4B9C-9267-98B6AD7AAD6E}">
  <dimension ref="N9:S32"/>
  <sheetViews>
    <sheetView topLeftCell="A7" workbookViewId="0">
      <selection activeCell="N9" sqref="N9:S28"/>
    </sheetView>
  </sheetViews>
  <sheetFormatPr defaultRowHeight="14.4" x14ac:dyDescent="0.3"/>
  <cols>
    <col min="2" max="2" width="5.88671875" customWidth="1"/>
  </cols>
  <sheetData>
    <row r="9" spans="14:19" ht="15" thickBot="1" x14ac:dyDescent="0.35">
      <c r="N9" s="13" t="s">
        <v>63</v>
      </c>
      <c r="O9" s="11"/>
      <c r="P9" s="11"/>
      <c r="Q9" s="11"/>
      <c r="R9" s="11"/>
      <c r="S9" s="12"/>
    </row>
    <row r="10" spans="14:19" ht="15" thickTop="1" x14ac:dyDescent="0.3">
      <c r="N10" s="3" t="s">
        <v>45</v>
      </c>
      <c r="O10" s="3"/>
      <c r="P10" s="3"/>
      <c r="Q10" s="3"/>
      <c r="R10" s="10" t="s">
        <v>46</v>
      </c>
      <c r="S10" s="8" t="s">
        <v>47</v>
      </c>
    </row>
    <row r="11" spans="14:19" x14ac:dyDescent="0.3">
      <c r="S11" s="9" t="s">
        <v>48</v>
      </c>
    </row>
    <row r="12" spans="14:19" x14ac:dyDescent="0.3">
      <c r="N12" s="4" t="s">
        <v>0</v>
      </c>
      <c r="O12" s="5"/>
      <c r="P12" s="5"/>
      <c r="Q12" s="5"/>
      <c r="R12" s="5"/>
      <c r="S12" s="6"/>
    </row>
    <row r="13" spans="14:19" x14ac:dyDescent="0.3">
      <c r="N13" t="s">
        <v>49</v>
      </c>
      <c r="R13" s="1" t="s">
        <v>14</v>
      </c>
      <c r="S13" s="2">
        <v>4.76</v>
      </c>
    </row>
    <row r="14" spans="14:19" x14ac:dyDescent="0.3">
      <c r="N14" t="s">
        <v>50</v>
      </c>
      <c r="R14" s="1" t="s">
        <v>14</v>
      </c>
      <c r="S14" s="2">
        <v>0.32</v>
      </c>
    </row>
    <row r="15" spans="14:19" x14ac:dyDescent="0.3">
      <c r="N15" t="s">
        <v>51</v>
      </c>
      <c r="R15" s="14" t="s">
        <v>15</v>
      </c>
      <c r="S15" s="2">
        <v>1.2999999999999999E-2</v>
      </c>
    </row>
    <row r="16" spans="14:19" x14ac:dyDescent="0.3">
      <c r="N16" t="s">
        <v>52</v>
      </c>
      <c r="R16" s="1" t="s">
        <v>15</v>
      </c>
      <c r="S16" s="2">
        <v>1.46</v>
      </c>
    </row>
    <row r="17" spans="14:19" x14ac:dyDescent="0.3">
      <c r="N17" t="s">
        <v>53</v>
      </c>
      <c r="R17" s="1" t="s">
        <v>15</v>
      </c>
      <c r="S17" s="2">
        <v>41.56</v>
      </c>
    </row>
    <row r="18" spans="14:19" x14ac:dyDescent="0.3">
      <c r="N18" t="s">
        <v>54</v>
      </c>
      <c r="R18" s="1" t="s">
        <v>15</v>
      </c>
      <c r="S18" s="2">
        <v>1.66</v>
      </c>
    </row>
    <row r="19" spans="14:19" x14ac:dyDescent="0.3">
      <c r="N19" t="s">
        <v>26</v>
      </c>
      <c r="R19" s="1" t="s">
        <v>15</v>
      </c>
      <c r="S19" s="2">
        <v>8.75</v>
      </c>
    </row>
    <row r="20" spans="14:19" x14ac:dyDescent="0.3">
      <c r="N20" t="s">
        <v>55</v>
      </c>
      <c r="R20" s="1" t="s">
        <v>15</v>
      </c>
      <c r="S20" s="2">
        <v>1.46</v>
      </c>
    </row>
    <row r="21" spans="14:19" x14ac:dyDescent="0.3">
      <c r="N21" s="4" t="s">
        <v>56</v>
      </c>
      <c r="O21" s="5"/>
      <c r="P21" s="5"/>
      <c r="Q21" s="5"/>
      <c r="R21" s="5"/>
      <c r="S21" s="6"/>
    </row>
    <row r="22" spans="14:19" x14ac:dyDescent="0.3">
      <c r="N22" t="s">
        <v>59</v>
      </c>
      <c r="R22" s="1" t="s">
        <v>15</v>
      </c>
      <c r="S22" s="2">
        <v>5.52</v>
      </c>
    </row>
    <row r="23" spans="14:19" x14ac:dyDescent="0.3">
      <c r="N23" s="4" t="s">
        <v>57</v>
      </c>
      <c r="O23" s="5"/>
      <c r="P23" s="5"/>
      <c r="Q23" s="5"/>
      <c r="R23" s="7"/>
      <c r="S23" s="6"/>
    </row>
    <row r="24" spans="14:19" x14ac:dyDescent="0.3">
      <c r="N24" t="s">
        <v>60</v>
      </c>
      <c r="R24" s="1" t="s">
        <v>14</v>
      </c>
      <c r="S24" s="2">
        <v>0.96</v>
      </c>
    </row>
    <row r="25" spans="14:19" x14ac:dyDescent="0.3">
      <c r="N25" s="4" t="s">
        <v>58</v>
      </c>
      <c r="O25" s="5"/>
      <c r="P25" s="5"/>
      <c r="Q25" s="5"/>
      <c r="R25" s="7"/>
      <c r="S25" s="6"/>
    </row>
    <row r="26" spans="14:19" x14ac:dyDescent="0.3">
      <c r="N26" t="s">
        <v>61</v>
      </c>
      <c r="R26" s="1" t="s">
        <v>14</v>
      </c>
      <c r="S26" s="2">
        <v>695.48</v>
      </c>
    </row>
    <row r="27" spans="14:19" x14ac:dyDescent="0.3">
      <c r="N27" s="4" t="s">
        <v>42</v>
      </c>
      <c r="O27" s="5"/>
      <c r="P27" s="5"/>
      <c r="Q27" s="5"/>
      <c r="R27" s="7"/>
      <c r="S27" s="6"/>
    </row>
    <row r="28" spans="14:19" x14ac:dyDescent="0.3">
      <c r="N28" t="s">
        <v>62</v>
      </c>
      <c r="R28" s="1" t="s">
        <v>14</v>
      </c>
      <c r="S28" s="2">
        <v>1</v>
      </c>
    </row>
    <row r="30" spans="14:19" x14ac:dyDescent="0.3">
      <c r="R30" s="1"/>
      <c r="S30" s="2"/>
    </row>
    <row r="31" spans="14:19" x14ac:dyDescent="0.3">
      <c r="R31" s="1"/>
      <c r="S31" s="2"/>
    </row>
    <row r="32" spans="14:19" x14ac:dyDescent="0.3">
      <c r="R32" s="1"/>
      <c r="S32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AABA1-A8D2-477D-9656-A983E251972F}">
  <dimension ref="A1:W43"/>
  <sheetViews>
    <sheetView tabSelected="1" topLeftCell="A10" workbookViewId="0">
      <selection activeCell="P26" sqref="P26"/>
    </sheetView>
  </sheetViews>
  <sheetFormatPr defaultRowHeight="14.4" x14ac:dyDescent="0.3"/>
  <cols>
    <col min="15" max="15" width="12" customWidth="1"/>
  </cols>
  <sheetData>
    <row r="1" spans="1:22" ht="15" thickBot="1" x14ac:dyDescent="0.35">
      <c r="A1" s="13" t="s">
        <v>44</v>
      </c>
      <c r="B1" s="11"/>
      <c r="C1" s="11"/>
      <c r="D1" s="11"/>
      <c r="E1" s="11"/>
      <c r="F1" s="12"/>
      <c r="H1" s="13" t="s">
        <v>64</v>
      </c>
      <c r="I1" s="11"/>
      <c r="J1" s="11"/>
      <c r="K1" s="11"/>
      <c r="L1" s="11"/>
      <c r="M1" s="12"/>
      <c r="O1" s="13" t="s">
        <v>63</v>
      </c>
      <c r="P1" s="11"/>
      <c r="Q1" s="11"/>
      <c r="R1" s="11"/>
      <c r="S1" s="11"/>
      <c r="T1" s="12"/>
    </row>
    <row r="2" spans="1:22" ht="15" thickTop="1" x14ac:dyDescent="0.3">
      <c r="A2" s="3" t="s">
        <v>45</v>
      </c>
      <c r="B2" s="3"/>
      <c r="C2" s="3"/>
      <c r="D2" s="3"/>
      <c r="E2" s="10" t="s">
        <v>46</v>
      </c>
      <c r="F2" s="8" t="s">
        <v>47</v>
      </c>
      <c r="H2" s="3" t="s">
        <v>45</v>
      </c>
      <c r="I2" s="3"/>
      <c r="J2" s="3"/>
      <c r="K2" s="3"/>
      <c r="L2" s="10" t="s">
        <v>46</v>
      </c>
      <c r="M2" s="8" t="s">
        <v>47</v>
      </c>
      <c r="O2" s="3" t="s">
        <v>45</v>
      </c>
      <c r="P2" s="3"/>
      <c r="Q2" s="3"/>
      <c r="R2" s="3"/>
      <c r="S2" s="10" t="s">
        <v>46</v>
      </c>
      <c r="T2" s="8" t="s">
        <v>47</v>
      </c>
    </row>
    <row r="3" spans="1:22" x14ac:dyDescent="0.3">
      <c r="F3" s="9" t="s">
        <v>48</v>
      </c>
      <c r="M3" s="9" t="s">
        <v>48</v>
      </c>
      <c r="T3" s="9" t="s">
        <v>48</v>
      </c>
    </row>
    <row r="4" spans="1:22" x14ac:dyDescent="0.3">
      <c r="A4" s="4" t="s">
        <v>0</v>
      </c>
      <c r="B4" s="5"/>
      <c r="C4" s="5"/>
      <c r="D4" s="5"/>
      <c r="E4" s="5"/>
      <c r="F4" s="6"/>
      <c r="G4" s="23" t="s">
        <v>85</v>
      </c>
      <c r="H4" s="4" t="s">
        <v>0</v>
      </c>
      <c r="I4" s="5"/>
      <c r="J4" s="5"/>
      <c r="K4" s="5"/>
      <c r="L4" s="5"/>
      <c r="M4" s="6"/>
      <c r="N4" s="23" t="s">
        <v>85</v>
      </c>
      <c r="O4" s="4" t="s">
        <v>0</v>
      </c>
      <c r="P4" s="5"/>
      <c r="Q4" s="5"/>
      <c r="R4" s="5"/>
      <c r="S4" s="5"/>
      <c r="T4" s="6"/>
      <c r="U4" s="23" t="s">
        <v>85</v>
      </c>
    </row>
    <row r="5" spans="1:22" x14ac:dyDescent="0.3">
      <c r="A5" t="s">
        <v>1</v>
      </c>
      <c r="E5" s="1" t="s">
        <v>13</v>
      </c>
      <c r="F5" s="2">
        <v>0.01</v>
      </c>
      <c r="G5" s="24"/>
      <c r="H5" t="s">
        <v>43</v>
      </c>
      <c r="L5" s="1" t="s">
        <v>14</v>
      </c>
      <c r="M5" s="38">
        <v>30.3</v>
      </c>
      <c r="O5" t="s">
        <v>49</v>
      </c>
      <c r="S5" s="1" t="s">
        <v>14</v>
      </c>
      <c r="T5" s="2">
        <v>4.76</v>
      </c>
    </row>
    <row r="6" spans="1:22" x14ac:dyDescent="0.3">
      <c r="A6" t="s">
        <v>2</v>
      </c>
      <c r="E6" s="1" t="s">
        <v>14</v>
      </c>
      <c r="F6" s="2">
        <v>0.06</v>
      </c>
      <c r="G6" s="24">
        <f>F6*1000*0.02</f>
        <v>1.2</v>
      </c>
      <c r="H6" t="s">
        <v>65</v>
      </c>
      <c r="L6" s="1" t="s">
        <v>15</v>
      </c>
      <c r="M6" s="2">
        <v>15.15</v>
      </c>
      <c r="N6" s="24">
        <f>M6*4.6/30.3</f>
        <v>2.2999999999999998</v>
      </c>
      <c r="O6" t="s">
        <v>50</v>
      </c>
      <c r="S6" s="1" t="s">
        <v>14</v>
      </c>
      <c r="T6" s="2">
        <v>0.32</v>
      </c>
    </row>
    <row r="7" spans="1:22" x14ac:dyDescent="0.3">
      <c r="A7" t="s">
        <v>3</v>
      </c>
      <c r="F7" s="2"/>
      <c r="G7" s="24"/>
      <c r="H7" t="s">
        <v>66</v>
      </c>
      <c r="L7" s="14" t="s">
        <v>14</v>
      </c>
      <c r="M7" s="2">
        <v>6.06</v>
      </c>
      <c r="N7" s="35">
        <f>M7*1000*0.0000049/30.3</f>
        <v>9.7999999999999997E-4</v>
      </c>
      <c r="O7" t="s">
        <v>51</v>
      </c>
      <c r="S7" s="14" t="s">
        <v>15</v>
      </c>
      <c r="T7" s="2">
        <v>1.2999999999999999E-2</v>
      </c>
    </row>
    <row r="8" spans="1:22" x14ac:dyDescent="0.3">
      <c r="A8" t="s">
        <v>4</v>
      </c>
      <c r="E8" s="1" t="s">
        <v>15</v>
      </c>
      <c r="F8" s="2">
        <v>0.03</v>
      </c>
      <c r="G8" s="24">
        <f>F8*360</f>
        <v>10.799999999999999</v>
      </c>
      <c r="L8" s="1"/>
      <c r="M8" s="2"/>
      <c r="N8" s="21"/>
      <c r="O8" t="s">
        <v>52</v>
      </c>
      <c r="S8" s="1" t="s">
        <v>15</v>
      </c>
      <c r="T8" s="2">
        <v>1.46</v>
      </c>
    </row>
    <row r="9" spans="1:22" x14ac:dyDescent="0.3">
      <c r="A9" t="s">
        <v>5</v>
      </c>
      <c r="E9" s="1" t="s">
        <v>16</v>
      </c>
      <c r="F9" s="2">
        <v>0.03</v>
      </c>
      <c r="G9" s="34">
        <f>F9*355.6</f>
        <v>10.668000000000001</v>
      </c>
      <c r="H9" s="4" t="s">
        <v>56</v>
      </c>
      <c r="I9" s="5"/>
      <c r="J9" s="5"/>
      <c r="K9" s="5"/>
      <c r="L9" s="5"/>
      <c r="M9" s="6"/>
      <c r="N9" s="23" t="s">
        <v>85</v>
      </c>
      <c r="O9" t="s">
        <v>53</v>
      </c>
      <c r="S9" s="1" t="s">
        <v>15</v>
      </c>
      <c r="T9" s="2">
        <v>41.56</v>
      </c>
      <c r="U9" s="32">
        <f>((T9*3.9))/(30.3*4.76)</f>
        <v>1.123803977036359</v>
      </c>
    </row>
    <row r="10" spans="1:22" x14ac:dyDescent="0.3">
      <c r="A10" t="s">
        <v>6</v>
      </c>
      <c r="E10" s="1" t="s">
        <v>16</v>
      </c>
      <c r="F10" s="2">
        <v>0.01</v>
      </c>
      <c r="G10" s="34">
        <f t="shared" ref="G10:G16" si="0">F10*355.6</f>
        <v>3.5560000000000005</v>
      </c>
      <c r="H10" t="s">
        <v>68</v>
      </c>
      <c r="L10" s="1" t="s">
        <v>67</v>
      </c>
      <c r="M10" s="2">
        <v>1.05</v>
      </c>
      <c r="N10" s="34">
        <f>(M10*3.6)/30.3</f>
        <v>0.12475247524752475</v>
      </c>
      <c r="O10" t="s">
        <v>54</v>
      </c>
      <c r="S10" s="1" t="s">
        <v>15</v>
      </c>
      <c r="T10" s="2">
        <v>1.66</v>
      </c>
      <c r="U10" s="32"/>
    </row>
    <row r="11" spans="1:22" x14ac:dyDescent="0.3">
      <c r="A11" t="s">
        <v>7</v>
      </c>
      <c r="E11" s="1" t="s">
        <v>16</v>
      </c>
      <c r="F11" s="2">
        <v>0.01</v>
      </c>
      <c r="G11" s="34">
        <f t="shared" si="0"/>
        <v>3.5560000000000005</v>
      </c>
      <c r="H11" t="s">
        <v>98</v>
      </c>
      <c r="L11" s="1" t="s">
        <v>67</v>
      </c>
      <c r="M11" s="2">
        <v>0.43</v>
      </c>
      <c r="N11" s="34">
        <f>M11*3.6/30.3</f>
        <v>5.1089108910891086E-2</v>
      </c>
      <c r="O11" t="s">
        <v>26</v>
      </c>
      <c r="S11" s="1" t="s">
        <v>15</v>
      </c>
      <c r="T11" s="2">
        <v>8.75</v>
      </c>
      <c r="U11" s="33">
        <f>(T11*56.3)/(30.3*4.76)</f>
        <v>3.4155989128324595</v>
      </c>
    </row>
    <row r="12" spans="1:22" x14ac:dyDescent="0.3">
      <c r="A12" t="s">
        <v>8</v>
      </c>
      <c r="E12" s="1" t="s">
        <v>15</v>
      </c>
      <c r="F12" s="2">
        <v>0.03</v>
      </c>
      <c r="G12" s="34">
        <f t="shared" si="0"/>
        <v>10.668000000000001</v>
      </c>
      <c r="H12" s="36" t="s">
        <v>70</v>
      </c>
      <c r="I12" s="36"/>
      <c r="J12" s="36"/>
      <c r="K12" s="36"/>
      <c r="L12" s="37" t="s">
        <v>14</v>
      </c>
      <c r="M12" s="38">
        <v>78.55</v>
      </c>
      <c r="N12" s="40">
        <f>M12*1122/30.3</f>
        <v>2908.6831683168311</v>
      </c>
      <c r="O12" t="s">
        <v>55</v>
      </c>
      <c r="S12" s="1" t="s">
        <v>15</v>
      </c>
      <c r="T12" s="2">
        <v>1.46</v>
      </c>
      <c r="U12" s="33">
        <f>(T12*15)/(30.3*4.76)</f>
        <v>0.15184291538397535</v>
      </c>
    </row>
    <row r="13" spans="1:22" x14ac:dyDescent="0.3">
      <c r="A13" t="s">
        <v>9</v>
      </c>
      <c r="E13" s="1" t="s">
        <v>16</v>
      </c>
      <c r="F13" s="2">
        <v>0.03</v>
      </c>
      <c r="G13" s="34">
        <f t="shared" si="0"/>
        <v>10.668000000000001</v>
      </c>
      <c r="O13" s="4" t="s">
        <v>56</v>
      </c>
      <c r="P13" s="5"/>
      <c r="Q13" s="5"/>
      <c r="R13" s="5"/>
      <c r="S13" s="5"/>
      <c r="T13" s="6"/>
      <c r="U13" s="21"/>
    </row>
    <row r="14" spans="1:22" x14ac:dyDescent="0.3">
      <c r="A14" t="s">
        <v>10</v>
      </c>
      <c r="E14" s="1" t="s">
        <v>16</v>
      </c>
      <c r="F14" s="2">
        <v>0.01</v>
      </c>
      <c r="G14" s="34">
        <f t="shared" si="0"/>
        <v>3.5560000000000005</v>
      </c>
      <c r="H14" s="4" t="s">
        <v>71</v>
      </c>
      <c r="I14" s="5"/>
      <c r="J14" s="5"/>
      <c r="K14" s="5"/>
      <c r="L14" s="7"/>
      <c r="M14" s="6"/>
      <c r="O14" s="36" t="s">
        <v>59</v>
      </c>
      <c r="P14" s="36"/>
      <c r="Q14" s="36"/>
      <c r="R14" s="36"/>
      <c r="S14" s="37" t="s">
        <v>15</v>
      </c>
      <c r="T14" s="38">
        <v>5.52</v>
      </c>
      <c r="U14" s="21">
        <f>T14*1122/(30.3*4.76)</f>
        <v>42.942008486562933</v>
      </c>
      <c r="V14" t="s">
        <v>86</v>
      </c>
    </row>
    <row r="15" spans="1:22" x14ac:dyDescent="0.3">
      <c r="A15" t="s">
        <v>11</v>
      </c>
      <c r="E15" s="1" t="s">
        <v>16</v>
      </c>
      <c r="F15" s="2">
        <v>0.01</v>
      </c>
      <c r="G15" s="34">
        <f t="shared" si="0"/>
        <v>3.5560000000000005</v>
      </c>
      <c r="H15" t="s">
        <v>73</v>
      </c>
      <c r="L15" s="1" t="s">
        <v>35</v>
      </c>
      <c r="M15" s="2">
        <v>6.06</v>
      </c>
      <c r="O15" s="4" t="s">
        <v>57</v>
      </c>
      <c r="P15" s="5"/>
      <c r="Q15" s="5"/>
      <c r="R15" s="5"/>
      <c r="S15" s="7"/>
      <c r="T15" s="6"/>
      <c r="U15" s="21"/>
    </row>
    <row r="16" spans="1:22" x14ac:dyDescent="0.3">
      <c r="A16" t="s">
        <v>12</v>
      </c>
      <c r="E16" s="1" t="s">
        <v>16</v>
      </c>
      <c r="F16" s="2">
        <v>0.02</v>
      </c>
      <c r="G16" s="34">
        <f t="shared" si="0"/>
        <v>7.112000000000001</v>
      </c>
      <c r="H16" t="s">
        <v>74</v>
      </c>
      <c r="L16" s="1" t="s">
        <v>15</v>
      </c>
      <c r="M16" s="2">
        <v>0.01</v>
      </c>
      <c r="O16" t="s">
        <v>60</v>
      </c>
      <c r="S16" s="1" t="s">
        <v>14</v>
      </c>
      <c r="T16" s="2">
        <v>0.96</v>
      </c>
      <c r="U16" s="21"/>
    </row>
    <row r="17" spans="1:23" x14ac:dyDescent="0.3">
      <c r="A17" s="4" t="s">
        <v>17</v>
      </c>
      <c r="B17" s="5"/>
      <c r="C17" s="5"/>
      <c r="D17" s="5"/>
      <c r="E17" s="5"/>
      <c r="F17" s="6"/>
      <c r="G17" s="23" t="s">
        <v>85</v>
      </c>
      <c r="H17" t="s">
        <v>75</v>
      </c>
      <c r="L17" s="1" t="s">
        <v>15</v>
      </c>
      <c r="M17" s="2">
        <v>0.01</v>
      </c>
      <c r="O17" s="4" t="s">
        <v>58</v>
      </c>
      <c r="P17" s="5"/>
      <c r="Q17" s="5"/>
      <c r="R17" s="5"/>
      <c r="S17" s="7"/>
      <c r="T17" s="6"/>
      <c r="U17" s="21"/>
    </row>
    <row r="18" spans="1:23" x14ac:dyDescent="0.3">
      <c r="A18" t="s">
        <v>18</v>
      </c>
      <c r="E18" s="1" t="s">
        <v>16</v>
      </c>
      <c r="F18" s="2">
        <v>0.06</v>
      </c>
      <c r="G18" s="34">
        <f>0.06*1.7*418</f>
        <v>42.635999999999996</v>
      </c>
      <c r="H18" t="s">
        <v>76</v>
      </c>
      <c r="L18" s="1" t="s">
        <v>72</v>
      </c>
      <c r="M18" s="2">
        <v>0.09</v>
      </c>
      <c r="O18" t="s">
        <v>61</v>
      </c>
      <c r="S18" s="1" t="s">
        <v>14</v>
      </c>
      <c r="T18" s="2">
        <v>695.48</v>
      </c>
      <c r="U18" s="21"/>
      <c r="V18" s="48"/>
      <c r="W18" s="48"/>
    </row>
    <row r="19" spans="1:23" x14ac:dyDescent="0.3">
      <c r="A19" t="s">
        <v>19</v>
      </c>
      <c r="E19" s="1" t="s">
        <v>16</v>
      </c>
      <c r="F19" s="2">
        <v>0.01</v>
      </c>
      <c r="G19" s="34">
        <f>F19*358</f>
        <v>3.58</v>
      </c>
      <c r="O19" s="4" t="s">
        <v>42</v>
      </c>
      <c r="P19" s="5"/>
      <c r="Q19" s="5"/>
      <c r="R19" s="5"/>
      <c r="S19" s="7"/>
      <c r="T19" s="6"/>
      <c r="U19" s="21"/>
    </row>
    <row r="20" spans="1:23" x14ac:dyDescent="0.3">
      <c r="A20" t="s">
        <v>20</v>
      </c>
      <c r="E20" s="1" t="s">
        <v>16</v>
      </c>
      <c r="F20" s="2">
        <v>0.01</v>
      </c>
      <c r="G20" s="34">
        <f t="shared" ref="G20:G23" si="1">F20*358</f>
        <v>3.58</v>
      </c>
      <c r="H20" s="4"/>
      <c r="I20" s="5"/>
      <c r="J20" s="5"/>
      <c r="K20" s="5"/>
      <c r="L20" s="7"/>
      <c r="M20" s="6"/>
      <c r="O20" t="s">
        <v>62</v>
      </c>
      <c r="S20" s="1" t="s">
        <v>14</v>
      </c>
      <c r="T20" s="2">
        <v>1</v>
      </c>
      <c r="U20" s="33">
        <f>1000*26.81</f>
        <v>26810</v>
      </c>
      <c r="V20" s="48"/>
    </row>
    <row r="21" spans="1:23" ht="15.6" x14ac:dyDescent="0.3">
      <c r="A21" t="s">
        <v>21</v>
      </c>
      <c r="E21" s="1" t="s">
        <v>16</v>
      </c>
      <c r="F21" s="2">
        <v>0.01</v>
      </c>
      <c r="G21" s="34">
        <f t="shared" si="1"/>
        <v>3.58</v>
      </c>
      <c r="H21" t="s">
        <v>77</v>
      </c>
      <c r="L21" s="1" t="s">
        <v>14</v>
      </c>
      <c r="M21" s="2">
        <v>4.3600000000000003</v>
      </c>
      <c r="T21" s="22" t="s">
        <v>87</v>
      </c>
      <c r="U21" s="25">
        <f>SUM(U9,U11,U12)</f>
        <v>4.6912458052527937</v>
      </c>
    </row>
    <row r="22" spans="1:23" x14ac:dyDescent="0.3">
      <c r="A22" t="s">
        <v>22</v>
      </c>
      <c r="E22" s="1" t="s">
        <v>16</v>
      </c>
      <c r="F22" s="2">
        <v>0.01</v>
      </c>
      <c r="G22" s="34">
        <f t="shared" si="1"/>
        <v>3.58</v>
      </c>
      <c r="L22" s="1"/>
      <c r="M22" s="2"/>
    </row>
    <row r="23" spans="1:23" x14ac:dyDescent="0.3">
      <c r="A23" t="s">
        <v>23</v>
      </c>
      <c r="E23" s="1" t="s">
        <v>15</v>
      </c>
      <c r="F23" s="2">
        <v>0.01</v>
      </c>
      <c r="G23" s="34">
        <f t="shared" si="1"/>
        <v>3.58</v>
      </c>
      <c r="H23" s="4" t="s">
        <v>78</v>
      </c>
      <c r="I23" s="5"/>
      <c r="J23" s="5"/>
      <c r="K23" s="5"/>
      <c r="L23" s="7"/>
      <c r="M23" s="6"/>
    </row>
    <row r="24" spans="1:23" ht="15.6" x14ac:dyDescent="0.3">
      <c r="A24" s="4" t="s">
        <v>24</v>
      </c>
      <c r="B24" s="5"/>
      <c r="C24" s="5"/>
      <c r="D24" s="5"/>
      <c r="E24" s="7"/>
      <c r="F24" s="6"/>
      <c r="G24" s="23" t="s">
        <v>85</v>
      </c>
      <c r="H24" t="s">
        <v>79</v>
      </c>
      <c r="L24" s="1" t="s">
        <v>14</v>
      </c>
      <c r="M24" s="2">
        <v>0.83</v>
      </c>
      <c r="O24" s="22"/>
      <c r="P24" s="22" t="s">
        <v>83</v>
      </c>
      <c r="R24" s="30" t="s">
        <v>88</v>
      </c>
    </row>
    <row r="25" spans="1:23" ht="15.6" x14ac:dyDescent="0.3">
      <c r="A25" t="s">
        <v>25</v>
      </c>
      <c r="E25" s="1" t="s">
        <v>15</v>
      </c>
      <c r="F25" s="2">
        <v>1.76</v>
      </c>
      <c r="G25" s="34">
        <f>F25*56.3</f>
        <v>99.087999999999994</v>
      </c>
      <c r="L25" s="1"/>
      <c r="M25" s="2"/>
      <c r="O25" s="22" t="s">
        <v>84</v>
      </c>
      <c r="P25" s="25">
        <v>4.5</v>
      </c>
      <c r="R25" s="31">
        <f>(U20-(U21+N31+G43))/U20</f>
        <v>0.96099559614362506</v>
      </c>
    </row>
    <row r="26" spans="1:23" x14ac:dyDescent="0.3">
      <c r="A26" t="s">
        <v>26</v>
      </c>
      <c r="E26" s="1" t="s">
        <v>15</v>
      </c>
      <c r="F26" s="2">
        <v>0.89</v>
      </c>
      <c r="G26" s="34">
        <f>F26*56.3</f>
        <v>50.106999999999999</v>
      </c>
      <c r="H26" s="4" t="s">
        <v>42</v>
      </c>
      <c r="I26" s="5"/>
      <c r="J26" s="5"/>
      <c r="K26" s="5"/>
      <c r="L26" s="7"/>
      <c r="M26" s="6"/>
      <c r="N26" s="23" t="s">
        <v>85</v>
      </c>
    </row>
    <row r="27" spans="1:23" x14ac:dyDescent="0.3">
      <c r="A27" t="s">
        <v>27</v>
      </c>
      <c r="E27" s="1" t="s">
        <v>15</v>
      </c>
      <c r="F27" s="2">
        <v>2.56</v>
      </c>
      <c r="G27" s="34">
        <f>F27*44.9</f>
        <v>114.944</v>
      </c>
      <c r="H27" t="s">
        <v>80</v>
      </c>
      <c r="L27" s="1" t="s">
        <v>14</v>
      </c>
      <c r="M27" s="2">
        <v>1</v>
      </c>
      <c r="N27" s="26"/>
      <c r="T27" s="39"/>
    </row>
    <row r="28" spans="1:23" x14ac:dyDescent="0.3">
      <c r="A28" t="s">
        <v>28</v>
      </c>
      <c r="E28" s="1" t="s">
        <v>15</v>
      </c>
      <c r="F28" s="2">
        <v>1.67</v>
      </c>
      <c r="G28" s="34">
        <f>F28*7.5</f>
        <v>12.524999999999999</v>
      </c>
      <c r="H28" t="s">
        <v>81</v>
      </c>
      <c r="L28" s="1" t="s">
        <v>14</v>
      </c>
      <c r="M28" s="2">
        <v>3.52</v>
      </c>
      <c r="N28" s="27">
        <f>(3.52*1000)*16.7/30.3</f>
        <v>1940.0660066006601</v>
      </c>
    </row>
    <row r="29" spans="1:23" x14ac:dyDescent="0.3">
      <c r="A29" s="4" t="s">
        <v>29</v>
      </c>
      <c r="B29" s="5"/>
      <c r="C29" s="5"/>
      <c r="D29" s="5"/>
      <c r="E29" s="7"/>
      <c r="F29" s="6"/>
      <c r="H29" s="15" t="s">
        <v>82</v>
      </c>
      <c r="I29" s="15"/>
      <c r="J29" s="15"/>
      <c r="K29" s="15"/>
      <c r="L29" s="16" t="s">
        <v>14</v>
      </c>
      <c r="M29" s="17">
        <v>9.09</v>
      </c>
      <c r="N29" s="24">
        <f>(1000*M29*7.5)/30.3</f>
        <v>2250</v>
      </c>
    </row>
    <row r="30" spans="1:23" ht="15" thickBot="1" x14ac:dyDescent="0.35">
      <c r="A30" t="s">
        <v>30</v>
      </c>
      <c r="E30" s="1" t="s">
        <v>35</v>
      </c>
      <c r="F30" s="2">
        <v>0.44</v>
      </c>
      <c r="H30" s="11"/>
      <c r="I30" s="11"/>
      <c r="J30" s="11"/>
      <c r="K30" s="11"/>
      <c r="L30" s="11"/>
      <c r="M30" s="11"/>
    </row>
    <row r="31" spans="1:23" ht="16.2" thickTop="1" x14ac:dyDescent="0.3">
      <c r="A31" t="s">
        <v>31</v>
      </c>
      <c r="E31" s="1" t="s">
        <v>14</v>
      </c>
      <c r="F31" s="2">
        <v>4.4400000000000004</v>
      </c>
      <c r="M31" s="28" t="s">
        <v>87</v>
      </c>
      <c r="N31" s="29">
        <f>SUM(N10:N11,N6:N7)</f>
        <v>2.476821584158416</v>
      </c>
    </row>
    <row r="32" spans="1:23" x14ac:dyDescent="0.3">
      <c r="A32" s="4" t="s">
        <v>32</v>
      </c>
      <c r="B32" s="5"/>
      <c r="C32" s="5"/>
      <c r="D32" s="5"/>
      <c r="E32" s="7"/>
      <c r="F32" s="6"/>
    </row>
    <row r="33" spans="1:7" x14ac:dyDescent="0.3">
      <c r="A33" t="s">
        <v>33</v>
      </c>
      <c r="E33" s="1" t="s">
        <v>35</v>
      </c>
      <c r="F33" s="2">
        <v>2E-3</v>
      </c>
    </row>
    <row r="34" spans="1:7" x14ac:dyDescent="0.3">
      <c r="A34" s="4" t="s">
        <v>34</v>
      </c>
      <c r="B34" s="5"/>
      <c r="C34" s="5"/>
      <c r="D34" s="5"/>
      <c r="E34" s="7"/>
      <c r="F34" s="6"/>
      <c r="G34" s="23" t="s">
        <v>85</v>
      </c>
    </row>
    <row r="35" spans="1:7" x14ac:dyDescent="0.3">
      <c r="A35" t="s">
        <v>36</v>
      </c>
      <c r="E35" s="1" t="s">
        <v>15</v>
      </c>
      <c r="F35" s="2">
        <v>15</v>
      </c>
      <c r="G35" s="24">
        <f>(F35*42.4)</f>
        <v>636</v>
      </c>
    </row>
    <row r="36" spans="1:7" x14ac:dyDescent="0.3">
      <c r="A36" s="4" t="s">
        <v>37</v>
      </c>
      <c r="B36" s="5"/>
      <c r="C36" s="5"/>
      <c r="D36" s="5"/>
      <c r="E36" s="7"/>
      <c r="F36" s="6"/>
    </row>
    <row r="37" spans="1:7" x14ac:dyDescent="0.3">
      <c r="A37" t="s">
        <v>38</v>
      </c>
      <c r="E37" s="1" t="s">
        <v>14</v>
      </c>
      <c r="F37" s="2">
        <v>0.02</v>
      </c>
    </row>
    <row r="38" spans="1:7" x14ac:dyDescent="0.3">
      <c r="A38" s="4" t="s">
        <v>39</v>
      </c>
      <c r="B38" s="5"/>
      <c r="C38" s="5"/>
      <c r="D38" s="5"/>
      <c r="E38" s="7"/>
      <c r="F38" s="6"/>
    </row>
    <row r="39" spans="1:7" x14ac:dyDescent="0.3">
      <c r="A39" t="s">
        <v>40</v>
      </c>
      <c r="E39" s="1" t="s">
        <v>14</v>
      </c>
      <c r="F39" s="2">
        <v>0.19</v>
      </c>
    </row>
    <row r="40" spans="1:7" x14ac:dyDescent="0.3">
      <c r="A40" t="s">
        <v>41</v>
      </c>
      <c r="E40" s="1" t="s">
        <v>14</v>
      </c>
      <c r="F40" s="2">
        <v>0.05</v>
      </c>
    </row>
    <row r="41" spans="1:7" x14ac:dyDescent="0.3">
      <c r="A41" s="4" t="s">
        <v>42</v>
      </c>
      <c r="B41" s="5"/>
      <c r="C41" s="5"/>
      <c r="D41" s="5"/>
      <c r="E41" s="7"/>
      <c r="F41" s="6"/>
    </row>
    <row r="42" spans="1:7" ht="15.6" x14ac:dyDescent="0.3">
      <c r="A42" t="s">
        <v>43</v>
      </c>
      <c r="E42" s="1" t="s">
        <v>14</v>
      </c>
      <c r="F42" s="2">
        <v>1</v>
      </c>
      <c r="G42" s="22" t="s">
        <v>87</v>
      </c>
    </row>
    <row r="43" spans="1:7" ht="15.6" x14ac:dyDescent="0.3">
      <c r="G43" s="25">
        <f>SUM(G35,G25:G28,G18:G23,G8:G16,G6)</f>
        <v>1038.5400000000002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BCDF-63C7-4ACE-9621-6E8D53F5EA16}">
  <dimension ref="A1:E20"/>
  <sheetViews>
    <sheetView workbookViewId="0">
      <selection activeCell="D20" sqref="D20"/>
    </sheetView>
  </sheetViews>
  <sheetFormatPr defaultRowHeight="14.4" x14ac:dyDescent="0.3"/>
  <cols>
    <col min="1" max="1" width="8.33203125" customWidth="1"/>
    <col min="2" max="2" width="22" bestFit="1" customWidth="1"/>
    <col min="3" max="3" width="20.44140625" bestFit="1" customWidth="1"/>
    <col min="4" max="5" width="13.88671875" bestFit="1" customWidth="1"/>
  </cols>
  <sheetData>
    <row r="1" spans="1:5" x14ac:dyDescent="0.3">
      <c r="A1" s="42"/>
      <c r="B1" s="42" t="s">
        <v>89</v>
      </c>
      <c r="C1" s="42" t="s">
        <v>92</v>
      </c>
      <c r="D1" s="43" t="s">
        <v>96</v>
      </c>
      <c r="E1" s="43" t="s">
        <v>97</v>
      </c>
    </row>
    <row r="2" spans="1:5" x14ac:dyDescent="0.3">
      <c r="A2" s="44">
        <v>43466</v>
      </c>
      <c r="B2" s="45">
        <v>2.7029555061360675</v>
      </c>
      <c r="C2" s="45">
        <f>B2*$B$17</f>
        <v>0.71404526278721758</v>
      </c>
      <c r="D2" s="45">
        <v>2.5755334960713783</v>
      </c>
      <c r="E2" s="45">
        <f>D2*$B$17</f>
        <v>0.68038393079156756</v>
      </c>
    </row>
    <row r="3" spans="1:5" x14ac:dyDescent="0.3">
      <c r="A3" s="44">
        <v>43497</v>
      </c>
      <c r="B3" s="45">
        <v>2.8313310011711734</v>
      </c>
      <c r="C3" s="45">
        <f t="shared" ref="C3:C13" si="0">B3*$B$17</f>
        <v>0.74795847885003752</v>
      </c>
      <c r="D3" s="45">
        <v>2.7374332471088394</v>
      </c>
      <c r="E3" s="45">
        <f t="shared" ref="E3:E13" si="1">D3*$B$17</f>
        <v>0.72315331786149639</v>
      </c>
    </row>
    <row r="4" spans="1:5" x14ac:dyDescent="0.3">
      <c r="A4" s="44">
        <v>43525</v>
      </c>
      <c r="B4" s="45">
        <v>3.0724880818997544</v>
      </c>
      <c r="C4" s="45">
        <f t="shared" si="0"/>
        <v>0.81166543617542741</v>
      </c>
      <c r="D4" s="45">
        <v>2.8446353814699998</v>
      </c>
      <c r="E4" s="45">
        <f t="shared" si="1"/>
        <v>0.75147312409859246</v>
      </c>
    </row>
    <row r="5" spans="1:5" x14ac:dyDescent="0.3">
      <c r="A5" s="44">
        <v>43556</v>
      </c>
      <c r="B5" s="45">
        <v>3.3680770062231447</v>
      </c>
      <c r="C5" s="45">
        <f t="shared" si="0"/>
        <v>0.88975176451725291</v>
      </c>
      <c r="D5" s="45">
        <v>2.8645254430019107</v>
      </c>
      <c r="E5" s="45">
        <f t="shared" si="1"/>
        <v>0.75672752217549977</v>
      </c>
    </row>
    <row r="6" spans="1:5" x14ac:dyDescent="0.3">
      <c r="A6" s="44">
        <v>43586</v>
      </c>
      <c r="B6" s="45">
        <v>3.3597105706817225</v>
      </c>
      <c r="C6" s="45">
        <f t="shared" si="0"/>
        <v>0.8875415861953363</v>
      </c>
      <c r="D6" s="45">
        <v>2.8723749252893276</v>
      </c>
      <c r="E6" s="45">
        <f t="shared" si="1"/>
        <v>0.75880113590311693</v>
      </c>
    </row>
    <row r="7" spans="1:5" x14ac:dyDescent="0.3">
      <c r="A7" s="44">
        <v>43617</v>
      </c>
      <c r="B7" s="45">
        <v>3.1514035170981893</v>
      </c>
      <c r="C7" s="45">
        <f t="shared" si="0"/>
        <v>0.8325126874662141</v>
      </c>
      <c r="D7" s="45">
        <v>2.6838741388012335</v>
      </c>
      <c r="E7" s="45">
        <f t="shared" si="1"/>
        <v>0.70900449910390484</v>
      </c>
    </row>
    <row r="8" spans="1:5" x14ac:dyDescent="0.3">
      <c r="A8" s="44">
        <v>43647</v>
      </c>
      <c r="B8" s="45">
        <v>3.2599690262467043</v>
      </c>
      <c r="C8" s="45">
        <f t="shared" si="0"/>
        <v>0.86119265919848897</v>
      </c>
      <c r="D8" s="45">
        <v>2.731948904463791</v>
      </c>
      <c r="E8" s="45">
        <f t="shared" si="1"/>
        <v>0.72170450789170271</v>
      </c>
    </row>
    <row r="9" spans="1:5" x14ac:dyDescent="0.3">
      <c r="A9" s="44">
        <v>43678</v>
      </c>
      <c r="B9" s="45">
        <v>3.1252027048996531</v>
      </c>
      <c r="C9" s="45">
        <f t="shared" si="0"/>
        <v>0.82559116552881207</v>
      </c>
      <c r="D9" s="45">
        <v>2.6348689694702312</v>
      </c>
      <c r="E9" s="45">
        <f t="shared" si="1"/>
        <v>0.69605870368350242</v>
      </c>
    </row>
    <row r="10" spans="1:5" x14ac:dyDescent="0.3">
      <c r="A10" s="44">
        <v>43709</v>
      </c>
      <c r="B10" s="45">
        <v>3.0728508593644337</v>
      </c>
      <c r="C10" s="45">
        <f t="shared" si="0"/>
        <v>0.81176127183735824</v>
      </c>
      <c r="D10" s="45">
        <v>2.7062177949204407</v>
      </c>
      <c r="E10" s="45">
        <f t="shared" si="1"/>
        <v>0.71490706826164641</v>
      </c>
    </row>
    <row r="11" spans="1:5" x14ac:dyDescent="0.3">
      <c r="A11" s="44">
        <v>43739</v>
      </c>
      <c r="B11" s="45">
        <v>3.0402555445967816</v>
      </c>
      <c r="C11" s="45">
        <f t="shared" si="0"/>
        <v>0.80315050112875275</v>
      </c>
      <c r="D11" s="45">
        <v>2.7305318949437964</v>
      </c>
      <c r="E11" s="45">
        <f t="shared" si="1"/>
        <v>0.72133017359993223</v>
      </c>
    </row>
    <row r="12" spans="1:5" x14ac:dyDescent="0.3">
      <c r="A12" s="44">
        <v>43770</v>
      </c>
      <c r="B12" s="45">
        <v>3.0591289518990257</v>
      </c>
      <c r="C12" s="45">
        <f t="shared" si="0"/>
        <v>0.80813632758657927</v>
      </c>
      <c r="D12" s="45">
        <v>2.7168093082633478</v>
      </c>
      <c r="E12" s="45">
        <f t="shared" si="1"/>
        <v>0.71770504991953232</v>
      </c>
    </row>
    <row r="13" spans="1:5" x14ac:dyDescent="0.3">
      <c r="A13" s="44">
        <v>43800</v>
      </c>
      <c r="B13" s="45">
        <v>3.0602211346720209</v>
      </c>
      <c r="C13" s="45">
        <f t="shared" si="0"/>
        <v>0.80842485173482548</v>
      </c>
      <c r="D13" s="45">
        <v>2.7419279802636263</v>
      </c>
      <c r="E13" s="45">
        <f t="shared" si="1"/>
        <v>0.72434070067611633</v>
      </c>
    </row>
    <row r="14" spans="1:5" x14ac:dyDescent="0.3">
      <c r="A14" s="46" t="s">
        <v>93</v>
      </c>
      <c r="B14" s="47">
        <f>AVERAGE(B2:B13)</f>
        <v>3.0919661587407226</v>
      </c>
      <c r="C14" s="47">
        <f>AVERAGE(C2:C13)</f>
        <v>0.81681099941719193</v>
      </c>
      <c r="D14" s="47">
        <f>AVERAGE(D2:D13)</f>
        <v>2.73672345700566</v>
      </c>
      <c r="E14" s="47">
        <f>AVERAGE(E2:E13)</f>
        <v>0.72296581116388425</v>
      </c>
    </row>
    <row r="17" spans="1:3" ht="15.6" x14ac:dyDescent="0.3">
      <c r="A17" s="41" t="s">
        <v>90</v>
      </c>
      <c r="B17" s="41">
        <v>0.2641720373</v>
      </c>
      <c r="C17" s="41" t="s">
        <v>91</v>
      </c>
    </row>
    <row r="20" spans="1:3" x14ac:dyDescent="0.3">
      <c r="A20" t="s">
        <v>94</v>
      </c>
      <c r="B20" t="s">
        <v>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Planilha1</vt:lpstr>
      <vt:lpstr>Planilha2</vt:lpstr>
      <vt:lpstr>Planilha3</vt:lpstr>
      <vt:lpstr>Planilha4</vt:lpstr>
      <vt:lpstr>Planilha5</vt:lpstr>
      <vt:lpstr>Planilha6</vt:lpstr>
      <vt:lpstr>indicators</vt:lpstr>
      <vt:lpstr>economic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LOPCA</dc:creator>
  <cp:lastModifiedBy>Nicholas Canabarro</cp:lastModifiedBy>
  <dcterms:created xsi:type="dcterms:W3CDTF">2021-05-26T21:41:42Z</dcterms:created>
  <dcterms:modified xsi:type="dcterms:W3CDTF">2022-05-25T10:35:32Z</dcterms:modified>
</cp:coreProperties>
</file>