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4da24a3820722/Área de Trabalho/Pós-doc_IEA/Artigos/Outline_Paper_I/"/>
    </mc:Choice>
  </mc:AlternateContent>
  <xr:revisionPtr revIDLastSave="543" documentId="8_{412B7CA4-7223-4C70-A2FB-5CCAA897B71C}" xr6:coauthVersionLast="47" xr6:coauthVersionMax="47" xr10:uidLastSave="{1E2D334A-FA5E-43F1-8332-489BEFDA2589}"/>
  <bookViews>
    <workbookView xWindow="-108" yWindow="-108" windowWidth="23256" windowHeight="12456" xr2:uid="{E0B3C994-3816-4DBE-8617-C4C5E2DA5778}"/>
  </bookViews>
  <sheets>
    <sheet name="RecipeMidpoint(H)" sheetId="1" r:id="rId1"/>
    <sheet name="Impacts_systems" sheetId="8" r:id="rId2"/>
    <sheet name="IPCC 2007" sheetId="2" r:id="rId3"/>
    <sheet name="CML" sheetId="3" r:id="rId4"/>
    <sheet name="Comparison" sheetId="4" r:id="rId5"/>
    <sheet name="Monte Carlo Simulation" sheetId="5" r:id="rId6"/>
    <sheet name="Plots_sensitivity_analysis" sheetId="6" r:id="rId7"/>
    <sheet name="Normalized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" i="6" l="1"/>
  <c r="B38" i="6"/>
  <c r="B37" i="6"/>
  <c r="D37" i="6"/>
  <c r="D36" i="6"/>
  <c r="B36" i="6"/>
  <c r="D35" i="6"/>
  <c r="B35" i="6"/>
  <c r="F72" i="1"/>
  <c r="F71" i="1"/>
  <c r="F70" i="1"/>
  <c r="F69" i="1"/>
  <c r="G73" i="1"/>
  <c r="G72" i="1"/>
  <c r="G71" i="1"/>
  <c r="G70" i="1"/>
  <c r="G69" i="1"/>
  <c r="D80" i="1"/>
  <c r="B80" i="1"/>
  <c r="B74" i="1"/>
  <c r="F78" i="1"/>
  <c r="F79" i="1"/>
  <c r="F77" i="1"/>
  <c r="F73" i="1"/>
  <c r="F138" i="1"/>
  <c r="F137" i="1"/>
  <c r="F136" i="1"/>
  <c r="F135" i="1"/>
  <c r="F134" i="1"/>
  <c r="D125" i="1"/>
  <c r="E125" i="1" s="1"/>
  <c r="D126" i="1"/>
  <c r="E126" i="1" s="1"/>
  <c r="E95" i="1"/>
  <c r="E96" i="1"/>
  <c r="E94" i="1"/>
  <c r="F118" i="1"/>
  <c r="F119" i="1"/>
  <c r="F120" i="1"/>
  <c r="F121" i="1"/>
  <c r="F117" i="1"/>
  <c r="E117" i="1"/>
  <c r="E90" i="1"/>
  <c r="E89" i="1"/>
  <c r="E88" i="1"/>
  <c r="E78" i="1"/>
  <c r="E77" i="1"/>
  <c r="E79" i="1"/>
  <c r="E70" i="1"/>
  <c r="E73" i="1"/>
  <c r="E69" i="1"/>
  <c r="E121" i="1"/>
  <c r="D121" i="1"/>
  <c r="E120" i="1"/>
  <c r="D120" i="1"/>
  <c r="E119" i="1"/>
  <c r="E118" i="1"/>
  <c r="D119" i="1"/>
  <c r="D118" i="1"/>
  <c r="D117" i="1"/>
  <c r="B127" i="1"/>
  <c r="B125" i="1"/>
  <c r="B126" i="1"/>
  <c r="D79" i="1"/>
  <c r="D73" i="1"/>
  <c r="B121" i="1"/>
  <c r="B120" i="1"/>
  <c r="B118" i="1"/>
  <c r="B117" i="1"/>
  <c r="B119" i="1"/>
  <c r="D96" i="1"/>
  <c r="B96" i="1"/>
  <c r="B95" i="1"/>
  <c r="B94" i="1"/>
  <c r="D94" i="1"/>
  <c r="B90" i="1"/>
  <c r="B89" i="1"/>
  <c r="D89" i="1" s="1"/>
  <c r="B88" i="1"/>
  <c r="B87" i="1"/>
  <c r="D87" i="1" s="1"/>
  <c r="E87" i="1" s="1"/>
  <c r="D86" i="1"/>
  <c r="B86" i="1"/>
  <c r="E86" i="1" s="1"/>
  <c r="D95" i="1"/>
  <c r="D88" i="1"/>
  <c r="D78" i="1"/>
  <c r="D77" i="1"/>
  <c r="D72" i="1"/>
  <c r="D74" i="1" s="1"/>
  <c r="D71" i="1"/>
  <c r="E71" i="1" s="1"/>
  <c r="D70" i="1"/>
  <c r="D69" i="1"/>
  <c r="E135" i="8"/>
  <c r="E137" i="8"/>
  <c r="E139" i="8"/>
  <c r="E140" i="8"/>
  <c r="E142" i="8"/>
  <c r="E144" i="8"/>
  <c r="E147" i="8"/>
  <c r="E148" i="8"/>
  <c r="E149" i="8"/>
  <c r="E150" i="8"/>
  <c r="E151" i="8"/>
  <c r="E152" i="8"/>
  <c r="E136" i="8"/>
  <c r="D136" i="8"/>
  <c r="D142" i="8"/>
  <c r="D150" i="8"/>
  <c r="D152" i="8"/>
  <c r="D135" i="8"/>
  <c r="C152" i="8"/>
  <c r="C151" i="8"/>
  <c r="D151" i="8" s="1"/>
  <c r="C150" i="8"/>
  <c r="C149" i="8"/>
  <c r="D149" i="8" s="1"/>
  <c r="C148" i="8"/>
  <c r="D148" i="8" s="1"/>
  <c r="C147" i="8"/>
  <c r="D147" i="8" s="1"/>
  <c r="D146" i="8"/>
  <c r="D145" i="8"/>
  <c r="C144" i="8"/>
  <c r="D144" i="8" s="1"/>
  <c r="D143" i="8"/>
  <c r="E143" i="8" s="1"/>
  <c r="C142" i="8"/>
  <c r="D141" i="8"/>
  <c r="C140" i="8"/>
  <c r="D140" i="8" s="1"/>
  <c r="C139" i="8"/>
  <c r="D139" i="8" s="1"/>
  <c r="D138" i="8"/>
  <c r="D137" i="8"/>
  <c r="F118" i="8"/>
  <c r="F115" i="8"/>
  <c r="F116" i="8"/>
  <c r="F117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14" i="8"/>
  <c r="F113" i="8"/>
  <c r="D98" i="8"/>
  <c r="D93" i="8"/>
  <c r="E93" i="8"/>
  <c r="E94" i="8"/>
  <c r="E95" i="8"/>
  <c r="E98" i="8"/>
  <c r="D94" i="8"/>
  <c r="D95" i="8"/>
  <c r="D96" i="8"/>
  <c r="E96" i="8" s="1"/>
  <c r="D97" i="8"/>
  <c r="E97" i="8" s="1"/>
  <c r="D99" i="8"/>
  <c r="E99" i="8" s="1"/>
  <c r="D100" i="8"/>
  <c r="E100" i="8" s="1"/>
  <c r="D101" i="8"/>
  <c r="E101" i="8" s="1"/>
  <c r="D102" i="8"/>
  <c r="E102" i="8" s="1"/>
  <c r="D103" i="8"/>
  <c r="E103" i="8" s="1"/>
  <c r="D104" i="8"/>
  <c r="E104" i="8" s="1"/>
  <c r="D105" i="8"/>
  <c r="E105" i="8" s="1"/>
  <c r="D106" i="8"/>
  <c r="E106" i="8" s="1"/>
  <c r="D107" i="8"/>
  <c r="E107" i="8" s="1"/>
  <c r="D92" i="8"/>
  <c r="E92" i="8" s="1"/>
  <c r="D91" i="8"/>
  <c r="E91" i="8" s="1"/>
  <c r="E68" i="8"/>
  <c r="E71" i="8"/>
  <c r="D74" i="8"/>
  <c r="E74" i="8" s="1"/>
  <c r="D75" i="8"/>
  <c r="E75" i="8" s="1"/>
  <c r="D76" i="8"/>
  <c r="E76" i="8" s="1"/>
  <c r="D77" i="8"/>
  <c r="E77" i="8" s="1"/>
  <c r="E78" i="8"/>
  <c r="D79" i="8"/>
  <c r="E79" i="8" s="1"/>
  <c r="D80" i="8"/>
  <c r="E80" i="8" s="1"/>
  <c r="D81" i="8"/>
  <c r="E81" i="8" s="1"/>
  <c r="D82" i="8"/>
  <c r="E82" i="8" s="1"/>
  <c r="D83" i="8"/>
  <c r="E83" i="8" s="1"/>
  <c r="D73" i="8"/>
  <c r="D72" i="8"/>
  <c r="E72" i="8" s="1"/>
  <c r="E73" i="8"/>
  <c r="D70" i="8"/>
  <c r="E70" i="8" s="1"/>
  <c r="E85" i="8"/>
  <c r="E84" i="8"/>
  <c r="D69" i="8"/>
  <c r="E69" i="8" s="1"/>
  <c r="C49" i="8"/>
  <c r="C50" i="8"/>
  <c r="D50" i="8" s="1"/>
  <c r="C51" i="8"/>
  <c r="D51" i="8" s="1"/>
  <c r="C52" i="8"/>
  <c r="C53" i="8"/>
  <c r="C54" i="8"/>
  <c r="D54" i="8" s="1"/>
  <c r="C55" i="8"/>
  <c r="D55" i="8" s="1"/>
  <c r="C56" i="8"/>
  <c r="C57" i="8"/>
  <c r="D57" i="8" s="1"/>
  <c r="C58" i="8"/>
  <c r="D58" i="8" s="1"/>
  <c r="C59" i="8"/>
  <c r="D59" i="8" s="1"/>
  <c r="C60" i="8"/>
  <c r="D60" i="8" s="1"/>
  <c r="C61" i="8"/>
  <c r="D61" i="8" s="1"/>
  <c r="C62" i="8"/>
  <c r="C63" i="8"/>
  <c r="D63" i="8" s="1"/>
  <c r="C48" i="8"/>
  <c r="D47" i="8"/>
  <c r="D48" i="8"/>
  <c r="D49" i="8"/>
  <c r="D52" i="8"/>
  <c r="D53" i="8"/>
  <c r="D56" i="8"/>
  <c r="D62" i="8"/>
  <c r="D46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28" i="8"/>
  <c r="F27" i="8"/>
  <c r="F26" i="8"/>
  <c r="F25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3" i="8"/>
  <c r="D45" i="7"/>
  <c r="B45" i="7"/>
  <c r="C45" i="7"/>
  <c r="B44" i="7"/>
  <c r="D44" i="7"/>
  <c r="C44" i="7"/>
  <c r="B43" i="7"/>
  <c r="C43" i="7"/>
  <c r="D43" i="7"/>
  <c r="B42" i="7"/>
  <c r="C42" i="7"/>
  <c r="D42" i="7"/>
  <c r="D41" i="7"/>
  <c r="C41" i="7"/>
  <c r="B41" i="7"/>
  <c r="B40" i="7"/>
  <c r="C40" i="7"/>
  <c r="D40" i="7"/>
  <c r="B39" i="7"/>
  <c r="D39" i="7"/>
  <c r="C39" i="7"/>
  <c r="B38" i="7"/>
  <c r="D38" i="7"/>
  <c r="C38" i="7"/>
  <c r="B37" i="7"/>
  <c r="D37" i="7"/>
  <c r="C37" i="7"/>
  <c r="B36" i="7"/>
  <c r="C36" i="7"/>
  <c r="D36" i="7"/>
  <c r="B35" i="7"/>
  <c r="C35" i="7"/>
  <c r="D35" i="7"/>
  <c r="B34" i="7"/>
  <c r="D34" i="7"/>
  <c r="C34" i="7"/>
  <c r="B33" i="7"/>
  <c r="D33" i="7"/>
  <c r="C33" i="7"/>
  <c r="B32" i="7"/>
  <c r="C32" i="7"/>
  <c r="D32" i="7"/>
  <c r="B31" i="7"/>
  <c r="D31" i="7"/>
  <c r="C31" i="7"/>
  <c r="D30" i="7"/>
  <c r="B30" i="7"/>
  <c r="C30" i="7"/>
  <c r="D29" i="7"/>
  <c r="B29" i="7"/>
  <c r="C29" i="7"/>
  <c r="D28" i="7"/>
  <c r="B28" i="7"/>
  <c r="C28" i="7"/>
  <c r="E21" i="7"/>
  <c r="D21" i="7"/>
  <c r="C21" i="7"/>
  <c r="B21" i="7"/>
  <c r="E20" i="7"/>
  <c r="D20" i="7"/>
  <c r="C20" i="7"/>
  <c r="B20" i="7"/>
  <c r="E19" i="7"/>
  <c r="D19" i="7"/>
  <c r="C19" i="7"/>
  <c r="B19" i="7"/>
  <c r="F18" i="7"/>
  <c r="E18" i="7"/>
  <c r="D18" i="7"/>
  <c r="C18" i="7"/>
  <c r="B18" i="7"/>
  <c r="F17" i="7"/>
  <c r="D17" i="7"/>
  <c r="C17" i="7"/>
  <c r="B17" i="7"/>
  <c r="F16" i="7"/>
  <c r="E16" i="7"/>
  <c r="D16" i="7"/>
  <c r="C16" i="7"/>
  <c r="B16" i="7"/>
  <c r="F15" i="7"/>
  <c r="E15" i="7"/>
  <c r="D15" i="7"/>
  <c r="C15" i="7"/>
  <c r="B15" i="7"/>
  <c r="E14" i="7"/>
  <c r="D14" i="7"/>
  <c r="C14" i="7"/>
  <c r="B14" i="7"/>
  <c r="F13" i="7"/>
  <c r="E13" i="7"/>
  <c r="D13" i="7"/>
  <c r="C13" i="7"/>
  <c r="B13" i="7"/>
  <c r="F12" i="7"/>
  <c r="E12" i="7"/>
  <c r="D12" i="7"/>
  <c r="C12" i="7"/>
  <c r="B12" i="7"/>
  <c r="F11" i="7"/>
  <c r="E11" i="7"/>
  <c r="D11" i="7"/>
  <c r="C11" i="7"/>
  <c r="B11" i="7"/>
  <c r="F10" i="7"/>
  <c r="E10" i="7"/>
  <c r="D10" i="7"/>
  <c r="C10" i="7"/>
  <c r="B10" i="7"/>
  <c r="F9" i="7"/>
  <c r="E9" i="7"/>
  <c r="D9" i="7"/>
  <c r="C9" i="7"/>
  <c r="B9" i="7"/>
  <c r="F8" i="7"/>
  <c r="E8" i="7"/>
  <c r="D8" i="7"/>
  <c r="C8" i="7"/>
  <c r="B8" i="7"/>
  <c r="F7" i="7"/>
  <c r="E7" i="7"/>
  <c r="D7" i="7"/>
  <c r="C7" i="7"/>
  <c r="B7" i="7"/>
  <c r="F6" i="7"/>
  <c r="E6" i="7"/>
  <c r="D6" i="7"/>
  <c r="C6" i="7"/>
  <c r="B6" i="7"/>
  <c r="F5" i="7"/>
  <c r="E5" i="7"/>
  <c r="D5" i="7"/>
  <c r="C5" i="7"/>
  <c r="B5" i="7"/>
  <c r="F4" i="7"/>
  <c r="E4" i="7"/>
  <c r="D4" i="7"/>
  <c r="C4" i="7"/>
  <c r="B4" i="7"/>
  <c r="B55" i="1"/>
  <c r="D55" i="1" s="1"/>
  <c r="I53" i="4"/>
  <c r="I52" i="4"/>
  <c r="I51" i="4"/>
  <c r="F53" i="4"/>
  <c r="F52" i="4"/>
  <c r="F51" i="4"/>
  <c r="C53" i="4"/>
  <c r="C52" i="4"/>
  <c r="C51" i="4"/>
  <c r="I46" i="4"/>
  <c r="I45" i="4"/>
  <c r="I44" i="4"/>
  <c r="F46" i="4"/>
  <c r="F45" i="4"/>
  <c r="F44" i="4"/>
  <c r="C46" i="4"/>
  <c r="C45" i="4"/>
  <c r="C44" i="4"/>
  <c r="I39" i="4"/>
  <c r="C39" i="4"/>
  <c r="O17" i="4"/>
  <c r="O16" i="4"/>
  <c r="O15" i="4"/>
  <c r="L17" i="4"/>
  <c r="L16" i="4"/>
  <c r="L15" i="4"/>
  <c r="I17" i="4"/>
  <c r="F17" i="4"/>
  <c r="I16" i="4"/>
  <c r="F16" i="4"/>
  <c r="I15" i="4"/>
  <c r="F15" i="4"/>
  <c r="C17" i="4"/>
  <c r="C16" i="4"/>
  <c r="C15" i="4"/>
  <c r="O10" i="4"/>
  <c r="O9" i="4"/>
  <c r="O8" i="4"/>
  <c r="L10" i="4"/>
  <c r="L9" i="4"/>
  <c r="L8" i="4"/>
  <c r="I10" i="4"/>
  <c r="I9" i="4"/>
  <c r="I8" i="4"/>
  <c r="F10" i="4"/>
  <c r="F9" i="4"/>
  <c r="F8" i="4"/>
  <c r="C10" i="4"/>
  <c r="C9" i="4"/>
  <c r="C8" i="4"/>
  <c r="O3" i="4"/>
  <c r="L3" i="4"/>
  <c r="I3" i="4"/>
  <c r="F3" i="4"/>
  <c r="C3" i="4"/>
  <c r="I63" i="3"/>
  <c r="I62" i="3"/>
  <c r="I61" i="3"/>
  <c r="F63" i="3"/>
  <c r="F62" i="3"/>
  <c r="F61" i="3"/>
  <c r="C63" i="3"/>
  <c r="C62" i="3"/>
  <c r="C61" i="3"/>
  <c r="O7" i="3"/>
  <c r="O6" i="3"/>
  <c r="O5" i="3"/>
  <c r="L7" i="3"/>
  <c r="L6" i="3"/>
  <c r="L5" i="3"/>
  <c r="I7" i="3"/>
  <c r="I6" i="3"/>
  <c r="I5" i="3"/>
  <c r="F7" i="3"/>
  <c r="F6" i="3"/>
  <c r="F5" i="3"/>
  <c r="C7" i="3"/>
  <c r="C6" i="3"/>
  <c r="C5" i="3"/>
  <c r="I12" i="2"/>
  <c r="I11" i="2"/>
  <c r="I10" i="2"/>
  <c r="F12" i="2"/>
  <c r="F11" i="2"/>
  <c r="F10" i="2"/>
  <c r="C12" i="2"/>
  <c r="C11" i="2"/>
  <c r="C10" i="2"/>
  <c r="D48" i="1"/>
  <c r="D49" i="1"/>
  <c r="D50" i="1"/>
  <c r="D51" i="1"/>
  <c r="D47" i="1"/>
  <c r="D56" i="1"/>
  <c r="D57" i="1"/>
  <c r="B57" i="1"/>
  <c r="B56" i="1"/>
  <c r="E72" i="1" l="1"/>
  <c r="D90" i="1"/>
  <c r="E146" i="8"/>
  <c r="E145" i="8"/>
  <c r="E141" i="8"/>
  <c r="E138" i="8"/>
  <c r="O5" i="2"/>
  <c r="O4" i="2"/>
  <c r="O3" i="2"/>
  <c r="L5" i="2"/>
  <c r="L4" i="2"/>
  <c r="L3" i="2"/>
  <c r="I5" i="2"/>
  <c r="I4" i="2"/>
  <c r="I3" i="2"/>
  <c r="F5" i="2"/>
  <c r="F4" i="2"/>
  <c r="F3" i="2"/>
  <c r="C5" i="2"/>
  <c r="C4" i="2"/>
  <c r="C3" i="2"/>
  <c r="B51" i="1"/>
  <c r="B48" i="1"/>
  <c r="B47" i="1"/>
  <c r="O4" i="1"/>
  <c r="I4" i="1"/>
  <c r="F4" i="1"/>
</calcChain>
</file>

<file path=xl/sharedStrings.xml><?xml version="1.0" encoding="utf-8"?>
<sst xmlns="http://schemas.openxmlformats.org/spreadsheetml/2006/main" count="1874" uniqueCount="237">
  <si>
    <t>Impact category</t>
  </si>
  <si>
    <t>Reference unit</t>
  </si>
  <si>
    <t>Result</t>
  </si>
  <si>
    <t>agricultural land occupation - ALOP</t>
  </si>
  <si>
    <t>m2a</t>
  </si>
  <si>
    <t>climate change - GWP100</t>
  </si>
  <si>
    <t>kg CO2-Eq</t>
  </si>
  <si>
    <t>fossil depletion - FDP</t>
  </si>
  <si>
    <t>kg oil-Eq</t>
  </si>
  <si>
    <t>freshwater ecotoxicity - FETPinf</t>
  </si>
  <si>
    <t>kg 1,4-DCB-Eq</t>
  </si>
  <si>
    <t>freshwater eutrophication - FEP</t>
  </si>
  <si>
    <t>kg P-Eq</t>
  </si>
  <si>
    <t>human toxicity - HTPinf</t>
  </si>
  <si>
    <t>ionising radiation - IRP_HE</t>
  </si>
  <si>
    <t>kg U235-Eq</t>
  </si>
  <si>
    <t>marine ecotoxicity - METPinf</t>
  </si>
  <si>
    <t>marine eutrophication - MEP</t>
  </si>
  <si>
    <t>kg N-Eq</t>
  </si>
  <si>
    <t>metal depletion - MDP</t>
  </si>
  <si>
    <t>kg Fe-Eq</t>
  </si>
  <si>
    <t>natural land transformation - NLTP</t>
  </si>
  <si>
    <t>m2</t>
  </si>
  <si>
    <t>ozone depletion - ODPinf</t>
  </si>
  <si>
    <t>kg CFC-11-Eq</t>
  </si>
  <si>
    <t>particulate matter formation - PMFP</t>
  </si>
  <si>
    <t>kg PM10-Eq</t>
  </si>
  <si>
    <t>photochemical oxidant formation - POFP</t>
  </si>
  <si>
    <t>kg NMVOC</t>
  </si>
  <si>
    <t>terrestrial acidification - TAP100</t>
  </si>
  <si>
    <t>kg SO2-Eq</t>
  </si>
  <si>
    <t>terrestrial ecotoxicity - TETPinf</t>
  </si>
  <si>
    <t>urban land occupation - ULOP</t>
  </si>
  <si>
    <t>water depletion - WDP</t>
  </si>
  <si>
    <t>m3</t>
  </si>
  <si>
    <t>Ethanol from Sugarcane - Brazil (1 MJ)</t>
  </si>
  <si>
    <t>Ethanol from Sugarcane - Argentina (1 MJ)</t>
  </si>
  <si>
    <t>Ethanol from Corn - Argentina (1 MJ)</t>
  </si>
  <si>
    <t>Ethanol from Sugarcane - Colombia (1 MJ)</t>
  </si>
  <si>
    <t>Ethanol from Sugarcane - Guatemala (1 MJ)</t>
  </si>
  <si>
    <t>Biodiesel from Soybean - Brazil (1 MJ)</t>
  </si>
  <si>
    <t>Biodiesel from Soybean - Argentina (1 MJ)</t>
  </si>
  <si>
    <t>Biodiesel from Palm - Colombia (1 MJ)</t>
  </si>
  <si>
    <t>g CO2-Eq</t>
  </si>
  <si>
    <t>Ethanol</t>
  </si>
  <si>
    <t>SC-GUA</t>
  </si>
  <si>
    <t>climate change - GWP 100a</t>
  </si>
  <si>
    <t>climate change - GWP 20a</t>
  </si>
  <si>
    <t>climate change - GWP 500a</t>
  </si>
  <si>
    <t>Gasoline</t>
  </si>
  <si>
    <t>Biodiesel</t>
  </si>
  <si>
    <t>Diesel</t>
  </si>
  <si>
    <t>(gCO2 eq/MJ)</t>
  </si>
  <si>
    <t>% reduction</t>
  </si>
  <si>
    <t>Biodiesel from soybean - Argentina (1 MJ)</t>
  </si>
  <si>
    <t>Biodiesel from soybean - Brazil (1 MJ)</t>
  </si>
  <si>
    <t>acidification potential - average European</t>
  </si>
  <si>
    <t>acidification potential - generic</t>
  </si>
  <si>
    <t>climate change - lower limit of net GWP</t>
  </si>
  <si>
    <t>climate change - upper limit of net GWP</t>
  </si>
  <si>
    <t>eutrophication potential - average European</t>
  </si>
  <si>
    <t>kg NOx-Eq</t>
  </si>
  <si>
    <t>eutrophication potential - generic</t>
  </si>
  <si>
    <t>kg PO4-Eq</t>
  </si>
  <si>
    <t>freshwater aquatic ecotoxicity - FAETP 100a</t>
  </si>
  <si>
    <t>freshwater aquatic ecotoxicity - FAETP 20a</t>
  </si>
  <si>
    <t>freshwater aquatic ecotoxicity - FAETP 500a</t>
  </si>
  <si>
    <t>freshwater aquatic ecotoxicity - FAETP infinite</t>
  </si>
  <si>
    <t>freshwater sediment ecotoxicity - FSETP 100a</t>
  </si>
  <si>
    <t>freshwater sediment ecotoxicity - FSETP 20a</t>
  </si>
  <si>
    <t>freshwater sediment ecotoxicity - FSETP 500a</t>
  </si>
  <si>
    <t>freshwater sediment ecotoxicity - FSETP infinite</t>
  </si>
  <si>
    <t>human toxicity - HTP 100a</t>
  </si>
  <si>
    <t>human toxicity - HTP 20a</t>
  </si>
  <si>
    <t>human toxicity - HTP 500a</t>
  </si>
  <si>
    <t>human toxicity - HTP infinite</t>
  </si>
  <si>
    <t>ionising radiation - ionising radiation</t>
  </si>
  <si>
    <t>DALYs</t>
  </si>
  <si>
    <t>land use - competition</t>
  </si>
  <si>
    <t>malodours air - malodours air</t>
  </si>
  <si>
    <t>m3 air</t>
  </si>
  <si>
    <t>marine aquatic ecotoxicity - MAETP 100a</t>
  </si>
  <si>
    <t>marine aquatic ecotoxicity - MAETP 20a</t>
  </si>
  <si>
    <t>marine aquatic ecotoxicity - MAETP 500a</t>
  </si>
  <si>
    <t>marine aquatic ecotoxicity - MAETP infinite</t>
  </si>
  <si>
    <t>marine sediment ecotoxicity - MSETP 100a</t>
  </si>
  <si>
    <t>marine sediment ecotoxicity - MSETP 20a</t>
  </si>
  <si>
    <t>marine sediment ecotoxicity - MSETP 500a</t>
  </si>
  <si>
    <t>marine sediment ecotoxicity - MSETP infinite</t>
  </si>
  <si>
    <t>photochemical oxidation (summer smog) - EBIR</t>
  </si>
  <si>
    <t>kg formed ozone</t>
  </si>
  <si>
    <t>photochemical oxidation (summer smog) - high NOx POCP</t>
  </si>
  <si>
    <t>kg ethylene-Eq</t>
  </si>
  <si>
    <t>photochemical oxidation (summer smog) - low NOx POCP</t>
  </si>
  <si>
    <t>photochemical oxidation (summer smog) - MIR</t>
  </si>
  <si>
    <t>photochemical oxidation (summer smog) - MOIR</t>
  </si>
  <si>
    <t>resources - depletion of abiotic resources</t>
  </si>
  <si>
    <t>kg antimony-Eq</t>
  </si>
  <si>
    <t>stratospheric ozone depletion - ODP 10a</t>
  </si>
  <si>
    <t>stratospheric ozone depletion - ODP 15a</t>
  </si>
  <si>
    <t>stratospheric ozone depletion - ODP 20a</t>
  </si>
  <si>
    <t>stratospheric ozone depletion - ODP 25a</t>
  </si>
  <si>
    <t>stratospheric ozone depletion - ODP 30a</t>
  </si>
  <si>
    <t>stratospheric ozone depletion - ODP 40a</t>
  </si>
  <si>
    <t>stratospheric ozone depletion - ODP 5a</t>
  </si>
  <si>
    <t>stratospheric ozone depletion - ODP steady state</t>
  </si>
  <si>
    <t>terrestrial ecotoxicity - TAETP 100a</t>
  </si>
  <si>
    <t>terrestrial ecotoxicity - TAETP 20a</t>
  </si>
  <si>
    <t>terrestrial ecotoxicity - TAETP 500a</t>
  </si>
  <si>
    <t>terrestrial ecotoxicity - TAETP infinite</t>
  </si>
  <si>
    <t>Recipe Midpoint (H)</t>
  </si>
  <si>
    <t>IPCC 2007</t>
  </si>
  <si>
    <t>CML 2001</t>
  </si>
  <si>
    <t>SC-ARG</t>
  </si>
  <si>
    <t>CO-ARG</t>
  </si>
  <si>
    <t>SC-BRA</t>
  </si>
  <si>
    <t>SC-COL</t>
  </si>
  <si>
    <t>Brasil</t>
  </si>
  <si>
    <t>Climate change - GWP100</t>
  </si>
  <si>
    <t>alpha:</t>
  </si>
  <si>
    <t>normal</t>
  </si>
  <si>
    <t>Distribution:</t>
  </si>
  <si>
    <t>Nitrogen fertiliser</t>
  </si>
  <si>
    <r>
      <t>gCO</t>
    </r>
    <r>
      <rPr>
        <i/>
        <vertAlign val="subscript"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 xml:space="preserve"> eq/MJ</t>
    </r>
  </si>
  <si>
    <t>phosphorus fertiliser</t>
  </si>
  <si>
    <t>potassium fertiliser</t>
  </si>
  <si>
    <t>Impact method</t>
  </si>
  <si>
    <t>Recipe midpont (H)</t>
  </si>
  <si>
    <t>Urea</t>
  </si>
  <si>
    <t>Pesticide</t>
  </si>
  <si>
    <t>Triple superphosphate</t>
  </si>
  <si>
    <t>Argentina/SC</t>
  </si>
  <si>
    <t>Argentina/CO</t>
  </si>
  <si>
    <t>Natural gas</t>
  </si>
  <si>
    <t>Transport, freigth</t>
  </si>
  <si>
    <t>??</t>
  </si>
  <si>
    <t>Colombia</t>
  </si>
  <si>
    <t>Guatemala</t>
  </si>
  <si>
    <t>urea</t>
  </si>
  <si>
    <t>phosphorus</t>
  </si>
  <si>
    <t>diesel</t>
  </si>
  <si>
    <t>phosphorus fert.</t>
  </si>
  <si>
    <t>ammonium nitrite</t>
  </si>
  <si>
    <t>heat, from natural gas</t>
  </si>
  <si>
    <t>Electricity, from natural gas</t>
  </si>
  <si>
    <t>Argentina</t>
  </si>
  <si>
    <t>transport, lorry</t>
  </si>
  <si>
    <t>limestone</t>
  </si>
  <si>
    <t>pesticides</t>
  </si>
  <si>
    <t>methanol</t>
  </si>
  <si>
    <t>Steam</t>
  </si>
  <si>
    <t>rare earth</t>
  </si>
  <si>
    <t>Brazil</t>
  </si>
  <si>
    <t>Min</t>
  </si>
  <si>
    <t>Max</t>
  </si>
  <si>
    <t>Nitrogen</t>
  </si>
  <si>
    <t>Phosphorus</t>
  </si>
  <si>
    <t>Potassium</t>
  </si>
  <si>
    <t>Mean</t>
  </si>
  <si>
    <t>NPK</t>
  </si>
  <si>
    <t>Limestone</t>
  </si>
  <si>
    <t>Pesticides</t>
  </si>
  <si>
    <t>Methanol</t>
  </si>
  <si>
    <t>Heat, from natural gas</t>
  </si>
  <si>
    <t>Electricity, form natural gas</t>
  </si>
  <si>
    <t>Transport, lorry</t>
  </si>
  <si>
    <t>Rare earth</t>
  </si>
  <si>
    <t>SB-ARG</t>
  </si>
  <si>
    <t>SB-BRA</t>
  </si>
  <si>
    <t>PO-COL</t>
  </si>
  <si>
    <t>Normalization</t>
  </si>
  <si>
    <t>%</t>
  </si>
  <si>
    <t>ETHANOL</t>
  </si>
  <si>
    <t>BRA</t>
  </si>
  <si>
    <t>ARG-SC</t>
  </si>
  <si>
    <t>ARG-CO</t>
  </si>
  <si>
    <t>COL</t>
  </si>
  <si>
    <t>GUA</t>
  </si>
  <si>
    <t>agricultural land occupation [m².a]</t>
  </si>
  <si>
    <t>fossil depletion [kg oil eq]</t>
  </si>
  <si>
    <t>freshwater ecotoxicity [kg 1,4-DCB eq]</t>
  </si>
  <si>
    <t>freshwater eutrophication [kg P eq]</t>
  </si>
  <si>
    <t>human toxicity [kg 1,4-DCB eq]</t>
  </si>
  <si>
    <t>ionising radiation [kg U235-Eq]</t>
  </si>
  <si>
    <t>marine ecotoxicity [kg 1,4-DCB-Eq]</t>
  </si>
  <si>
    <t>marine eutrophication [kg N-Eq]</t>
  </si>
  <si>
    <t>metal depletion [kg Fe-Eq]</t>
  </si>
  <si>
    <t>natural land transformation [m²]</t>
  </si>
  <si>
    <t>ozone depletion [kg CFC-11-Eq]</t>
  </si>
  <si>
    <t>particulate matter formation [kg PM10-Eq]</t>
  </si>
  <si>
    <t>photochemical oxidant formation [kg NMVOC]</t>
  </si>
  <si>
    <t>terrestrial acidification [kg SO2-Eq]</t>
  </si>
  <si>
    <t>terrestrial ecotoxicity [kg 1,4-DCB-Eq]</t>
  </si>
  <si>
    <t>urban land occupation [m².a]</t>
  </si>
  <si>
    <t>water depletion [m³]</t>
  </si>
  <si>
    <t>BIODIESEL</t>
  </si>
  <si>
    <t>ARG</t>
  </si>
  <si>
    <t>Sugarcane production</t>
  </si>
  <si>
    <t>Juice Extraction</t>
  </si>
  <si>
    <t>Ethanol production</t>
  </si>
  <si>
    <t xml:space="preserve">COGEN </t>
  </si>
  <si>
    <r>
      <t>climate change [g CO</t>
    </r>
    <r>
      <rPr>
        <vertAlign val="subscript"/>
        <sz val="12"/>
        <color theme="1"/>
        <rFont val="Calibri"/>
        <family val="2"/>
        <scheme val="minor"/>
      </rPr>
      <t xml:space="preserve">2 </t>
    </r>
    <r>
      <rPr>
        <sz val="12"/>
        <color theme="1"/>
        <rFont val="Calibri"/>
        <family val="2"/>
        <scheme val="minor"/>
      </rPr>
      <t>eq]</t>
    </r>
  </si>
  <si>
    <t>Sugar production</t>
  </si>
  <si>
    <t>Corn production</t>
  </si>
  <si>
    <t>Ethanol produciton</t>
  </si>
  <si>
    <t>Soybean production</t>
  </si>
  <si>
    <t>Soybean transportation</t>
  </si>
  <si>
    <t>Soybean oil extraction</t>
  </si>
  <si>
    <t>Soybean oil refining</t>
  </si>
  <si>
    <t>Transterification</t>
  </si>
  <si>
    <t>Farming</t>
  </si>
  <si>
    <t>Biodiesel production</t>
  </si>
  <si>
    <t>Global warming potential (GWP)</t>
  </si>
  <si>
    <t>Ozone depleteion - ODPinf</t>
  </si>
  <si>
    <t>(kgCFC-11 eq/MJ)</t>
  </si>
  <si>
    <t>x 10-9</t>
  </si>
  <si>
    <t>Particulate matter formantion - PMFP</t>
  </si>
  <si>
    <t>ALOP</t>
  </si>
  <si>
    <t>GWP100</t>
  </si>
  <si>
    <t>FDP</t>
  </si>
  <si>
    <t>FETPinf</t>
  </si>
  <si>
    <t>FEP</t>
  </si>
  <si>
    <t>HTPinf</t>
  </si>
  <si>
    <t>IRP_HE</t>
  </si>
  <si>
    <t>METPinf</t>
  </si>
  <si>
    <t>TAP100</t>
  </si>
  <si>
    <t>POFP</t>
  </si>
  <si>
    <t>PMFP</t>
  </si>
  <si>
    <t>ODPinf</t>
  </si>
  <si>
    <t>NLTP</t>
  </si>
  <si>
    <t>MDP</t>
  </si>
  <si>
    <t>MEP</t>
  </si>
  <si>
    <t>TETPinf</t>
  </si>
  <si>
    <t>ULOP</t>
  </si>
  <si>
    <t>WDP</t>
  </si>
  <si>
    <t>Industrial phase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</si>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</sst>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"/>
    <numFmt numFmtId="167" formatCode="0.0E+00"/>
    <numFmt numFmtId="168" formatCode="0.0%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165" fontId="2" fillId="6" borderId="5" xfId="0" applyNumberFormat="1" applyFont="1" applyFill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165" fontId="2" fillId="3" borderId="5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2" fillId="7" borderId="5" xfId="0" applyNumberFormat="1" applyFont="1" applyFill="1" applyBorder="1" applyAlignment="1">
      <alignment horizontal="center"/>
    </xf>
    <xf numFmtId="166" fontId="2" fillId="3" borderId="5" xfId="0" applyNumberFormat="1" applyFont="1" applyFill="1" applyBorder="1" applyAlignment="1">
      <alignment horizontal="center"/>
    </xf>
    <xf numFmtId="166" fontId="2" fillId="8" borderId="5" xfId="0" applyNumberFormat="1" applyFont="1" applyFill="1" applyBorder="1" applyAlignment="1">
      <alignment horizontal="center"/>
    </xf>
    <xf numFmtId="166" fontId="2" fillId="6" borderId="5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/>
    <xf numFmtId="2" fontId="1" fillId="0" borderId="8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166" fontId="2" fillId="7" borderId="0" xfId="0" applyNumberFormat="1" applyFont="1" applyFill="1" applyBorder="1" applyAlignment="1">
      <alignment horizontal="center"/>
    </xf>
    <xf numFmtId="11" fontId="1" fillId="0" borderId="7" xfId="0" applyNumberFormat="1" applyFont="1" applyBorder="1" applyAlignment="1">
      <alignment horizontal="center"/>
    </xf>
    <xf numFmtId="167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6" fontId="2" fillId="0" borderId="5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6" fontId="1" fillId="0" borderId="5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6" fontId="1" fillId="0" borderId="8" xfId="0" applyNumberFormat="1" applyFont="1" applyFill="1" applyBorder="1" applyAlignment="1">
      <alignment horizontal="center"/>
    </xf>
    <xf numFmtId="166" fontId="1" fillId="0" borderId="7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6" fontId="2" fillId="0" borderId="8" xfId="0" applyNumberFormat="1" applyFont="1" applyFill="1" applyBorder="1" applyAlignment="1">
      <alignment horizontal="center"/>
    </xf>
    <xf numFmtId="166" fontId="2" fillId="0" borderId="7" xfId="0" applyNumberFormat="1" applyFont="1" applyFill="1" applyBorder="1" applyAlignment="1">
      <alignment horizontal="center"/>
    </xf>
    <xf numFmtId="165" fontId="2" fillId="7" borderId="5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/>
    <xf numFmtId="0" fontId="7" fillId="0" borderId="0" xfId="0" applyFont="1" applyBorder="1"/>
    <xf numFmtId="0" fontId="1" fillId="0" borderId="0" xfId="0" applyFont="1" applyBorder="1"/>
    <xf numFmtId="0" fontId="1" fillId="0" borderId="5" xfId="0" applyFont="1" applyBorder="1"/>
    <xf numFmtId="0" fontId="5" fillId="6" borderId="4" xfId="0" applyFont="1" applyFill="1" applyBorder="1" applyAlignment="1">
      <alignment horizontal="center"/>
    </xf>
    <xf numFmtId="9" fontId="5" fillId="6" borderId="0" xfId="0" applyNumberFormat="1" applyFont="1" applyFill="1" applyBorder="1"/>
    <xf numFmtId="0" fontId="1" fillId="0" borderId="5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7" borderId="1" xfId="0" applyFont="1" applyFill="1" applyBorder="1" applyAlignment="1">
      <alignment horizontal="center"/>
    </xf>
    <xf numFmtId="0" fontId="0" fillId="0" borderId="6" xfId="0" applyBorder="1"/>
    <xf numFmtId="0" fontId="5" fillId="7" borderId="4" xfId="0" applyFont="1" applyFill="1" applyBorder="1" applyAlignment="1">
      <alignment horizontal="center"/>
    </xf>
    <xf numFmtId="9" fontId="5" fillId="7" borderId="0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9" fontId="5" fillId="3" borderId="0" xfId="0" applyNumberFormat="1" applyFont="1" applyFill="1" applyBorder="1"/>
    <xf numFmtId="0" fontId="5" fillId="8" borderId="4" xfId="0" applyFont="1" applyFill="1" applyBorder="1" applyAlignment="1">
      <alignment horizontal="center"/>
    </xf>
    <xf numFmtId="9" fontId="5" fillId="8" borderId="0" xfId="0" applyNumberFormat="1" applyFont="1" applyFill="1" applyBorder="1"/>
    <xf numFmtId="0" fontId="9" fillId="0" borderId="2" xfId="0" applyFont="1" applyBorder="1" applyAlignment="1"/>
    <xf numFmtId="0" fontId="0" fillId="0" borderId="0" xfId="0" applyAlignment="1">
      <alignment horizontal="center"/>
    </xf>
    <xf numFmtId="0" fontId="7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Border="1" applyAlignment="1">
      <alignment horizontal="center"/>
    </xf>
    <xf numFmtId="0" fontId="16" fillId="0" borderId="0" xfId="0" applyFont="1"/>
    <xf numFmtId="0" fontId="17" fillId="0" borderId="0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18" fillId="0" borderId="0" xfId="0" applyFont="1"/>
    <xf numFmtId="166" fontId="1" fillId="0" borderId="0" xfId="0" applyNumberFormat="1" applyFont="1"/>
    <xf numFmtId="0" fontId="2" fillId="10" borderId="7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/>
    <xf numFmtId="166" fontId="1" fillId="0" borderId="0" xfId="0" quotePrefix="1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0" fontId="1" fillId="0" borderId="0" xfId="0" applyNumberFormat="1" applyFon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1" fillId="0" borderId="5" xfId="1" applyNumberFormat="1" applyFont="1" applyBorder="1" applyAlignment="1">
      <alignment horizontal="center"/>
    </xf>
    <xf numFmtId="10" fontId="0" fillId="0" borderId="0" xfId="0" applyNumberFormat="1"/>
    <xf numFmtId="10" fontId="1" fillId="0" borderId="7" xfId="1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0" fontId="1" fillId="0" borderId="0" xfId="1" applyNumberFormat="1" applyFont="1" applyFill="1" applyBorder="1" applyAlignment="1">
      <alignment horizontal="center"/>
    </xf>
    <xf numFmtId="9" fontId="1" fillId="3" borderId="0" xfId="0" applyNumberFormat="1" applyFont="1" applyFill="1" applyBorder="1" applyAlignment="1">
      <alignment horizontal="center"/>
    </xf>
    <xf numFmtId="10" fontId="1" fillId="3" borderId="0" xfId="0" applyNumberFormat="1" applyFont="1" applyFill="1" applyBorder="1" applyAlignment="1">
      <alignment horizontal="center"/>
    </xf>
    <xf numFmtId="9" fontId="1" fillId="3" borderId="7" xfId="0" applyNumberFormat="1" applyFont="1" applyFill="1" applyBorder="1" applyAlignment="1">
      <alignment horizontal="center"/>
    </xf>
    <xf numFmtId="10" fontId="1" fillId="3" borderId="7" xfId="0" applyNumberFormat="1" applyFont="1" applyFill="1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10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10" fontId="0" fillId="3" borderId="0" xfId="1" applyNumberFormat="1" applyFont="1" applyFill="1" applyBorder="1" applyAlignment="1">
      <alignment horizontal="center"/>
    </xf>
    <xf numFmtId="10" fontId="0" fillId="3" borderId="7" xfId="1" applyNumberFormat="1" applyFont="1" applyFill="1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/>
    <xf numFmtId="9" fontId="1" fillId="0" borderId="0" xfId="0" applyNumberFormat="1" applyFont="1" applyBorder="1" applyAlignment="1">
      <alignment horizontal="center"/>
    </xf>
    <xf numFmtId="9" fontId="1" fillId="0" borderId="7" xfId="0" applyNumberFormat="1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68" fontId="1" fillId="3" borderId="0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14" xfId="0" applyBorder="1"/>
    <xf numFmtId="166" fontId="1" fillId="0" borderId="14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0" fontId="2" fillId="2" borderId="0" xfId="0" applyFont="1" applyFill="1"/>
    <xf numFmtId="1" fontId="0" fillId="0" borderId="14" xfId="0" applyNumberFormat="1" applyBorder="1"/>
    <xf numFmtId="1" fontId="0" fillId="0" borderId="14" xfId="0" applyNumberForma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11" fontId="1" fillId="0" borderId="14" xfId="0" applyNumberFormat="1" applyFont="1" applyBorder="1" applyAlignment="1">
      <alignment horizontal="center"/>
    </xf>
    <xf numFmtId="11" fontId="1" fillId="0" borderId="14" xfId="0" applyNumberFormat="1" applyFont="1" applyFill="1" applyBorder="1" applyAlignment="1">
      <alignment horizontal="center"/>
    </xf>
    <xf numFmtId="0" fontId="0" fillId="0" borderId="15" xfId="0" applyBorder="1"/>
    <xf numFmtId="0" fontId="1" fillId="0" borderId="15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1" fillId="0" borderId="14" xfId="0" applyNumberFormat="1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Border="1" applyAlignment="1">
      <alignment horizontal="center"/>
    </xf>
    <xf numFmtId="165" fontId="1" fillId="0" borderId="0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2" fillId="10" borderId="7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'RecipeMidpoint(H)'!$B$53</c:f>
              <c:strCache>
                <c:ptCount val="1"/>
                <c:pt idx="0">
                  <c:v>Biodiesel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'RecipeMidpoint(H)'!$A$55:$A$57</c:f>
              <c:strCache>
                <c:ptCount val="3"/>
                <c:pt idx="0">
                  <c:v>SB-ARG</c:v>
                </c:pt>
                <c:pt idx="1">
                  <c:v>SB-BRA</c:v>
                </c:pt>
                <c:pt idx="2">
                  <c:v>PO-COL</c:v>
                </c:pt>
              </c:strCache>
            </c:strRef>
          </c:cat>
          <c:val>
            <c:numRef>
              <c:f>'RecipeMidpoint(H)'!$B$55:$B$57</c:f>
              <c:numCache>
                <c:formatCode>0</c:formatCode>
                <c:ptCount val="3"/>
                <c:pt idx="0">
                  <c:v>18.368035432195498</c:v>
                </c:pt>
                <c:pt idx="1">
                  <c:v>27.880909196663712</c:v>
                </c:pt>
                <c:pt idx="2">
                  <c:v>13.815277900101407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9-434F-A3CE-0685304E2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3022144"/>
        <c:axId val="1243008416"/>
      </c:barChart>
      <c:lineChart>
        <c:grouping val="standard"/>
        <c:varyColors val="0"/>
        <c:ser>
          <c:idx val="1"/>
          <c:order val="1"/>
          <c:tx>
            <c:strRef>
              <c:f>'RecipeMidpoint(H)'!$C$53:$C$54</c:f>
              <c:strCache>
                <c:ptCount val="2"/>
                <c:pt idx="0">
                  <c:v>Diesel</c:v>
                </c:pt>
              </c:strCache>
            </c:strRef>
          </c:tx>
          <c:spPr>
            <a:ln w="31750" cap="rnd">
              <a:solidFill>
                <a:schemeClr val="bg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'RecipeMidpoint(H)'!$A$55:$A$57</c:f>
              <c:strCache>
                <c:ptCount val="3"/>
                <c:pt idx="0">
                  <c:v>SB-ARG</c:v>
                </c:pt>
                <c:pt idx="1">
                  <c:v>SB-BRA</c:v>
                </c:pt>
                <c:pt idx="2">
                  <c:v>PO-COL</c:v>
                </c:pt>
              </c:strCache>
            </c:strRef>
          </c:cat>
          <c:val>
            <c:numRef>
              <c:f>'RecipeMidpoint(H)'!$C$55:$C$57</c:f>
              <c:numCache>
                <c:formatCode>0</c:formatCode>
                <c:ptCount val="3"/>
                <c:pt idx="0">
                  <c:v>86.06</c:v>
                </c:pt>
                <c:pt idx="1">
                  <c:v>86.06</c:v>
                </c:pt>
                <c:pt idx="2">
                  <c:v>86.06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9-434F-A3CE-0685304E2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022144"/>
        <c:axId val="1243008416"/>
      </c:lineChart>
      <c:catAx>
        <c:axId val="124302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1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243008416"/>
        <c:crosses val="autoZero"/>
        <c:auto val="1"/>
        <c:lblAlgn val="ctr"/>
        <c:lblOffset val="100"/>
        <c:noMultiLvlLbl val="0"/>
      </c:catAx>
      <c:valAx>
        <c:axId val="1243008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gCO</a:t>
                </a:r>
                <a:r>
                  <a:rPr lang="pt-BR" sz="12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pt-BR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eq/MJ</a:t>
                </a:r>
                <a:endParaRPr lang="pt-BR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24302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'RecipeMidpoint(H)'!$B$45</c:f>
              <c:strCache>
                <c:ptCount val="1"/>
                <c:pt idx="0">
                  <c:v>Ethanol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'RecipeMidpoint(H)'!$A$47:$A$51</c:f>
              <c:strCache>
                <c:ptCount val="5"/>
                <c:pt idx="0">
                  <c:v>SC-ARG</c:v>
                </c:pt>
                <c:pt idx="1">
                  <c:v>CO-ARG</c:v>
                </c:pt>
                <c:pt idx="2">
                  <c:v>SC-BRA</c:v>
                </c:pt>
                <c:pt idx="3">
                  <c:v>SC-COL</c:v>
                </c:pt>
                <c:pt idx="4">
                  <c:v>SC-GUA</c:v>
                </c:pt>
              </c:strCache>
            </c:strRef>
          </c:cat>
          <c:val>
            <c:numRef>
              <c:f>'RecipeMidpoint(H)'!$B$47:$B$51</c:f>
              <c:numCache>
                <c:formatCode>0</c:formatCode>
                <c:ptCount val="5"/>
                <c:pt idx="0">
                  <c:v>25.529716711784999</c:v>
                </c:pt>
                <c:pt idx="1">
                  <c:v>53.521422413050601</c:v>
                </c:pt>
                <c:pt idx="2">
                  <c:v>22.1</c:v>
                </c:pt>
                <c:pt idx="3">
                  <c:v>16</c:v>
                </c:pt>
                <c:pt idx="4">
                  <c:v>28.572493787691297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7-4525-96DC-F150080F6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05012095"/>
        <c:axId val="1805012927"/>
      </c:barChart>
      <c:lineChart>
        <c:grouping val="standard"/>
        <c:varyColors val="0"/>
        <c:ser>
          <c:idx val="1"/>
          <c:order val="1"/>
          <c:tx>
            <c:v>Gasoline</c:v>
          </c:tx>
          <c:spPr>
            <a:ln w="317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'RecipeMidpoint(H)'!$C$47:$C$51</c:f>
              <c:numCache>
                <c:formatCode>0</c:formatCode>
                <c:ptCount val="5"/>
                <c:pt idx="0">
                  <c:v>84.7</c:v>
                </c:pt>
                <c:pt idx="1">
                  <c:v>84.7</c:v>
                </c:pt>
                <c:pt idx="2">
                  <c:v>84.7</c:v>
                </c:pt>
                <c:pt idx="3">
                  <c:v>84.7</c:v>
                </c:pt>
                <c:pt idx="4">
                  <c:v>84.7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57-4525-96DC-F150080F6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012095"/>
        <c:axId val="1805012927"/>
      </c:lineChart>
      <c:catAx>
        <c:axId val="180501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1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805012927"/>
        <c:crosses val="autoZero"/>
        <c:auto val="1"/>
        <c:lblAlgn val="ctr"/>
        <c:lblOffset val="100"/>
        <c:noMultiLvlLbl val="0"/>
      </c:catAx>
      <c:valAx>
        <c:axId val="18050129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gCO</a:t>
                </a:r>
                <a:r>
                  <a:rPr lang="pt-BR" sz="12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pt-BR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eq/MJ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80501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baseline="0">
              <a:solidFill>
                <a:schemeClr val="tx2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'RecipeMidpoint(H)'!$D$68</c:f>
              <c:strCache>
                <c:ptCount val="1"/>
                <c:pt idx="0">
                  <c:v>Farming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'RecipeMidpoint(H)'!$A$69:$A$73</c:f>
              <c:strCache>
                <c:ptCount val="5"/>
                <c:pt idx="0">
                  <c:v>SC-ARG</c:v>
                </c:pt>
                <c:pt idx="1">
                  <c:v>CO-ARG</c:v>
                </c:pt>
                <c:pt idx="2">
                  <c:v>SC-BRA</c:v>
                </c:pt>
                <c:pt idx="3">
                  <c:v>SC-COL</c:v>
                </c:pt>
                <c:pt idx="4">
                  <c:v>SC-GUA</c:v>
                </c:pt>
              </c:strCache>
            </c:strRef>
          </c:cat>
          <c:val>
            <c:numRef>
              <c:f>'RecipeMidpoint(H)'!$D$69:$D$73</c:f>
              <c:numCache>
                <c:formatCode>0</c:formatCode>
                <c:ptCount val="5"/>
                <c:pt idx="0">
                  <c:v>11.769199404132886</c:v>
                </c:pt>
                <c:pt idx="1">
                  <c:v>20.926876163502786</c:v>
                </c:pt>
                <c:pt idx="2">
                  <c:v>17.806799999999999</c:v>
                </c:pt>
                <c:pt idx="3">
                  <c:v>10.735999999999999</c:v>
                </c:pt>
                <c:pt idx="4">
                  <c:v>16.47775716736157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F-4CB8-96C8-A177ED47F264}"/>
            </c:ext>
          </c:extLst>
        </c:ser>
        <c:ser>
          <c:idx val="3"/>
          <c:order val="1"/>
          <c:tx>
            <c:strRef>
              <c:f>'RecipeMidpoint(H)'!$E$68</c:f>
              <c:strCache>
                <c:ptCount val="1"/>
                <c:pt idx="0">
                  <c:v>Ethanol production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'RecipeMidpoint(H)'!$E$69:$E$73</c:f>
              <c:numCache>
                <c:formatCode>0</c:formatCode>
                <c:ptCount val="5"/>
                <c:pt idx="0">
                  <c:v>13.760517307652114</c:v>
                </c:pt>
                <c:pt idx="1">
                  <c:v>32.594546249547818</c:v>
                </c:pt>
                <c:pt idx="2">
                  <c:v>4.1932000000000009</c:v>
                </c:pt>
                <c:pt idx="3">
                  <c:v>5.2640000000000011</c:v>
                </c:pt>
                <c:pt idx="4">
                  <c:v>12.094736620329726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3F-4CB8-96C8-A177ED47F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4587519"/>
        <c:axId val="824587935"/>
      </c:barChart>
      <c:lineChart>
        <c:grouping val="standard"/>
        <c:varyColors val="0"/>
        <c:ser>
          <c:idx val="4"/>
          <c:order val="2"/>
          <c:tx>
            <c:strRef>
              <c:f>'RecipeMidpoint(H)'!$C$67</c:f>
              <c:strCache>
                <c:ptCount val="1"/>
                <c:pt idx="0">
                  <c:v>Gasoline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'RecipeMidpoint(H)'!$C$69:$C$73</c:f>
              <c:numCache>
                <c:formatCode>0</c:formatCode>
                <c:ptCount val="5"/>
                <c:pt idx="0">
                  <c:v>84.7</c:v>
                </c:pt>
                <c:pt idx="1">
                  <c:v>84.7</c:v>
                </c:pt>
                <c:pt idx="2">
                  <c:v>84.7</c:v>
                </c:pt>
                <c:pt idx="3">
                  <c:v>84.7</c:v>
                </c:pt>
                <c:pt idx="4">
                  <c:v>84.7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6-4DA1-9CA7-4B992DD2B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4587519"/>
        <c:axId val="824587935"/>
      </c:lineChart>
      <c:catAx>
        <c:axId val="82458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824587935"/>
        <c:crosses val="autoZero"/>
        <c:auto val="1"/>
        <c:lblAlgn val="ctr"/>
        <c:lblOffset val="100"/>
        <c:noMultiLvlLbl val="0"/>
      </c:catAx>
      <c:valAx>
        <c:axId val="8245879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gCO</a:t>
                </a:r>
                <a:r>
                  <a:rPr lang="pt-BR" sz="1200" b="1" i="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pt-BR" sz="12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eq/MJ</a:t>
                </a:r>
                <a:endParaRPr lang="pt-BR" sz="7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82458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'RecipeMidpoint(H)'!$D$75</c:f>
              <c:strCache>
                <c:ptCount val="1"/>
                <c:pt idx="0">
                  <c:v>Farming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'RecipeMidpoint(H)'!$A$77:$A$79</c:f>
              <c:strCache>
                <c:ptCount val="3"/>
                <c:pt idx="0">
                  <c:v>SB-ARG</c:v>
                </c:pt>
                <c:pt idx="1">
                  <c:v>SB-BRA</c:v>
                </c:pt>
                <c:pt idx="2">
                  <c:v>PO-COL</c:v>
                </c:pt>
              </c:strCache>
            </c:strRef>
          </c:cat>
          <c:val>
            <c:numRef>
              <c:f>'RecipeMidpoint(H)'!$D$77:$D$79</c:f>
              <c:numCache>
                <c:formatCode>0</c:formatCode>
                <c:ptCount val="3"/>
                <c:pt idx="0">
                  <c:v>5.0144736729893715</c:v>
                </c:pt>
                <c:pt idx="1">
                  <c:v>19.561245892379262</c:v>
                </c:pt>
                <c:pt idx="2">
                  <c:v>9.6734575856510059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5-4537-AC63-DCADE26CE9B1}"/>
            </c:ext>
          </c:extLst>
        </c:ser>
        <c:ser>
          <c:idx val="4"/>
          <c:order val="1"/>
          <c:tx>
            <c:strRef>
              <c:f>'RecipeMidpoint(H)'!$E$75</c:f>
              <c:strCache>
                <c:ptCount val="1"/>
                <c:pt idx="0">
                  <c:v>Biodiesel production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'RecipeMidpoint(H)'!$E$77:$E$79</c:f>
              <c:numCache>
                <c:formatCode>0</c:formatCode>
                <c:ptCount val="3"/>
                <c:pt idx="0">
                  <c:v>13.353561759206126</c:v>
                </c:pt>
                <c:pt idx="1">
                  <c:v>8.3196633042844503</c:v>
                </c:pt>
                <c:pt idx="2">
                  <c:v>4.1418203144504009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35-4537-AC63-DCADE26C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3841952"/>
        <c:axId val="2133834880"/>
      </c:barChart>
      <c:lineChart>
        <c:grouping val="standard"/>
        <c:varyColors val="0"/>
        <c:ser>
          <c:idx val="5"/>
          <c:order val="2"/>
          <c:tx>
            <c:v>Diesel</c:v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'RecipeMidpoint(H)'!$C$77:$C$79</c:f>
              <c:numCache>
                <c:formatCode>0</c:formatCode>
                <c:ptCount val="3"/>
                <c:pt idx="0">
                  <c:v>86.06</c:v>
                </c:pt>
                <c:pt idx="1">
                  <c:v>86.06</c:v>
                </c:pt>
                <c:pt idx="2">
                  <c:v>86.06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35-4537-AC63-DCADE26CE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841952"/>
        <c:axId val="2133834880"/>
      </c:lineChart>
      <c:catAx>
        <c:axId val="213384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133834880"/>
        <c:crosses val="autoZero"/>
        <c:auto val="1"/>
        <c:lblAlgn val="ctr"/>
        <c:lblOffset val="100"/>
        <c:noMultiLvlLbl val="0"/>
      </c:catAx>
      <c:valAx>
        <c:axId val="2133834880"/>
        <c:scaling>
          <c:orientation val="minMax"/>
          <c:max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gCO</a:t>
                </a:r>
                <a:r>
                  <a:rPr lang="pt-BR" sz="1400" b="1" i="0" baseline="-25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pt-BR" sz="1400" b="1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eq/MJ</a:t>
                </a:r>
                <a:endParaRPr lang="pt-BR" sz="14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13384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20080642093652"/>
          <c:y val="4.4622936189201247E-2"/>
          <c:w val="0.87147552208147894"/>
          <c:h val="0.731051590438745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'RecipeMidpoint(H)'!$D$93</c:f>
              <c:strCache>
                <c:ptCount val="1"/>
                <c:pt idx="0">
                  <c:v>Farming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'RecipeMidpoint(H)'!$A$94:$A$96</c:f>
              <c:strCache>
                <c:ptCount val="3"/>
                <c:pt idx="0">
                  <c:v>SB-ARG</c:v>
                </c:pt>
                <c:pt idx="1">
                  <c:v>SB-BRA</c:v>
                </c:pt>
                <c:pt idx="2">
                  <c:v>PO-COL</c:v>
                </c:pt>
              </c:strCache>
            </c:strRef>
          </c:cat>
          <c:val>
            <c:numRef>
              <c:f>'RecipeMidpoint(H)'!$D$94:$D$96</c:f>
              <c:numCache>
                <c:formatCode>0.00</c:formatCode>
                <c:ptCount val="3"/>
                <c:pt idx="0">
                  <c:v>2.0074968575846817</c:v>
                </c:pt>
                <c:pt idx="1">
                  <c:v>0.79136043901954667</c:v>
                </c:pt>
                <c:pt idx="2">
                  <c:v>0.1236376950473672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B-4F87-97B0-E634C9AC1EBD}"/>
            </c:ext>
          </c:extLst>
        </c:ser>
        <c:ser>
          <c:idx val="4"/>
          <c:order val="1"/>
          <c:tx>
            <c:strRef>
              <c:f>'RecipeMidpoint(H)'!$E$93</c:f>
              <c:strCache>
                <c:ptCount val="1"/>
                <c:pt idx="0">
                  <c:v>Industrial phase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'RecipeMidpoint(H)'!$E$94:$E$96</c:f>
              <c:numCache>
                <c:formatCode>0.00</c:formatCode>
                <c:ptCount val="3"/>
                <c:pt idx="0">
                  <c:v>2.8674348024072605</c:v>
                </c:pt>
                <c:pt idx="1">
                  <c:v>0.56463757163766137</c:v>
                </c:pt>
                <c:pt idx="2">
                  <c:v>1.4696315710269523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0B-4F87-97B0-E634C9AC1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4785936"/>
        <c:axId val="2084795504"/>
      </c:barChart>
      <c:catAx>
        <c:axId val="208478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84795504"/>
        <c:crosses val="autoZero"/>
        <c:auto val="1"/>
        <c:lblAlgn val="ctr"/>
        <c:lblOffset val="100"/>
        <c:noMultiLvlLbl val="0"/>
      </c:catAx>
      <c:valAx>
        <c:axId val="2084795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(kgCFC-11 eq/MJ) (10</a:t>
                </a:r>
                <a:r>
                  <a:rPr lang="pt-BR" sz="1200" b="1" i="0" u="none" strike="noStrike" baseline="3000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-9</a:t>
                </a:r>
                <a:r>
                  <a:rPr lang="pt-BR" sz="1200" b="1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pt-BR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478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'RecipeMidpoint(H)'!$D$85</c:f>
              <c:strCache>
                <c:ptCount val="1"/>
                <c:pt idx="0">
                  <c:v>Farming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'RecipeMidpoint(H)'!$A$86:$A$90</c:f>
              <c:strCache>
                <c:ptCount val="5"/>
                <c:pt idx="0">
                  <c:v>SC-ARG</c:v>
                </c:pt>
                <c:pt idx="1">
                  <c:v>CO-ARG</c:v>
                </c:pt>
                <c:pt idx="2">
                  <c:v>SC-BRA</c:v>
                </c:pt>
                <c:pt idx="3">
                  <c:v>SC-COL</c:v>
                </c:pt>
                <c:pt idx="4">
                  <c:v>SC-GUA</c:v>
                </c:pt>
              </c:strCache>
            </c:strRef>
          </c:cat>
          <c:val>
            <c:numRef>
              <c:f>'RecipeMidpoint(H)'!$D$86:$D$90</c:f>
              <c:numCache>
                <c:formatCode>0.0</c:formatCode>
                <c:ptCount val="5"/>
                <c:pt idx="0">
                  <c:v>3.8268139512965864</c:v>
                </c:pt>
                <c:pt idx="1">
                  <c:v>2.1982941210793521</c:v>
                </c:pt>
                <c:pt idx="2" formatCode="0.00">
                  <c:v>1.9957727033936683</c:v>
                </c:pt>
                <c:pt idx="3">
                  <c:v>1.273725</c:v>
                </c:pt>
                <c:pt idx="4">
                  <c:v>7.1695556500967266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F8-4A14-97D9-83E05FAD2DC3}"/>
            </c:ext>
          </c:extLst>
        </c:ser>
        <c:ser>
          <c:idx val="3"/>
          <c:order val="1"/>
          <c:tx>
            <c:strRef>
              <c:f>'RecipeMidpoint(H)'!$E$85</c:f>
              <c:strCache>
                <c:ptCount val="1"/>
                <c:pt idx="0">
                  <c:v>Industrial phase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'RecipeMidpoint(H)'!$E$86:$E$90</c:f>
              <c:numCache>
                <c:formatCode>0.00</c:formatCode>
                <c:ptCount val="5"/>
                <c:pt idx="0">
                  <c:v>1.7851973479330981E-2</c:v>
                </c:pt>
                <c:pt idx="1">
                  <c:v>3.290580088856609</c:v>
                </c:pt>
                <c:pt idx="2">
                  <c:v>1.1422346918793949</c:v>
                </c:pt>
                <c:pt idx="3">
                  <c:v>0.57627500000000009</c:v>
                </c:pt>
                <c:pt idx="4">
                  <c:v>0.77895393981095307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8-4A14-97D9-83E05FAD2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7891360"/>
        <c:axId val="1507884288"/>
      </c:barChart>
      <c:catAx>
        <c:axId val="150789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507884288"/>
        <c:crosses val="autoZero"/>
        <c:auto val="1"/>
        <c:lblAlgn val="ctr"/>
        <c:lblOffset val="100"/>
        <c:noMultiLvlLbl val="0"/>
      </c:catAx>
      <c:valAx>
        <c:axId val="15078842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(kgCFC-11 eq/MJ) </a:t>
                </a:r>
                <a:r>
                  <a:rPr lang="pt-BR" sz="1200" b="1" i="0" u="none" strike="noStrike" baseline="0">
                    <a:effectLst/>
                  </a:rPr>
                  <a:t>(10</a:t>
                </a:r>
                <a:r>
                  <a:rPr lang="pt-BR" sz="1200" b="1" i="0" u="none" strike="noStrike" baseline="30000">
                    <a:effectLst/>
                  </a:rPr>
                  <a:t>-9</a:t>
                </a:r>
                <a:r>
                  <a:rPr lang="pt-BR" sz="1200" b="1" i="0" u="none" strike="noStrike" baseline="0">
                    <a:effectLst/>
                  </a:rPr>
                  <a:t>)</a:t>
                </a:r>
                <a:endParaRPr lang="pt-BR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5078913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Impacts_systems!$B$2</c:f>
              <c:strCache>
                <c:ptCount val="1"/>
                <c:pt idx="0">
                  <c:v>Sugarcane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Impacts_systems!$A$3:$A$20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Impacts_systems!$B$3:$B$20</c:f>
              <c:numCache>
                <c:formatCode>0.00%</c:formatCode>
                <c:ptCount val="18"/>
                <c:pt idx="0">
                  <c:v>0.93420000000000003</c:v>
                </c:pt>
                <c:pt idx="1">
                  <c:v>0.80940000000000001</c:v>
                </c:pt>
                <c:pt idx="2">
                  <c:v>0.71760000000000002</c:v>
                </c:pt>
                <c:pt idx="3">
                  <c:v>0.71160000000000001</c:v>
                </c:pt>
                <c:pt idx="4">
                  <c:v>0.43049999999999999</c:v>
                </c:pt>
                <c:pt idx="5">
                  <c:v>4.8399999999999999E-2</c:v>
                </c:pt>
                <c:pt idx="6">
                  <c:v>0.67920000000000003</c:v>
                </c:pt>
                <c:pt idx="7">
                  <c:v>0.53559999999999997</c:v>
                </c:pt>
                <c:pt idx="8">
                  <c:v>7.6E-3</c:v>
                </c:pt>
                <c:pt idx="9">
                  <c:v>0.71840000000000004</c:v>
                </c:pt>
                <c:pt idx="10">
                  <c:v>0.72130000000000005</c:v>
                </c:pt>
                <c:pt idx="11">
                  <c:v>0.63660000000000005</c:v>
                </c:pt>
                <c:pt idx="12">
                  <c:v>1.2500000000000001E-2</c:v>
                </c:pt>
                <c:pt idx="13">
                  <c:v>3.5999999999999999E-3</c:v>
                </c:pt>
                <c:pt idx="14">
                  <c:v>1.14E-2</c:v>
                </c:pt>
                <c:pt idx="15">
                  <c:v>0.4345</c:v>
                </c:pt>
                <c:pt idx="16">
                  <c:v>0.61839999999999995</c:v>
                </c:pt>
                <c:pt idx="17">
                  <c:v>0.94210000000000005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4-418F-9194-E9B6BE88D0D8}"/>
            </c:ext>
          </c:extLst>
        </c:ser>
        <c:ser>
          <c:idx val="1"/>
          <c:order val="1"/>
          <c:tx>
            <c:strRef>
              <c:f>Impacts_systems!$C$2</c:f>
              <c:strCache>
                <c:ptCount val="1"/>
                <c:pt idx="0">
                  <c:v>Juice Extraction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Impacts_systems!$A$3:$A$20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Impacts_systems!$C$3:$C$20</c:f>
              <c:numCache>
                <c:formatCode>0.00%</c:formatCode>
                <c:ptCount val="18"/>
                <c:pt idx="0">
                  <c:v>5.4800000000000001E-2</c:v>
                </c:pt>
                <c:pt idx="1">
                  <c:v>0.14269999999999999</c:v>
                </c:pt>
                <c:pt idx="2">
                  <c:v>0.2266</c:v>
                </c:pt>
                <c:pt idx="3">
                  <c:v>0.1757</c:v>
                </c:pt>
                <c:pt idx="4">
                  <c:v>0.47549999999999998</c:v>
                </c:pt>
                <c:pt idx="5">
                  <c:v>0.94479999999999997</c:v>
                </c:pt>
                <c:pt idx="6">
                  <c:v>0.24529999999999999</c:v>
                </c:pt>
                <c:pt idx="7">
                  <c:v>0.32990000000000003</c:v>
                </c:pt>
                <c:pt idx="8">
                  <c:v>1.5900000000000001E-2</c:v>
                </c:pt>
                <c:pt idx="9">
                  <c:v>0.15509999999999999</c:v>
                </c:pt>
                <c:pt idx="10">
                  <c:v>0.2492</c:v>
                </c:pt>
                <c:pt idx="11">
                  <c:v>0.317</c:v>
                </c:pt>
                <c:pt idx="12">
                  <c:v>5.8600000000000006E-2</c:v>
                </c:pt>
                <c:pt idx="13">
                  <c:v>1.4499999999999999E-2</c:v>
                </c:pt>
                <c:pt idx="14">
                  <c:v>1.7600000000000001E-2</c:v>
                </c:pt>
                <c:pt idx="15">
                  <c:v>0.54059999999999997</c:v>
                </c:pt>
                <c:pt idx="16">
                  <c:v>0.12369999999999999</c:v>
                </c:pt>
                <c:pt idx="17">
                  <c:v>1.7299999999999999E-2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4-418F-9194-E9B6BE88D0D8}"/>
            </c:ext>
          </c:extLst>
        </c:ser>
        <c:ser>
          <c:idx val="2"/>
          <c:order val="2"/>
          <c:tx>
            <c:strRef>
              <c:f>Impacts_systems!$D$2</c:f>
              <c:strCache>
                <c:ptCount val="1"/>
                <c:pt idx="0">
                  <c:v>Ethanol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Impacts_systems!$A$3:$A$20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Impacts_systems!$D$3:$D$20</c:f>
              <c:numCache>
                <c:formatCode>0.00%</c:formatCode>
                <c:ptCount val="18"/>
                <c:pt idx="0">
                  <c:v>1.0999999999999999E-2</c:v>
                </c:pt>
                <c:pt idx="1">
                  <c:v>4.7899999999999998E-2</c:v>
                </c:pt>
                <c:pt idx="2">
                  <c:v>5.5800000000000002E-2</c:v>
                </c:pt>
                <c:pt idx="3">
                  <c:v>0.11269999999999999</c:v>
                </c:pt>
                <c:pt idx="4">
                  <c:v>9.4E-2</c:v>
                </c:pt>
                <c:pt idx="5">
                  <c:v>6.7999999999999996E-3</c:v>
                </c:pt>
                <c:pt idx="6">
                  <c:v>7.5499999999999998E-2</c:v>
                </c:pt>
                <c:pt idx="7">
                  <c:v>0.13350000000000001</c:v>
                </c:pt>
                <c:pt idx="8">
                  <c:v>2.9999999999999997E-4</c:v>
                </c:pt>
                <c:pt idx="9">
                  <c:v>0.1265</c:v>
                </c:pt>
                <c:pt idx="10">
                  <c:v>2.9500000000000002E-2</c:v>
                </c:pt>
                <c:pt idx="11">
                  <c:v>4.6399999999999997E-2</c:v>
                </c:pt>
                <c:pt idx="12">
                  <c:v>1.6999999999999999E-3</c:v>
                </c:pt>
                <c:pt idx="13">
                  <c:v>5.0000000000000001E-4</c:v>
                </c:pt>
                <c:pt idx="14">
                  <c:v>2.3E-3</c:v>
                </c:pt>
                <c:pt idx="15">
                  <c:v>2.4899999999999999E-2</c:v>
                </c:pt>
                <c:pt idx="16">
                  <c:v>0.25790000000000002</c:v>
                </c:pt>
                <c:pt idx="17">
                  <c:v>4.0599999999999997E-2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34-418F-9194-E9B6BE88D0D8}"/>
            </c:ext>
          </c:extLst>
        </c:ser>
        <c:ser>
          <c:idx val="3"/>
          <c:order val="3"/>
          <c:tx>
            <c:strRef>
              <c:f>Impacts_systems!$E$2</c:f>
              <c:strCache>
                <c:ptCount val="1"/>
                <c:pt idx="0">
                  <c:v>COGEN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Impacts_systems!$A$3:$A$20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Impacts_systems!$E$3:$E$20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0.97619999999999996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0.92720000000000002</c:v>
                </c:pt>
                <c:pt idx="13">
                  <c:v>0.98140000000000005</c:v>
                </c:pt>
                <c:pt idx="14">
                  <c:v>0.96870000000000001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34-418F-9194-E9B6BE88D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252368"/>
        <c:axId val="489253200"/>
      </c:barChart>
      <c:catAx>
        <c:axId val="489252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253200"/>
        <c:crosses val="autoZero"/>
        <c:auto val="1"/>
        <c:lblAlgn val="ctr"/>
        <c:lblOffset val="100"/>
        <c:noMultiLvlLbl val="0"/>
      </c:catAx>
      <c:valAx>
        <c:axId val="48925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925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Impacts_systems!$B$23</c:f>
              <c:strCache>
                <c:ptCount val="1"/>
                <c:pt idx="0">
                  <c:v>Sugarcane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Impacts_systems!$A$24:$A$41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Impacts_systems!$B$24:$B$41</c:f>
              <c:numCache>
                <c:formatCode>0.00%</c:formatCode>
                <c:ptCount val="18"/>
                <c:pt idx="0">
                  <c:v>0</c:v>
                </c:pt>
                <c:pt idx="1">
                  <c:v>0.46060000000000001</c:v>
                </c:pt>
                <c:pt idx="2">
                  <c:v>0.91539999999999999</c:v>
                </c:pt>
                <c:pt idx="3">
                  <c:v>0.93159999999999998</c:v>
                </c:pt>
                <c:pt idx="4">
                  <c:v>0.98939999999999995</c:v>
                </c:pt>
                <c:pt idx="5">
                  <c:v>0.94189999999999996</c:v>
                </c:pt>
                <c:pt idx="6">
                  <c:v>0.83309999999999995</c:v>
                </c:pt>
                <c:pt idx="7">
                  <c:v>0.92659999999999998</c:v>
                </c:pt>
                <c:pt idx="8">
                  <c:v>0.82550000000000001</c:v>
                </c:pt>
                <c:pt idx="9">
                  <c:v>0.91790000000000005</c:v>
                </c:pt>
                <c:pt idx="10">
                  <c:v>0</c:v>
                </c:pt>
                <c:pt idx="11">
                  <c:v>0.94319999999999993</c:v>
                </c:pt>
                <c:pt idx="12">
                  <c:v>0.67849999999999999</c:v>
                </c:pt>
                <c:pt idx="13">
                  <c:v>0.89900000000000002</c:v>
                </c:pt>
                <c:pt idx="14">
                  <c:v>0.7077</c:v>
                </c:pt>
                <c:pt idx="15">
                  <c:v>0</c:v>
                </c:pt>
                <c:pt idx="16">
                  <c:v>0.88260000000000005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4745-B912-A104CB0564E6}"/>
            </c:ext>
          </c:extLst>
        </c:ser>
        <c:ser>
          <c:idx val="1"/>
          <c:order val="1"/>
          <c:tx>
            <c:strRef>
              <c:f>Impacts_systems!$C$23</c:f>
              <c:strCache>
                <c:ptCount val="1"/>
                <c:pt idx="0">
                  <c:v>Juice Extraction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Impacts_systems!$A$24:$A$41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Impacts_systems!$C$24:$C$41</c:f>
              <c:numCache>
                <c:formatCode>0.00%</c:formatCode>
                <c:ptCount val="18"/>
                <c:pt idx="0">
                  <c:v>0</c:v>
                </c:pt>
                <c:pt idx="1">
                  <c:v>0.49209999999999998</c:v>
                </c:pt>
                <c:pt idx="2">
                  <c:v>2.0999999999999999E-3</c:v>
                </c:pt>
                <c:pt idx="3">
                  <c:v>1.55E-2</c:v>
                </c:pt>
                <c:pt idx="4">
                  <c:v>4.7000000000000002E-3</c:v>
                </c:pt>
                <c:pt idx="5">
                  <c:v>4.9000000000000002E-2</c:v>
                </c:pt>
                <c:pt idx="6">
                  <c:v>3.7000000000000002E-3</c:v>
                </c:pt>
                <c:pt idx="7">
                  <c:v>2.3099999999999999E-2</c:v>
                </c:pt>
                <c:pt idx="8">
                  <c:v>0.17030000000000001</c:v>
                </c:pt>
                <c:pt idx="9">
                  <c:v>1.32E-2</c:v>
                </c:pt>
                <c:pt idx="10">
                  <c:v>0</c:v>
                </c:pt>
                <c:pt idx="11">
                  <c:v>8.9999999999999998E-4</c:v>
                </c:pt>
                <c:pt idx="12">
                  <c:v>0.26319999999999999</c:v>
                </c:pt>
                <c:pt idx="13">
                  <c:v>9.6199999999999994E-2</c:v>
                </c:pt>
                <c:pt idx="14">
                  <c:v>0.2145</c:v>
                </c:pt>
                <c:pt idx="15">
                  <c:v>0</c:v>
                </c:pt>
                <c:pt idx="16">
                  <c:v>1.6899999999999998E-2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4745-B912-A104CB0564E6}"/>
            </c:ext>
          </c:extLst>
        </c:ser>
        <c:ser>
          <c:idx val="2"/>
          <c:order val="2"/>
          <c:tx>
            <c:strRef>
              <c:f>Impacts_systems!$D$23</c:f>
              <c:strCache>
                <c:ptCount val="1"/>
                <c:pt idx="0">
                  <c:v>Sugar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Impacts_systems!$A$24:$A$41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Impacts_systems!$D$24:$D$41</c:f>
              <c:numCache>
                <c:formatCode>0.00%</c:formatCode>
                <c:ptCount val="18"/>
                <c:pt idx="0">
                  <c:v>0</c:v>
                </c:pt>
                <c:pt idx="1">
                  <c:v>3.5000000000000003E-2</c:v>
                </c:pt>
                <c:pt idx="2">
                  <c:v>5.0599999999999999E-2</c:v>
                </c:pt>
                <c:pt idx="3">
                  <c:v>3.4200000000000001E-2</c:v>
                </c:pt>
                <c:pt idx="4">
                  <c:v>4.7000000000000002E-3</c:v>
                </c:pt>
                <c:pt idx="5">
                  <c:v>7.9000000000000008E-3</c:v>
                </c:pt>
                <c:pt idx="6">
                  <c:v>0.14560000000000001</c:v>
                </c:pt>
                <c:pt idx="7">
                  <c:v>3.3799999999999997E-2</c:v>
                </c:pt>
                <c:pt idx="8">
                  <c:v>3.0000000000000001E-3</c:v>
                </c:pt>
                <c:pt idx="9">
                  <c:v>4.0500000000000001E-2</c:v>
                </c:pt>
                <c:pt idx="10">
                  <c:v>0</c:v>
                </c:pt>
                <c:pt idx="11">
                  <c:v>5.1500000000000004E-2</c:v>
                </c:pt>
                <c:pt idx="12">
                  <c:v>5.2499999999999998E-2</c:v>
                </c:pt>
                <c:pt idx="13">
                  <c:v>4.0000000000000001E-3</c:v>
                </c:pt>
                <c:pt idx="14">
                  <c:v>7.0699999999999999E-2</c:v>
                </c:pt>
                <c:pt idx="15">
                  <c:v>0</c:v>
                </c:pt>
                <c:pt idx="16">
                  <c:v>6.3700000000000007E-2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4745-B912-A104CB0564E6}"/>
            </c:ext>
          </c:extLst>
        </c:ser>
        <c:ser>
          <c:idx val="3"/>
          <c:order val="3"/>
          <c:tx>
            <c:strRef>
              <c:f>Impacts_systems!$E$23</c:f>
              <c:strCache>
                <c:ptCount val="1"/>
                <c:pt idx="0">
                  <c:v>Ethanol production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Impacts_systems!$A$24:$A$41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Impacts_systems!$E$24:$E$41</c:f>
              <c:numCache>
                <c:formatCode>0.00%</c:formatCode>
                <c:ptCount val="18"/>
                <c:pt idx="0">
                  <c:v>0</c:v>
                </c:pt>
                <c:pt idx="1">
                  <c:v>1.23E-2</c:v>
                </c:pt>
                <c:pt idx="2">
                  <c:v>3.1899999999999998E-2</c:v>
                </c:pt>
                <c:pt idx="3">
                  <c:v>1.8700000000000001E-2</c:v>
                </c:pt>
                <c:pt idx="4">
                  <c:v>1.1999999999999999E-3</c:v>
                </c:pt>
                <c:pt idx="5">
                  <c:v>1.1999999999999999E-3</c:v>
                </c:pt>
                <c:pt idx="6">
                  <c:v>1.7600000000000001E-2</c:v>
                </c:pt>
                <c:pt idx="7">
                  <c:v>1.6500000000000001E-2</c:v>
                </c:pt>
                <c:pt idx="8">
                  <c:v>1.1999999999999999E-3</c:v>
                </c:pt>
                <c:pt idx="9">
                  <c:v>2.8400000000000002E-2</c:v>
                </c:pt>
                <c:pt idx="10">
                  <c:v>0</c:v>
                </c:pt>
                <c:pt idx="11">
                  <c:v>4.4000000000000003E-3</c:v>
                </c:pt>
                <c:pt idx="12">
                  <c:v>5.7999999999999996E-3</c:v>
                </c:pt>
                <c:pt idx="13">
                  <c:v>8.0000000000000004E-4</c:v>
                </c:pt>
                <c:pt idx="14">
                  <c:v>7.1000000000000004E-3</c:v>
                </c:pt>
                <c:pt idx="15">
                  <c:v>0</c:v>
                </c:pt>
                <c:pt idx="16">
                  <c:v>3.6799999999999999E-2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4745-B912-A104CB056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8111440"/>
        <c:axId val="2108112272"/>
      </c:barChart>
      <c:catAx>
        <c:axId val="2108111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8112272"/>
        <c:crosses val="autoZero"/>
        <c:auto val="1"/>
        <c:lblAlgn val="ctr"/>
        <c:lblOffset val="100"/>
        <c:noMultiLvlLbl val="0"/>
      </c:catAx>
      <c:valAx>
        <c:axId val="210811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811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Impacts_systems!$B$45</c:f>
              <c:strCache>
                <c:ptCount val="1"/>
                <c:pt idx="0">
                  <c:v>Corn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Impacts_systems!$A$46:$A$63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Impacts_systems!$B$46:$B$63</c:f>
              <c:numCache>
                <c:formatCode>0.00%</c:formatCode>
                <c:ptCount val="18"/>
                <c:pt idx="0">
                  <c:v>0.99470000000000003</c:v>
                </c:pt>
                <c:pt idx="1">
                  <c:v>0.39100000000000001</c:v>
                </c:pt>
                <c:pt idx="2">
                  <c:v>0.18379999999999999</c:v>
                </c:pt>
                <c:pt idx="3">
                  <c:v>0.83299999999999996</c:v>
                </c:pt>
                <c:pt idx="4">
                  <c:v>0.86639999999999995</c:v>
                </c:pt>
                <c:pt idx="5">
                  <c:v>0.45610000000000001</c:v>
                </c:pt>
                <c:pt idx="6">
                  <c:v>0.41099999999999998</c:v>
                </c:pt>
                <c:pt idx="7">
                  <c:v>0.61080000000000001</c:v>
                </c:pt>
                <c:pt idx="8">
                  <c:v>0.88519999999999999</c:v>
                </c:pt>
                <c:pt idx="9">
                  <c:v>0.65620000000000001</c:v>
                </c:pt>
                <c:pt idx="10">
                  <c:v>0.25940000000000002</c:v>
                </c:pt>
                <c:pt idx="11">
                  <c:v>0.40050000000000002</c:v>
                </c:pt>
                <c:pt idx="12">
                  <c:v>0.59419999999999995</c:v>
                </c:pt>
                <c:pt idx="13">
                  <c:v>0.59660000000000002</c:v>
                </c:pt>
                <c:pt idx="14">
                  <c:v>0.73619999999999997</c:v>
                </c:pt>
                <c:pt idx="15">
                  <c:v>0.87760000000000005</c:v>
                </c:pt>
                <c:pt idx="16">
                  <c:v>0.54349999999999998</c:v>
                </c:pt>
                <c:pt idx="17">
                  <c:v>0.77349999999999997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8-4527-9877-35F3FD1E242E}"/>
            </c:ext>
          </c:extLst>
        </c:ser>
        <c:ser>
          <c:idx val="1"/>
          <c:order val="1"/>
          <c:tx>
            <c:strRef>
              <c:f>Impacts_systems!$C$45</c:f>
              <c:strCache>
                <c:ptCount val="1"/>
                <c:pt idx="0">
                  <c:v>Ethanol produciton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Impacts_systems!$A$46:$A$63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Impacts_systems!$C$46:$C$63</c:f>
              <c:numCache>
                <c:formatCode>0.00%</c:formatCode>
                <c:ptCount val="18"/>
                <c:pt idx="0">
                  <c:v>5.3E-3</c:v>
                </c:pt>
                <c:pt idx="1">
                  <c:v>0.60899999999999999</c:v>
                </c:pt>
                <c:pt idx="2">
                  <c:v>0.81620000000000004</c:v>
                </c:pt>
                <c:pt idx="3">
                  <c:v>0.16700000000000004</c:v>
                </c:pt>
                <c:pt idx="4">
                  <c:v>0.13360000000000005</c:v>
                </c:pt>
                <c:pt idx="5">
                  <c:v>0.54390000000000005</c:v>
                </c:pt>
                <c:pt idx="6">
                  <c:v>0.58899999999999997</c:v>
                </c:pt>
                <c:pt idx="7">
                  <c:v>0.38919999999999999</c:v>
                </c:pt>
                <c:pt idx="8">
                  <c:v>0.11480000000000001</c:v>
                </c:pt>
                <c:pt idx="9">
                  <c:v>0.34379999999999999</c:v>
                </c:pt>
                <c:pt idx="10">
                  <c:v>0.74059999999999993</c:v>
                </c:pt>
                <c:pt idx="11">
                  <c:v>0.59949999999999992</c:v>
                </c:pt>
                <c:pt idx="12">
                  <c:v>0.40580000000000005</c:v>
                </c:pt>
                <c:pt idx="13">
                  <c:v>0.40339999999999998</c:v>
                </c:pt>
                <c:pt idx="14">
                  <c:v>0.26380000000000003</c:v>
                </c:pt>
                <c:pt idx="15">
                  <c:v>0.12239999999999995</c:v>
                </c:pt>
                <c:pt idx="16">
                  <c:v>0.45650000000000002</c:v>
                </c:pt>
                <c:pt idx="17">
                  <c:v>0.22650000000000003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E8-4527-9877-35F3FD1E2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044272"/>
        <c:axId val="474046768"/>
      </c:barChart>
      <c:catAx>
        <c:axId val="474044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046768"/>
        <c:crosses val="autoZero"/>
        <c:auto val="1"/>
        <c:lblAlgn val="ctr"/>
        <c:lblOffset val="100"/>
        <c:noMultiLvlLbl val="0"/>
      </c:catAx>
      <c:valAx>
        <c:axId val="47404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404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Impacts_systems!$B$67</c:f>
              <c:strCache>
                <c:ptCount val="1"/>
                <c:pt idx="0">
                  <c:v>Sugarcane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Impacts_systems!$A$68:$A$85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Impacts_systems!$B$68:$B$85</c:f>
              <c:numCache>
                <c:formatCode>0.00%</c:formatCode>
                <c:ptCount val="18"/>
                <c:pt idx="0" formatCode="0%">
                  <c:v>0</c:v>
                </c:pt>
                <c:pt idx="1">
                  <c:v>0.67069999999999996</c:v>
                </c:pt>
                <c:pt idx="2">
                  <c:v>0.93369999999999997</c:v>
                </c:pt>
                <c:pt idx="3" formatCode="0%">
                  <c:v>0</c:v>
                </c:pt>
                <c:pt idx="4">
                  <c:v>0.70820000000000005</c:v>
                </c:pt>
                <c:pt idx="5">
                  <c:v>1.4E-3</c:v>
                </c:pt>
                <c:pt idx="6">
                  <c:v>0.64629999999999999</c:v>
                </c:pt>
                <c:pt idx="7">
                  <c:v>3.8800000000000001E-2</c:v>
                </c:pt>
                <c:pt idx="8">
                  <c:v>1.89E-2</c:v>
                </c:pt>
                <c:pt idx="9">
                  <c:v>3.7100000000000001E-2</c:v>
                </c:pt>
                <c:pt idx="10" formatCode="0%">
                  <c:v>0</c:v>
                </c:pt>
                <c:pt idx="11">
                  <c:v>0.6885</c:v>
                </c:pt>
                <c:pt idx="12">
                  <c:v>4.7000000000000002E-3</c:v>
                </c:pt>
                <c:pt idx="13">
                  <c:v>2.9700000000000001E-2</c:v>
                </c:pt>
                <c:pt idx="14">
                  <c:v>2.4399999999999998E-2</c:v>
                </c:pt>
                <c:pt idx="15">
                  <c:v>3.0099999999999998E-2</c:v>
                </c:pt>
                <c:pt idx="16" formatCode="0%">
                  <c:v>0</c:v>
                </c:pt>
                <c:pt idx="17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A-4578-8E6E-DF2A467395ED}"/>
            </c:ext>
          </c:extLst>
        </c:ser>
        <c:ser>
          <c:idx val="1"/>
          <c:order val="1"/>
          <c:tx>
            <c:strRef>
              <c:f>Impacts_systems!$C$67</c:f>
              <c:strCache>
                <c:ptCount val="1"/>
                <c:pt idx="0">
                  <c:v>Juice Extraction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Impacts_systems!$A$68:$A$85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Impacts_systems!$C$68:$C$85</c:f>
              <c:numCache>
                <c:formatCode>0.00%</c:formatCode>
                <c:ptCount val="18"/>
                <c:pt idx="0" formatCode="0%">
                  <c:v>0</c:v>
                </c:pt>
                <c:pt idx="1">
                  <c:v>0.2959</c:v>
                </c:pt>
                <c:pt idx="2">
                  <c:v>2.2599999999999999E-2</c:v>
                </c:pt>
                <c:pt idx="3" formatCode="0%">
                  <c:v>0</c:v>
                </c:pt>
                <c:pt idx="4">
                  <c:v>0.13059999999999999</c:v>
                </c:pt>
                <c:pt idx="5">
                  <c:v>0.99529999999999996</c:v>
                </c:pt>
                <c:pt idx="6">
                  <c:v>0.16879999999999998</c:v>
                </c:pt>
                <c:pt idx="7">
                  <c:v>0.95989999999999998</c:v>
                </c:pt>
                <c:pt idx="8">
                  <c:v>0.97849999999999993</c:v>
                </c:pt>
                <c:pt idx="9">
                  <c:v>0.96009999999999995</c:v>
                </c:pt>
                <c:pt idx="10" formatCode="0%">
                  <c:v>0</c:v>
                </c:pt>
                <c:pt idx="11">
                  <c:v>0.1709</c:v>
                </c:pt>
                <c:pt idx="12">
                  <c:v>0.99529999999999996</c:v>
                </c:pt>
                <c:pt idx="13">
                  <c:v>0.9667</c:v>
                </c:pt>
                <c:pt idx="14">
                  <c:v>0.94010000000000005</c:v>
                </c:pt>
                <c:pt idx="15">
                  <c:v>0.94940000000000002</c:v>
                </c:pt>
                <c:pt idx="16" formatCode="0%">
                  <c:v>0</c:v>
                </c:pt>
                <c:pt idx="17" formatCode="0%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A-4578-8E6E-DF2A467395ED}"/>
            </c:ext>
          </c:extLst>
        </c:ser>
        <c:ser>
          <c:idx val="2"/>
          <c:order val="2"/>
          <c:tx>
            <c:strRef>
              <c:f>Impacts_systems!$D$67</c:f>
              <c:strCache>
                <c:ptCount val="1"/>
                <c:pt idx="0">
                  <c:v>Ethanol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Impacts_systems!$A$68:$A$85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Impacts_systems!$D$68:$D$85</c:f>
              <c:numCache>
                <c:formatCode>0.00%</c:formatCode>
                <c:ptCount val="18"/>
                <c:pt idx="0" formatCode="0%">
                  <c:v>0</c:v>
                </c:pt>
                <c:pt idx="1">
                  <c:v>3.3399999999999985E-2</c:v>
                </c:pt>
                <c:pt idx="2">
                  <c:v>4.3700000000000072E-2</c:v>
                </c:pt>
                <c:pt idx="3">
                  <c:v>0</c:v>
                </c:pt>
                <c:pt idx="4">
                  <c:v>0.1611999999999999</c:v>
                </c:pt>
                <c:pt idx="5">
                  <c:v>3.3000000000000373E-3</c:v>
                </c:pt>
                <c:pt idx="6">
                  <c:v>0.18490000000000006</c:v>
                </c:pt>
                <c:pt idx="7">
                  <c:v>1.3000000000000234E-3</c:v>
                </c:pt>
                <c:pt idx="8">
                  <c:v>2.6000000000000745E-3</c:v>
                </c:pt>
                <c:pt idx="9">
                  <c:v>2.8000000000000455E-3</c:v>
                </c:pt>
                <c:pt idx="10">
                  <c:v>0</c:v>
                </c:pt>
                <c:pt idx="11">
                  <c:v>0.14059999999999995</c:v>
                </c:pt>
                <c:pt idx="12">
                  <c:v>3.7296554733501353E-17</c:v>
                </c:pt>
                <c:pt idx="13">
                  <c:v>3.5999999999999956E-3</c:v>
                </c:pt>
                <c:pt idx="14">
                  <c:v>3.5499999999999955E-2</c:v>
                </c:pt>
                <c:pt idx="15">
                  <c:v>2.049999999999998E-2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1A-4578-8E6E-DF2A46739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2730848"/>
        <c:axId val="2092732096"/>
      </c:barChart>
      <c:catAx>
        <c:axId val="2092730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2732096"/>
        <c:crosses val="autoZero"/>
        <c:auto val="1"/>
        <c:lblAlgn val="ctr"/>
        <c:lblOffset val="100"/>
        <c:noMultiLvlLbl val="0"/>
      </c:catAx>
      <c:valAx>
        <c:axId val="209273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273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Impacts_systems!$B$89</c:f>
              <c:strCache>
                <c:ptCount val="1"/>
                <c:pt idx="0">
                  <c:v>Sugarcane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Impacts_systems!$A$90:$A$107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Impacts_systems!$B$89:$B$107</c:f>
              <c:numCache>
                <c:formatCode>0%</c:formatCode>
                <c:ptCount val="19"/>
                <c:pt idx="0" formatCode="General">
                  <c:v>0</c:v>
                </c:pt>
                <c:pt idx="1">
                  <c:v>0</c:v>
                </c:pt>
                <c:pt idx="2" formatCode="0.00%">
                  <c:v>0.2767</c:v>
                </c:pt>
                <c:pt idx="3" formatCode="0.00%">
                  <c:v>0.93610000000000004</c:v>
                </c:pt>
                <c:pt idx="4">
                  <c:v>0</c:v>
                </c:pt>
                <c:pt idx="5" formatCode="0.00%">
                  <c:v>0.63249999999999995</c:v>
                </c:pt>
                <c:pt idx="6" formatCode="0.00%">
                  <c:v>4.1399999999999999E-2</c:v>
                </c:pt>
                <c:pt idx="7" formatCode="0.00%">
                  <c:v>0.9446</c:v>
                </c:pt>
                <c:pt idx="8" formatCode="0.00%">
                  <c:v>0.82920000000000005</c:v>
                </c:pt>
                <c:pt idx="9">
                  <c:v>0</c:v>
                </c:pt>
                <c:pt idx="10" formatCode="0.00%">
                  <c:v>0.76890000000000003</c:v>
                </c:pt>
                <c:pt idx="11">
                  <c:v>0</c:v>
                </c:pt>
                <c:pt idx="12" formatCode="0.0%">
                  <c:v>0.90200000000000002</c:v>
                </c:pt>
                <c:pt idx="13" formatCode="0.00%">
                  <c:v>0.19650000000000001</c:v>
                </c:pt>
                <c:pt idx="14" formatCode="0.00%">
                  <c:v>0.44590000000000002</c:v>
                </c:pt>
                <c:pt idx="15">
                  <c:v>0</c:v>
                </c:pt>
                <c:pt idx="16" formatCode="0.00%">
                  <c:v>0.83320000000000005</c:v>
                </c:pt>
                <c:pt idx="17" formatCode="0.00%">
                  <c:v>0.47159999999999996</c:v>
                </c:pt>
                <c:pt idx="18" formatCode="0.00%">
                  <c:v>1.15E-2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2-4F19-812A-1820A8EC0527}"/>
            </c:ext>
          </c:extLst>
        </c:ser>
        <c:ser>
          <c:idx val="1"/>
          <c:order val="1"/>
          <c:tx>
            <c:strRef>
              <c:f>Impacts_systems!$C$89</c:f>
              <c:strCache>
                <c:ptCount val="1"/>
                <c:pt idx="0">
                  <c:v>Sugar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Impacts_systems!$A$90:$A$107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Impacts_systems!$C$89:$C$107</c:f>
              <c:numCache>
                <c:formatCode>0%</c:formatCode>
                <c:ptCount val="19"/>
                <c:pt idx="0" formatCode="General">
                  <c:v>0</c:v>
                </c:pt>
                <c:pt idx="1">
                  <c:v>0</c:v>
                </c:pt>
                <c:pt idx="2" formatCode="0.00%">
                  <c:v>0.69259999999999999</c:v>
                </c:pt>
                <c:pt idx="3" formatCode="0.00%">
                  <c:v>4.3200000000000002E-2</c:v>
                </c:pt>
                <c:pt idx="4">
                  <c:v>0</c:v>
                </c:pt>
                <c:pt idx="5" formatCode="0.00%">
                  <c:v>0.36159999999999998</c:v>
                </c:pt>
                <c:pt idx="6" formatCode="0.00%">
                  <c:v>0.95809999999999995</c:v>
                </c:pt>
                <c:pt idx="7" formatCode="0.00%">
                  <c:v>4.6399999999999997E-2</c:v>
                </c:pt>
                <c:pt idx="8" formatCode="0.00%">
                  <c:v>0.159</c:v>
                </c:pt>
                <c:pt idx="9">
                  <c:v>0</c:v>
                </c:pt>
                <c:pt idx="10" formatCode="0.00%">
                  <c:v>0.21809999999999999</c:v>
                </c:pt>
                <c:pt idx="11">
                  <c:v>0</c:v>
                </c:pt>
                <c:pt idx="12" formatCode="0.0%">
                  <c:v>2.4E-2</c:v>
                </c:pt>
                <c:pt idx="13" formatCode="0.00%">
                  <c:v>0.80069999999999997</c:v>
                </c:pt>
                <c:pt idx="14" formatCode="0.00%">
                  <c:v>0.5514</c:v>
                </c:pt>
                <c:pt idx="15">
                  <c:v>0</c:v>
                </c:pt>
                <c:pt idx="16" formatCode="0.00%">
                  <c:v>1.9099999999999999E-2</c:v>
                </c:pt>
                <c:pt idx="17" formatCode="0.00%">
                  <c:v>0.49700000000000005</c:v>
                </c:pt>
                <c:pt idx="18" formatCode="0.00%">
                  <c:v>1.4E-3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C2-4F19-812A-1820A8EC0527}"/>
            </c:ext>
          </c:extLst>
        </c:ser>
        <c:ser>
          <c:idx val="2"/>
          <c:order val="2"/>
          <c:tx>
            <c:strRef>
              <c:f>Impacts_systems!$D$89</c:f>
              <c:strCache>
                <c:ptCount val="1"/>
                <c:pt idx="0">
                  <c:v>Ethanol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Impacts_systems!$A$90:$A$107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Impacts_systems!$D$89:$D$107</c:f>
              <c:numCache>
                <c:formatCode>0%</c:formatCode>
                <c:ptCount val="19"/>
                <c:pt idx="0" formatCode="General">
                  <c:v>0</c:v>
                </c:pt>
                <c:pt idx="1">
                  <c:v>0</c:v>
                </c:pt>
                <c:pt idx="2" formatCode="0.00%">
                  <c:v>3.0700000000000005E-2</c:v>
                </c:pt>
                <c:pt idx="3" formatCode="0.00%">
                  <c:v>2.0699999999999941E-2</c:v>
                </c:pt>
                <c:pt idx="4" formatCode="0.00%">
                  <c:v>1</c:v>
                </c:pt>
                <c:pt idx="5" formatCode="0.00%">
                  <c:v>5.9000000000001274E-3</c:v>
                </c:pt>
                <c:pt idx="6" formatCode="0.00%">
                  <c:v>5.0000000000004902E-4</c:v>
                </c:pt>
                <c:pt idx="7" formatCode="0.00%">
                  <c:v>9.000000000000008E-3</c:v>
                </c:pt>
                <c:pt idx="8" formatCode="0.00%">
                  <c:v>1.1799999999999922E-2</c:v>
                </c:pt>
                <c:pt idx="9" formatCode="0.00%">
                  <c:v>1</c:v>
                </c:pt>
                <c:pt idx="10" formatCode="0.00%">
                  <c:v>1.3000000000000012E-2</c:v>
                </c:pt>
                <c:pt idx="11" formatCode="0.00%">
                  <c:v>1</c:v>
                </c:pt>
                <c:pt idx="12" formatCode="0.00%">
                  <c:v>7.3999999999999955E-2</c:v>
                </c:pt>
                <c:pt idx="13" formatCode="0.00%">
                  <c:v>2.8000000000000247E-3</c:v>
                </c:pt>
                <c:pt idx="14" formatCode="0.00%">
                  <c:v>2.6999999999999802E-3</c:v>
                </c:pt>
                <c:pt idx="15" formatCode="0.00%">
                  <c:v>1</c:v>
                </c:pt>
                <c:pt idx="16" formatCode="0.00%">
                  <c:v>0.14769999999999994</c:v>
                </c:pt>
                <c:pt idx="17" formatCode="0.00%">
                  <c:v>3.1399999999999928E-2</c:v>
                </c:pt>
                <c:pt idx="18" formatCode="0.00%">
                  <c:v>0.98710000000000009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C2-4F19-812A-1820A8EC0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7755568"/>
        <c:axId val="1377756816"/>
      </c:barChart>
      <c:catAx>
        <c:axId val="1377755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756816"/>
        <c:crosses val="autoZero"/>
        <c:auto val="1"/>
        <c:lblAlgn val="ctr"/>
        <c:lblOffset val="100"/>
        <c:noMultiLvlLbl val="0"/>
      </c:catAx>
      <c:valAx>
        <c:axId val="137775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77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Impacts_systems!$B$112</c:f>
              <c:strCache>
                <c:ptCount val="1"/>
                <c:pt idx="0">
                  <c:v>Soybean production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Impacts_systems!$A$113:$A$130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Impacts_systems!$B$113:$B$130</c:f>
              <c:numCache>
                <c:formatCode>0.00%</c:formatCode>
                <c:ptCount val="18"/>
                <c:pt idx="0">
                  <c:v>0.30380000000000001</c:v>
                </c:pt>
                <c:pt idx="1">
                  <c:v>0.7016</c:v>
                </c:pt>
                <c:pt idx="2">
                  <c:v>0.40720000000000001</c:v>
                </c:pt>
                <c:pt idx="3">
                  <c:v>0.83079999999999998</c:v>
                </c:pt>
                <c:pt idx="4">
                  <c:v>0.79600000000000004</c:v>
                </c:pt>
                <c:pt idx="5">
                  <c:v>0.82640000000000002</c:v>
                </c:pt>
                <c:pt idx="6">
                  <c:v>0.89390000000000003</c:v>
                </c:pt>
                <c:pt idx="7">
                  <c:v>0.8508</c:v>
                </c:pt>
                <c:pt idx="8">
                  <c:v>0.83050000000000002</c:v>
                </c:pt>
                <c:pt idx="9">
                  <c:v>0.90269999999999995</c:v>
                </c:pt>
                <c:pt idx="10">
                  <c:v>0.36469999999999997</c:v>
                </c:pt>
                <c:pt idx="11">
                  <c:v>0.58360000000000001</c:v>
                </c:pt>
                <c:pt idx="12">
                  <c:v>0.78790000000000004</c:v>
                </c:pt>
                <c:pt idx="13">
                  <c:v>0.75450000000000006</c:v>
                </c:pt>
                <c:pt idx="14">
                  <c:v>0.72719999999999996</c:v>
                </c:pt>
                <c:pt idx="15">
                  <c:v>0.77410000000000001</c:v>
                </c:pt>
                <c:pt idx="16">
                  <c:v>0.40110000000000001</c:v>
                </c:pt>
                <c:pt idx="17">
                  <c:v>0.92530000000000001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5-4101-BA99-65438EBAFF6E}"/>
            </c:ext>
          </c:extLst>
        </c:ser>
        <c:ser>
          <c:idx val="1"/>
          <c:order val="1"/>
          <c:tx>
            <c:strRef>
              <c:f>Impacts_systems!$C$112</c:f>
              <c:strCache>
                <c:ptCount val="1"/>
                <c:pt idx="0">
                  <c:v>Soybean transportation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Impacts_systems!$A$113:$A$130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Impacts_systems!$C$113:$C$130</c:f>
              <c:numCache>
                <c:formatCode>0.00%</c:formatCode>
                <c:ptCount val="18"/>
                <c:pt idx="0">
                  <c:v>5.0000000000000001E-4</c:v>
                </c:pt>
                <c:pt idx="1">
                  <c:v>4.36E-2</c:v>
                </c:pt>
                <c:pt idx="2">
                  <c:v>0.14130000000000001</c:v>
                </c:pt>
                <c:pt idx="3">
                  <c:v>1.34E-2</c:v>
                </c:pt>
                <c:pt idx="4">
                  <c:v>1.2800000000000001E-2</c:v>
                </c:pt>
                <c:pt idx="5">
                  <c:v>1.9300000000000001E-2</c:v>
                </c:pt>
                <c:pt idx="6">
                  <c:v>3.0499999999999999E-2</c:v>
                </c:pt>
                <c:pt idx="7">
                  <c:v>1.26E-2</c:v>
                </c:pt>
                <c:pt idx="8">
                  <c:v>3.1E-2</c:v>
                </c:pt>
                <c:pt idx="9">
                  <c:v>1.26E-2</c:v>
                </c:pt>
                <c:pt idx="10">
                  <c:v>0.14279999999999998</c:v>
                </c:pt>
                <c:pt idx="11">
                  <c:v>0.11289999999999999</c:v>
                </c:pt>
                <c:pt idx="12">
                  <c:v>3.7900000000000003E-2</c:v>
                </c:pt>
                <c:pt idx="13">
                  <c:v>4.2199999999999994E-2</c:v>
                </c:pt>
                <c:pt idx="14">
                  <c:v>5.9000000000000004E-2</c:v>
                </c:pt>
                <c:pt idx="15">
                  <c:v>3.1699999999999999E-2</c:v>
                </c:pt>
                <c:pt idx="16">
                  <c:v>8.9999999999999998E-4</c:v>
                </c:pt>
                <c:pt idx="17">
                  <c:v>3.7000000000000002E-3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5-4101-BA99-65438EBAFF6E}"/>
            </c:ext>
          </c:extLst>
        </c:ser>
        <c:ser>
          <c:idx val="2"/>
          <c:order val="2"/>
          <c:tx>
            <c:strRef>
              <c:f>Impacts_systems!$D$112</c:f>
              <c:strCache>
                <c:ptCount val="1"/>
                <c:pt idx="0">
                  <c:v>Soybean oil extraction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Impacts_systems!$A$113:$A$130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Impacts_systems!$D$113:$D$130</c:f>
              <c:numCache>
                <c:formatCode>0.00%</c:formatCode>
                <c:ptCount val="18"/>
                <c:pt idx="0">
                  <c:v>0.34060000000000001</c:v>
                </c:pt>
                <c:pt idx="1">
                  <c:v>8.2699999999999996E-2</c:v>
                </c:pt>
                <c:pt idx="2">
                  <c:v>0.1807</c:v>
                </c:pt>
                <c:pt idx="3">
                  <c:v>3.1E-2</c:v>
                </c:pt>
                <c:pt idx="4">
                  <c:v>4.9799999999999997E-2</c:v>
                </c:pt>
                <c:pt idx="5">
                  <c:v>4.6399999999999997E-2</c:v>
                </c:pt>
                <c:pt idx="6">
                  <c:v>4.1399999999999999E-2</c:v>
                </c:pt>
                <c:pt idx="7">
                  <c:v>3.0899999999999997E-2</c:v>
                </c:pt>
                <c:pt idx="8">
                  <c:v>5.21E-2</c:v>
                </c:pt>
                <c:pt idx="9">
                  <c:v>2.5399999999999999E-2</c:v>
                </c:pt>
                <c:pt idx="10">
                  <c:v>0.31109999999999999</c:v>
                </c:pt>
                <c:pt idx="11">
                  <c:v>0.1406</c:v>
                </c:pt>
                <c:pt idx="12">
                  <c:v>6.7199999999999996E-2</c:v>
                </c:pt>
                <c:pt idx="13">
                  <c:v>8.48E-2</c:v>
                </c:pt>
                <c:pt idx="14">
                  <c:v>8.8499999999999995E-2</c:v>
                </c:pt>
                <c:pt idx="15">
                  <c:v>5.7200000000000001E-2</c:v>
                </c:pt>
                <c:pt idx="16">
                  <c:v>0.29510000000000003</c:v>
                </c:pt>
                <c:pt idx="17">
                  <c:v>1.6399999999999998E-2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5-4101-BA99-65438EBAFF6E}"/>
            </c:ext>
          </c:extLst>
        </c:ser>
        <c:ser>
          <c:idx val="3"/>
          <c:order val="3"/>
          <c:tx>
            <c:strRef>
              <c:f>Impacts_systems!$E$112</c:f>
              <c:strCache>
                <c:ptCount val="1"/>
                <c:pt idx="0">
                  <c:v>Soybean oil refining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Impacts_systems!$A$113:$A$130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Impacts_systems!$E$113:$E$130</c:f>
              <c:numCache>
                <c:formatCode>0.00%</c:formatCode>
                <c:ptCount val="18"/>
                <c:pt idx="0" formatCode="0%">
                  <c:v>0.34</c:v>
                </c:pt>
                <c:pt idx="1">
                  <c:v>2.6499999999999999E-2</c:v>
                </c:pt>
                <c:pt idx="2">
                  <c:v>1.54E-2</c:v>
                </c:pt>
                <c:pt idx="3">
                  <c:v>1.9900000000000001E-2</c:v>
                </c:pt>
                <c:pt idx="4">
                  <c:v>4.5900000000000003E-2</c:v>
                </c:pt>
                <c:pt idx="5">
                  <c:v>2.8399999999999998E-2</c:v>
                </c:pt>
                <c:pt idx="6">
                  <c:v>6.3E-3</c:v>
                </c:pt>
                <c:pt idx="7">
                  <c:v>2.1000000000000001E-2</c:v>
                </c:pt>
                <c:pt idx="8">
                  <c:v>1.78E-2</c:v>
                </c:pt>
                <c:pt idx="9">
                  <c:v>1.06E-2</c:v>
                </c:pt>
                <c:pt idx="10">
                  <c:v>2.3199999999999998E-2</c:v>
                </c:pt>
                <c:pt idx="11">
                  <c:v>1.41E-2</c:v>
                </c:pt>
                <c:pt idx="12">
                  <c:v>2.6499999999999999E-2</c:v>
                </c:pt>
                <c:pt idx="13">
                  <c:v>3.1E-2</c:v>
                </c:pt>
                <c:pt idx="14">
                  <c:v>2.2799999999999997E-2</c:v>
                </c:pt>
                <c:pt idx="15">
                  <c:v>2.2799999999999997E-2</c:v>
                </c:pt>
                <c:pt idx="16">
                  <c:v>0.29420000000000002</c:v>
                </c:pt>
                <c:pt idx="17">
                  <c:v>1.49E-2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5-4101-BA99-65438EBAFF6E}"/>
            </c:ext>
          </c:extLst>
        </c:ser>
        <c:ser>
          <c:idx val="4"/>
          <c:order val="4"/>
          <c:tx>
            <c:strRef>
              <c:f>Impacts_systems!$F$112</c:f>
              <c:strCache>
                <c:ptCount val="1"/>
                <c:pt idx="0">
                  <c:v>Transterification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Impacts_systems!$A$113:$A$130</c:f>
              <c:strCache>
                <c:ptCount val="18"/>
                <c:pt idx="0">
                  <c:v>agricultural land occupation [m².a]</c:v>
                </c:pt>
                <c:pt idx="1">
                  <c:v>climate change [g CO2 eq]</c:v>
                </c:pt>
                <c:pt idx="2">
                  <c:v>fossil depletion [kg oil eq]</c:v>
                </c:pt>
                <c:pt idx="3">
                  <c:v>freshwater ecotoxicity [kg 1,4-DCB eq]</c:v>
                </c:pt>
                <c:pt idx="4">
                  <c:v>freshwater eutrophication [kg P eq]</c:v>
                </c:pt>
                <c:pt idx="5">
                  <c:v>human toxicity [kg 1,4-DCB eq]</c:v>
                </c:pt>
                <c:pt idx="6">
                  <c:v>ionising radiation [kg U235-Eq]</c:v>
                </c:pt>
                <c:pt idx="7">
                  <c:v>marine ecotoxicity [kg 1,4-DCB-Eq]</c:v>
                </c:pt>
                <c:pt idx="8">
                  <c:v>marine eutrophication [kg N-Eq]</c:v>
                </c:pt>
                <c:pt idx="9">
                  <c:v>metal depletion [kg Fe-Eq]</c:v>
                </c:pt>
                <c:pt idx="10">
                  <c:v>natural land transformation [m²]</c:v>
                </c:pt>
                <c:pt idx="11">
                  <c:v>ozone depletion [kg CFC-11-Eq]</c:v>
                </c:pt>
                <c:pt idx="12">
                  <c:v>particulate matter formation [kg PM10-Eq]</c:v>
                </c:pt>
                <c:pt idx="13">
                  <c:v>photochemical oxidant formation [kg NMVOC]</c:v>
                </c:pt>
                <c:pt idx="14">
                  <c:v>terrestrial acidification [kg SO2-Eq]</c:v>
                </c:pt>
                <c:pt idx="15">
                  <c:v>terrestrial ecotoxicity [kg 1,4-DCB-Eq]</c:v>
                </c:pt>
                <c:pt idx="16">
                  <c:v>urban land occupation [m².a]</c:v>
                </c:pt>
                <c:pt idx="17">
                  <c:v>water depletion [m³]</c:v>
                </c:pt>
              </c:strCache>
            </c:strRef>
          </c:cat>
          <c:val>
            <c:numRef>
              <c:f>Impacts_systems!$F$113:$F$130</c:f>
              <c:numCache>
                <c:formatCode>0.00%</c:formatCode>
                <c:ptCount val="18"/>
                <c:pt idx="0">
                  <c:v>1.5099999999999891E-2</c:v>
                </c:pt>
                <c:pt idx="1">
                  <c:v>0.14560000000000006</c:v>
                </c:pt>
                <c:pt idx="2">
                  <c:v>0.25540000000000007</c:v>
                </c:pt>
                <c:pt idx="3">
                  <c:v>0.10489999999999999</c:v>
                </c:pt>
                <c:pt idx="4">
                  <c:v>9.5499999999999918E-2</c:v>
                </c:pt>
                <c:pt idx="5">
                  <c:v>7.9500000000000015E-2</c:v>
                </c:pt>
                <c:pt idx="6">
                  <c:v>2.7900000000000036E-2</c:v>
                </c:pt>
                <c:pt idx="7">
                  <c:v>8.4699999999999998E-2</c:v>
                </c:pt>
                <c:pt idx="8">
                  <c:v>6.8599999999999883E-2</c:v>
                </c:pt>
                <c:pt idx="9">
                  <c:v>4.8700000000000077E-2</c:v>
                </c:pt>
                <c:pt idx="10">
                  <c:v>0.15819999999999995</c:v>
                </c:pt>
                <c:pt idx="11">
                  <c:v>0.14879999999999993</c:v>
                </c:pt>
                <c:pt idx="12">
                  <c:v>8.0499999999999905E-2</c:v>
                </c:pt>
                <c:pt idx="13">
                  <c:v>8.7499999999999911E-2</c:v>
                </c:pt>
                <c:pt idx="14">
                  <c:v>0.10249999999999992</c:v>
                </c:pt>
                <c:pt idx="15">
                  <c:v>0.11419999999999997</c:v>
                </c:pt>
                <c:pt idx="16">
                  <c:v>8.69999999999993E-3</c:v>
                </c:pt>
                <c:pt idx="17">
                  <c:v>3.9699999999999958E-2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45-4101-BA99-65438EBAF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3723536"/>
        <c:axId val="1723726032"/>
      </c:barChart>
      <c:catAx>
        <c:axId val="172372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726032"/>
        <c:crosses val="autoZero"/>
        <c:auto val="1"/>
        <c:lblAlgn val="ctr"/>
        <c:lblOffset val="100"/>
        <c:noMultiLvlLbl val="0"/>
      </c:catAx>
      <c:valAx>
        <c:axId val="172372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72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Recipe Midpoint (H)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Brazil</c:v>
              </c:pt>
              <c:pt idx="1">
                <c:v> Argentina SC</c:v>
              </c:pt>
              <c:pt idx="2">
                <c:v> Argentina CO</c:v>
              </c:pt>
              <c:pt idx="3">
                <c:v> Colombia</c:v>
              </c:pt>
              <c:pt idx="4">
                <c:v> Guatemala</c:v>
              </c:pt>
            </c:strLit>
          </c:cat>
          <c:val>
            <c:numRef>
              <c:f>(Comparison!$C$3,Comparison!$F$3,Comparison!$I$3,Comparison!$L$3,Comparison!$O$3)</c:f>
              <c:numCache>
                <c:formatCode>0.0</c:formatCode>
                <c:ptCount val="5"/>
                <c:pt idx="0">
                  <c:v>28.090815876978699</c:v>
                </c:pt>
                <c:pt idx="1">
                  <c:v>25.529716711784999</c:v>
                </c:pt>
                <c:pt idx="2">
                  <c:v>53.521422413050601</c:v>
                </c:pt>
                <c:pt idx="3">
                  <c:v>22.032</c:v>
                </c:pt>
                <c:pt idx="4">
                  <c:v>28.572493787691297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8D-4026-B051-1966F82B100B}"/>
            </c:ext>
          </c:extLst>
        </c:ser>
        <c:ser>
          <c:idx val="1"/>
          <c:order val="1"/>
          <c:tx>
            <c:v>IPCC 2007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(Comparison!$C$8,Comparison!$F$8,Comparison!$I$8,Comparison!$L$8,Comparison!$O$8)</c:f>
              <c:numCache>
                <c:formatCode>0.0</c:formatCode>
                <c:ptCount val="5"/>
                <c:pt idx="0">
                  <c:v>26.537529932288699</c:v>
                </c:pt>
                <c:pt idx="1">
                  <c:v>23.826168611287798</c:v>
                </c:pt>
                <c:pt idx="2">
                  <c:v>56.722679528712597</c:v>
                </c:pt>
                <c:pt idx="3" formatCode="0.00">
                  <c:v>31.830964477489101</c:v>
                </c:pt>
                <c:pt idx="4" formatCode="0.00">
                  <c:v>46.4667150682018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8D-4026-B051-1966F82B100B}"/>
            </c:ext>
          </c:extLst>
        </c:ser>
        <c:ser>
          <c:idx val="2"/>
          <c:order val="2"/>
          <c:tx>
            <c:strRef>
              <c:f>Comparison!$A$14</c:f>
              <c:strCache>
                <c:ptCount val="1"/>
                <c:pt idx="0">
                  <c:v>CML 2001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(Comparison!$C$15,Comparison!$F$15,Comparison!$I$15,Comparison!$L$15,Comparison!$O$15)</c:f>
              <c:numCache>
                <c:formatCode>0.0</c:formatCode>
                <c:ptCount val="5"/>
                <c:pt idx="0">
                  <c:v>28.158220224268501</c:v>
                </c:pt>
                <c:pt idx="1">
                  <c:v>20.906607677541398</c:v>
                </c:pt>
                <c:pt idx="2">
                  <c:v>53.633173655197204</c:v>
                </c:pt>
                <c:pt idx="3">
                  <c:v>37.293601699923805</c:v>
                </c:pt>
                <c:pt idx="4">
                  <c:v>27.520220026834199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8D-4026-B051-1966F82B1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045440"/>
        <c:axId val="1243033792"/>
      </c:barChart>
      <c:catAx>
        <c:axId val="124304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3033792"/>
        <c:crosses val="autoZero"/>
        <c:auto val="1"/>
        <c:lblAlgn val="ctr"/>
        <c:lblOffset val="100"/>
        <c:noMultiLvlLbl val="0"/>
      </c:catAx>
      <c:valAx>
        <c:axId val="12430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/>
                  <a:t>gCO</a:t>
                </a:r>
                <a:r>
                  <a:rPr lang="pt-BR" sz="1400" b="1" baseline="-25000"/>
                  <a:t>2</a:t>
                </a:r>
                <a:r>
                  <a:rPr lang="pt-BR" sz="1400" b="1" baseline="0"/>
                  <a:t>eq/MJ</a:t>
                </a:r>
                <a:endParaRPr lang="pt-BR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304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Comparison!$A$38</c:f>
              <c:strCache>
                <c:ptCount val="1"/>
                <c:pt idx="0">
                  <c:v>Recipe Midpoint (H)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Brazil</c:v>
              </c:pt>
              <c:pt idx="1">
                <c:v> Argentina</c:v>
              </c:pt>
              <c:pt idx="2">
                <c:v> Colombia</c:v>
              </c:pt>
            </c:strLit>
          </c:cat>
          <c:val>
            <c:numRef>
              <c:f>(Comparison!$C$39,Comparison!$F$39,Comparison!$I$39)</c:f>
              <c:numCache>
                <c:formatCode>0.0</c:formatCode>
                <c:ptCount val="3"/>
                <c:pt idx="0">
                  <c:v>28.090815876978699</c:v>
                </c:pt>
                <c:pt idx="1">
                  <c:v>18.399999999999999</c:v>
                </c:pt>
                <c:pt idx="2">
                  <c:v>13.8152779001014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2-4426-B43A-D7A32CF9A9FB}"/>
            </c:ext>
          </c:extLst>
        </c:ser>
        <c:ser>
          <c:idx val="1"/>
          <c:order val="1"/>
          <c:tx>
            <c:strRef>
              <c:f>Comparison!$A$43</c:f>
              <c:strCache>
                <c:ptCount val="1"/>
                <c:pt idx="0">
                  <c:v>IPCC 2007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(Comparison!$C$44,Comparison!$F$44,Comparison!$I$44)</c:f>
              <c:numCache>
                <c:formatCode>0.0</c:formatCode>
                <c:ptCount val="3"/>
                <c:pt idx="0">
                  <c:v>27.988659981593798</c:v>
                </c:pt>
                <c:pt idx="1">
                  <c:v>18.392046296643702</c:v>
                </c:pt>
                <c:pt idx="2">
                  <c:v>13.780121668383501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02-4426-B43A-D7A32CF9A9FB}"/>
            </c:ext>
          </c:extLst>
        </c:ser>
        <c:ser>
          <c:idx val="2"/>
          <c:order val="2"/>
          <c:tx>
            <c:strRef>
              <c:f>Comparison!$A$50</c:f>
              <c:strCache>
                <c:ptCount val="1"/>
                <c:pt idx="0">
                  <c:v>CML 2001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(Comparison!$C$51,Comparison!$F$51,Comparison!$I$51)</c:f>
              <c:numCache>
                <c:formatCode>0.0</c:formatCode>
                <c:ptCount val="3"/>
                <c:pt idx="0">
                  <c:v>28.030383566277802</c:v>
                </c:pt>
                <c:pt idx="1">
                  <c:v>18.387393573109598</c:v>
                </c:pt>
                <c:pt idx="2">
                  <c:v>13.843730376389001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02-4426-B43A-D7A32CF9A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623232"/>
        <c:axId val="1284642784"/>
      </c:barChart>
      <c:catAx>
        <c:axId val="128462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4642784"/>
        <c:crosses val="autoZero"/>
        <c:auto val="1"/>
        <c:lblAlgn val="ctr"/>
        <c:lblOffset val="100"/>
        <c:noMultiLvlLbl val="0"/>
      </c:catAx>
      <c:valAx>
        <c:axId val="12846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1" i="0" baseline="0">
                    <a:effectLst/>
                  </a:rPr>
                  <a:t>gCO</a:t>
                </a:r>
                <a:r>
                  <a:rPr lang="pt-BR" sz="1800" b="1" i="0" baseline="-25000">
                    <a:effectLst/>
                  </a:rPr>
                  <a:t>2</a:t>
                </a:r>
                <a:r>
                  <a:rPr lang="pt-BR" sz="1800" b="1" i="0" baseline="0">
                    <a:effectLst/>
                  </a:rPr>
                  <a:t>eq/MJ</a:t>
                </a:r>
                <a:endParaRPr lang="pt-B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462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Plots_sensitivity_analysis!$B$4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Plots_sensitivity_analysis!$A$5:$A$8</c:f>
              <c:strCache>
                <c:ptCount val="4"/>
                <c:pt idx="0">
                  <c:v>Diesel</c:v>
                </c:pt>
                <c:pt idx="1">
                  <c:v>Nitrogen</c:v>
                </c:pt>
                <c:pt idx="2">
                  <c:v>Phosphorus</c:v>
                </c:pt>
                <c:pt idx="3">
                  <c:v>Potassium</c:v>
                </c:pt>
              </c:strCache>
            </c:strRef>
          </c:cat>
          <c:val>
            <c:numRef>
              <c:f>Plots_sensitivity_analysis!$B$5:$B$8</c:f>
              <c:numCache>
                <c:formatCode>General</c:formatCode>
                <c:ptCount val="4"/>
                <c:pt idx="0">
                  <c:v>21.6</c:v>
                </c:pt>
                <c:pt idx="1">
                  <c:v>16.899999999999999</c:v>
                </c:pt>
                <c:pt idx="2">
                  <c:v>20.3</c:v>
                </c:pt>
                <c:pt idx="3">
                  <c:v>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8-4A1F-8654-62FE6B483CD6}"/>
            </c:ext>
          </c:extLst>
        </c:ser>
        <c:ser>
          <c:idx val="1"/>
          <c:order val="1"/>
          <c:tx>
            <c:strRef>
              <c:f>Plots_sensitivity_analysis!$C$4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Plots_sensitivity_analysis!$A$5:$A$8</c:f>
              <c:strCache>
                <c:ptCount val="4"/>
                <c:pt idx="0">
                  <c:v>Diesel</c:v>
                </c:pt>
                <c:pt idx="1">
                  <c:v>Nitrogen</c:v>
                </c:pt>
                <c:pt idx="2">
                  <c:v>Phosphorus</c:v>
                </c:pt>
                <c:pt idx="3">
                  <c:v>Potassium</c:v>
                </c:pt>
              </c:strCache>
            </c:strRef>
          </c:cat>
          <c:val>
            <c:numRef>
              <c:f>Plots_sensitivity_analysis!$C$5:$C$8</c:f>
              <c:numCache>
                <c:formatCode>General</c:formatCode>
                <c:ptCount val="4"/>
                <c:pt idx="0">
                  <c:v>22.1</c:v>
                </c:pt>
                <c:pt idx="1">
                  <c:v>22.1</c:v>
                </c:pt>
                <c:pt idx="2">
                  <c:v>22.1</c:v>
                </c:pt>
                <c:pt idx="3">
                  <c:v>22.1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78-4A1F-8654-62FE6B483CD6}"/>
            </c:ext>
          </c:extLst>
        </c:ser>
        <c:ser>
          <c:idx val="2"/>
          <c:order val="2"/>
          <c:tx>
            <c:strRef>
              <c:f>Plots_sensitivity_analysis!$D$4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Plots_sensitivity_analysis!$A$5:$A$8</c:f>
              <c:strCache>
                <c:ptCount val="4"/>
                <c:pt idx="0">
                  <c:v>Diesel</c:v>
                </c:pt>
                <c:pt idx="1">
                  <c:v>Nitrogen</c:v>
                </c:pt>
                <c:pt idx="2">
                  <c:v>Phosphorus</c:v>
                </c:pt>
                <c:pt idx="3">
                  <c:v>Potassium</c:v>
                </c:pt>
              </c:strCache>
            </c:strRef>
          </c:cat>
          <c:val>
            <c:numRef>
              <c:f>Plots_sensitivity_analysis!$D$5:$D$8</c:f>
              <c:numCache>
                <c:formatCode>General</c:formatCode>
                <c:ptCount val="4"/>
                <c:pt idx="0">
                  <c:v>22.6</c:v>
                </c:pt>
                <c:pt idx="1">
                  <c:v>28.9</c:v>
                </c:pt>
                <c:pt idx="2">
                  <c:v>24.4</c:v>
                </c:pt>
                <c:pt idx="3">
                  <c:v>22.7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78-4A1F-8654-62FE6B483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1005023"/>
        <c:axId val="1891007519"/>
      </c:radarChart>
      <c:catAx>
        <c:axId val="189100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891007519"/>
        <c:crosses val="autoZero"/>
        <c:auto val="1"/>
        <c:lblAlgn val="ctr"/>
        <c:lblOffset val="100"/>
        <c:noMultiLvlLbl val="0"/>
      </c:catAx>
      <c:valAx>
        <c:axId val="18910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89100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Plots_sensitivity_analysis!$B$21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Plots_sensitivity_analysis!$A$22:$A$25</c:f>
              <c:strCache>
                <c:ptCount val="4"/>
                <c:pt idx="0">
                  <c:v>Diesel</c:v>
                </c:pt>
                <c:pt idx="1">
                  <c:v>Urea</c:v>
                </c:pt>
                <c:pt idx="2">
                  <c:v>Pesticide</c:v>
                </c:pt>
                <c:pt idx="3">
                  <c:v>Triple superphosphate</c:v>
                </c:pt>
              </c:strCache>
            </c:strRef>
          </c:cat>
          <c:val>
            <c:numRef>
              <c:f>Plots_sensitivity_analysis!$B$22:$B$25</c:f>
              <c:numCache>
                <c:formatCode>General</c:formatCode>
                <c:ptCount val="4"/>
                <c:pt idx="0">
                  <c:v>21</c:v>
                </c:pt>
                <c:pt idx="1">
                  <c:v>23.3</c:v>
                </c:pt>
                <c:pt idx="2">
                  <c:v>24.4</c:v>
                </c:pt>
                <c:pt idx="3">
                  <c:v>25.6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F-4FAA-B273-21490E39EABE}"/>
            </c:ext>
          </c:extLst>
        </c:ser>
        <c:ser>
          <c:idx val="1"/>
          <c:order val="1"/>
          <c:tx>
            <c:strRef>
              <c:f>Plots_sensitivity_analysis!$C$21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Plots_sensitivity_analysis!$A$22:$A$25</c:f>
              <c:strCache>
                <c:ptCount val="4"/>
                <c:pt idx="0">
                  <c:v>Diesel</c:v>
                </c:pt>
                <c:pt idx="1">
                  <c:v>Urea</c:v>
                </c:pt>
                <c:pt idx="2">
                  <c:v>Pesticide</c:v>
                </c:pt>
                <c:pt idx="3">
                  <c:v>Triple superphosphate</c:v>
                </c:pt>
              </c:strCache>
            </c:strRef>
          </c:cat>
          <c:val>
            <c:numRef>
              <c:f>Plots_sensitivity_analysis!$C$22:$C$25</c:f>
              <c:numCache>
                <c:formatCode>General</c:formatCode>
                <c:ptCount val="4"/>
                <c:pt idx="0">
                  <c:v>25.8</c:v>
                </c:pt>
                <c:pt idx="1">
                  <c:v>25.8</c:v>
                </c:pt>
                <c:pt idx="2">
                  <c:v>25.8</c:v>
                </c:pt>
                <c:pt idx="3">
                  <c:v>25.8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9F-4FAA-B273-21490E39EABE}"/>
            </c:ext>
          </c:extLst>
        </c:ser>
        <c:ser>
          <c:idx val="2"/>
          <c:order val="2"/>
          <c:tx>
            <c:strRef>
              <c:f>Plots_sensitivity_analysis!$D$21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Plots_sensitivity_analysis!$A$22:$A$25</c:f>
              <c:strCache>
                <c:ptCount val="4"/>
                <c:pt idx="0">
                  <c:v>Diesel</c:v>
                </c:pt>
                <c:pt idx="1">
                  <c:v>Urea</c:v>
                </c:pt>
                <c:pt idx="2">
                  <c:v>Pesticide</c:v>
                </c:pt>
                <c:pt idx="3">
                  <c:v>Triple superphosphate</c:v>
                </c:pt>
              </c:strCache>
            </c:strRef>
          </c:cat>
          <c:val>
            <c:numRef>
              <c:f>Plots_sensitivity_analysis!$D$22:$D$25</c:f>
              <c:numCache>
                <c:formatCode>General</c:formatCode>
                <c:ptCount val="4"/>
                <c:pt idx="0">
                  <c:v>32.200000000000003</c:v>
                </c:pt>
                <c:pt idx="1">
                  <c:v>29.1</c:v>
                </c:pt>
                <c:pt idx="2">
                  <c:v>27.7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9F-4FAA-B273-21490E39E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0759695"/>
        <c:axId val="1890760943"/>
      </c:radarChart>
      <c:catAx>
        <c:axId val="189075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890760943"/>
        <c:crosses val="autoZero"/>
        <c:auto val="1"/>
        <c:lblAlgn val="ctr"/>
        <c:lblOffset val="100"/>
        <c:noMultiLvlLbl val="0"/>
      </c:catAx>
      <c:valAx>
        <c:axId val="189076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89075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Plots_sensitivity_analysis!$B$34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Plots_sensitivity_analysis!$A$35:$A$38</c:f>
              <c:strCache>
                <c:ptCount val="4"/>
                <c:pt idx="0">
                  <c:v>Nitrogen fertiliser</c:v>
                </c:pt>
                <c:pt idx="1">
                  <c:v>Urea</c:v>
                </c:pt>
                <c:pt idx="2">
                  <c:v>Phosphorus</c:v>
                </c:pt>
                <c:pt idx="3">
                  <c:v>Diesel</c:v>
                </c:pt>
              </c:strCache>
            </c:strRef>
          </c:cat>
          <c:val>
            <c:numRef>
              <c:f>Plots_sensitivity_analysis!$B$35:$B$38</c:f>
              <c:numCache>
                <c:formatCode>0.0</c:formatCode>
                <c:ptCount val="4"/>
                <c:pt idx="0">
                  <c:v>11.47</c:v>
                </c:pt>
                <c:pt idx="1">
                  <c:v>11.625</c:v>
                </c:pt>
                <c:pt idx="2">
                  <c:v>14.3065</c:v>
                </c:pt>
                <c:pt idx="3">
                  <c:v>14.415000000000001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0-4D67-8CEF-BC0BA6AC7BFB}"/>
            </c:ext>
          </c:extLst>
        </c:ser>
        <c:ser>
          <c:idx val="1"/>
          <c:order val="1"/>
          <c:tx>
            <c:strRef>
              <c:f>Plots_sensitivity_analysis!$C$34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Plots_sensitivity_analysis!$A$35:$A$38</c:f>
              <c:strCache>
                <c:ptCount val="4"/>
                <c:pt idx="0">
                  <c:v>Nitrogen fertiliser</c:v>
                </c:pt>
                <c:pt idx="1">
                  <c:v>Urea</c:v>
                </c:pt>
                <c:pt idx="2">
                  <c:v>Phosphorus</c:v>
                </c:pt>
                <c:pt idx="3">
                  <c:v>Diesel</c:v>
                </c:pt>
              </c:strCache>
            </c:strRef>
          </c:cat>
          <c:val>
            <c:numRef>
              <c:f>Plots_sensitivity_analysis!$C$35:$C$38</c:f>
              <c:numCache>
                <c:formatCode>0.0</c:formatCode>
                <c:ptCount val="4"/>
                <c:pt idx="0">
                  <c:v>15.5</c:v>
                </c:pt>
                <c:pt idx="1">
                  <c:v>15.5</c:v>
                </c:pt>
                <c:pt idx="2">
                  <c:v>15.5</c:v>
                </c:pt>
                <c:pt idx="3">
                  <c:v>15.5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D0-4D67-8CEF-BC0BA6AC7BFB}"/>
            </c:ext>
          </c:extLst>
        </c:ser>
        <c:ser>
          <c:idx val="2"/>
          <c:order val="2"/>
          <c:tx>
            <c:strRef>
              <c:f>Plots_sensitivity_analysis!$D$34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Plots_sensitivity_analysis!$A$35:$A$38</c:f>
              <c:strCache>
                <c:ptCount val="4"/>
                <c:pt idx="0">
                  <c:v>Nitrogen fertiliser</c:v>
                </c:pt>
                <c:pt idx="1">
                  <c:v>Urea</c:v>
                </c:pt>
                <c:pt idx="2">
                  <c:v>Phosphorus</c:v>
                </c:pt>
                <c:pt idx="3">
                  <c:v>Diesel</c:v>
                </c:pt>
              </c:strCache>
            </c:strRef>
          </c:cat>
          <c:val>
            <c:numRef>
              <c:f>Plots_sensitivity_analysis!$D$35:$D$38</c:f>
              <c:numCache>
                <c:formatCode>0.0</c:formatCode>
                <c:ptCount val="4"/>
                <c:pt idx="0">
                  <c:v>20.615000000000002</c:v>
                </c:pt>
                <c:pt idx="1">
                  <c:v>20.305</c:v>
                </c:pt>
                <c:pt idx="2">
                  <c:v>16.926000000000002</c:v>
                </c:pt>
                <c:pt idx="3">
                  <c:v>16.910499999999999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D0-4D67-8CEF-BC0BA6AC7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419359"/>
        <c:axId val="2081433919"/>
      </c:radarChart>
      <c:catAx>
        <c:axId val="208141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81433919"/>
        <c:crosses val="autoZero"/>
        <c:auto val="1"/>
        <c:lblAlgn val="ctr"/>
        <c:lblOffset val="100"/>
        <c:noMultiLvlLbl val="0"/>
      </c:catAx>
      <c:valAx>
        <c:axId val="208143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81419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Plots_sensitivity_analysis!$B$51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Plots_sensitivity_analysis!$A$52:$A$55</c:f>
              <c:strCache>
                <c:ptCount val="4"/>
                <c:pt idx="0">
                  <c:v>Diesel</c:v>
                </c:pt>
                <c:pt idx="1">
                  <c:v>Phosphorus</c:v>
                </c:pt>
                <c:pt idx="2">
                  <c:v>ammonium nitrite</c:v>
                </c:pt>
                <c:pt idx="3">
                  <c:v>NPK</c:v>
                </c:pt>
              </c:strCache>
            </c:strRef>
          </c:cat>
          <c:val>
            <c:numRef>
              <c:f>Plots_sensitivity_analysis!$B$52:$B$55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12.2</c:v>
                </c:pt>
                <c:pt idx="3">
                  <c:v>18.7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0-4F00-B6EF-8E9B10F85623}"/>
            </c:ext>
          </c:extLst>
        </c:ser>
        <c:ser>
          <c:idx val="1"/>
          <c:order val="1"/>
          <c:tx>
            <c:strRef>
              <c:f>Plots_sensitivity_analysis!$C$51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Plots_sensitivity_analysis!$A$52:$A$55</c:f>
              <c:strCache>
                <c:ptCount val="4"/>
                <c:pt idx="0">
                  <c:v>Diesel</c:v>
                </c:pt>
                <c:pt idx="1">
                  <c:v>Phosphorus</c:v>
                </c:pt>
                <c:pt idx="2">
                  <c:v>ammonium nitrite</c:v>
                </c:pt>
                <c:pt idx="3">
                  <c:v>NPK</c:v>
                </c:pt>
              </c:strCache>
            </c:strRef>
          </c:cat>
          <c:val>
            <c:numRef>
              <c:f>Plots_sensitivity_analysis!$C$52:$C$55</c:f>
              <c:numCache>
                <c:formatCode>General</c:formatCode>
                <c:ptCount val="4"/>
                <c:pt idx="0">
                  <c:v>28.7</c:v>
                </c:pt>
                <c:pt idx="1">
                  <c:v>28.7</c:v>
                </c:pt>
                <c:pt idx="2">
                  <c:v>28.7</c:v>
                </c:pt>
                <c:pt idx="3">
                  <c:v>28.7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0-4F00-B6EF-8E9B10F85623}"/>
            </c:ext>
          </c:extLst>
        </c:ser>
        <c:ser>
          <c:idx val="2"/>
          <c:order val="2"/>
          <c:tx>
            <c:strRef>
              <c:f>Plots_sensitivity_analysis!$D$51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Plots_sensitivity_analysis!$A$52:$A$55</c:f>
              <c:strCache>
                <c:ptCount val="4"/>
                <c:pt idx="0">
                  <c:v>Diesel</c:v>
                </c:pt>
                <c:pt idx="1">
                  <c:v>Phosphorus</c:v>
                </c:pt>
                <c:pt idx="2">
                  <c:v>ammonium nitrite</c:v>
                </c:pt>
                <c:pt idx="3">
                  <c:v>NPK</c:v>
                </c:pt>
              </c:strCache>
            </c:strRef>
          </c:cat>
          <c:val>
            <c:numRef>
              <c:f>Plots_sensitivity_analysis!$D$52:$D$55</c:f>
              <c:numCache>
                <c:formatCode>General</c:formatCode>
                <c:ptCount val="4"/>
                <c:pt idx="0">
                  <c:v>65.400000000000006</c:v>
                </c:pt>
                <c:pt idx="1">
                  <c:v>52.4</c:v>
                </c:pt>
                <c:pt idx="2">
                  <c:v>50.7</c:v>
                </c:pt>
                <c:pt idx="3">
                  <c:v>41.9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D0-4F00-B6EF-8E9B10F85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90175"/>
        <c:axId val="2077983103"/>
      </c:radarChart>
      <c:catAx>
        <c:axId val="207799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77983103"/>
        <c:crosses val="autoZero"/>
        <c:auto val="1"/>
        <c:lblAlgn val="ctr"/>
        <c:lblOffset val="100"/>
        <c:noMultiLvlLbl val="0"/>
      </c:catAx>
      <c:valAx>
        <c:axId val="207798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799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Plots_sensitivity_analysis!$O$4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Plots_sensitivity_analysis!$N$5:$N$8</c:f>
              <c:strCache>
                <c:ptCount val="4"/>
                <c:pt idx="0">
                  <c:v>Diesel</c:v>
                </c:pt>
                <c:pt idx="1">
                  <c:v>Limestone</c:v>
                </c:pt>
                <c:pt idx="2">
                  <c:v>Pesticides</c:v>
                </c:pt>
                <c:pt idx="3">
                  <c:v>Methanol</c:v>
                </c:pt>
              </c:strCache>
            </c:strRef>
          </c:cat>
          <c:val>
            <c:numRef>
              <c:f>Plots_sensitivity_analysis!$O$5:$O$8</c:f>
              <c:numCache>
                <c:formatCode>General</c:formatCode>
                <c:ptCount val="4"/>
                <c:pt idx="0">
                  <c:v>16.5</c:v>
                </c:pt>
                <c:pt idx="1">
                  <c:v>24.9</c:v>
                </c:pt>
                <c:pt idx="2">
                  <c:v>25.9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6E-443E-80AC-A25CA89F08A4}"/>
            </c:ext>
          </c:extLst>
        </c:ser>
        <c:ser>
          <c:idx val="1"/>
          <c:order val="1"/>
          <c:tx>
            <c:strRef>
              <c:f>Plots_sensitivity_analysis!$P$4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Plots_sensitivity_analysis!$N$5:$N$8</c:f>
              <c:strCache>
                <c:ptCount val="4"/>
                <c:pt idx="0">
                  <c:v>Diesel</c:v>
                </c:pt>
                <c:pt idx="1">
                  <c:v>Limestone</c:v>
                </c:pt>
                <c:pt idx="2">
                  <c:v>Pesticides</c:v>
                </c:pt>
                <c:pt idx="3">
                  <c:v>Methanol</c:v>
                </c:pt>
              </c:strCache>
            </c:strRef>
          </c:cat>
          <c:val>
            <c:numRef>
              <c:f>Plots_sensitivity_analysis!$P$5:$P$8</c:f>
              <c:numCache>
                <c:formatCode>General</c:formatCode>
                <c:ptCount val="4"/>
                <c:pt idx="0">
                  <c:v>27.8</c:v>
                </c:pt>
                <c:pt idx="1">
                  <c:v>27.8</c:v>
                </c:pt>
                <c:pt idx="2">
                  <c:v>27.8</c:v>
                </c:pt>
                <c:pt idx="3">
                  <c:v>27.8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6E-443E-80AC-A25CA89F08A4}"/>
            </c:ext>
          </c:extLst>
        </c:ser>
        <c:ser>
          <c:idx val="2"/>
          <c:order val="2"/>
          <c:tx>
            <c:strRef>
              <c:f>Plots_sensitivity_analysis!$Q$4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Plots_sensitivity_analysis!$N$5:$N$8</c:f>
              <c:strCache>
                <c:ptCount val="4"/>
                <c:pt idx="0">
                  <c:v>Diesel</c:v>
                </c:pt>
                <c:pt idx="1">
                  <c:v>Limestone</c:v>
                </c:pt>
                <c:pt idx="2">
                  <c:v>Pesticides</c:v>
                </c:pt>
                <c:pt idx="3">
                  <c:v>Methanol</c:v>
                </c:pt>
              </c:strCache>
            </c:strRef>
          </c:cat>
          <c:val>
            <c:numRef>
              <c:f>Plots_sensitivity_analysis!$Q$5:$Q$8</c:f>
              <c:numCache>
                <c:formatCode>General</c:formatCode>
                <c:ptCount val="4"/>
                <c:pt idx="0">
                  <c:v>42.9</c:v>
                </c:pt>
                <c:pt idx="1">
                  <c:v>31.8</c:v>
                </c:pt>
                <c:pt idx="2">
                  <c:v>30.5</c:v>
                </c:pt>
                <c:pt idx="3">
                  <c:v>30.3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6E-443E-80AC-A25CA89F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671791"/>
        <c:axId val="1995671375"/>
      </c:radarChart>
      <c:catAx>
        <c:axId val="199567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995671375"/>
        <c:crosses val="autoZero"/>
        <c:auto val="1"/>
        <c:lblAlgn val="ctr"/>
        <c:lblOffset val="100"/>
        <c:noMultiLvlLbl val="0"/>
      </c:catAx>
      <c:valAx>
        <c:axId val="199567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99567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Plots_sensitivity_analysis!$O$34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Plots_sensitivity_analysis!$N$35:$N$38</c:f>
              <c:strCache>
                <c:ptCount val="4"/>
                <c:pt idx="0">
                  <c:v>Steam</c:v>
                </c:pt>
                <c:pt idx="1">
                  <c:v>Diesel</c:v>
                </c:pt>
                <c:pt idx="2">
                  <c:v>Methanol</c:v>
                </c:pt>
                <c:pt idx="3">
                  <c:v>Rare earth</c:v>
                </c:pt>
              </c:strCache>
            </c:strRef>
          </c:cat>
          <c:val>
            <c:numRef>
              <c:f>Plots_sensitivity_analysis!$O$35:$O$38</c:f>
              <c:numCache>
                <c:formatCode>General</c:formatCode>
                <c:ptCount val="4"/>
                <c:pt idx="0">
                  <c:v>10.7</c:v>
                </c:pt>
                <c:pt idx="1">
                  <c:v>13.6</c:v>
                </c:pt>
                <c:pt idx="2">
                  <c:v>12.4</c:v>
                </c:pt>
                <c:pt idx="3">
                  <c:v>11.4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A5-48CA-8AF5-7813C22A3BFD}"/>
            </c:ext>
          </c:extLst>
        </c:ser>
        <c:ser>
          <c:idx val="1"/>
          <c:order val="1"/>
          <c:tx>
            <c:strRef>
              <c:f>Plots_sensitivity_analysis!$P$34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Plots_sensitivity_analysis!$N$35:$N$38</c:f>
              <c:strCache>
                <c:ptCount val="4"/>
                <c:pt idx="0">
                  <c:v>Steam</c:v>
                </c:pt>
                <c:pt idx="1">
                  <c:v>Diesel</c:v>
                </c:pt>
                <c:pt idx="2">
                  <c:v>Methanol</c:v>
                </c:pt>
                <c:pt idx="3">
                  <c:v>Rare earth</c:v>
                </c:pt>
              </c:strCache>
            </c:strRef>
          </c:cat>
          <c:val>
            <c:numRef>
              <c:f>Plots_sensitivity_analysis!$P$35:$P$38</c:f>
              <c:numCache>
                <c:formatCode>General</c:formatCode>
                <c:ptCount val="4"/>
                <c:pt idx="0">
                  <c:v>13.8</c:v>
                </c:pt>
                <c:pt idx="1">
                  <c:v>13.8</c:v>
                </c:pt>
                <c:pt idx="2">
                  <c:v>13.8</c:v>
                </c:pt>
                <c:pt idx="3">
                  <c:v>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A5-48CA-8AF5-7813C22A3BFD}"/>
            </c:ext>
          </c:extLst>
        </c:ser>
        <c:ser>
          <c:idx val="2"/>
          <c:order val="2"/>
          <c:tx>
            <c:strRef>
              <c:f>Plots_sensitivity_analysis!$Q$34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Plots_sensitivity_analysis!$N$35:$N$38</c:f>
              <c:strCache>
                <c:ptCount val="4"/>
                <c:pt idx="0">
                  <c:v>Steam</c:v>
                </c:pt>
                <c:pt idx="1">
                  <c:v>Diesel</c:v>
                </c:pt>
                <c:pt idx="2">
                  <c:v>Methanol</c:v>
                </c:pt>
                <c:pt idx="3">
                  <c:v>Rare earth</c:v>
                </c:pt>
              </c:strCache>
            </c:strRef>
          </c:cat>
          <c:val>
            <c:numRef>
              <c:f>Plots_sensitivity_analysis!$Q$35:$Q$38</c:f>
              <c:numCache>
                <c:formatCode>General</c:formatCode>
                <c:ptCount val="4"/>
                <c:pt idx="0">
                  <c:v>17.8</c:v>
                </c:pt>
                <c:pt idx="1">
                  <c:v>13.9</c:v>
                </c:pt>
                <c:pt idx="2">
                  <c:v>15.6</c:v>
                </c:pt>
                <c:pt idx="3">
                  <c:v>17.399999999999999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A5-48CA-8AF5-7813C22A3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908991"/>
        <c:axId val="2088913151"/>
      </c:radarChart>
      <c:catAx>
        <c:axId val="208890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88913151"/>
        <c:crosses val="autoZero"/>
        <c:auto val="1"/>
        <c:lblAlgn val="ctr"/>
        <c:lblOffset val="100"/>
        <c:noMultiLvlLbl val="0"/>
      </c:catAx>
      <c:valAx>
        <c:axId val="208891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208890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Plots_sensitivity_analysis!$O$21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Plots_sensitivity_analysis!$N$22:$N$25</c:f>
              <c:strCache>
                <c:ptCount val="4"/>
                <c:pt idx="0">
                  <c:v>Heat, from natural gas</c:v>
                </c:pt>
                <c:pt idx="1">
                  <c:v>Electricity, form natural gas</c:v>
                </c:pt>
                <c:pt idx="2">
                  <c:v>Transport, lorry</c:v>
                </c:pt>
                <c:pt idx="3">
                  <c:v>Diesel</c:v>
                </c:pt>
              </c:strCache>
            </c:strRef>
          </c:cat>
          <c:val>
            <c:numRef>
              <c:f>Plots_sensitivity_analysis!$O$22:$O$25</c:f>
              <c:numCache>
                <c:formatCode>General</c:formatCode>
                <c:ptCount val="4"/>
                <c:pt idx="0">
                  <c:v>9.8000000000000007</c:v>
                </c:pt>
                <c:pt idx="1">
                  <c:v>13.3</c:v>
                </c:pt>
                <c:pt idx="2">
                  <c:v>16.3</c:v>
                </c:pt>
                <c:pt idx="3">
                  <c:v>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9-4F8C-B304-591FE0DE21E7}"/>
            </c:ext>
          </c:extLst>
        </c:ser>
        <c:ser>
          <c:idx val="1"/>
          <c:order val="1"/>
          <c:tx>
            <c:strRef>
              <c:f>Plots_sensitivity_analysis!$P$21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Plots_sensitivity_analysis!$N$22:$N$25</c:f>
              <c:strCache>
                <c:ptCount val="4"/>
                <c:pt idx="0">
                  <c:v>Heat, from natural gas</c:v>
                </c:pt>
                <c:pt idx="1">
                  <c:v>Electricity, form natural gas</c:v>
                </c:pt>
                <c:pt idx="2">
                  <c:v>Transport, lorry</c:v>
                </c:pt>
                <c:pt idx="3">
                  <c:v>Diesel</c:v>
                </c:pt>
              </c:strCache>
            </c:strRef>
          </c:cat>
          <c:val>
            <c:numRef>
              <c:f>Plots_sensitivity_analysis!$P$22:$P$25</c:f>
              <c:numCache>
                <c:formatCode>General</c:formatCode>
                <c:ptCount val="4"/>
                <c:pt idx="0">
                  <c:v>18.399999999999999</c:v>
                </c:pt>
                <c:pt idx="1">
                  <c:v>18.399999999999999</c:v>
                </c:pt>
                <c:pt idx="2">
                  <c:v>18.399999999999999</c:v>
                </c:pt>
                <c:pt idx="3">
                  <c:v>18.399999999999999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89-4F8C-B304-591FE0DE21E7}"/>
            </c:ext>
          </c:extLst>
        </c:ser>
        <c:ser>
          <c:idx val="2"/>
          <c:order val="2"/>
          <c:tx>
            <c:strRef>
              <c:f>Plots_sensitivity_analysis!$Q$21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Plots_sensitivity_analysis!$N$22:$N$25</c:f>
              <c:strCache>
                <c:ptCount val="4"/>
                <c:pt idx="0">
                  <c:v>Heat, from natural gas</c:v>
                </c:pt>
                <c:pt idx="1">
                  <c:v>Electricity, form natural gas</c:v>
                </c:pt>
                <c:pt idx="2">
                  <c:v>Transport, lorry</c:v>
                </c:pt>
                <c:pt idx="3">
                  <c:v>Diesel</c:v>
                </c:pt>
              </c:strCache>
            </c:strRef>
          </c:cat>
          <c:val>
            <c:numRef>
              <c:f>Plots_sensitivity_analysis!$Q$22:$Q$25</c:f>
              <c:numCache>
                <c:formatCode>General</c:formatCode>
                <c:ptCount val="4"/>
                <c:pt idx="0">
                  <c:v>29.8</c:v>
                </c:pt>
                <c:pt idx="1">
                  <c:v>25.1</c:v>
                </c:pt>
                <c:pt idx="2">
                  <c:v>21.1</c:v>
                </c:pt>
                <c:pt idx="3">
                  <c:v>19.600000000000001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9-4F8C-B304-591FE0DE2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675327"/>
        <c:axId val="1445675743"/>
      </c:radarChart>
      <c:catAx>
        <c:axId val="144567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445675743"/>
        <c:crosses val="autoZero"/>
        <c:auto val="1"/>
        <c:lblAlgn val="ctr"/>
        <c:lblOffset val="100"/>
        <c:noMultiLvlLbl val="0"/>
      </c:catAx>
      <c:valAx>
        <c:axId val="144567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567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Normalized!$B$3</c:f>
              <c:strCache>
                <c:ptCount val="1"/>
                <c:pt idx="0">
                  <c:v>BRA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Normalized!$A$4:$A$21</c:f>
              <c:strCache>
                <c:ptCount val="18"/>
                <c:pt idx="0">
                  <c:v>ALOP</c:v>
                </c:pt>
                <c:pt idx="1">
                  <c:v>GWP100</c:v>
                </c:pt>
                <c:pt idx="2">
                  <c:v>FDP</c:v>
                </c:pt>
                <c:pt idx="3">
                  <c:v>FETPinf</c:v>
                </c:pt>
                <c:pt idx="4">
                  <c:v>FEP</c:v>
                </c:pt>
                <c:pt idx="5">
                  <c:v>HTPinf</c:v>
                </c:pt>
                <c:pt idx="6">
                  <c:v>IRP_HE</c:v>
                </c:pt>
                <c:pt idx="7">
                  <c:v>METPinf</c:v>
                </c:pt>
                <c:pt idx="8">
                  <c:v>MEP</c:v>
                </c:pt>
                <c:pt idx="9">
                  <c:v>MDP</c:v>
                </c:pt>
                <c:pt idx="10">
                  <c:v>NLTP</c:v>
                </c:pt>
                <c:pt idx="11">
                  <c:v>ODPinf</c:v>
                </c:pt>
                <c:pt idx="12">
                  <c:v>PMFP</c:v>
                </c:pt>
                <c:pt idx="13">
                  <c:v>POFP</c:v>
                </c:pt>
                <c:pt idx="14">
                  <c:v>TAP100</c:v>
                </c:pt>
                <c:pt idx="15">
                  <c:v>TETPinf</c:v>
                </c:pt>
                <c:pt idx="16">
                  <c:v>ULOP</c:v>
                </c:pt>
                <c:pt idx="17">
                  <c:v>WDP</c:v>
                </c:pt>
              </c:strCache>
            </c:strRef>
          </c:cat>
          <c:val>
            <c:numRef>
              <c:f>Normalized!$B$4:$B$21</c:f>
              <c:numCache>
                <c:formatCode>0.0</c:formatCode>
                <c:ptCount val="18"/>
                <c:pt idx="0">
                  <c:v>7.1175361151309717</c:v>
                </c:pt>
                <c:pt idx="1">
                  <c:v>41.291877165452846</c:v>
                </c:pt>
                <c:pt idx="2">
                  <c:v>37.763473465139029</c:v>
                </c:pt>
                <c:pt idx="3">
                  <c:v>38.192969022267533</c:v>
                </c:pt>
                <c:pt idx="4">
                  <c:v>20.011042521925759</c:v>
                </c:pt>
                <c:pt idx="5">
                  <c:v>2.683307078472978</c:v>
                </c:pt>
                <c:pt idx="6">
                  <c:v>32.381115621614541</c:v>
                </c:pt>
                <c:pt idx="7">
                  <c:v>5.5620719799089686</c:v>
                </c:pt>
                <c:pt idx="8">
                  <c:v>24.321531019088756</c:v>
                </c:pt>
                <c:pt idx="9">
                  <c:v>25.798239134215123</c:v>
                </c:pt>
                <c:pt idx="10">
                  <c:v>95.125599075317808</c:v>
                </c:pt>
                <c:pt idx="11">
                  <c:v>39.479192416870575</c:v>
                </c:pt>
                <c:pt idx="12">
                  <c:v>7.709939013489933</c:v>
                </c:pt>
                <c:pt idx="13">
                  <c:v>26.111289989339824</c:v>
                </c:pt>
                <c:pt idx="14">
                  <c:v>22.244035976903696</c:v>
                </c:pt>
                <c:pt idx="15">
                  <c:v>0.59667555505402248</c:v>
                </c:pt>
                <c:pt idx="16">
                  <c:v>71.322921065383994</c:v>
                </c:pt>
                <c:pt idx="17">
                  <c:v>1.4508442743444014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0-4F86-A7C8-8325415C472D}"/>
            </c:ext>
          </c:extLst>
        </c:ser>
        <c:ser>
          <c:idx val="1"/>
          <c:order val="1"/>
          <c:tx>
            <c:strRef>
              <c:f>Normalized!$C$3</c:f>
              <c:strCache>
                <c:ptCount val="1"/>
                <c:pt idx="0">
                  <c:v>ARG-SC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Normalized!$A$4:$A$21</c:f>
              <c:strCache>
                <c:ptCount val="18"/>
                <c:pt idx="0">
                  <c:v>ALOP</c:v>
                </c:pt>
                <c:pt idx="1">
                  <c:v>GWP100</c:v>
                </c:pt>
                <c:pt idx="2">
                  <c:v>FDP</c:v>
                </c:pt>
                <c:pt idx="3">
                  <c:v>FETPinf</c:v>
                </c:pt>
                <c:pt idx="4">
                  <c:v>FEP</c:v>
                </c:pt>
                <c:pt idx="5">
                  <c:v>HTPinf</c:v>
                </c:pt>
                <c:pt idx="6">
                  <c:v>IRP_HE</c:v>
                </c:pt>
                <c:pt idx="7">
                  <c:v>METPinf</c:v>
                </c:pt>
                <c:pt idx="8">
                  <c:v>MEP</c:v>
                </c:pt>
                <c:pt idx="9">
                  <c:v>MDP</c:v>
                </c:pt>
                <c:pt idx="10">
                  <c:v>NLTP</c:v>
                </c:pt>
                <c:pt idx="11">
                  <c:v>ODPinf</c:v>
                </c:pt>
                <c:pt idx="12">
                  <c:v>PMFP</c:v>
                </c:pt>
                <c:pt idx="13">
                  <c:v>POFP</c:v>
                </c:pt>
                <c:pt idx="14">
                  <c:v>TAP100</c:v>
                </c:pt>
                <c:pt idx="15">
                  <c:v>TETPinf</c:v>
                </c:pt>
                <c:pt idx="16">
                  <c:v>ULOP</c:v>
                </c:pt>
                <c:pt idx="17">
                  <c:v>WDP</c:v>
                </c:pt>
              </c:strCache>
            </c:strRef>
          </c:cat>
          <c:val>
            <c:numRef>
              <c:f>Normalized!$C$4:$C$21</c:f>
              <c:numCache>
                <c:formatCode>0.0</c:formatCode>
                <c:ptCount val="18"/>
                <c:pt idx="0">
                  <c:v>0.28844742497568082</c:v>
                </c:pt>
                <c:pt idx="1">
                  <c:v>47.699996675648634</c:v>
                </c:pt>
                <c:pt idx="2">
                  <c:v>17.196700420430002</c:v>
                </c:pt>
                <c:pt idx="3">
                  <c:v>21.114995839514702</c:v>
                </c:pt>
                <c:pt idx="4">
                  <c:v>100</c:v>
                </c:pt>
                <c:pt idx="5">
                  <c:v>1.1064741201256718</c:v>
                </c:pt>
                <c:pt idx="6">
                  <c:v>8.0550539199652853</c:v>
                </c:pt>
                <c:pt idx="7">
                  <c:v>3.6240466045265207</c:v>
                </c:pt>
                <c:pt idx="8">
                  <c:v>0.97833422626994426</c:v>
                </c:pt>
                <c:pt idx="9">
                  <c:v>7.4352517125509134</c:v>
                </c:pt>
                <c:pt idx="10">
                  <c:v>16.822801031860383</c:v>
                </c:pt>
                <c:pt idx="11">
                  <c:v>51.044370695601991</c:v>
                </c:pt>
                <c:pt idx="12">
                  <c:v>0.35107996075115866</c:v>
                </c:pt>
                <c:pt idx="13">
                  <c:v>1.5306970380564924</c:v>
                </c:pt>
                <c:pt idx="14">
                  <c:v>1.2402915590080934</c:v>
                </c:pt>
                <c:pt idx="15">
                  <c:v>5.1914859425767179E-2</c:v>
                </c:pt>
                <c:pt idx="16">
                  <c:v>17.418518286867478</c:v>
                </c:pt>
                <c:pt idx="17">
                  <c:v>8.6848625555218106E-2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80-4F86-A7C8-8325415C472D}"/>
            </c:ext>
          </c:extLst>
        </c:ser>
        <c:ser>
          <c:idx val="2"/>
          <c:order val="2"/>
          <c:tx>
            <c:strRef>
              <c:f>Normalized!$D$3</c:f>
              <c:strCache>
                <c:ptCount val="1"/>
                <c:pt idx="0">
                  <c:v>ARG-CO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Normalized!$A$4:$A$21</c:f>
              <c:strCache>
                <c:ptCount val="18"/>
                <c:pt idx="0">
                  <c:v>ALOP</c:v>
                </c:pt>
                <c:pt idx="1">
                  <c:v>GWP100</c:v>
                </c:pt>
                <c:pt idx="2">
                  <c:v>FDP</c:v>
                </c:pt>
                <c:pt idx="3">
                  <c:v>FETPinf</c:v>
                </c:pt>
                <c:pt idx="4">
                  <c:v>FEP</c:v>
                </c:pt>
                <c:pt idx="5">
                  <c:v>HTPinf</c:v>
                </c:pt>
                <c:pt idx="6">
                  <c:v>IRP_HE</c:v>
                </c:pt>
                <c:pt idx="7">
                  <c:v>METPinf</c:v>
                </c:pt>
                <c:pt idx="8">
                  <c:v>MEP</c:v>
                </c:pt>
                <c:pt idx="9">
                  <c:v>MDP</c:v>
                </c:pt>
                <c:pt idx="10">
                  <c:v>NLTP</c:v>
                </c:pt>
                <c:pt idx="11">
                  <c:v>ODPinf</c:v>
                </c:pt>
                <c:pt idx="12">
                  <c:v>PMFP</c:v>
                </c:pt>
                <c:pt idx="13">
                  <c:v>POFP</c:v>
                </c:pt>
                <c:pt idx="14">
                  <c:v>TAP100</c:v>
                </c:pt>
                <c:pt idx="15">
                  <c:v>TETPinf</c:v>
                </c:pt>
                <c:pt idx="16">
                  <c:v>ULOP</c:v>
                </c:pt>
                <c:pt idx="17">
                  <c:v>WDP</c:v>
                </c:pt>
              </c:strCache>
            </c:strRef>
          </c:cat>
          <c:val>
            <c:numRef>
              <c:f>Normalized!$D$4:$D$21</c:f>
              <c:numCache>
                <c:formatCode>0.0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66.738422319873138</c:v>
                </c:pt>
                <c:pt idx="3">
                  <c:v>51.628467623259276</c:v>
                </c:pt>
                <c:pt idx="4">
                  <c:v>16.754678619354753</c:v>
                </c:pt>
                <c:pt idx="5">
                  <c:v>0.12282193215024449</c:v>
                </c:pt>
                <c:pt idx="6">
                  <c:v>28.158855374708207</c:v>
                </c:pt>
                <c:pt idx="7">
                  <c:v>3.0666147195138467</c:v>
                </c:pt>
                <c:pt idx="8">
                  <c:v>0.42795281413876174</c:v>
                </c:pt>
                <c:pt idx="9">
                  <c:v>20.470357637280266</c:v>
                </c:pt>
                <c:pt idx="10">
                  <c:v>86.971400786904624</c:v>
                </c:pt>
                <c:pt idx="11">
                  <c:v>69.055388910963273</c:v>
                </c:pt>
                <c:pt idx="12">
                  <c:v>0.1401814540859215</c:v>
                </c:pt>
                <c:pt idx="13">
                  <c:v>0.14896630813291417</c:v>
                </c:pt>
                <c:pt idx="14">
                  <c:v>0.62586912733706324</c:v>
                </c:pt>
                <c:pt idx="15">
                  <c:v>0.89788072244060524</c:v>
                </c:pt>
                <c:pt idx="16">
                  <c:v>52.958070968545165</c:v>
                </c:pt>
                <c:pt idx="17">
                  <c:v>1.0114022915562064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80-4F86-A7C8-8325415C472D}"/>
            </c:ext>
          </c:extLst>
        </c:ser>
        <c:ser>
          <c:idx val="3"/>
          <c:order val="3"/>
          <c:tx>
            <c:strRef>
              <c:f>Normalized!$E$3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Normalized!$A$4:$A$21</c:f>
              <c:strCache>
                <c:ptCount val="18"/>
                <c:pt idx="0">
                  <c:v>ALOP</c:v>
                </c:pt>
                <c:pt idx="1">
                  <c:v>GWP100</c:v>
                </c:pt>
                <c:pt idx="2">
                  <c:v>FDP</c:v>
                </c:pt>
                <c:pt idx="3">
                  <c:v>FETPinf</c:v>
                </c:pt>
                <c:pt idx="4">
                  <c:v>FEP</c:v>
                </c:pt>
                <c:pt idx="5">
                  <c:v>HTPinf</c:v>
                </c:pt>
                <c:pt idx="6">
                  <c:v>IRP_HE</c:v>
                </c:pt>
                <c:pt idx="7">
                  <c:v>METPinf</c:v>
                </c:pt>
                <c:pt idx="8">
                  <c:v>MEP</c:v>
                </c:pt>
                <c:pt idx="9">
                  <c:v>MDP</c:v>
                </c:pt>
                <c:pt idx="10">
                  <c:v>NLTP</c:v>
                </c:pt>
                <c:pt idx="11">
                  <c:v>ODPinf</c:v>
                </c:pt>
                <c:pt idx="12">
                  <c:v>PMFP</c:v>
                </c:pt>
                <c:pt idx="13">
                  <c:v>POFP</c:v>
                </c:pt>
                <c:pt idx="14">
                  <c:v>TAP100</c:v>
                </c:pt>
                <c:pt idx="15">
                  <c:v>TETPinf</c:v>
                </c:pt>
                <c:pt idx="16">
                  <c:v>ULOP</c:v>
                </c:pt>
                <c:pt idx="17">
                  <c:v>WDP</c:v>
                </c:pt>
              </c:strCache>
            </c:strRef>
          </c:cat>
          <c:val>
            <c:numRef>
              <c:f>Normalized!$E$4:$E$21</c:f>
              <c:numCache>
                <c:formatCode>0.0</c:formatCode>
                <c:ptCount val="18"/>
                <c:pt idx="0">
                  <c:v>0.50104375556868774</c:v>
                </c:pt>
                <c:pt idx="1">
                  <c:v>29.89457170349527</c:v>
                </c:pt>
                <c:pt idx="2">
                  <c:v>26.473377218966142</c:v>
                </c:pt>
                <c:pt idx="3">
                  <c:v>38.700564971751405</c:v>
                </c:pt>
                <c:pt idx="4">
                  <c:v>2.1114026050218384</c:v>
                </c:pt>
                <c:pt idx="5">
                  <c:v>100</c:v>
                </c:pt>
                <c:pt idx="6">
                  <c:v>6.7957272223152758</c:v>
                </c:pt>
                <c:pt idx="7">
                  <c:v>100</c:v>
                </c:pt>
                <c:pt idx="8">
                  <c:v>100</c:v>
                </c:pt>
                <c:pt idx="9">
                  <c:v>16.882159007973787</c:v>
                </c:pt>
                <c:pt idx="10">
                  <c:v>100</c:v>
                </c:pt>
                <c:pt idx="11">
                  <c:v>23.274803648082248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15.554623389369777</c:v>
                </c:pt>
                <c:pt idx="16">
                  <c:v>10.301012952308559</c:v>
                </c:pt>
                <c:pt idx="17">
                  <c:v>5.5595855380821391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80-4F86-A7C8-8325415C472D}"/>
            </c:ext>
          </c:extLst>
        </c:ser>
        <c:ser>
          <c:idx val="4"/>
          <c:order val="4"/>
          <c:tx>
            <c:strRef>
              <c:f>Normalized!$F$3</c:f>
              <c:strCache>
                <c:ptCount val="1"/>
                <c:pt idx="0">
                  <c:v>GUA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Normalized!$A$4:$A$21</c:f>
              <c:strCache>
                <c:ptCount val="18"/>
                <c:pt idx="0">
                  <c:v>ALOP</c:v>
                </c:pt>
                <c:pt idx="1">
                  <c:v>GWP100</c:v>
                </c:pt>
                <c:pt idx="2">
                  <c:v>FDP</c:v>
                </c:pt>
                <c:pt idx="3">
                  <c:v>FETPinf</c:v>
                </c:pt>
                <c:pt idx="4">
                  <c:v>FEP</c:v>
                </c:pt>
                <c:pt idx="5">
                  <c:v>HTPinf</c:v>
                </c:pt>
                <c:pt idx="6">
                  <c:v>IRP_HE</c:v>
                </c:pt>
                <c:pt idx="7">
                  <c:v>METPinf</c:v>
                </c:pt>
                <c:pt idx="8">
                  <c:v>MEP</c:v>
                </c:pt>
                <c:pt idx="9">
                  <c:v>MDP</c:v>
                </c:pt>
                <c:pt idx="10">
                  <c:v>NLTP</c:v>
                </c:pt>
                <c:pt idx="11">
                  <c:v>ODPinf</c:v>
                </c:pt>
                <c:pt idx="12">
                  <c:v>PMFP</c:v>
                </c:pt>
                <c:pt idx="13">
                  <c:v>POFP</c:v>
                </c:pt>
                <c:pt idx="14">
                  <c:v>TAP100</c:v>
                </c:pt>
                <c:pt idx="15">
                  <c:v>TETPinf</c:v>
                </c:pt>
                <c:pt idx="16">
                  <c:v>ULOP</c:v>
                </c:pt>
                <c:pt idx="17">
                  <c:v>WDP</c:v>
                </c:pt>
              </c:strCache>
            </c:strRef>
          </c:cat>
          <c:val>
            <c:numRef>
              <c:f>Normalized!$F$4:$F$21</c:f>
              <c:numCache>
                <c:formatCode>0.0</c:formatCode>
                <c:ptCount val="18"/>
                <c:pt idx="0">
                  <c:v>9.0930163047650741</c:v>
                </c:pt>
                <c:pt idx="1">
                  <c:v>53.385154017738166</c:v>
                </c:pt>
                <c:pt idx="2">
                  <c:v>100</c:v>
                </c:pt>
                <c:pt idx="3">
                  <c:v>100</c:v>
                </c:pt>
                <c:pt idx="4">
                  <c:v>58.920548617850734</c:v>
                </c:pt>
                <c:pt idx="5">
                  <c:v>14.386123450447943</c:v>
                </c:pt>
                <c:pt idx="6">
                  <c:v>100</c:v>
                </c:pt>
                <c:pt idx="7">
                  <c:v>17.960943465523087</c:v>
                </c:pt>
                <c:pt idx="8">
                  <c:v>0.88098403629603905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2.0238193686454617</c:v>
                </c:pt>
                <c:pt idx="13">
                  <c:v>1.3000270382391246</c:v>
                </c:pt>
                <c:pt idx="14">
                  <c:v>0.60489174728619421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80-4F86-A7C8-8325415C4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6801039"/>
        <c:axId val="1096791055"/>
      </c:barChart>
      <c:catAx>
        <c:axId val="109680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096791055"/>
        <c:crosses val="autoZero"/>
        <c:auto val="1"/>
        <c:lblAlgn val="ctr"/>
        <c:lblOffset val="100"/>
        <c:noMultiLvlLbl val="0"/>
      </c:catAx>
      <c:valAx>
        <c:axId val="1096791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09680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Normalized!$B$27</c:f>
              <c:strCache>
                <c:ptCount val="1"/>
                <c:pt idx="0">
                  <c:v>ARG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Normalized!$A$28:$A$45</c:f>
              <c:strCache>
                <c:ptCount val="18"/>
                <c:pt idx="0">
                  <c:v>ALOP</c:v>
                </c:pt>
                <c:pt idx="1">
                  <c:v>GWP100</c:v>
                </c:pt>
                <c:pt idx="2">
                  <c:v>FDP</c:v>
                </c:pt>
                <c:pt idx="3">
                  <c:v>FETPinf</c:v>
                </c:pt>
                <c:pt idx="4">
                  <c:v>FEP</c:v>
                </c:pt>
                <c:pt idx="5">
                  <c:v>HTPinf</c:v>
                </c:pt>
                <c:pt idx="6">
                  <c:v>IRP_HE</c:v>
                </c:pt>
                <c:pt idx="7">
                  <c:v>METPinf</c:v>
                </c:pt>
                <c:pt idx="8">
                  <c:v>MEP</c:v>
                </c:pt>
                <c:pt idx="9">
                  <c:v>MDP</c:v>
                </c:pt>
                <c:pt idx="10">
                  <c:v>NLTP</c:v>
                </c:pt>
                <c:pt idx="11">
                  <c:v>ODPinf</c:v>
                </c:pt>
                <c:pt idx="12">
                  <c:v>PMFP</c:v>
                </c:pt>
                <c:pt idx="13">
                  <c:v>POFP</c:v>
                </c:pt>
                <c:pt idx="14">
                  <c:v>TAP100</c:v>
                </c:pt>
                <c:pt idx="15">
                  <c:v>TETPinf</c:v>
                </c:pt>
                <c:pt idx="16">
                  <c:v>ULOP</c:v>
                </c:pt>
                <c:pt idx="17">
                  <c:v>WDP</c:v>
                </c:pt>
              </c:strCache>
            </c:strRef>
          </c:cat>
          <c:val>
            <c:numRef>
              <c:f>Normalized!$B$28:$B$45</c:f>
              <c:numCache>
                <c:formatCode>0.0</c:formatCode>
                <c:ptCount val="18"/>
                <c:pt idx="0">
                  <c:v>0.99488616260337459</c:v>
                </c:pt>
                <c:pt idx="1">
                  <c:v>65.880331601214266</c:v>
                </c:pt>
                <c:pt idx="2">
                  <c:v>62.818780835516527</c:v>
                </c:pt>
                <c:pt idx="3">
                  <c:v>0.14167645688759808</c:v>
                </c:pt>
                <c:pt idx="4">
                  <c:v>7.95921699740718E-2</c:v>
                </c:pt>
                <c:pt idx="5">
                  <c:v>16.177885183002953</c:v>
                </c:pt>
                <c:pt idx="6">
                  <c:v>3.0890101355890462</c:v>
                </c:pt>
                <c:pt idx="7">
                  <c:v>0.23285840931841156</c:v>
                </c:pt>
                <c:pt idx="8">
                  <c:v>0.52873563629408227</c:v>
                </c:pt>
                <c:pt idx="9">
                  <c:v>3.8463279291733583</c:v>
                </c:pt>
                <c:pt idx="10">
                  <c:v>36.145909460184591</c:v>
                </c:pt>
                <c:pt idx="11">
                  <c:v>35.950876193610505</c:v>
                </c:pt>
                <c:pt idx="12">
                  <c:v>2.2865914725135781</c:v>
                </c:pt>
                <c:pt idx="13">
                  <c:v>100</c:v>
                </c:pt>
                <c:pt idx="14">
                  <c:v>2.5752814284080152</c:v>
                </c:pt>
                <c:pt idx="15">
                  <c:v>0.29281403062118916</c:v>
                </c:pt>
                <c:pt idx="16">
                  <c:v>4.7208882687184932</c:v>
                </c:pt>
                <c:pt idx="17">
                  <c:v>2.4634415139777639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4-4DA7-B368-79C5B815BDD8}"/>
            </c:ext>
          </c:extLst>
        </c:ser>
        <c:ser>
          <c:idx val="1"/>
          <c:order val="1"/>
          <c:tx>
            <c:strRef>
              <c:f>Normalized!$C$27</c:f>
              <c:strCache>
                <c:ptCount val="1"/>
                <c:pt idx="0">
                  <c:v>BRA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Normalized!$A$28:$A$45</c:f>
              <c:strCache>
                <c:ptCount val="18"/>
                <c:pt idx="0">
                  <c:v>ALOP</c:v>
                </c:pt>
                <c:pt idx="1">
                  <c:v>GWP100</c:v>
                </c:pt>
                <c:pt idx="2">
                  <c:v>FDP</c:v>
                </c:pt>
                <c:pt idx="3">
                  <c:v>FETPinf</c:v>
                </c:pt>
                <c:pt idx="4">
                  <c:v>FEP</c:v>
                </c:pt>
                <c:pt idx="5">
                  <c:v>HTPinf</c:v>
                </c:pt>
                <c:pt idx="6">
                  <c:v>IRP_HE</c:v>
                </c:pt>
                <c:pt idx="7">
                  <c:v>METPinf</c:v>
                </c:pt>
                <c:pt idx="8">
                  <c:v>MEP</c:v>
                </c:pt>
                <c:pt idx="9">
                  <c:v>MDP</c:v>
                </c:pt>
                <c:pt idx="10">
                  <c:v>NLTP</c:v>
                </c:pt>
                <c:pt idx="11">
                  <c:v>ODPinf</c:v>
                </c:pt>
                <c:pt idx="12">
                  <c:v>PMFP</c:v>
                </c:pt>
                <c:pt idx="13">
                  <c:v>POFP</c:v>
                </c:pt>
                <c:pt idx="14">
                  <c:v>TAP100</c:v>
                </c:pt>
                <c:pt idx="15">
                  <c:v>TETPinf</c:v>
                </c:pt>
                <c:pt idx="16">
                  <c:v>ULOP</c:v>
                </c:pt>
                <c:pt idx="17">
                  <c:v>WDP</c:v>
                </c:pt>
              </c:strCache>
            </c:strRef>
          </c:cat>
          <c:val>
            <c:numRef>
              <c:f>Normalized!$C$28:$C$45</c:f>
              <c:numCache>
                <c:formatCode>0.0</c:formatCode>
                <c:ptCount val="1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0.4278823321303234</c:v>
                </c:pt>
                <c:pt idx="4">
                  <c:v>0.41960583869818968</c:v>
                </c:pt>
                <c:pt idx="5">
                  <c:v>100</c:v>
                </c:pt>
                <c:pt idx="6">
                  <c:v>100</c:v>
                </c:pt>
                <c:pt idx="7">
                  <c:v>5.8288692981062313</c:v>
                </c:pt>
                <c:pt idx="8">
                  <c:v>2.1153713824510185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14.133654869328719</c:v>
                </c:pt>
                <c:pt idx="13">
                  <c:v>65.09089603553619</c:v>
                </c:pt>
                <c:pt idx="14">
                  <c:v>9.4136819757385428</c:v>
                </c:pt>
                <c:pt idx="15">
                  <c:v>0.44604550563232076</c:v>
                </c:pt>
                <c:pt idx="16">
                  <c:v>100</c:v>
                </c:pt>
                <c:pt idx="1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24-4DA7-B368-79C5B815BDD8}"/>
            </c:ext>
          </c:extLst>
        </c:ser>
        <c:ser>
          <c:idx val="2"/>
          <c:order val="2"/>
          <c:tx>
            <c:strRef>
              <c:f>Normalized!$D$27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Normalized!$A$28:$A$45</c:f>
              <c:strCache>
                <c:ptCount val="18"/>
                <c:pt idx="0">
                  <c:v>ALOP</c:v>
                </c:pt>
                <c:pt idx="1">
                  <c:v>GWP100</c:v>
                </c:pt>
                <c:pt idx="2">
                  <c:v>FDP</c:v>
                </c:pt>
                <c:pt idx="3">
                  <c:v>FETPinf</c:v>
                </c:pt>
                <c:pt idx="4">
                  <c:v>FEP</c:v>
                </c:pt>
                <c:pt idx="5">
                  <c:v>HTPinf</c:v>
                </c:pt>
                <c:pt idx="6">
                  <c:v>IRP_HE</c:v>
                </c:pt>
                <c:pt idx="7">
                  <c:v>METPinf</c:v>
                </c:pt>
                <c:pt idx="8">
                  <c:v>MEP</c:v>
                </c:pt>
                <c:pt idx="9">
                  <c:v>MDP</c:v>
                </c:pt>
                <c:pt idx="10">
                  <c:v>NLTP</c:v>
                </c:pt>
                <c:pt idx="11">
                  <c:v>ODPinf</c:v>
                </c:pt>
                <c:pt idx="12">
                  <c:v>PMFP</c:v>
                </c:pt>
                <c:pt idx="13">
                  <c:v>POFP</c:v>
                </c:pt>
                <c:pt idx="14">
                  <c:v>TAP100</c:v>
                </c:pt>
                <c:pt idx="15">
                  <c:v>TETPinf</c:v>
                </c:pt>
                <c:pt idx="16">
                  <c:v>ULOP</c:v>
                </c:pt>
                <c:pt idx="17">
                  <c:v>WDP</c:v>
                </c:pt>
              </c:strCache>
            </c:strRef>
          </c:cat>
          <c:val>
            <c:numRef>
              <c:f>Normalized!$D$28:$D$45</c:f>
              <c:numCache>
                <c:formatCode>0.0</c:formatCode>
                <c:ptCount val="18"/>
                <c:pt idx="0">
                  <c:v>12.558001410744094</c:v>
                </c:pt>
                <c:pt idx="1">
                  <c:v>49.551030788316517</c:v>
                </c:pt>
                <c:pt idx="2">
                  <c:v>25.185663405953456</c:v>
                </c:pt>
                <c:pt idx="3">
                  <c:v>100</c:v>
                </c:pt>
                <c:pt idx="4">
                  <c:v>100</c:v>
                </c:pt>
                <c:pt idx="5">
                  <c:v>42.557977922182289</c:v>
                </c:pt>
                <c:pt idx="6">
                  <c:v>28.96222677333018</c:v>
                </c:pt>
                <c:pt idx="7">
                  <c:v>100</c:v>
                </c:pt>
                <c:pt idx="8">
                  <c:v>100</c:v>
                </c:pt>
                <c:pt idx="9">
                  <c:v>32.049144850614859</c:v>
                </c:pt>
                <c:pt idx="10">
                  <c:v>77.642330891921802</c:v>
                </c:pt>
                <c:pt idx="11">
                  <c:v>11.749790586360181</c:v>
                </c:pt>
                <c:pt idx="12">
                  <c:v>100</c:v>
                </c:pt>
                <c:pt idx="13">
                  <c:v>68.558517224882465</c:v>
                </c:pt>
                <c:pt idx="14">
                  <c:v>100</c:v>
                </c:pt>
                <c:pt idx="15">
                  <c:v>100</c:v>
                </c:pt>
                <c:pt idx="16">
                  <c:v>19.525514190785266</c:v>
                </c:pt>
                <c:pt idx="17">
                  <c:v>88.359021932401475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24-4DA7-B368-79C5B815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238303"/>
        <c:axId val="1573722127"/>
      </c:barChart>
      <c:catAx>
        <c:axId val="146923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573722127"/>
        <c:crosses val="autoZero"/>
        <c:auto val="1"/>
        <c:lblAlgn val="ctr"/>
        <c:lblOffset val="100"/>
        <c:tickLblSkip val="1"/>
        <c:noMultiLvlLbl val="0"/>
      </c:catAx>
      <c:valAx>
        <c:axId val="157372212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pt-BR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pt-B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46923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60000"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46</xdr:row>
      <xdr:rowOff>80010</xdr:rowOff>
    </xdr:from>
    <xdr:to>
      <xdr:col>10</xdr:col>
      <xdr:colOff>868680</xdr:colOff>
      <xdr:row>60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89DB99-2813-4DE0-99A3-8BDC57FD6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46</xdr:row>
      <xdr:rowOff>19050</xdr:rowOff>
    </xdr:from>
    <xdr:to>
      <xdr:col>7</xdr:col>
      <xdr:colOff>388620</xdr:colOff>
      <xdr:row>60</xdr:row>
      <xdr:rowOff>125730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DDD2549B-E86F-4E6D-A2DB-872C3B8DE1E8}"/>
            </a:ext>
          </a:extLst>
        </xdr:cNvPr>
        <xdr:cNvGrpSpPr/>
      </xdr:nvGrpSpPr>
      <xdr:grpSpPr>
        <a:xfrm>
          <a:off x="7277100" y="9109710"/>
          <a:ext cx="5615940" cy="2834640"/>
          <a:chOff x="6842760" y="9109710"/>
          <a:chExt cx="4572000" cy="2834640"/>
        </a:xfrm>
      </xdr:grpSpPr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A4AFB8FF-4BA1-41E3-9A3F-20BB0B9001FF}"/>
              </a:ext>
            </a:extLst>
          </xdr:cNvPr>
          <xdr:cNvGraphicFramePr/>
        </xdr:nvGraphicFramePr>
        <xdr:xfrm>
          <a:off x="6842760" y="9109710"/>
          <a:ext cx="4572000" cy="28346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4" name="Conector de Seta Reta 3">
            <a:extLst>
              <a:ext uri="{FF2B5EF4-FFF2-40B4-BE49-F238E27FC236}">
                <a16:creationId xmlns:a16="http://schemas.microsoft.com/office/drawing/2014/main" id="{F3C67103-41A6-4D8D-BB62-1A89AFF08384}"/>
              </a:ext>
            </a:extLst>
          </xdr:cNvPr>
          <xdr:cNvCxnSpPr/>
        </xdr:nvCxnSpPr>
        <xdr:spPr>
          <a:xfrm flipV="1">
            <a:off x="7863840" y="9486900"/>
            <a:ext cx="0" cy="1152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267F6D8C-53EC-487B-8D98-161F86D60243}"/>
              </a:ext>
            </a:extLst>
          </xdr:cNvPr>
          <xdr:cNvSpPr txBox="1"/>
        </xdr:nvSpPr>
        <xdr:spPr>
          <a:xfrm>
            <a:off x="7840980" y="9913620"/>
            <a:ext cx="466794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70%</a:t>
            </a:r>
          </a:p>
        </xdr:txBody>
      </xdr:sp>
      <xdr:cxnSp macro="">
        <xdr:nvCxnSpPr>
          <xdr:cNvPr id="7" name="Conector de Seta Reta 6">
            <a:extLst>
              <a:ext uri="{FF2B5EF4-FFF2-40B4-BE49-F238E27FC236}">
                <a16:creationId xmlns:a16="http://schemas.microsoft.com/office/drawing/2014/main" id="{0F2C0B35-70F4-47C1-867D-C3A3EED26C7D}"/>
              </a:ext>
            </a:extLst>
          </xdr:cNvPr>
          <xdr:cNvCxnSpPr/>
        </xdr:nvCxnSpPr>
        <xdr:spPr>
          <a:xfrm flipV="1">
            <a:off x="10126980" y="9464040"/>
            <a:ext cx="0" cy="1224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7423BE46-A4AD-4D58-8494-A63CD1333289}"/>
              </a:ext>
            </a:extLst>
          </xdr:cNvPr>
          <xdr:cNvSpPr txBox="1"/>
        </xdr:nvSpPr>
        <xdr:spPr>
          <a:xfrm>
            <a:off x="10088880" y="9898380"/>
            <a:ext cx="466794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74%</a:t>
            </a:r>
          </a:p>
        </xdr:txBody>
      </xdr:sp>
      <xdr:cxnSp macro="">
        <xdr:nvCxnSpPr>
          <xdr:cNvPr id="9" name="Conector de Seta Reta 8">
            <a:extLst>
              <a:ext uri="{FF2B5EF4-FFF2-40B4-BE49-F238E27FC236}">
                <a16:creationId xmlns:a16="http://schemas.microsoft.com/office/drawing/2014/main" id="{6D248965-0980-40EC-861C-6905BC48E994}"/>
              </a:ext>
            </a:extLst>
          </xdr:cNvPr>
          <xdr:cNvCxnSpPr/>
        </xdr:nvCxnSpPr>
        <xdr:spPr>
          <a:xfrm flipV="1">
            <a:off x="9357360" y="9456420"/>
            <a:ext cx="0" cy="1116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>
            <a:extLst>
              <a:ext uri="{FF2B5EF4-FFF2-40B4-BE49-F238E27FC236}">
                <a16:creationId xmlns:a16="http://schemas.microsoft.com/office/drawing/2014/main" id="{E9A355AD-8D50-42B0-A1A3-95F01E1DE598}"/>
              </a:ext>
            </a:extLst>
          </xdr:cNvPr>
          <xdr:cNvSpPr txBox="1"/>
        </xdr:nvSpPr>
        <xdr:spPr>
          <a:xfrm>
            <a:off x="9319260" y="9906000"/>
            <a:ext cx="466794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67%</a:t>
            </a:r>
          </a:p>
        </xdr:txBody>
      </xdr:sp>
      <xdr:cxnSp macro="">
        <xdr:nvCxnSpPr>
          <xdr:cNvPr id="11" name="Conector de Seta Reta 10">
            <a:extLst>
              <a:ext uri="{FF2B5EF4-FFF2-40B4-BE49-F238E27FC236}">
                <a16:creationId xmlns:a16="http://schemas.microsoft.com/office/drawing/2014/main" id="{C5394AC9-4687-499E-9D53-91B461D74BC1}"/>
              </a:ext>
            </a:extLst>
          </xdr:cNvPr>
          <xdr:cNvCxnSpPr/>
        </xdr:nvCxnSpPr>
        <xdr:spPr>
          <a:xfrm flipV="1">
            <a:off x="10881360" y="9464040"/>
            <a:ext cx="0" cy="1116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207D665C-5490-4D7E-A92F-A2EC6D07A1BC}"/>
              </a:ext>
            </a:extLst>
          </xdr:cNvPr>
          <xdr:cNvSpPr txBox="1"/>
        </xdr:nvSpPr>
        <xdr:spPr>
          <a:xfrm>
            <a:off x="10850880" y="9890760"/>
            <a:ext cx="466794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66%</a:t>
            </a:r>
          </a:p>
        </xdr:txBody>
      </xdr:sp>
      <xdr:cxnSp macro="">
        <xdr:nvCxnSpPr>
          <xdr:cNvPr id="13" name="Conector de Seta Reta 12">
            <a:extLst>
              <a:ext uri="{FF2B5EF4-FFF2-40B4-BE49-F238E27FC236}">
                <a16:creationId xmlns:a16="http://schemas.microsoft.com/office/drawing/2014/main" id="{E1FCBBFD-A4B6-4126-89C3-A1220515EDA4}"/>
              </a:ext>
            </a:extLst>
          </xdr:cNvPr>
          <xdr:cNvCxnSpPr/>
        </xdr:nvCxnSpPr>
        <xdr:spPr>
          <a:xfrm flipV="1">
            <a:off x="8625840" y="9464040"/>
            <a:ext cx="0" cy="576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9869BCB9-CEE3-4290-9F2C-588D5C5A9B9D}"/>
              </a:ext>
            </a:extLst>
          </xdr:cNvPr>
          <xdr:cNvSpPr txBox="1"/>
        </xdr:nvSpPr>
        <xdr:spPr>
          <a:xfrm>
            <a:off x="8587740" y="9646920"/>
            <a:ext cx="466794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37%</a:t>
            </a:r>
          </a:p>
        </xdr:txBody>
      </xdr:sp>
    </xdr:grpSp>
    <xdr:clientData/>
  </xdr:twoCellAnchor>
  <xdr:twoCellAnchor>
    <xdr:from>
      <xdr:col>8</xdr:col>
      <xdr:colOff>281940</xdr:colOff>
      <xdr:row>62</xdr:row>
      <xdr:rowOff>22860</xdr:rowOff>
    </xdr:from>
    <xdr:to>
      <xdr:col>12</xdr:col>
      <xdr:colOff>1882140</xdr:colOff>
      <xdr:row>78</xdr:row>
      <xdr:rowOff>68580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5F82B3C3-9445-4525-B987-DE105CF59AE6}"/>
            </a:ext>
          </a:extLst>
        </xdr:cNvPr>
        <xdr:cNvGrpSpPr/>
      </xdr:nvGrpSpPr>
      <xdr:grpSpPr>
        <a:xfrm>
          <a:off x="14196060" y="12207240"/>
          <a:ext cx="6781800" cy="3185160"/>
          <a:chOff x="11353800" y="12367260"/>
          <a:chExt cx="6781800" cy="318516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A6781927-1918-41E2-8072-0AB1B441866B}"/>
              </a:ext>
            </a:extLst>
          </xdr:cNvPr>
          <xdr:cNvGraphicFramePr/>
        </xdr:nvGraphicFramePr>
        <xdr:xfrm>
          <a:off x="11353800" y="12367260"/>
          <a:ext cx="6781800" cy="31851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cxnSp macro="">
        <xdr:nvCxnSpPr>
          <xdr:cNvPr id="16" name="Conector de Seta Reta 15">
            <a:extLst>
              <a:ext uri="{FF2B5EF4-FFF2-40B4-BE49-F238E27FC236}">
                <a16:creationId xmlns:a16="http://schemas.microsoft.com/office/drawing/2014/main" id="{A9D0CDC2-8753-4882-A704-A0C849E02316}"/>
              </a:ext>
            </a:extLst>
          </xdr:cNvPr>
          <xdr:cNvCxnSpPr/>
        </xdr:nvCxnSpPr>
        <xdr:spPr>
          <a:xfrm flipV="1">
            <a:off x="17404080" y="12752070"/>
            <a:ext cx="0" cy="1368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CaixaDeTexto 16">
            <a:extLst>
              <a:ext uri="{FF2B5EF4-FFF2-40B4-BE49-F238E27FC236}">
                <a16:creationId xmlns:a16="http://schemas.microsoft.com/office/drawing/2014/main" id="{23F3ECAD-1412-43A2-9035-462BAC857A49}"/>
              </a:ext>
            </a:extLst>
          </xdr:cNvPr>
          <xdr:cNvSpPr txBox="1"/>
        </xdr:nvSpPr>
        <xdr:spPr>
          <a:xfrm>
            <a:off x="17373600" y="13239750"/>
            <a:ext cx="538369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66%</a:t>
            </a:r>
          </a:p>
        </xdr:txBody>
      </xdr:sp>
      <xdr:cxnSp macro="">
        <xdr:nvCxnSpPr>
          <xdr:cNvPr id="18" name="Conector de Seta Reta 17">
            <a:extLst>
              <a:ext uri="{FF2B5EF4-FFF2-40B4-BE49-F238E27FC236}">
                <a16:creationId xmlns:a16="http://schemas.microsoft.com/office/drawing/2014/main" id="{07F6233D-40A4-4F83-A625-9ADAB6B43F79}"/>
              </a:ext>
            </a:extLst>
          </xdr:cNvPr>
          <xdr:cNvCxnSpPr/>
        </xdr:nvCxnSpPr>
        <xdr:spPr>
          <a:xfrm flipV="1">
            <a:off x="16190722" y="12744450"/>
            <a:ext cx="0" cy="1692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60B937EC-CF70-4B9E-837E-D0C0E6DA5F2D}"/>
              </a:ext>
            </a:extLst>
          </xdr:cNvPr>
          <xdr:cNvSpPr txBox="1"/>
        </xdr:nvSpPr>
        <xdr:spPr>
          <a:xfrm>
            <a:off x="16162020" y="13247370"/>
            <a:ext cx="538369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81%</a:t>
            </a:r>
          </a:p>
        </xdr:txBody>
      </xdr:sp>
      <xdr:cxnSp macro="">
        <xdr:nvCxnSpPr>
          <xdr:cNvPr id="20" name="Conector de Seta Reta 19">
            <a:extLst>
              <a:ext uri="{FF2B5EF4-FFF2-40B4-BE49-F238E27FC236}">
                <a16:creationId xmlns:a16="http://schemas.microsoft.com/office/drawing/2014/main" id="{AABB014B-70D4-4145-B895-2D6BB582BAD5}"/>
              </a:ext>
            </a:extLst>
          </xdr:cNvPr>
          <xdr:cNvCxnSpPr/>
        </xdr:nvCxnSpPr>
        <xdr:spPr>
          <a:xfrm flipV="1">
            <a:off x="14994382" y="12721590"/>
            <a:ext cx="0" cy="1584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CaixaDeTexto 21">
            <a:extLst>
              <a:ext uri="{FF2B5EF4-FFF2-40B4-BE49-F238E27FC236}">
                <a16:creationId xmlns:a16="http://schemas.microsoft.com/office/drawing/2014/main" id="{389BEFFC-0CDC-47FA-AD98-672BC2E02FF9}"/>
              </a:ext>
            </a:extLst>
          </xdr:cNvPr>
          <xdr:cNvSpPr txBox="1"/>
        </xdr:nvSpPr>
        <xdr:spPr>
          <a:xfrm>
            <a:off x="14996160" y="13232130"/>
            <a:ext cx="538369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74%</a:t>
            </a:r>
          </a:p>
        </xdr:txBody>
      </xdr:sp>
      <xdr:cxnSp macro="">
        <xdr:nvCxnSpPr>
          <xdr:cNvPr id="23" name="Conector de Seta Reta 22">
            <a:extLst>
              <a:ext uri="{FF2B5EF4-FFF2-40B4-BE49-F238E27FC236}">
                <a16:creationId xmlns:a16="http://schemas.microsoft.com/office/drawing/2014/main" id="{2A0EF507-562C-46D3-98EA-71061CBF217D}"/>
              </a:ext>
            </a:extLst>
          </xdr:cNvPr>
          <xdr:cNvCxnSpPr/>
        </xdr:nvCxnSpPr>
        <xdr:spPr>
          <a:xfrm flipV="1">
            <a:off x="13790422" y="12744450"/>
            <a:ext cx="0" cy="720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433BE2D2-881F-481E-888A-06AFD06AA3AC}"/>
              </a:ext>
            </a:extLst>
          </xdr:cNvPr>
          <xdr:cNvSpPr txBox="1"/>
        </xdr:nvSpPr>
        <xdr:spPr>
          <a:xfrm>
            <a:off x="13746480" y="12965430"/>
            <a:ext cx="538369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37%</a:t>
            </a:r>
          </a:p>
        </xdr:txBody>
      </xdr:sp>
      <xdr:cxnSp macro="">
        <xdr:nvCxnSpPr>
          <xdr:cNvPr id="25" name="Conector de Seta Reta 24">
            <a:extLst>
              <a:ext uri="{FF2B5EF4-FFF2-40B4-BE49-F238E27FC236}">
                <a16:creationId xmlns:a16="http://schemas.microsoft.com/office/drawing/2014/main" id="{601C17C2-C515-4EC7-92F3-F0A927E59258}"/>
              </a:ext>
            </a:extLst>
          </xdr:cNvPr>
          <xdr:cNvCxnSpPr/>
        </xdr:nvCxnSpPr>
        <xdr:spPr>
          <a:xfrm flipV="1">
            <a:off x="12606986" y="12767310"/>
            <a:ext cx="0" cy="1440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CaixaDeTexto 25">
            <a:extLst>
              <a:ext uri="{FF2B5EF4-FFF2-40B4-BE49-F238E27FC236}">
                <a16:creationId xmlns:a16="http://schemas.microsoft.com/office/drawing/2014/main" id="{C8A1B167-809B-4BAA-9AA2-2BDDB11249A4}"/>
              </a:ext>
            </a:extLst>
          </xdr:cNvPr>
          <xdr:cNvSpPr txBox="1"/>
        </xdr:nvSpPr>
        <xdr:spPr>
          <a:xfrm>
            <a:off x="12580620" y="13315950"/>
            <a:ext cx="538369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70%</a:t>
            </a:r>
          </a:p>
        </xdr:txBody>
      </xdr:sp>
      <xdr:sp macro="" textlink="">
        <xdr:nvSpPr>
          <xdr:cNvPr id="15" name="CaixaDeTexto 14">
            <a:extLst>
              <a:ext uri="{FF2B5EF4-FFF2-40B4-BE49-F238E27FC236}">
                <a16:creationId xmlns:a16="http://schemas.microsoft.com/office/drawing/2014/main" id="{ED66CC92-540B-46E2-B950-53B33EA25CF2}"/>
              </a:ext>
            </a:extLst>
          </xdr:cNvPr>
          <xdr:cNvSpPr txBox="1"/>
        </xdr:nvSpPr>
        <xdr:spPr>
          <a:xfrm>
            <a:off x="16931640" y="12412980"/>
            <a:ext cx="569580" cy="269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200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Fossil</a:t>
            </a:r>
          </a:p>
        </xdr:txBody>
      </xdr:sp>
    </xdr:grpSp>
    <xdr:clientData/>
  </xdr:twoCellAnchor>
  <xdr:twoCellAnchor>
    <xdr:from>
      <xdr:col>8</xdr:col>
      <xdr:colOff>281940</xdr:colOff>
      <xdr:row>78</xdr:row>
      <xdr:rowOff>186690</xdr:rowOff>
    </xdr:from>
    <xdr:to>
      <xdr:col>12</xdr:col>
      <xdr:colOff>1889760</xdr:colOff>
      <xdr:row>96</xdr:row>
      <xdr:rowOff>53340</xdr:rowOff>
    </xdr:to>
    <xdr:grpSp>
      <xdr:nvGrpSpPr>
        <xdr:cNvPr id="36" name="Agrupar 35">
          <a:extLst>
            <a:ext uri="{FF2B5EF4-FFF2-40B4-BE49-F238E27FC236}">
              <a16:creationId xmlns:a16="http://schemas.microsoft.com/office/drawing/2014/main" id="{E33423BB-F02A-4AA0-AB18-17B22A61FA17}"/>
            </a:ext>
          </a:extLst>
        </xdr:cNvPr>
        <xdr:cNvGrpSpPr/>
      </xdr:nvGrpSpPr>
      <xdr:grpSpPr>
        <a:xfrm>
          <a:off x="14196060" y="15510510"/>
          <a:ext cx="6789420" cy="3417570"/>
          <a:chOff x="13639800" y="15510510"/>
          <a:chExt cx="6789420" cy="3219450"/>
        </a:xfrm>
      </xdr:grpSpPr>
      <xdr:graphicFrame macro="">
        <xdr:nvGraphicFramePr>
          <xdr:cNvPr id="28" name="Gráfico 27">
            <a:extLst>
              <a:ext uri="{FF2B5EF4-FFF2-40B4-BE49-F238E27FC236}">
                <a16:creationId xmlns:a16="http://schemas.microsoft.com/office/drawing/2014/main" id="{2B38547E-8257-494C-964C-1E92D95B8470}"/>
              </a:ext>
            </a:extLst>
          </xdr:cNvPr>
          <xdr:cNvGraphicFramePr/>
        </xdr:nvGraphicFramePr>
        <xdr:xfrm>
          <a:off x="13639800" y="15510510"/>
          <a:ext cx="6789420" cy="32194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cxnSp macro="">
        <xdr:nvCxnSpPr>
          <xdr:cNvPr id="29" name="Conector de Seta Reta 28">
            <a:extLst>
              <a:ext uri="{FF2B5EF4-FFF2-40B4-BE49-F238E27FC236}">
                <a16:creationId xmlns:a16="http://schemas.microsoft.com/office/drawing/2014/main" id="{91C5B742-5E6E-47D5-B1CF-C32BAAFB6B05}"/>
              </a:ext>
            </a:extLst>
          </xdr:cNvPr>
          <xdr:cNvCxnSpPr/>
        </xdr:nvCxnSpPr>
        <xdr:spPr>
          <a:xfrm flipV="1">
            <a:off x="15304466" y="15947223"/>
            <a:ext cx="0" cy="1560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CaixaDeTexto 29">
            <a:extLst>
              <a:ext uri="{FF2B5EF4-FFF2-40B4-BE49-F238E27FC236}">
                <a16:creationId xmlns:a16="http://schemas.microsoft.com/office/drawing/2014/main" id="{2289C52C-4F49-4F88-B3D8-99CED19729AE}"/>
              </a:ext>
            </a:extLst>
          </xdr:cNvPr>
          <xdr:cNvSpPr txBox="1"/>
        </xdr:nvSpPr>
        <xdr:spPr>
          <a:xfrm>
            <a:off x="15278100" y="16604863"/>
            <a:ext cx="538369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79%</a:t>
            </a:r>
          </a:p>
        </xdr:txBody>
      </xdr:sp>
      <xdr:cxnSp macro="">
        <xdr:nvCxnSpPr>
          <xdr:cNvPr id="31" name="Conector de Seta Reta 30">
            <a:extLst>
              <a:ext uri="{FF2B5EF4-FFF2-40B4-BE49-F238E27FC236}">
                <a16:creationId xmlns:a16="http://schemas.microsoft.com/office/drawing/2014/main" id="{F971B330-E877-4F95-9E89-65C30DDEC925}"/>
              </a:ext>
            </a:extLst>
          </xdr:cNvPr>
          <xdr:cNvCxnSpPr/>
        </xdr:nvCxnSpPr>
        <xdr:spPr>
          <a:xfrm flipV="1">
            <a:off x="17295622" y="15910448"/>
            <a:ext cx="0" cy="135652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5215F26F-1C7E-4C1D-AA36-01F5C42ECE10}"/>
              </a:ext>
            </a:extLst>
          </xdr:cNvPr>
          <xdr:cNvSpPr txBox="1"/>
        </xdr:nvSpPr>
        <xdr:spPr>
          <a:xfrm>
            <a:off x="17320260" y="16498184"/>
            <a:ext cx="538369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68%</a:t>
            </a:r>
          </a:p>
        </xdr:txBody>
      </xdr:sp>
      <xdr:cxnSp macro="">
        <xdr:nvCxnSpPr>
          <xdr:cNvPr id="33" name="Conector de Seta Reta 32">
            <a:extLst>
              <a:ext uri="{FF2B5EF4-FFF2-40B4-BE49-F238E27FC236}">
                <a16:creationId xmlns:a16="http://schemas.microsoft.com/office/drawing/2014/main" id="{942D67A8-19CD-4AA7-A9E9-FCBC22E49422}"/>
              </a:ext>
            </a:extLst>
          </xdr:cNvPr>
          <xdr:cNvCxnSpPr/>
        </xdr:nvCxnSpPr>
        <xdr:spPr>
          <a:xfrm flipV="1">
            <a:off x="19299682" y="15895651"/>
            <a:ext cx="0" cy="1763478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065D8562-4246-4ADE-9B1F-070FB3DAE01E}"/>
              </a:ext>
            </a:extLst>
          </xdr:cNvPr>
          <xdr:cNvSpPr txBox="1"/>
        </xdr:nvSpPr>
        <xdr:spPr>
          <a:xfrm>
            <a:off x="19324320" y="16631810"/>
            <a:ext cx="538369" cy="2544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84%</a:t>
            </a:r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6356EBFD-AF28-4B28-9F81-06AEF2D9D262}"/>
              </a:ext>
            </a:extLst>
          </xdr:cNvPr>
          <xdr:cNvSpPr txBox="1"/>
        </xdr:nvSpPr>
        <xdr:spPr>
          <a:xfrm>
            <a:off x="18745200" y="15512774"/>
            <a:ext cx="569580" cy="2693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pt-BR" sz="1200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Fossil</a:t>
            </a:r>
          </a:p>
        </xdr:txBody>
      </xdr:sp>
    </xdr:grpSp>
    <xdr:clientData/>
  </xdr:twoCellAnchor>
  <xdr:twoCellAnchor>
    <xdr:from>
      <xdr:col>5</xdr:col>
      <xdr:colOff>601980</xdr:colOff>
      <xdr:row>96</xdr:row>
      <xdr:rowOff>133350</xdr:rowOff>
    </xdr:from>
    <xdr:to>
      <xdr:col>8</xdr:col>
      <xdr:colOff>419100</xdr:colOff>
      <xdr:row>112</xdr:row>
      <xdr:rowOff>7620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D54BAAA6-428B-4268-8CBE-E5B4E2687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327660</xdr:colOff>
      <xdr:row>96</xdr:row>
      <xdr:rowOff>156210</xdr:rowOff>
    </xdr:from>
    <xdr:to>
      <xdr:col>5</xdr:col>
      <xdr:colOff>518160</xdr:colOff>
      <xdr:row>112</xdr:row>
      <xdr:rowOff>30480</xdr:rowOff>
    </xdr:to>
    <xdr:graphicFrame macro="">
      <xdr:nvGraphicFramePr>
        <xdr:cNvPr id="37" name="Gráfico 36">
          <a:extLst>
            <a:ext uri="{FF2B5EF4-FFF2-40B4-BE49-F238E27FC236}">
              <a16:creationId xmlns:a16="http://schemas.microsoft.com/office/drawing/2014/main" id="{3881F19C-EAFE-4152-A5EB-C3D6A01917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0.29167</cdr:x>
      <cdr:y>0.19583</cdr:y>
    </cdr:from>
    <cdr:to>
      <cdr:x>0.29167</cdr:x>
      <cdr:y>0.61578</cdr:y>
    </cdr:to>
    <cdr:cxnSp macro="">
      <cdr:nvCxnSpPr>
        <cdr:cNvPr id="3" name="Conector de Seta Reta 2">
          <a:extLst xmlns:a="http://schemas.openxmlformats.org/drawingml/2006/main">
            <a:ext uri="{FF2B5EF4-FFF2-40B4-BE49-F238E27FC236}">
              <a16:creationId xmlns:a16="http://schemas.microsoft.com/office/drawing/2014/main" id="{B96232E4-6DF5-4F60-9F0B-63ED99779106}"/>
            </a:ext>
          </a:extLst>
        </cdr:cNvPr>
        <cdr:cNvCxnSpPr/>
      </cdr:nvCxnSpPr>
      <cdr:spPr>
        <a:xfrm xmlns:a="http://schemas.openxmlformats.org/drawingml/2006/main" flipV="1">
          <a:off x="1333500" y="537204"/>
          <a:ext cx="0" cy="1152007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0.56278</cdr:x>
      <cdr:y>0.18194</cdr:y>
    </cdr:from>
    <cdr:to>
      <cdr:x>0.56333</cdr:x>
      <cdr:y>0.55046</cdr:y>
    </cdr:to>
    <cdr:cxnSp macro="">
      <cdr:nvCxnSpPr>
        <cdr:cNvPr id="4" name="Conector de Seta Reta 3">
          <a:extLst xmlns:a="http://schemas.openxmlformats.org/drawingml/2006/main">
            <a:ext uri="{FF2B5EF4-FFF2-40B4-BE49-F238E27FC236}">
              <a16:creationId xmlns:a16="http://schemas.microsoft.com/office/drawing/2014/main" id="{6D70E10D-4222-42D0-A863-09357B4B4E1E}"/>
            </a:ext>
          </a:extLst>
        </cdr:cNvPr>
        <cdr:cNvCxnSpPr/>
      </cdr:nvCxnSpPr>
      <cdr:spPr>
        <a:xfrm xmlns:a="http://schemas.openxmlformats.org/drawingml/2006/main" flipV="1">
          <a:off x="2573030" y="499107"/>
          <a:ext cx="2515" cy="1010924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0.83445</cdr:x>
      <cdr:y>0.19213</cdr:y>
    </cdr:from>
    <cdr:to>
      <cdr:x>0.83445</cdr:x>
      <cdr:y>0.63833</cdr:y>
    </cdr:to>
    <cdr:cxnSp macro="">
      <cdr:nvCxnSpPr>
        <cdr:cNvPr id="6" name="Conector de Seta Reta 5">
          <a:extLst xmlns:a="http://schemas.openxmlformats.org/drawingml/2006/main">
            <a:ext uri="{FF2B5EF4-FFF2-40B4-BE49-F238E27FC236}">
              <a16:creationId xmlns:a16="http://schemas.microsoft.com/office/drawing/2014/main" id="{339AD3FB-7773-4630-B5FD-40E646AC67D7}"/>
            </a:ext>
          </a:extLst>
        </cdr:cNvPr>
        <cdr:cNvCxnSpPr/>
      </cdr:nvCxnSpPr>
      <cdr:spPr>
        <a:xfrm xmlns:a="http://schemas.openxmlformats.org/drawingml/2006/main" flipV="1">
          <a:off x="3815090" y="527045"/>
          <a:ext cx="0" cy="1224016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0.28333</cdr:x>
      <cdr:y>0.34028</cdr:y>
    </cdr:from>
    <cdr:to>
      <cdr:x>0.37166</cdr:x>
      <cdr:y>0.43194</cdr:y>
    </cdr:to>
    <cdr:sp macro="" textlink="">
      <cdr:nvSpPr>
        <cdr:cNvPr id="7" name="CaixaDeTexto 6">
          <a:extLst xmlns:a="http://schemas.openxmlformats.org/drawingml/2006/main">
            <a:ext uri="{FF2B5EF4-FFF2-40B4-BE49-F238E27FC236}">
              <a16:creationId xmlns:a16="http://schemas.microsoft.com/office/drawing/2014/main" id="{441AD950-1B92-45EE-BEE0-3E63359163C7}"/>
            </a:ext>
          </a:extLst>
        </cdr:cNvPr>
        <cdr:cNvSpPr txBox="1"/>
      </cdr:nvSpPr>
      <cdr:spPr>
        <a:xfrm xmlns:a="http://schemas.openxmlformats.org/drawingml/2006/main">
          <a:off x="1295400" y="933456"/>
          <a:ext cx="403845" cy="2514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pt-BR" sz="1100" b="1">
              <a:latin typeface="Times New Roman" panose="02020603050405020304" pitchFamily="18" charset="0"/>
              <a:cs typeface="Times New Roman" panose="02020603050405020304" pitchFamily="18" charset="0"/>
            </a:rPr>
            <a:t>79%</a:t>
          </a:r>
        </a:p>
      </cdr:txBody>
    </cdr:sp>
  </cdr:relSizeAnchor>
  <cdr:relSizeAnchor xmlns:cdr="http://schemas.openxmlformats.org/drawingml/2006/chartDrawing">
    <cdr:from>
      <cdr:x>0.55444</cdr:x>
      <cdr:y>0.34352</cdr:y>
    </cdr:from>
    <cdr:to>
      <cdr:x>0.64278</cdr:x>
      <cdr:y>0.43518</cdr:y>
    </cdr:to>
    <cdr:sp macro="" textlink="">
      <cdr:nvSpPr>
        <cdr:cNvPr id="8" name="CaixaDeTexto 1">
          <a:extLst xmlns:a="http://schemas.openxmlformats.org/drawingml/2006/main">
            <a:ext uri="{FF2B5EF4-FFF2-40B4-BE49-F238E27FC236}">
              <a16:creationId xmlns:a16="http://schemas.microsoft.com/office/drawing/2014/main" id="{08B05EE8-2AFF-4D15-A091-A58A379EF3FA}"/>
            </a:ext>
          </a:extLst>
        </cdr:cNvPr>
        <cdr:cNvSpPr txBox="1"/>
      </cdr:nvSpPr>
      <cdr:spPr>
        <a:xfrm xmlns:a="http://schemas.openxmlformats.org/drawingml/2006/main">
          <a:off x="2534900" y="942353"/>
          <a:ext cx="403890" cy="2514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>
              <a:latin typeface="Times New Roman" panose="02020603050405020304" pitchFamily="18" charset="0"/>
              <a:cs typeface="Times New Roman" panose="02020603050405020304" pitchFamily="18" charset="0"/>
            </a:rPr>
            <a:t>68%</a:t>
          </a:r>
        </a:p>
      </cdr:txBody>
    </cdr:sp>
  </cdr:relSizeAnchor>
  <cdr:relSizeAnchor xmlns:cdr="http://schemas.openxmlformats.org/drawingml/2006/chartDrawing">
    <cdr:from>
      <cdr:x>0.83278</cdr:x>
      <cdr:y>0.34074</cdr:y>
    </cdr:from>
    <cdr:to>
      <cdr:x>0.92111</cdr:x>
      <cdr:y>0.43241</cdr:y>
    </cdr:to>
    <cdr:sp macro="" textlink="">
      <cdr:nvSpPr>
        <cdr:cNvPr id="9" name="CaixaDeTexto 1">
          <a:extLst xmlns:a="http://schemas.openxmlformats.org/drawingml/2006/main">
            <a:ext uri="{FF2B5EF4-FFF2-40B4-BE49-F238E27FC236}">
              <a16:creationId xmlns:a16="http://schemas.microsoft.com/office/drawing/2014/main" id="{1DF85192-79C5-4653-A822-619999DF648F}"/>
            </a:ext>
          </a:extLst>
        </cdr:cNvPr>
        <cdr:cNvSpPr txBox="1"/>
      </cdr:nvSpPr>
      <cdr:spPr>
        <a:xfrm xmlns:a="http://schemas.openxmlformats.org/drawingml/2006/main">
          <a:off x="3807455" y="934712"/>
          <a:ext cx="403845" cy="2514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>
              <a:latin typeface="Times New Roman" panose="02020603050405020304" pitchFamily="18" charset="0"/>
              <a:cs typeface="Times New Roman" panose="02020603050405020304" pitchFamily="18" charset="0"/>
            </a:rPr>
            <a:t>84%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0</xdr:row>
      <xdr:rowOff>148590</xdr:rowOff>
    </xdr:from>
    <xdr:to>
      <xdr:col>18</xdr:col>
      <xdr:colOff>541020</xdr:colOff>
      <xdr:row>19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25DBF9-AFE6-42E5-84C8-E3394E638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21</xdr:row>
      <xdr:rowOff>34290</xdr:rowOff>
    </xdr:from>
    <xdr:to>
      <xdr:col>16</xdr:col>
      <xdr:colOff>472440</xdr:colOff>
      <xdr:row>36</xdr:row>
      <xdr:rowOff>137160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6C71D0E-ACDF-4366-B978-50A074D75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152400</xdr:colOff>
      <xdr:row>44</xdr:row>
      <xdr:rowOff>171450</xdr:rowOff>
    </xdr:from>
    <xdr:to>
      <xdr:col>13</xdr:col>
      <xdr:colOff>0</xdr:colOff>
      <xdr:row>62</xdr:row>
      <xdr:rowOff>190500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94AA8A7-7557-4413-9970-DC091FE63B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236220</xdr:colOff>
      <xdr:row>67</xdr:row>
      <xdr:rowOff>87630</xdr:rowOff>
    </xdr:from>
    <xdr:to>
      <xdr:col>15</xdr:col>
      <xdr:colOff>601980</xdr:colOff>
      <xdr:row>83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C72A720-E05F-4E32-BA86-50809AF0F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419100</xdr:colOff>
      <xdr:row>86</xdr:row>
      <xdr:rowOff>152400</xdr:rowOff>
    </xdr:from>
    <xdr:to>
      <xdr:col>18</xdr:col>
      <xdr:colOff>388620</xdr:colOff>
      <xdr:row>107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3664A4-1BC5-4933-B733-6B56198AF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83820</xdr:colOff>
      <xdr:row>110</xdr:row>
      <xdr:rowOff>60960</xdr:rowOff>
    </xdr:from>
    <xdr:to>
      <xdr:col>21</xdr:col>
      <xdr:colOff>22860</xdr:colOff>
      <xdr:row>130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791CDDB-9CDF-4D31-9AB5-BBB4A854B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1005840</xdr:colOff>
      <xdr:row>18</xdr:row>
      <xdr:rowOff>30480</xdr:rowOff>
    </xdr:from>
    <xdr:to>
      <xdr:col>9</xdr:col>
      <xdr:colOff>137160</xdr:colOff>
      <xdr:row>34</xdr:row>
      <xdr:rowOff>137160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B580AF-D782-4F8F-BC37-E86B05DE3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662940</xdr:colOff>
      <xdr:row>37</xdr:row>
      <xdr:rowOff>152400</xdr:rowOff>
    </xdr:from>
    <xdr:to>
      <xdr:col>13</xdr:col>
      <xdr:colOff>320040</xdr:colOff>
      <xdr:row>51</xdr:row>
      <xdr:rowOff>182880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D2BE513-21BA-45B2-8507-547C1DC36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1</xdr:row>
      <xdr:rowOff>38100</xdr:rowOff>
    </xdr:from>
    <xdr:to>
      <xdr:col>11</xdr:col>
      <xdr:colOff>472440</xdr:colOff>
      <xdr:row>16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B07432-B8A0-4CC9-B71A-41EFDC2F6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167640</xdr:colOff>
      <xdr:row>16</xdr:row>
      <xdr:rowOff>68580</xdr:rowOff>
    </xdr:from>
    <xdr:to>
      <xdr:col>11</xdr:col>
      <xdr:colOff>472440</xdr:colOff>
      <xdr:row>31</xdr:row>
      <xdr:rowOff>68580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D6846D-6815-426C-8046-7DC4BD470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137160</xdr:colOff>
      <xdr:row>31</xdr:row>
      <xdr:rowOff>167640</xdr:rowOff>
    </xdr:from>
    <xdr:to>
      <xdr:col>11</xdr:col>
      <xdr:colOff>594360</xdr:colOff>
      <xdr:row>47</xdr:row>
      <xdr:rowOff>91440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ED7935F-0B36-4570-8227-07DCEB9ABB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137160</xdr:colOff>
      <xdr:row>48</xdr:row>
      <xdr:rowOff>38100</xdr:rowOff>
    </xdr:from>
    <xdr:to>
      <xdr:col>12</xdr:col>
      <xdr:colOff>38100</xdr:colOff>
      <xdr:row>64</xdr:row>
      <xdr:rowOff>15240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2826372-5654-4EA3-B3D8-C2E895607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182880</xdr:colOff>
      <xdr:row>1</xdr:row>
      <xdr:rowOff>68580</xdr:rowOff>
    </xdr:from>
    <xdr:to>
      <xdr:col>24</xdr:col>
      <xdr:colOff>487680</xdr:colOff>
      <xdr:row>15</xdr:row>
      <xdr:rowOff>175260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7FA1B56-3F9C-4AF8-B7D3-BD3E7164E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152400</xdr:colOff>
      <xdr:row>32</xdr:row>
      <xdr:rowOff>152400</xdr:rowOff>
    </xdr:from>
    <xdr:to>
      <xdr:col>24</xdr:col>
      <xdr:colOff>457200</xdr:colOff>
      <xdr:row>47</xdr:row>
      <xdr:rowOff>91440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CB47D43-E54E-4B96-9A99-2C57D30E6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45720</xdr:colOff>
      <xdr:row>16</xdr:row>
      <xdr:rowOff>30480</xdr:rowOff>
    </xdr:from>
    <xdr:to>
      <xdr:col>26</xdr:col>
      <xdr:colOff>274320</xdr:colOff>
      <xdr:row>32</xdr:row>
      <xdr:rowOff>15240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7ECB841-7A66-4923-837B-D40070220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0</xdr:row>
      <xdr:rowOff>259080</xdr:rowOff>
    </xdr:from>
    <xdr:to>
      <xdr:col>20</xdr:col>
      <xdr:colOff>601980</xdr:colOff>
      <xdr:row>18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0B8262-F93D-44B7-B2A8-D79999152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541020</xdr:colOff>
      <xdr:row>26</xdr:row>
      <xdr:rowOff>60960</xdr:rowOff>
    </xdr:from>
    <xdr:to>
      <xdr:col>17</xdr:col>
      <xdr:colOff>45720</xdr:colOff>
      <xdr:row>44</xdr:row>
      <xdr:rowOff>182880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7C6D9482-068C-49EE-9006-A95ED13E2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990B-CDDF-4860-A57E-E67FD381EA0D}">
  <dimension ref="A1:S144"/>
  <sheetViews>
    <sheetView tabSelected="1" topLeftCell="G31" zoomScaleNormal="100" workbookViewId="0">
      <selection activeCell="G77" sqref="G77"/>
    </sheetView>
  </sheetViews>
  <sheetFormatPr defaultRowHeight="14.4" x14ac:dyDescent="0.3"/>
  <cols>
    <col min="1" max="1" width="39.5546875" bestFit="1" customWidth="1"/>
    <col min="2" max="3" width="15.33203125" bestFit="1" customWidth="1"/>
    <col min="4" max="4" width="34.77734375" bestFit="1" customWidth="1"/>
    <col min="5" max="5" width="20.5546875" bestFit="1" customWidth="1"/>
    <col min="6" max="6" width="17.21875" bestFit="1" customWidth="1"/>
    <col min="7" max="7" width="39.5546875" bestFit="1" customWidth="1"/>
    <col min="8" max="8" width="20.5546875" bestFit="1" customWidth="1"/>
    <col min="9" max="9" width="12" bestFit="1" customWidth="1"/>
    <col min="10" max="10" width="39.5546875" bestFit="1" customWidth="1"/>
    <col min="11" max="11" width="14.6640625" bestFit="1" customWidth="1"/>
    <col min="12" max="12" width="9.33203125" bestFit="1" customWidth="1"/>
    <col min="13" max="13" width="39.5546875" bestFit="1" customWidth="1"/>
    <col min="14" max="14" width="14.6640625" bestFit="1" customWidth="1"/>
    <col min="15" max="15" width="14" bestFit="1" customWidth="1"/>
  </cols>
  <sheetData>
    <row r="1" spans="1:15" ht="16.2" thickBot="1" x14ac:dyDescent="0.35">
      <c r="A1" s="189" t="s">
        <v>35</v>
      </c>
      <c r="B1" s="190"/>
      <c r="C1" s="191"/>
      <c r="D1" s="192" t="s">
        <v>36</v>
      </c>
      <c r="E1" s="193"/>
      <c r="F1" s="194"/>
      <c r="G1" s="192" t="s">
        <v>37</v>
      </c>
      <c r="H1" s="193"/>
      <c r="I1" s="194"/>
      <c r="J1" s="183" t="s">
        <v>38</v>
      </c>
      <c r="K1" s="184"/>
      <c r="L1" s="185"/>
      <c r="M1" s="186" t="s">
        <v>39</v>
      </c>
      <c r="N1" s="187"/>
      <c r="O1" s="188"/>
    </row>
    <row r="2" spans="1:15" ht="15.6" x14ac:dyDescent="0.3">
      <c r="A2" s="21" t="s">
        <v>0</v>
      </c>
      <c r="B2" s="22" t="s">
        <v>1</v>
      </c>
      <c r="C2" s="23" t="s">
        <v>2</v>
      </c>
      <c r="D2" s="21" t="s">
        <v>0</v>
      </c>
      <c r="E2" s="22" t="s">
        <v>1</v>
      </c>
      <c r="F2" s="23" t="s">
        <v>2</v>
      </c>
      <c r="G2" s="21" t="s">
        <v>0</v>
      </c>
      <c r="H2" s="22" t="s">
        <v>1</v>
      </c>
      <c r="I2" s="23" t="s">
        <v>2</v>
      </c>
      <c r="J2" s="21" t="s">
        <v>0</v>
      </c>
      <c r="K2" s="22" t="s">
        <v>1</v>
      </c>
      <c r="L2" s="23" t="s">
        <v>2</v>
      </c>
      <c r="M2" s="21" t="s">
        <v>0</v>
      </c>
      <c r="N2" s="22" t="s">
        <v>1</v>
      </c>
      <c r="O2" s="23" t="s">
        <v>2</v>
      </c>
    </row>
    <row r="3" spans="1:15" ht="15.6" x14ac:dyDescent="0.3">
      <c r="A3" s="2" t="s">
        <v>3</v>
      </c>
      <c r="B3" s="3" t="s">
        <v>4</v>
      </c>
      <c r="C3" s="13">
        <v>7.6709258611722701E-3</v>
      </c>
      <c r="D3" s="2" t="s">
        <v>3</v>
      </c>
      <c r="E3" s="3" t="s">
        <v>4</v>
      </c>
      <c r="F3" s="16">
        <v>3.1087426548221769E-4</v>
      </c>
      <c r="G3" s="2" t="s">
        <v>3</v>
      </c>
      <c r="H3" s="3" t="s">
        <v>4</v>
      </c>
      <c r="I3" s="13">
        <v>0.10777501844865757</v>
      </c>
      <c r="J3" s="2" t="s">
        <v>3</v>
      </c>
      <c r="K3" s="3" t="s">
        <v>4</v>
      </c>
      <c r="L3" s="13">
        <v>5.4000000000000001E-4</v>
      </c>
      <c r="M3" s="2" t="s">
        <v>3</v>
      </c>
      <c r="N3" s="3" t="s">
        <v>4</v>
      </c>
      <c r="O3" s="13">
        <v>9.7999999999999997E-3</v>
      </c>
    </row>
    <row r="4" spans="1:15" ht="15.6" x14ac:dyDescent="0.3">
      <c r="A4" s="8" t="s">
        <v>5</v>
      </c>
      <c r="B4" s="9" t="s">
        <v>43</v>
      </c>
      <c r="C4" s="33">
        <v>22.1</v>
      </c>
      <c r="D4" s="10" t="s">
        <v>5</v>
      </c>
      <c r="E4" s="11" t="s">
        <v>43</v>
      </c>
      <c r="F4" s="30">
        <f>0.025529716711785*1000</f>
        <v>25.529716711784999</v>
      </c>
      <c r="G4" s="10" t="s">
        <v>5</v>
      </c>
      <c r="H4" s="11" t="s">
        <v>43</v>
      </c>
      <c r="I4" s="30">
        <f>0.0535214224130506*1000</f>
        <v>53.521422413050601</v>
      </c>
      <c r="J4" s="6" t="s">
        <v>5</v>
      </c>
      <c r="K4" s="7" t="s">
        <v>43</v>
      </c>
      <c r="L4" s="31">
        <v>16</v>
      </c>
      <c r="M4" s="19" t="s">
        <v>5</v>
      </c>
      <c r="N4" s="20" t="s">
        <v>43</v>
      </c>
      <c r="O4" s="32">
        <f>0.0285724937876913*1000</f>
        <v>28.572493787691297</v>
      </c>
    </row>
    <row r="5" spans="1:15" ht="15.6" x14ac:dyDescent="0.3">
      <c r="A5" s="2" t="s">
        <v>7</v>
      </c>
      <c r="B5" s="3" t="s">
        <v>8</v>
      </c>
      <c r="C5" s="13">
        <v>8.9938921743283329E-3</v>
      </c>
      <c r="D5" s="2" t="s">
        <v>7</v>
      </c>
      <c r="E5" s="3" t="s">
        <v>8</v>
      </c>
      <c r="F5" s="13">
        <v>4.0956314433933582E-3</v>
      </c>
      <c r="G5" s="2" t="s">
        <v>7</v>
      </c>
      <c r="H5" s="3" t="s">
        <v>8</v>
      </c>
      <c r="I5" s="13">
        <v>1.5894675969990689E-2</v>
      </c>
      <c r="J5" s="2" t="s">
        <v>7</v>
      </c>
      <c r="K5" s="3" t="s">
        <v>8</v>
      </c>
      <c r="L5" s="13">
        <v>6.3049999999999998E-3</v>
      </c>
      <c r="M5" s="2" t="s">
        <v>7</v>
      </c>
      <c r="N5" s="3" t="s">
        <v>8</v>
      </c>
      <c r="O5" s="13">
        <v>2.3816379556904251E-2</v>
      </c>
    </row>
    <row r="6" spans="1:15" ht="15.6" x14ac:dyDescent="0.3">
      <c r="A6" s="2" t="s">
        <v>9</v>
      </c>
      <c r="B6" s="3" t="s">
        <v>10</v>
      </c>
      <c r="C6" s="13">
        <v>1.3520311033882709E-3</v>
      </c>
      <c r="D6" s="2" t="s">
        <v>9</v>
      </c>
      <c r="E6" s="3" t="s">
        <v>10</v>
      </c>
      <c r="F6" s="13">
        <v>7.4747085271882055E-4</v>
      </c>
      <c r="G6" s="2" t="s">
        <v>9</v>
      </c>
      <c r="H6" s="3" t="s">
        <v>10</v>
      </c>
      <c r="I6" s="13">
        <v>1.8276477538633786E-3</v>
      </c>
      <c r="J6" s="2" t="s">
        <v>9</v>
      </c>
      <c r="K6" s="3" t="s">
        <v>10</v>
      </c>
      <c r="L6" s="13">
        <v>1.3699999999999999E-3</v>
      </c>
      <c r="M6" s="2" t="s">
        <v>9</v>
      </c>
      <c r="N6" s="3" t="s">
        <v>10</v>
      </c>
      <c r="O6" s="16">
        <v>3.5400000000000002E-3</v>
      </c>
    </row>
    <row r="7" spans="1:15" ht="15.6" x14ac:dyDescent="0.3">
      <c r="A7" s="2" t="s">
        <v>11</v>
      </c>
      <c r="B7" s="3" t="s">
        <v>12</v>
      </c>
      <c r="C7" s="16">
        <v>1.8007451871674511E-5</v>
      </c>
      <c r="D7" s="2" t="s">
        <v>11</v>
      </c>
      <c r="E7" s="3" t="s">
        <v>12</v>
      </c>
      <c r="F7" s="16">
        <v>8.998757486994519E-5</v>
      </c>
      <c r="G7" s="2" t="s">
        <v>11</v>
      </c>
      <c r="H7" s="3" t="s">
        <v>12</v>
      </c>
      <c r="I7" s="16">
        <v>1.5077128966810558E-5</v>
      </c>
      <c r="J7" s="2" t="s">
        <v>11</v>
      </c>
      <c r="K7" s="3" t="s">
        <v>12</v>
      </c>
      <c r="L7" s="16">
        <v>1.9E-6</v>
      </c>
      <c r="M7" s="2" t="s">
        <v>11</v>
      </c>
      <c r="N7" s="3" t="s">
        <v>12</v>
      </c>
      <c r="O7" s="16">
        <v>5.3021172801270884E-5</v>
      </c>
    </row>
    <row r="8" spans="1:15" ht="15.6" x14ac:dyDescent="0.3">
      <c r="A8" s="2" t="s">
        <v>13</v>
      </c>
      <c r="B8" s="3" t="s">
        <v>10</v>
      </c>
      <c r="C8" s="13">
        <v>0.15808505088099742</v>
      </c>
      <c r="D8" s="2" t="s">
        <v>13</v>
      </c>
      <c r="E8" s="3" t="s">
        <v>10</v>
      </c>
      <c r="F8" s="13">
        <v>6.5187103996355064E-2</v>
      </c>
      <c r="G8" s="2" t="s">
        <v>13</v>
      </c>
      <c r="H8" s="3" t="s">
        <v>10</v>
      </c>
      <c r="I8" s="13">
        <v>7.2359632444018631E-3</v>
      </c>
      <c r="J8" s="2" t="s">
        <v>13</v>
      </c>
      <c r="K8" s="3" t="s">
        <v>10</v>
      </c>
      <c r="L8" s="13">
        <v>5.8914260000000001</v>
      </c>
      <c r="M8" s="2" t="s">
        <v>13</v>
      </c>
      <c r="N8" s="3" t="s">
        <v>10</v>
      </c>
      <c r="O8" s="13">
        <v>0.8475478173517873</v>
      </c>
    </row>
    <row r="9" spans="1:15" ht="15.6" x14ac:dyDescent="0.3">
      <c r="A9" s="2" t="s">
        <v>14</v>
      </c>
      <c r="B9" s="3" t="s">
        <v>15</v>
      </c>
      <c r="C9" s="13">
        <v>1.5009506837346932E-3</v>
      </c>
      <c r="D9" s="2" t="s">
        <v>14</v>
      </c>
      <c r="E9" s="3" t="s">
        <v>15</v>
      </c>
      <c r="F9" s="12">
        <v>3.7337313605777765E-4</v>
      </c>
      <c r="G9" s="2" t="s">
        <v>14</v>
      </c>
      <c r="H9" s="3" t="s">
        <v>15</v>
      </c>
      <c r="I9" s="13">
        <v>1.3052377108231103E-3</v>
      </c>
      <c r="J9" s="2" t="s">
        <v>14</v>
      </c>
      <c r="K9" s="3" t="s">
        <v>15</v>
      </c>
      <c r="L9" s="13">
        <v>3.1500000000000001E-4</v>
      </c>
      <c r="M9" s="2" t="s">
        <v>14</v>
      </c>
      <c r="N9" s="3" t="s">
        <v>15</v>
      </c>
      <c r="O9" s="13">
        <v>4.6352655086806267E-3</v>
      </c>
    </row>
    <row r="10" spans="1:15" ht="15.6" x14ac:dyDescent="0.3">
      <c r="A10" s="2" t="s">
        <v>16</v>
      </c>
      <c r="B10" s="3" t="s">
        <v>10</v>
      </c>
      <c r="C10" s="13">
        <v>1.0035090266151761E-3</v>
      </c>
      <c r="D10" s="2" t="s">
        <v>16</v>
      </c>
      <c r="E10" s="3" t="s">
        <v>10</v>
      </c>
      <c r="F10" s="13">
        <v>6.5385048838867486E-4</v>
      </c>
      <c r="G10" s="2" t="s">
        <v>16</v>
      </c>
      <c r="H10" s="3" t="s">
        <v>10</v>
      </c>
      <c r="I10" s="13">
        <v>5.5327862769468815E-4</v>
      </c>
      <c r="J10" s="2" t="s">
        <v>16</v>
      </c>
      <c r="K10" s="3" t="s">
        <v>10</v>
      </c>
      <c r="L10" s="13">
        <v>1.8041999999999999E-2</v>
      </c>
      <c r="M10" s="2" t="s">
        <v>16</v>
      </c>
      <c r="N10" s="3" t="s">
        <v>10</v>
      </c>
      <c r="O10" s="13">
        <v>3.2405134200496756E-3</v>
      </c>
    </row>
    <row r="11" spans="1:15" ht="15.6" x14ac:dyDescent="0.3">
      <c r="A11" s="2" t="s">
        <v>17</v>
      </c>
      <c r="B11" s="3" t="s">
        <v>18</v>
      </c>
      <c r="C11" s="13">
        <v>9.2426682178741084E-3</v>
      </c>
      <c r="D11" s="2" t="s">
        <v>17</v>
      </c>
      <c r="E11" s="3" t="s">
        <v>18</v>
      </c>
      <c r="F11" s="12">
        <v>3.717865726671042E-4</v>
      </c>
      <c r="G11" s="2" t="s">
        <v>17</v>
      </c>
      <c r="H11" s="3" t="s">
        <v>18</v>
      </c>
      <c r="I11" s="16">
        <v>1.6263062842901223E-4</v>
      </c>
      <c r="J11" s="2" t="s">
        <v>17</v>
      </c>
      <c r="K11" s="3" t="s">
        <v>18</v>
      </c>
      <c r="L11" s="13">
        <v>3.8002000000000001E-2</v>
      </c>
      <c r="M11" s="2" t="s">
        <v>17</v>
      </c>
      <c r="N11" s="3" t="s">
        <v>18</v>
      </c>
      <c r="O11" s="16">
        <v>3.3479155347322079E-4</v>
      </c>
    </row>
    <row r="12" spans="1:15" ht="15.6" x14ac:dyDescent="0.3">
      <c r="A12" s="2" t="s">
        <v>19</v>
      </c>
      <c r="B12" s="3" t="s">
        <v>20</v>
      </c>
      <c r="C12" s="13">
        <v>1.9865771231416026E-3</v>
      </c>
      <c r="D12" s="2" t="s">
        <v>19</v>
      </c>
      <c r="E12" s="3" t="s">
        <v>20</v>
      </c>
      <c r="F12" s="13">
        <v>5.725468657030668E-4</v>
      </c>
      <c r="G12" s="2" t="s">
        <v>19</v>
      </c>
      <c r="H12" s="3" t="s">
        <v>20</v>
      </c>
      <c r="I12" s="13">
        <v>1.5763069709209118E-3</v>
      </c>
      <c r="J12" s="2" t="s">
        <v>19</v>
      </c>
      <c r="K12" s="3" t="s">
        <v>20</v>
      </c>
      <c r="L12" s="13">
        <v>1.2999999999999999E-3</v>
      </c>
      <c r="M12" s="2" t="s">
        <v>19</v>
      </c>
      <c r="N12" s="3" t="s">
        <v>20</v>
      </c>
      <c r="O12" s="13">
        <v>7.7004368895351796E-3</v>
      </c>
    </row>
    <row r="13" spans="1:15" ht="15.6" x14ac:dyDescent="0.3">
      <c r="A13" s="2" t="s">
        <v>21</v>
      </c>
      <c r="B13" s="3" t="s">
        <v>22</v>
      </c>
      <c r="C13" s="16">
        <v>1.068260477615819E-5</v>
      </c>
      <c r="D13" s="2" t="s">
        <v>21</v>
      </c>
      <c r="E13" s="3" t="s">
        <v>22</v>
      </c>
      <c r="F13" s="16">
        <v>1.8892005558779207E-6</v>
      </c>
      <c r="G13" s="2" t="s">
        <v>21</v>
      </c>
      <c r="H13" s="3" t="s">
        <v>22</v>
      </c>
      <c r="I13" s="16">
        <v>9.7668883083693885E-6</v>
      </c>
      <c r="J13" s="2" t="s">
        <v>21</v>
      </c>
      <c r="K13" s="3" t="s">
        <v>22</v>
      </c>
      <c r="L13" s="16">
        <v>1.1229999999999999E-5</v>
      </c>
      <c r="M13" s="2" t="s">
        <v>21</v>
      </c>
      <c r="N13" s="3" t="s">
        <v>22</v>
      </c>
      <c r="O13" s="16">
        <v>1.1229050036066601E-5</v>
      </c>
    </row>
    <row r="14" spans="1:15" ht="15.6" x14ac:dyDescent="0.3">
      <c r="A14" s="2" t="s">
        <v>23</v>
      </c>
      <c r="B14" s="3" t="s">
        <v>24</v>
      </c>
      <c r="C14" s="16">
        <v>3.1380073952730632E-9</v>
      </c>
      <c r="D14" s="2" t="s">
        <v>23</v>
      </c>
      <c r="E14" s="3" t="s">
        <v>24</v>
      </c>
      <c r="F14" s="16">
        <v>4.0572666998479503E-9</v>
      </c>
      <c r="G14" s="2" t="s">
        <v>23</v>
      </c>
      <c r="H14" s="3" t="s">
        <v>24</v>
      </c>
      <c r="I14" s="16">
        <v>5.4888742099359612E-9</v>
      </c>
      <c r="J14" s="2" t="s">
        <v>23</v>
      </c>
      <c r="K14" s="3" t="s">
        <v>24</v>
      </c>
      <c r="L14" s="16">
        <v>1.85E-9</v>
      </c>
      <c r="M14" s="2" t="s">
        <v>23</v>
      </c>
      <c r="N14" s="3" t="s">
        <v>24</v>
      </c>
      <c r="O14" s="16">
        <v>7.9485095899076799E-9</v>
      </c>
    </row>
    <row r="15" spans="1:15" ht="15.6" x14ac:dyDescent="0.3">
      <c r="A15" s="2" t="s">
        <v>25</v>
      </c>
      <c r="B15" s="3" t="s">
        <v>26</v>
      </c>
      <c r="C15" s="13">
        <v>5.5029689708784397E-3</v>
      </c>
      <c r="D15" s="2" t="s">
        <v>25</v>
      </c>
      <c r="E15" s="3" t="s">
        <v>26</v>
      </c>
      <c r="F15" s="16">
        <v>2.5058332198613949E-4</v>
      </c>
      <c r="G15" s="2" t="s">
        <v>25</v>
      </c>
      <c r="H15" s="3" t="s">
        <v>26</v>
      </c>
      <c r="I15" s="16">
        <v>1.0005451285382647E-4</v>
      </c>
      <c r="J15" s="2" t="s">
        <v>25</v>
      </c>
      <c r="K15" s="3" t="s">
        <v>26</v>
      </c>
      <c r="L15" s="13">
        <v>7.1374999999999994E-2</v>
      </c>
      <c r="M15" s="2" t="s">
        <v>25</v>
      </c>
      <c r="N15" s="3" t="s">
        <v>26</v>
      </c>
      <c r="O15" s="13">
        <v>1.4445010743706981E-3</v>
      </c>
    </row>
    <row r="16" spans="1:15" ht="15.6" x14ac:dyDescent="0.3">
      <c r="A16" s="2" t="s">
        <v>27</v>
      </c>
      <c r="B16" s="3" t="s">
        <v>28</v>
      </c>
      <c r="C16" s="13">
        <v>2.6394336372824269E-2</v>
      </c>
      <c r="D16" s="2" t="s">
        <v>27</v>
      </c>
      <c r="E16" s="3" t="s">
        <v>28</v>
      </c>
      <c r="F16" s="13">
        <v>1.5472897939490247E-3</v>
      </c>
      <c r="G16" s="2" t="s">
        <v>27</v>
      </c>
      <c r="H16" s="3" t="s">
        <v>28</v>
      </c>
      <c r="I16" s="16">
        <v>1.5058110291307495E-4</v>
      </c>
      <c r="J16" s="2" t="s">
        <v>27</v>
      </c>
      <c r="K16" s="3" t="s">
        <v>28</v>
      </c>
      <c r="L16" s="13">
        <v>0.10108399999999999</v>
      </c>
      <c r="M16" s="2" t="s">
        <v>27</v>
      </c>
      <c r="N16" s="3" t="s">
        <v>28</v>
      </c>
      <c r="O16" s="13">
        <v>1.3141193313336366E-3</v>
      </c>
    </row>
    <row r="17" spans="1:15" ht="15.6" x14ac:dyDescent="0.3">
      <c r="A17" s="2" t="s">
        <v>29</v>
      </c>
      <c r="B17" s="3" t="s">
        <v>30</v>
      </c>
      <c r="C17" s="13">
        <v>1.3407815125438474E-2</v>
      </c>
      <c r="D17" s="2" t="s">
        <v>29</v>
      </c>
      <c r="E17" s="3" t="s">
        <v>30</v>
      </c>
      <c r="F17" s="13">
        <v>7.4759814010771843E-4</v>
      </c>
      <c r="G17" s="2" t="s">
        <v>29</v>
      </c>
      <c r="H17" s="3" t="s">
        <v>30</v>
      </c>
      <c r="I17" s="16">
        <v>3.7724887519368825E-4</v>
      </c>
      <c r="J17" s="2" t="s">
        <v>29</v>
      </c>
      <c r="K17" s="3" t="s">
        <v>30</v>
      </c>
      <c r="L17" s="13">
        <v>6.0276000000000003E-2</v>
      </c>
      <c r="M17" s="2" t="s">
        <v>29</v>
      </c>
      <c r="N17" s="3" t="s">
        <v>30</v>
      </c>
      <c r="O17" s="16">
        <v>3.6460454959422645E-4</v>
      </c>
    </row>
    <row r="18" spans="1:15" ht="15.6" x14ac:dyDescent="0.3">
      <c r="A18" s="2" t="s">
        <v>31</v>
      </c>
      <c r="B18" s="3" t="s">
        <v>10</v>
      </c>
      <c r="C18" s="16">
        <v>2.7580849329790441E-5</v>
      </c>
      <c r="D18" s="2" t="s">
        <v>31</v>
      </c>
      <c r="E18" s="3" t="s">
        <v>10</v>
      </c>
      <c r="F18" s="16">
        <v>2.3997227700566634E-6</v>
      </c>
      <c r="G18" s="2" t="s">
        <v>31</v>
      </c>
      <c r="H18" s="3" t="s">
        <v>10</v>
      </c>
      <c r="I18" s="16">
        <v>4.1503816792889379E-5</v>
      </c>
      <c r="J18" s="2" t="s">
        <v>31</v>
      </c>
      <c r="K18" s="3" t="s">
        <v>10</v>
      </c>
      <c r="L18" s="13">
        <v>7.1900000000000002E-4</v>
      </c>
      <c r="M18" s="2" t="s">
        <v>31</v>
      </c>
      <c r="N18" s="3" t="s">
        <v>10</v>
      </c>
      <c r="O18" s="13">
        <v>4.6224198555098002E-3</v>
      </c>
    </row>
    <row r="19" spans="1:15" ht="15.6" x14ac:dyDescent="0.3">
      <c r="A19" s="2" t="s">
        <v>32</v>
      </c>
      <c r="B19" s="3" t="s">
        <v>4</v>
      </c>
      <c r="C19" s="13">
        <v>2.0079236095248234E-3</v>
      </c>
      <c r="D19" s="2" t="s">
        <v>32</v>
      </c>
      <c r="E19" s="3" t="s">
        <v>4</v>
      </c>
      <c r="F19" s="16">
        <v>4.90376075302333E-4</v>
      </c>
      <c r="G19" s="2" t="s">
        <v>32</v>
      </c>
      <c r="H19" s="3" t="s">
        <v>4</v>
      </c>
      <c r="I19" s="13">
        <v>1.4909058606159945E-3</v>
      </c>
      <c r="J19" s="2" t="s">
        <v>32</v>
      </c>
      <c r="K19" s="3" t="s">
        <v>4</v>
      </c>
      <c r="L19" s="13">
        <v>2.9E-4</v>
      </c>
      <c r="M19" s="2" t="s">
        <v>32</v>
      </c>
      <c r="N19" s="3" t="s">
        <v>4</v>
      </c>
      <c r="O19" s="13">
        <v>2.8152571144472558E-3</v>
      </c>
    </row>
    <row r="20" spans="1:15" ht="16.2" thickBot="1" x14ac:dyDescent="0.35">
      <c r="A20" s="4" t="s">
        <v>33</v>
      </c>
      <c r="B20" s="5" t="s">
        <v>34</v>
      </c>
      <c r="C20" s="17">
        <v>4.5929429547494823E-4</v>
      </c>
      <c r="D20" s="4" t="s">
        <v>33</v>
      </c>
      <c r="E20" s="5" t="s">
        <v>34</v>
      </c>
      <c r="F20" s="17">
        <v>2.7493700731855813E-5</v>
      </c>
      <c r="G20" s="4" t="s">
        <v>33</v>
      </c>
      <c r="H20" s="5" t="s">
        <v>34</v>
      </c>
      <c r="I20" s="17">
        <v>3.2017998840844962E-4</v>
      </c>
      <c r="J20" s="4" t="s">
        <v>33</v>
      </c>
      <c r="K20" s="5" t="s">
        <v>34</v>
      </c>
      <c r="L20" s="14">
        <v>1.7600000000000001E-3</v>
      </c>
      <c r="M20" s="4" t="s">
        <v>33</v>
      </c>
      <c r="N20" s="5" t="s">
        <v>34</v>
      </c>
      <c r="O20" s="14">
        <v>3.16570360855917E-2</v>
      </c>
    </row>
    <row r="22" spans="1:15" ht="15" thickBot="1" x14ac:dyDescent="0.35"/>
    <row r="23" spans="1:15" ht="16.2" thickBot="1" x14ac:dyDescent="0.35">
      <c r="A23" s="189" t="s">
        <v>40</v>
      </c>
      <c r="B23" s="190"/>
      <c r="C23" s="191"/>
      <c r="D23" s="192" t="s">
        <v>41</v>
      </c>
      <c r="E23" s="193"/>
      <c r="F23" s="194"/>
      <c r="G23" s="183" t="s">
        <v>42</v>
      </c>
      <c r="H23" s="184"/>
      <c r="I23" s="185"/>
    </row>
    <row r="24" spans="1:15" ht="15.6" x14ac:dyDescent="0.3">
      <c r="A24" s="24" t="s">
        <v>0</v>
      </c>
      <c r="B24" s="25" t="s">
        <v>1</v>
      </c>
      <c r="C24" s="26" t="s">
        <v>2</v>
      </c>
      <c r="D24" s="27" t="s">
        <v>0</v>
      </c>
      <c r="E24" s="28" t="s">
        <v>1</v>
      </c>
      <c r="F24" s="29" t="s">
        <v>2</v>
      </c>
      <c r="G24" s="24" t="s">
        <v>0</v>
      </c>
      <c r="H24" s="25" t="s">
        <v>1</v>
      </c>
      <c r="I24" s="26" t="s">
        <v>2</v>
      </c>
    </row>
    <row r="25" spans="1:15" ht="15.6" x14ac:dyDescent="0.3">
      <c r="A25" s="2" t="s">
        <v>3</v>
      </c>
      <c r="B25" s="3" t="s">
        <v>4</v>
      </c>
      <c r="C25" s="13">
        <v>2.2926685938351631E-2</v>
      </c>
      <c r="D25" s="2" t="s">
        <v>3</v>
      </c>
      <c r="E25" s="3" t="s">
        <v>4</v>
      </c>
      <c r="F25" s="16">
        <v>2.2809442594419401E-4</v>
      </c>
      <c r="G25" s="2" t="s">
        <v>3</v>
      </c>
      <c r="H25" s="3" t="s">
        <v>4</v>
      </c>
      <c r="I25" s="13">
        <v>2.8791335435750655E-3</v>
      </c>
    </row>
    <row r="26" spans="1:15" ht="15.6" x14ac:dyDescent="0.3">
      <c r="A26" s="8" t="s">
        <v>5</v>
      </c>
      <c r="B26" s="9" t="s">
        <v>6</v>
      </c>
      <c r="C26" s="15">
        <v>2.7880909196663712E-2</v>
      </c>
      <c r="D26" s="10" t="s">
        <v>5</v>
      </c>
      <c r="E26" s="11" t="s">
        <v>6</v>
      </c>
      <c r="F26" s="71">
        <v>1.8368035432195499E-2</v>
      </c>
      <c r="G26" s="6" t="s">
        <v>5</v>
      </c>
      <c r="H26" s="7" t="s">
        <v>6</v>
      </c>
      <c r="I26" s="18">
        <v>1.3815277900101407E-2</v>
      </c>
    </row>
    <row r="27" spans="1:15" ht="15.6" x14ac:dyDescent="0.3">
      <c r="A27" s="2" t="s">
        <v>7</v>
      </c>
      <c r="B27" s="3" t="s">
        <v>8</v>
      </c>
      <c r="C27" s="13">
        <v>2.1288043658970416E-2</v>
      </c>
      <c r="D27" s="2" t="s">
        <v>7</v>
      </c>
      <c r="E27" s="3" t="s">
        <v>8</v>
      </c>
      <c r="F27" s="13">
        <v>1.3372889490297701E-2</v>
      </c>
      <c r="G27" s="2" t="s">
        <v>7</v>
      </c>
      <c r="H27" s="3" t="s">
        <v>8</v>
      </c>
      <c r="I27" s="13">
        <v>5.3615350216607077E-3</v>
      </c>
    </row>
    <row r="28" spans="1:15" ht="15.6" x14ac:dyDescent="0.3">
      <c r="A28" s="2" t="s">
        <v>9</v>
      </c>
      <c r="B28" s="3" t="s">
        <v>10</v>
      </c>
      <c r="C28" s="13">
        <v>7.9598639862235186E-4</v>
      </c>
      <c r="D28" s="2" t="s">
        <v>9</v>
      </c>
      <c r="E28" s="3" t="s">
        <v>10</v>
      </c>
      <c r="F28" s="16">
        <v>2.6355968503318828E-4</v>
      </c>
      <c r="G28" s="2" t="s">
        <v>9</v>
      </c>
      <c r="H28" s="3" t="s">
        <v>10</v>
      </c>
      <c r="I28" s="13">
        <v>0.18602927460438168</v>
      </c>
    </row>
    <row r="29" spans="1:15" ht="15.6" x14ac:dyDescent="0.3">
      <c r="A29" s="2" t="s">
        <v>11</v>
      </c>
      <c r="B29" s="3" t="s">
        <v>12</v>
      </c>
      <c r="C29" s="16">
        <v>7.0584264877987818E-6</v>
      </c>
      <c r="D29" s="2" t="s">
        <v>11</v>
      </c>
      <c r="E29" s="3" t="s">
        <v>12</v>
      </c>
      <c r="F29" s="16">
        <v>1.3388647844112923E-6</v>
      </c>
      <c r="G29" s="2" t="s">
        <v>11</v>
      </c>
      <c r="H29" s="3" t="s">
        <v>12</v>
      </c>
      <c r="I29" s="13">
        <v>1.6821564041380518E-3</v>
      </c>
    </row>
    <row r="30" spans="1:15" ht="15.6" x14ac:dyDescent="0.3">
      <c r="A30" s="2" t="s">
        <v>13</v>
      </c>
      <c r="B30" s="3" t="s">
        <v>10</v>
      </c>
      <c r="C30" s="13">
        <v>1.1969095719319651E-2</v>
      </c>
      <c r="D30" s="2" t="s">
        <v>13</v>
      </c>
      <c r="E30" s="3" t="s">
        <v>10</v>
      </c>
      <c r="F30" s="13">
        <v>1.9363465629152544E-3</v>
      </c>
      <c r="G30" s="2" t="s">
        <v>13</v>
      </c>
      <c r="H30" s="3" t="s">
        <v>10</v>
      </c>
      <c r="I30" s="13">
        <v>5.0938051137129226E-3</v>
      </c>
    </row>
    <row r="31" spans="1:15" ht="15.6" x14ac:dyDescent="0.3">
      <c r="A31" s="2" t="s">
        <v>14</v>
      </c>
      <c r="B31" s="3" t="s">
        <v>15</v>
      </c>
      <c r="C31" s="13">
        <v>1.7519325309891001E-2</v>
      </c>
      <c r="D31" s="2" t="s">
        <v>14</v>
      </c>
      <c r="E31" s="3" t="s">
        <v>15</v>
      </c>
      <c r="F31" s="13">
        <v>5.4117373450935009E-4</v>
      </c>
      <c r="G31" s="2" t="s">
        <v>14</v>
      </c>
      <c r="H31" s="3" t="s">
        <v>15</v>
      </c>
      <c r="I31" s="13">
        <v>5.0739867254080617E-3</v>
      </c>
    </row>
    <row r="32" spans="1:15" ht="15.6" x14ac:dyDescent="0.3">
      <c r="A32" s="2" t="s">
        <v>16</v>
      </c>
      <c r="B32" s="3" t="s">
        <v>10</v>
      </c>
      <c r="C32" s="13">
        <v>6.7857857111332622E-4</v>
      </c>
      <c r="D32" s="2" t="s">
        <v>16</v>
      </c>
      <c r="E32" s="3" t="s">
        <v>10</v>
      </c>
      <c r="F32" s="16">
        <v>2.7108641245112028E-5</v>
      </c>
      <c r="G32" s="2" t="s">
        <v>16</v>
      </c>
      <c r="H32" s="3" t="s">
        <v>10</v>
      </c>
      <c r="I32" s="13">
        <v>1.1641684457289046E-2</v>
      </c>
    </row>
    <row r="33" spans="1:9" ht="15.6" x14ac:dyDescent="0.3">
      <c r="A33" s="2" t="s">
        <v>17</v>
      </c>
      <c r="B33" s="3" t="s">
        <v>18</v>
      </c>
      <c r="C33" s="16">
        <v>6.2890447556273362E-5</v>
      </c>
      <c r="D33" s="2" t="s">
        <v>17</v>
      </c>
      <c r="E33" s="3" t="s">
        <v>18</v>
      </c>
      <c r="F33" s="16">
        <v>1.5719424532895593E-5</v>
      </c>
      <c r="G33" s="2" t="s">
        <v>17</v>
      </c>
      <c r="H33" s="3" t="s">
        <v>18</v>
      </c>
      <c r="I33" s="13">
        <v>2.9730215733278975E-3</v>
      </c>
    </row>
    <row r="34" spans="1:9" ht="15.6" x14ac:dyDescent="0.3">
      <c r="A34" s="2" t="s">
        <v>19</v>
      </c>
      <c r="B34" s="3" t="s">
        <v>20</v>
      </c>
      <c r="C34" s="13">
        <v>3.4312264757518115E-3</v>
      </c>
      <c r="D34" s="2" t="s">
        <v>19</v>
      </c>
      <c r="E34" s="3" t="s">
        <v>20</v>
      </c>
      <c r="F34" s="16">
        <v>1.3197622225003265E-4</v>
      </c>
      <c r="G34" s="2" t="s">
        <v>19</v>
      </c>
      <c r="H34" s="3" t="s">
        <v>20</v>
      </c>
      <c r="I34" s="13">
        <v>1.0996787433663455E-3</v>
      </c>
    </row>
    <row r="35" spans="1:9" ht="15.6" x14ac:dyDescent="0.3">
      <c r="A35" s="2" t="s">
        <v>21</v>
      </c>
      <c r="B35" s="3" t="s">
        <v>22</v>
      </c>
      <c r="C35" s="16">
        <v>2.1991593497173018E-5</v>
      </c>
      <c r="D35" s="2" t="s">
        <v>21</v>
      </c>
      <c r="E35" s="3" t="s">
        <v>22</v>
      </c>
      <c r="F35" s="16">
        <v>7.9490614743400004E-6</v>
      </c>
      <c r="G35" s="2" t="s">
        <v>21</v>
      </c>
      <c r="H35" s="3" t="s">
        <v>22</v>
      </c>
      <c r="I35" s="16">
        <v>1.7074785791481433E-5</v>
      </c>
    </row>
    <row r="36" spans="1:9" ht="15.6" x14ac:dyDescent="0.3">
      <c r="A36" s="2" t="s">
        <v>23</v>
      </c>
      <c r="B36" s="3" t="s">
        <v>24</v>
      </c>
      <c r="C36" s="16">
        <v>1.355998010657208E-8</v>
      </c>
      <c r="D36" s="2" t="s">
        <v>23</v>
      </c>
      <c r="E36" s="3" t="s">
        <v>24</v>
      </c>
      <c r="F36" s="16">
        <v>4.8749316599919418E-9</v>
      </c>
      <c r="G36" s="2" t="s">
        <v>23</v>
      </c>
      <c r="H36" s="3" t="s">
        <v>24</v>
      </c>
      <c r="I36" s="16">
        <v>1.5932692660743196E-9</v>
      </c>
    </row>
    <row r="37" spans="1:9" ht="15.6" x14ac:dyDescent="0.3">
      <c r="A37" s="2" t="s">
        <v>25</v>
      </c>
      <c r="B37" s="3" t="s">
        <v>26</v>
      </c>
      <c r="C37" s="16">
        <v>8.5842595904259012E-5</v>
      </c>
      <c r="D37" s="2" t="s">
        <v>25</v>
      </c>
      <c r="E37" s="3" t="s">
        <v>26</v>
      </c>
      <c r="F37" s="16">
        <v>1.3887911484174393E-5</v>
      </c>
      <c r="G37" s="2" t="s">
        <v>25</v>
      </c>
      <c r="H37" s="3" t="s">
        <v>26</v>
      </c>
      <c r="I37" s="13">
        <v>6.0736304018959057E-4</v>
      </c>
    </row>
    <row r="38" spans="1:9" ht="15.6" x14ac:dyDescent="0.3">
      <c r="A38" s="2" t="s">
        <v>27</v>
      </c>
      <c r="B38" s="3" t="s">
        <v>28</v>
      </c>
      <c r="C38" s="16">
        <v>1.9891483587319657E-4</v>
      </c>
      <c r="D38" s="2" t="s">
        <v>27</v>
      </c>
      <c r="E38" s="3" t="s">
        <v>28</v>
      </c>
      <c r="F38" s="16">
        <v>3.0559547953464884E-4</v>
      </c>
      <c r="G38" s="2" t="s">
        <v>27</v>
      </c>
      <c r="H38" s="3" t="s">
        <v>28</v>
      </c>
      <c r="I38" s="16">
        <v>2.095117294752244E-4</v>
      </c>
    </row>
    <row r="39" spans="1:9" ht="15.6" x14ac:dyDescent="0.3">
      <c r="A39" s="2" t="s">
        <v>29</v>
      </c>
      <c r="B39" s="3" t="s">
        <v>30</v>
      </c>
      <c r="C39" s="16">
        <v>1.7908744168925248E-4</v>
      </c>
      <c r="D39" s="2" t="s">
        <v>29</v>
      </c>
      <c r="E39" s="3" t="s">
        <v>30</v>
      </c>
      <c r="F39" s="16">
        <v>4.8992579506304395E-5</v>
      </c>
      <c r="G39" s="2" t="s">
        <v>29</v>
      </c>
      <c r="H39" s="3" t="s">
        <v>30</v>
      </c>
      <c r="I39" s="13">
        <v>1.9024165268255976E-3</v>
      </c>
    </row>
    <row r="40" spans="1:9" ht="15.6" x14ac:dyDescent="0.3">
      <c r="A40" s="2" t="s">
        <v>31</v>
      </c>
      <c r="B40" s="3" t="s">
        <v>10</v>
      </c>
      <c r="C40" s="16">
        <v>6.4600054914951413E-6</v>
      </c>
      <c r="D40" s="2" t="s">
        <v>31</v>
      </c>
      <c r="E40" s="3" t="s">
        <v>10</v>
      </c>
      <c r="F40" s="16">
        <v>4.2407786244100271E-6</v>
      </c>
      <c r="G40" s="2" t="s">
        <v>31</v>
      </c>
      <c r="H40" s="3" t="s">
        <v>10</v>
      </c>
      <c r="I40" s="13">
        <v>1.4482839553191643E-3</v>
      </c>
    </row>
    <row r="41" spans="1:9" ht="15.6" x14ac:dyDescent="0.3">
      <c r="A41" s="2" t="s">
        <v>32</v>
      </c>
      <c r="B41" s="3" t="s">
        <v>4</v>
      </c>
      <c r="C41" s="13">
        <v>2.3273786176939742E-2</v>
      </c>
      <c r="D41" s="2" t="s">
        <v>32</v>
      </c>
      <c r="E41" s="3" t="s">
        <v>4</v>
      </c>
      <c r="F41" s="16">
        <v>2.1453257298205671E-4</v>
      </c>
      <c r="G41" s="2" t="s">
        <v>32</v>
      </c>
      <c r="H41" s="3" t="s">
        <v>4</v>
      </c>
      <c r="I41" s="13">
        <v>4.5443264227113889E-3</v>
      </c>
    </row>
    <row r="42" spans="1:9" ht="16.2" thickBot="1" x14ac:dyDescent="0.35">
      <c r="A42" s="4" t="s">
        <v>33</v>
      </c>
      <c r="B42" s="5" t="s">
        <v>34</v>
      </c>
      <c r="C42" s="17">
        <v>2.7128088594592685E-4</v>
      </c>
      <c r="D42" s="4" t="s">
        <v>33</v>
      </c>
      <c r="E42" s="5" t="s">
        <v>34</v>
      </c>
      <c r="F42" s="17">
        <v>6.6828459638786313E-6</v>
      </c>
      <c r="G42" s="4" t="s">
        <v>33</v>
      </c>
      <c r="H42" s="5" t="s">
        <v>34</v>
      </c>
      <c r="I42" s="17">
        <v>2.3970113751137456E-4</v>
      </c>
    </row>
    <row r="45" spans="1:9" ht="15.6" x14ac:dyDescent="0.3">
      <c r="A45" s="1"/>
      <c r="B45" s="34" t="s">
        <v>44</v>
      </c>
      <c r="C45" s="1" t="s">
        <v>49</v>
      </c>
      <c r="D45" s="1" t="s">
        <v>53</v>
      </c>
    </row>
    <row r="46" spans="1:9" ht="15.6" x14ac:dyDescent="0.3">
      <c r="A46" s="1"/>
      <c r="B46" t="s">
        <v>52</v>
      </c>
      <c r="C46" s="1"/>
      <c r="D46" s="1"/>
    </row>
    <row r="47" spans="1:9" ht="15.6" x14ac:dyDescent="0.3">
      <c r="A47" s="1" t="s">
        <v>113</v>
      </c>
      <c r="B47" s="40">
        <f>F4</f>
        <v>25.529716711784999</v>
      </c>
      <c r="C47" s="40">
        <v>84.7</v>
      </c>
      <c r="D47" s="40">
        <f>100-((B47/C47)*100)</f>
        <v>69.858657955389617</v>
      </c>
    </row>
    <row r="48" spans="1:9" ht="15.6" x14ac:dyDescent="0.3">
      <c r="A48" s="1" t="s">
        <v>114</v>
      </c>
      <c r="B48" s="40">
        <f>I4</f>
        <v>53.521422413050601</v>
      </c>
      <c r="C48" s="40">
        <v>84.7</v>
      </c>
      <c r="D48" s="40">
        <f>100-((B48/C48)*100)</f>
        <v>36.810599276209444</v>
      </c>
    </row>
    <row r="49" spans="1:4" ht="15.6" x14ac:dyDescent="0.3">
      <c r="A49" s="1" t="s">
        <v>115</v>
      </c>
      <c r="B49" s="40">
        <v>22.1</v>
      </c>
      <c r="C49" s="40">
        <v>84.7</v>
      </c>
      <c r="D49" s="40">
        <f>100-((B49/C49)*100)</f>
        <v>73.907910271546626</v>
      </c>
    </row>
    <row r="50" spans="1:4" ht="15.6" x14ac:dyDescent="0.3">
      <c r="A50" s="1" t="s">
        <v>116</v>
      </c>
      <c r="B50" s="40">
        <v>16</v>
      </c>
      <c r="C50" s="40">
        <v>84.7</v>
      </c>
      <c r="D50" s="40">
        <f>100-((B50/C50)*100)</f>
        <v>81.109799291617477</v>
      </c>
    </row>
    <row r="51" spans="1:4" ht="15.6" x14ac:dyDescent="0.3">
      <c r="A51" s="1" t="s">
        <v>45</v>
      </c>
      <c r="B51" s="40">
        <f>O4</f>
        <v>28.572493787691297</v>
      </c>
      <c r="C51" s="40">
        <v>84.7</v>
      </c>
      <c r="D51" s="40">
        <f>100-((B51/C51)*100)</f>
        <v>66.266241100718659</v>
      </c>
    </row>
    <row r="52" spans="1:4" ht="15.6" x14ac:dyDescent="0.3">
      <c r="D52" s="1"/>
    </row>
    <row r="53" spans="1:4" ht="15.6" x14ac:dyDescent="0.3">
      <c r="B53" s="1" t="s">
        <v>50</v>
      </c>
      <c r="C53" s="1" t="s">
        <v>51</v>
      </c>
      <c r="D53" s="1" t="s">
        <v>53</v>
      </c>
    </row>
    <row r="54" spans="1:4" ht="15.6" x14ac:dyDescent="0.3">
      <c r="B54" t="s">
        <v>52</v>
      </c>
      <c r="D54" s="1"/>
    </row>
    <row r="55" spans="1:4" ht="15.6" x14ac:dyDescent="0.3">
      <c r="A55" s="1" t="s">
        <v>167</v>
      </c>
      <c r="B55" s="40">
        <f>F26*1000</f>
        <v>18.368035432195498</v>
      </c>
      <c r="C55" s="40">
        <v>86.06</v>
      </c>
      <c r="D55" s="40">
        <f>100-(B55/C55)*100</f>
        <v>78.656709932377993</v>
      </c>
    </row>
    <row r="56" spans="1:4" ht="15.6" x14ac:dyDescent="0.3">
      <c r="A56" s="1" t="s">
        <v>168</v>
      </c>
      <c r="B56" s="40">
        <f>C26*1000</f>
        <v>27.880909196663712</v>
      </c>
      <c r="C56" s="40">
        <v>86.06</v>
      </c>
      <c r="D56" s="40">
        <f>100-(B56/C56)*100</f>
        <v>67.602940742895981</v>
      </c>
    </row>
    <row r="57" spans="1:4" ht="15.6" x14ac:dyDescent="0.3">
      <c r="A57" s="1" t="s">
        <v>169</v>
      </c>
      <c r="B57" s="40">
        <f>I26*1000</f>
        <v>13.815277900101407</v>
      </c>
      <c r="C57" s="40">
        <v>86.06</v>
      </c>
      <c r="D57" s="40">
        <f>100-(B57/C57)*100</f>
        <v>83.946923193003244</v>
      </c>
    </row>
    <row r="65" spans="1:15" ht="15.6" x14ac:dyDescent="0.3">
      <c r="G65" s="111"/>
      <c r="I65" s="111"/>
      <c r="J65" s="111"/>
      <c r="L65" s="111"/>
      <c r="M65" s="111"/>
    </row>
    <row r="66" spans="1:15" ht="15.6" x14ac:dyDescent="0.3">
      <c r="A66" s="162" t="s">
        <v>212</v>
      </c>
      <c r="G66" s="111"/>
      <c r="I66" s="111"/>
      <c r="J66" s="111"/>
      <c r="L66" s="111"/>
      <c r="M66" s="111"/>
      <c r="O66" s="111"/>
    </row>
    <row r="67" spans="1:15" ht="15.6" x14ac:dyDescent="0.3">
      <c r="A67" s="157"/>
      <c r="B67" s="158" t="s">
        <v>44</v>
      </c>
      <c r="C67" s="169" t="s">
        <v>49</v>
      </c>
      <c r="D67" s="159"/>
      <c r="E67" s="159"/>
      <c r="F67" s="74"/>
      <c r="G67" s="41"/>
      <c r="I67" s="111"/>
      <c r="J67" s="111"/>
      <c r="L67" s="111"/>
      <c r="M67" s="111"/>
    </row>
    <row r="68" spans="1:15" ht="15.6" x14ac:dyDescent="0.3">
      <c r="A68" s="157"/>
      <c r="B68" s="159" t="s">
        <v>52</v>
      </c>
      <c r="C68" s="169"/>
      <c r="D68" s="157" t="s">
        <v>210</v>
      </c>
      <c r="E68" s="160" t="s">
        <v>199</v>
      </c>
      <c r="F68" s="3"/>
      <c r="G68" s="74"/>
      <c r="I68" s="111"/>
      <c r="J68" s="111"/>
      <c r="L68" s="111"/>
      <c r="O68" s="111"/>
    </row>
    <row r="69" spans="1:15" ht="15.6" x14ac:dyDescent="0.3">
      <c r="A69" s="157" t="s">
        <v>113</v>
      </c>
      <c r="B69" s="161">
        <v>25.529716711784999</v>
      </c>
      <c r="C69" s="170">
        <v>84.7</v>
      </c>
      <c r="D69" s="179">
        <f>B69*0.461</f>
        <v>11.769199404132886</v>
      </c>
      <c r="E69" s="179">
        <f>B69-D69</f>
        <v>13.760517307652114</v>
      </c>
      <c r="F69" s="182">
        <f>D69/B69</f>
        <v>0.46100000000000002</v>
      </c>
      <c r="G69" s="181">
        <f>100-(B69/C69)*100</f>
        <v>69.858657955389617</v>
      </c>
      <c r="I69" s="111"/>
      <c r="J69" s="111"/>
      <c r="L69" s="111"/>
    </row>
    <row r="70" spans="1:15" ht="15.6" x14ac:dyDescent="0.3">
      <c r="A70" s="157" t="s">
        <v>114</v>
      </c>
      <c r="B70" s="161">
        <v>53.521422413050601</v>
      </c>
      <c r="C70" s="170">
        <v>84.7</v>
      </c>
      <c r="D70" s="161">
        <f>B70*0.391</f>
        <v>20.926876163502786</v>
      </c>
      <c r="E70" s="161">
        <f>B70-D70</f>
        <v>32.594546249547818</v>
      </c>
      <c r="F70" s="182">
        <f>D70/B70</f>
        <v>0.39100000000000001</v>
      </c>
      <c r="G70" s="181">
        <f>100-(B70/C70)*100</f>
        <v>36.810599276209444</v>
      </c>
      <c r="I70" s="111"/>
    </row>
    <row r="71" spans="1:15" ht="15.6" x14ac:dyDescent="0.3">
      <c r="A71" s="157" t="s">
        <v>115</v>
      </c>
      <c r="B71" s="161">
        <v>22</v>
      </c>
      <c r="C71" s="170">
        <v>84.7</v>
      </c>
      <c r="D71" s="161">
        <f>B71*0.8094</f>
        <v>17.806799999999999</v>
      </c>
      <c r="E71" s="161">
        <f>B71-D71</f>
        <v>4.1932000000000009</v>
      </c>
      <c r="F71" s="182">
        <f>D71/B71</f>
        <v>0.80940000000000001</v>
      </c>
      <c r="G71" s="181">
        <f>100-(B71/C71)*100</f>
        <v>74.025974025974023</v>
      </c>
    </row>
    <row r="72" spans="1:15" ht="15.6" x14ac:dyDescent="0.3">
      <c r="A72" s="157" t="s">
        <v>116</v>
      </c>
      <c r="B72" s="161">
        <v>16</v>
      </c>
      <c r="C72" s="170">
        <v>84.7</v>
      </c>
      <c r="D72" s="161">
        <f>B72*67.1/100</f>
        <v>10.735999999999999</v>
      </c>
      <c r="E72" s="161">
        <f>B72-D72</f>
        <v>5.2640000000000011</v>
      </c>
      <c r="F72" s="182">
        <f>D72/B72</f>
        <v>0.67099999999999993</v>
      </c>
      <c r="G72" s="181">
        <f>100-(B72/C72)*100</f>
        <v>81.109799291617477</v>
      </c>
      <c r="I72" s="111"/>
      <c r="J72" s="111"/>
      <c r="L72" s="111"/>
      <c r="M72" s="111"/>
    </row>
    <row r="73" spans="1:15" ht="15.6" x14ac:dyDescent="0.3">
      <c r="A73" s="157" t="s">
        <v>45</v>
      </c>
      <c r="B73" s="161">
        <v>28.572493787691297</v>
      </c>
      <c r="C73" s="170">
        <v>84.7</v>
      </c>
      <c r="D73" s="161">
        <f>B73*0.5767</f>
        <v>16.47775716736157</v>
      </c>
      <c r="E73" s="161">
        <f>B73-D73</f>
        <v>12.094736620329726</v>
      </c>
      <c r="F73" s="182">
        <f t="shared" ref="F73" si="0">D73/B73</f>
        <v>0.57669999999999999</v>
      </c>
      <c r="G73" s="181">
        <f>100-(B73/C73)*100</f>
        <v>66.266241100718659</v>
      </c>
      <c r="I73" s="113"/>
      <c r="J73" s="113"/>
      <c r="L73" s="113"/>
      <c r="M73" s="113"/>
    </row>
    <row r="74" spans="1:15" ht="15.6" x14ac:dyDescent="0.3">
      <c r="B74" s="180">
        <f>SUM(B69:B73)</f>
        <v>145.62363291252689</v>
      </c>
      <c r="D74" s="163">
        <f>SUM(D69:D73)</f>
        <v>77.716632734997233</v>
      </c>
      <c r="E74" s="163"/>
      <c r="F74" s="74"/>
      <c r="G74" s="41"/>
      <c r="I74" s="111"/>
      <c r="J74" s="111"/>
      <c r="L74" s="111"/>
      <c r="M74" s="111"/>
      <c r="O74" s="111"/>
    </row>
    <row r="75" spans="1:15" ht="15.6" x14ac:dyDescent="0.3">
      <c r="A75" s="159"/>
      <c r="B75" s="157" t="s">
        <v>50</v>
      </c>
      <c r="C75" s="169" t="s">
        <v>51</v>
      </c>
      <c r="D75" s="161" t="s">
        <v>210</v>
      </c>
      <c r="E75" s="161" t="s">
        <v>211</v>
      </c>
      <c r="F75" s="3"/>
      <c r="G75" s="3"/>
      <c r="H75" s="172"/>
      <c r="I75" s="111"/>
      <c r="J75" s="111"/>
      <c r="L75" s="111"/>
      <c r="M75" s="111"/>
      <c r="N75" s="111"/>
    </row>
    <row r="76" spans="1:15" ht="15.6" x14ac:dyDescent="0.3">
      <c r="A76" s="159"/>
      <c r="B76" s="159" t="s">
        <v>52</v>
      </c>
      <c r="C76" s="168"/>
      <c r="D76" s="163"/>
      <c r="E76" s="163"/>
      <c r="F76" s="74"/>
      <c r="G76" s="41"/>
      <c r="I76" s="111"/>
      <c r="J76" s="111"/>
      <c r="L76" s="111"/>
      <c r="M76" s="111"/>
    </row>
    <row r="77" spans="1:15" ht="15.6" x14ac:dyDescent="0.3">
      <c r="A77" s="157" t="s">
        <v>167</v>
      </c>
      <c r="B77" s="161">
        <v>18.368035432195498</v>
      </c>
      <c r="C77" s="170">
        <v>86.06</v>
      </c>
      <c r="D77" s="161">
        <f>B77*0.273</f>
        <v>5.0144736729893715</v>
      </c>
      <c r="E77" s="161">
        <f>B77-D77</f>
        <v>13.353561759206126</v>
      </c>
      <c r="F77" s="41">
        <f>D77/B77</f>
        <v>0.27300000000000002</v>
      </c>
      <c r="G77" s="62"/>
      <c r="I77" s="111"/>
      <c r="J77" s="111"/>
      <c r="L77" s="111"/>
      <c r="M77" s="111"/>
    </row>
    <row r="78" spans="1:15" ht="15.6" x14ac:dyDescent="0.3">
      <c r="A78" s="157" t="s">
        <v>168</v>
      </c>
      <c r="B78" s="161">
        <v>27.880909196663712</v>
      </c>
      <c r="C78" s="170">
        <v>86.06</v>
      </c>
      <c r="D78" s="161">
        <f>0.7016*B78</f>
        <v>19.561245892379262</v>
      </c>
      <c r="E78" s="161">
        <f>B78-D78</f>
        <v>8.3196633042844503</v>
      </c>
      <c r="F78" s="41">
        <f t="shared" ref="F78:F79" si="1">D78/B78</f>
        <v>0.7016</v>
      </c>
      <c r="G78" s="41"/>
      <c r="I78" s="111"/>
      <c r="J78" s="111"/>
      <c r="K78" s="111"/>
      <c r="L78" s="111"/>
      <c r="M78" s="111"/>
      <c r="O78" s="111"/>
    </row>
    <row r="79" spans="1:15" ht="15.6" x14ac:dyDescent="0.3">
      <c r="A79" s="157" t="s">
        <v>169</v>
      </c>
      <c r="B79" s="161">
        <v>13.815277900101407</v>
      </c>
      <c r="C79" s="170">
        <v>86.06</v>
      </c>
      <c r="D79" s="161">
        <f>0.7002*B79</f>
        <v>9.6734575856510059</v>
      </c>
      <c r="E79" s="161">
        <f>B79-D79</f>
        <v>4.1418203144504009</v>
      </c>
      <c r="F79" s="41">
        <f t="shared" si="1"/>
        <v>0.70020000000000004</v>
      </c>
      <c r="G79" s="41"/>
      <c r="I79" s="111"/>
      <c r="J79" s="111"/>
      <c r="L79" s="111"/>
      <c r="M79" s="111"/>
      <c r="O79" s="111"/>
    </row>
    <row r="80" spans="1:15" ht="15.6" x14ac:dyDescent="0.3">
      <c r="B80" s="180">
        <f>SUM(B77:B79)</f>
        <v>60.064222528960613</v>
      </c>
      <c r="D80" s="180">
        <f>SUM(D77:D79)</f>
        <v>34.249177151019637</v>
      </c>
      <c r="G80" s="111"/>
      <c r="I80" s="111"/>
      <c r="J80" s="111"/>
      <c r="L80" s="111"/>
      <c r="M80" s="111"/>
      <c r="N80" s="111"/>
      <c r="O80" s="111"/>
    </row>
    <row r="81" spans="1:19" ht="15.6" x14ac:dyDescent="0.3">
      <c r="G81" s="111"/>
      <c r="H81" s="180"/>
      <c r="I81" s="111"/>
      <c r="J81" s="111"/>
      <c r="L81" s="111"/>
      <c r="M81" s="111"/>
      <c r="N81" s="111"/>
      <c r="O81" s="111"/>
      <c r="P81" s="111"/>
      <c r="Q81" s="111"/>
      <c r="R81" s="111"/>
      <c r="S81" s="111"/>
    </row>
    <row r="82" spans="1:19" ht="15.6" x14ac:dyDescent="0.3">
      <c r="G82" s="111"/>
      <c r="I82" s="111"/>
      <c r="J82" s="111"/>
      <c r="L82" s="111"/>
      <c r="M82" s="111"/>
      <c r="N82" s="111"/>
      <c r="O82" s="111"/>
    </row>
    <row r="83" spans="1:19" ht="15.6" x14ac:dyDescent="0.3">
      <c r="A83" s="162" t="s">
        <v>213</v>
      </c>
      <c r="B83" t="s">
        <v>215</v>
      </c>
    </row>
    <row r="84" spans="1:19" ht="15.6" x14ac:dyDescent="0.3">
      <c r="A84" s="157"/>
      <c r="B84" s="158" t="s">
        <v>44</v>
      </c>
      <c r="C84" s="168" t="s">
        <v>49</v>
      </c>
      <c r="D84" s="159"/>
      <c r="E84" s="159"/>
      <c r="F84" s="118"/>
      <c r="G84" s="118"/>
      <c r="H84" s="118"/>
    </row>
    <row r="85" spans="1:19" ht="15.6" x14ac:dyDescent="0.3">
      <c r="A85" s="157"/>
      <c r="B85" s="159" t="s">
        <v>214</v>
      </c>
      <c r="C85" s="168" t="s">
        <v>214</v>
      </c>
      <c r="D85" s="157" t="s">
        <v>210</v>
      </c>
      <c r="E85" s="160" t="s">
        <v>235</v>
      </c>
      <c r="F85" s="34"/>
      <c r="G85" s="118"/>
      <c r="H85" s="34"/>
    </row>
    <row r="86" spans="1:19" ht="15.6" x14ac:dyDescent="0.3">
      <c r="A86" s="157" t="s">
        <v>113</v>
      </c>
      <c r="B86" s="160">
        <f>F14*(10^9)</f>
        <v>4.0572666998479505</v>
      </c>
      <c r="C86" s="171">
        <v>9.59</v>
      </c>
      <c r="D86" s="160">
        <f>94.32*B86/100</f>
        <v>3.8268139512965864</v>
      </c>
      <c r="E86" s="165">
        <f>0.44*B86/100</f>
        <v>1.7851973479330981E-2</v>
      </c>
      <c r="F86" s="172"/>
      <c r="G86" s="118"/>
      <c r="H86" s="62"/>
    </row>
    <row r="87" spans="1:19" ht="15.6" x14ac:dyDescent="0.3">
      <c r="A87" s="157" t="s">
        <v>114</v>
      </c>
      <c r="B87" s="160">
        <f>I14*(10^9)</f>
        <v>5.4888742099359611</v>
      </c>
      <c r="C87" s="171">
        <v>9.59</v>
      </c>
      <c r="D87" s="160">
        <f>40.05*B87/100</f>
        <v>2.1982941210793521</v>
      </c>
      <c r="E87" s="165">
        <f>B87-D87</f>
        <v>3.290580088856609</v>
      </c>
      <c r="F87" s="172"/>
      <c r="G87" s="118"/>
      <c r="H87" s="62"/>
    </row>
    <row r="88" spans="1:19" ht="15.6" x14ac:dyDescent="0.3">
      <c r="A88" s="157" t="s">
        <v>115</v>
      </c>
      <c r="B88" s="160">
        <f>C14*(10^9)</f>
        <v>3.1380073952730632</v>
      </c>
      <c r="C88" s="171">
        <v>9.59</v>
      </c>
      <c r="D88" s="165">
        <f>63.6*B88/100</f>
        <v>1.9957727033936683</v>
      </c>
      <c r="E88" s="165">
        <f>B88-D88</f>
        <v>1.1422346918793949</v>
      </c>
      <c r="F88" s="173"/>
      <c r="G88" s="118"/>
      <c r="H88" s="62"/>
    </row>
    <row r="89" spans="1:19" ht="15.6" x14ac:dyDescent="0.3">
      <c r="A89" s="157" t="s">
        <v>116</v>
      </c>
      <c r="B89" s="160">
        <f>L14*(10^9)</f>
        <v>1.85</v>
      </c>
      <c r="C89" s="171">
        <v>9.59</v>
      </c>
      <c r="D89" s="160">
        <f>68.85*B89/100</f>
        <v>1.273725</v>
      </c>
      <c r="E89" s="165">
        <f>B89-D89</f>
        <v>0.57627500000000009</v>
      </c>
      <c r="F89" s="172"/>
      <c r="G89" s="118"/>
      <c r="H89" s="62"/>
    </row>
    <row r="90" spans="1:19" ht="15.6" x14ac:dyDescent="0.3">
      <c r="A90" s="157" t="s">
        <v>45</v>
      </c>
      <c r="B90" s="160">
        <f>O14*(10^9)</f>
        <v>7.9485095899076796</v>
      </c>
      <c r="C90" s="171">
        <v>9.59</v>
      </c>
      <c r="D90" s="160">
        <f>B90*90.2/100</f>
        <v>7.1695556500967266</v>
      </c>
      <c r="E90" s="165">
        <f>B90-D90</f>
        <v>0.77895393981095307</v>
      </c>
      <c r="F90" s="172"/>
      <c r="G90" s="118"/>
      <c r="H90" s="62"/>
    </row>
    <row r="91" spans="1:19" x14ac:dyDescent="0.3">
      <c r="D91" s="159"/>
      <c r="E91" s="159"/>
      <c r="F91" s="118"/>
      <c r="G91" s="118"/>
      <c r="H91" s="118"/>
    </row>
    <row r="92" spans="1:19" ht="15.6" x14ac:dyDescent="0.3">
      <c r="A92" s="159"/>
      <c r="B92" s="157" t="s">
        <v>50</v>
      </c>
      <c r="C92" s="168"/>
      <c r="D92" s="159"/>
      <c r="E92" s="159"/>
      <c r="F92" s="118"/>
      <c r="G92" s="118"/>
      <c r="H92" s="118"/>
    </row>
    <row r="93" spans="1:19" ht="15.6" x14ac:dyDescent="0.3">
      <c r="A93" s="159"/>
      <c r="B93" s="159" t="s">
        <v>214</v>
      </c>
      <c r="C93" s="168"/>
      <c r="D93" s="157" t="s">
        <v>210</v>
      </c>
      <c r="E93" s="157" t="s">
        <v>235</v>
      </c>
      <c r="F93" s="34"/>
      <c r="G93" s="34"/>
      <c r="H93" s="118"/>
    </row>
    <row r="94" spans="1:19" ht="15.6" x14ac:dyDescent="0.3">
      <c r="A94" s="157" t="s">
        <v>167</v>
      </c>
      <c r="B94" s="165">
        <f>F36*(10^9)</f>
        <v>4.8749316599919421</v>
      </c>
      <c r="C94" s="176"/>
      <c r="D94" s="165">
        <f>41.18*B94/100</f>
        <v>2.0074968575846817</v>
      </c>
      <c r="E94" s="165">
        <f>B94-D94</f>
        <v>2.8674348024072605</v>
      </c>
      <c r="F94" s="172"/>
      <c r="G94" s="174"/>
      <c r="H94" s="118"/>
    </row>
    <row r="95" spans="1:19" ht="15.6" x14ac:dyDescent="0.3">
      <c r="A95" s="157" t="s">
        <v>168</v>
      </c>
      <c r="B95" s="165">
        <f>C36*(10^8)</f>
        <v>1.355998010657208</v>
      </c>
      <c r="C95" s="176"/>
      <c r="D95" s="165">
        <f>58.36*B95/100</f>
        <v>0.79136043901954667</v>
      </c>
      <c r="E95" s="165">
        <f>B95-D95</f>
        <v>0.56463757163766137</v>
      </c>
      <c r="F95" s="172"/>
      <c r="G95" s="172"/>
      <c r="H95" s="118"/>
    </row>
    <row r="96" spans="1:19" ht="15.6" x14ac:dyDescent="0.3">
      <c r="A96" s="157" t="s">
        <v>169</v>
      </c>
      <c r="B96" s="165">
        <f>I36*(10^9)</f>
        <v>1.5932692660743195</v>
      </c>
      <c r="C96" s="176"/>
      <c r="D96" s="177">
        <f>7.76*B96/100</f>
        <v>0.1236376950473672</v>
      </c>
      <c r="E96" s="165">
        <f t="shared" ref="E96" si="2">B96-D96</f>
        <v>1.4696315710269523</v>
      </c>
      <c r="F96" s="174"/>
      <c r="G96" s="174"/>
      <c r="H96" s="118"/>
    </row>
    <row r="97" spans="1:2" ht="15.6" x14ac:dyDescent="0.3">
      <c r="A97" s="1"/>
      <c r="B97" s="111"/>
    </row>
    <row r="114" spans="1:8" ht="15.6" x14ac:dyDescent="0.3">
      <c r="A114" s="162" t="s">
        <v>216</v>
      </c>
    </row>
    <row r="115" spans="1:8" ht="15.6" x14ac:dyDescent="0.3">
      <c r="A115" s="157"/>
      <c r="B115" s="158" t="s">
        <v>44</v>
      </c>
      <c r="C115" s="159"/>
      <c r="D115" s="159"/>
      <c r="E115" s="159"/>
      <c r="F115" s="159"/>
      <c r="G115" s="74"/>
    </row>
    <row r="116" spans="1:8" ht="15.6" x14ac:dyDescent="0.3">
      <c r="A116" s="157"/>
      <c r="B116" s="159" t="s">
        <v>214</v>
      </c>
      <c r="C116" s="159"/>
      <c r="D116" s="157" t="s">
        <v>210</v>
      </c>
      <c r="E116" s="160" t="s">
        <v>235</v>
      </c>
      <c r="F116" s="158" t="s">
        <v>236</v>
      </c>
    </row>
    <row r="117" spans="1:8" ht="15.6" x14ac:dyDescent="0.3">
      <c r="A117" s="157" t="s">
        <v>113</v>
      </c>
      <c r="B117" s="166">
        <f>F15</f>
        <v>2.5058332198613949E-4</v>
      </c>
      <c r="C117" s="163"/>
      <c r="D117" s="166">
        <f>67.8*B117/100</f>
        <v>1.6989549230660259E-4</v>
      </c>
      <c r="E117" s="166">
        <f>B117-D117</f>
        <v>8.0687829679536901E-5</v>
      </c>
      <c r="F117" s="167">
        <f>E117+D117</f>
        <v>2.5058332198613949E-4</v>
      </c>
    </row>
    <row r="118" spans="1:8" ht="15.6" x14ac:dyDescent="0.3">
      <c r="A118" s="157" t="s">
        <v>114</v>
      </c>
      <c r="B118" s="166">
        <f>I15</f>
        <v>1.0005451285382647E-4</v>
      </c>
      <c r="C118" s="163"/>
      <c r="D118" s="166">
        <f>0.5942*B118</f>
        <v>5.945239153774368E-5</v>
      </c>
      <c r="E118" s="166">
        <f>B118-D118</f>
        <v>4.0602121316082785E-5</v>
      </c>
      <c r="F118" s="167">
        <f t="shared" ref="F118:F121" si="3">E118+D118</f>
        <v>1.0005451285382647E-4</v>
      </c>
    </row>
    <row r="119" spans="1:8" ht="15.6" x14ac:dyDescent="0.3">
      <c r="A119" s="157" t="s">
        <v>115</v>
      </c>
      <c r="B119" s="166">
        <f>C15</f>
        <v>5.5029689708784397E-3</v>
      </c>
      <c r="C119" s="163"/>
      <c r="D119" s="166">
        <f>0.0125*B119</f>
        <v>6.8787112135980505E-5</v>
      </c>
      <c r="E119" s="166">
        <f>B119-D119</f>
        <v>5.4341818587424588E-3</v>
      </c>
      <c r="F119" s="167">
        <f t="shared" si="3"/>
        <v>5.5029689708784397E-3</v>
      </c>
    </row>
    <row r="120" spans="1:8" ht="15.6" x14ac:dyDescent="0.3">
      <c r="A120" s="157" t="s">
        <v>116</v>
      </c>
      <c r="B120" s="166">
        <f>L15</f>
        <v>7.1374999999999994E-2</v>
      </c>
      <c r="C120" s="163"/>
      <c r="D120" s="166">
        <f>0.0047*B120</f>
        <v>3.3546249999999998E-4</v>
      </c>
      <c r="E120" s="166">
        <f>B120-D120</f>
        <v>7.10395375E-2</v>
      </c>
      <c r="F120" s="167">
        <f t="shared" si="3"/>
        <v>7.1374999999999994E-2</v>
      </c>
    </row>
    <row r="121" spans="1:8" ht="15.6" x14ac:dyDescent="0.3">
      <c r="A121" s="157" t="s">
        <v>45</v>
      </c>
      <c r="B121" s="166">
        <f>O15</f>
        <v>1.4445010743706981E-3</v>
      </c>
      <c r="C121" s="163"/>
      <c r="D121" s="166">
        <f>0.1965*B121</f>
        <v>2.8384446111384221E-4</v>
      </c>
      <c r="E121" s="166">
        <f>B121-D121</f>
        <v>1.1606566132568558E-3</v>
      </c>
      <c r="F121" s="167">
        <f t="shared" si="3"/>
        <v>1.4445010743706979E-3</v>
      </c>
    </row>
    <row r="123" spans="1:8" ht="15.6" x14ac:dyDescent="0.3">
      <c r="A123" s="159"/>
      <c r="B123" s="157" t="s">
        <v>50</v>
      </c>
      <c r="C123" s="159"/>
      <c r="D123" s="159"/>
      <c r="E123" s="168"/>
      <c r="F123" s="118"/>
      <c r="G123" s="118"/>
      <c r="H123" s="118"/>
    </row>
    <row r="124" spans="1:8" ht="15.6" x14ac:dyDescent="0.3">
      <c r="A124" s="159"/>
      <c r="B124" s="159" t="s">
        <v>214</v>
      </c>
      <c r="C124" s="159"/>
      <c r="D124" s="157" t="s">
        <v>210</v>
      </c>
      <c r="E124" s="160" t="s">
        <v>235</v>
      </c>
      <c r="F124" s="34"/>
      <c r="G124" s="34"/>
      <c r="H124" s="34"/>
    </row>
    <row r="125" spans="1:8" ht="15.6" x14ac:dyDescent="0.3">
      <c r="A125" s="157" t="s">
        <v>167</v>
      </c>
      <c r="B125" s="166">
        <f>F37</f>
        <v>1.3887911484174393E-5</v>
      </c>
      <c r="C125" s="164"/>
      <c r="D125" s="166">
        <f>0.594*B125</f>
        <v>8.2494194215995886E-6</v>
      </c>
      <c r="E125" s="167">
        <f>B125-D125</f>
        <v>5.6384920625748047E-6</v>
      </c>
      <c r="F125" s="172"/>
      <c r="G125" s="174"/>
      <c r="H125" s="172"/>
    </row>
    <row r="126" spans="1:8" ht="15.6" x14ac:dyDescent="0.3">
      <c r="A126" s="157" t="s">
        <v>168</v>
      </c>
      <c r="B126" s="166">
        <f>C37</f>
        <v>8.5842595904259012E-5</v>
      </c>
      <c r="C126" s="164"/>
      <c r="D126" s="166">
        <f>0.788*B126</f>
        <v>6.7643965572556104E-5</v>
      </c>
      <c r="E126" s="167">
        <f>B126-D126</f>
        <v>1.8198630331702907E-5</v>
      </c>
      <c r="F126" s="172"/>
      <c r="G126" s="172"/>
      <c r="H126" s="172"/>
    </row>
    <row r="127" spans="1:8" ht="15.6" x14ac:dyDescent="0.3">
      <c r="A127" s="157" t="s">
        <v>169</v>
      </c>
      <c r="B127" s="166">
        <f>I37</f>
        <v>6.0736304018959057E-4</v>
      </c>
      <c r="C127" s="164"/>
      <c r="D127" s="164"/>
      <c r="E127" s="175"/>
      <c r="F127" s="174"/>
      <c r="G127" s="174"/>
      <c r="H127" s="174"/>
    </row>
    <row r="130" spans="1:6" ht="15.6" x14ac:dyDescent="0.3">
      <c r="A130" s="178" t="s">
        <v>11</v>
      </c>
    </row>
    <row r="132" spans="1:6" ht="15.6" x14ac:dyDescent="0.3">
      <c r="A132" s="157"/>
      <c r="B132" s="158" t="s">
        <v>44</v>
      </c>
      <c r="C132" s="159"/>
      <c r="D132" s="159"/>
      <c r="E132" s="159"/>
      <c r="F132" s="159"/>
    </row>
    <row r="133" spans="1:6" ht="15.6" x14ac:dyDescent="0.3">
      <c r="A133" s="157"/>
      <c r="B133" s="159" t="s">
        <v>214</v>
      </c>
      <c r="C133" s="159"/>
      <c r="D133" s="157" t="s">
        <v>210</v>
      </c>
      <c r="E133" s="160" t="s">
        <v>235</v>
      </c>
      <c r="F133" s="158" t="s">
        <v>236</v>
      </c>
    </row>
    <row r="134" spans="1:6" ht="15.6" x14ac:dyDescent="0.3">
      <c r="A134" s="157" t="s">
        <v>113</v>
      </c>
      <c r="B134" s="166"/>
      <c r="C134" s="163"/>
      <c r="D134" s="166"/>
      <c r="E134" s="166"/>
      <c r="F134" s="167">
        <f>E134+D134</f>
        <v>0</v>
      </c>
    </row>
    <row r="135" spans="1:6" ht="15.6" x14ac:dyDescent="0.3">
      <c r="A135" s="157" t="s">
        <v>114</v>
      </c>
      <c r="B135" s="166"/>
      <c r="C135" s="163"/>
      <c r="D135" s="166"/>
      <c r="E135" s="166"/>
      <c r="F135" s="167">
        <f t="shared" ref="F135:F138" si="4">E135+D135</f>
        <v>0</v>
      </c>
    </row>
    <row r="136" spans="1:6" ht="15.6" x14ac:dyDescent="0.3">
      <c r="A136" s="157" t="s">
        <v>115</v>
      </c>
      <c r="B136" s="166"/>
      <c r="C136" s="163"/>
      <c r="D136" s="166"/>
      <c r="E136" s="166"/>
      <c r="F136" s="167">
        <f t="shared" si="4"/>
        <v>0</v>
      </c>
    </row>
    <row r="137" spans="1:6" ht="15.6" x14ac:dyDescent="0.3">
      <c r="A137" s="157" t="s">
        <v>116</v>
      </c>
      <c r="B137" s="166"/>
      <c r="C137" s="163"/>
      <c r="D137" s="166"/>
      <c r="E137" s="166"/>
      <c r="F137" s="167">
        <f t="shared" si="4"/>
        <v>0</v>
      </c>
    </row>
    <row r="138" spans="1:6" ht="15.6" x14ac:dyDescent="0.3">
      <c r="A138" s="157" t="s">
        <v>45</v>
      </c>
      <c r="B138" s="166"/>
      <c r="C138" s="163"/>
      <c r="D138" s="166"/>
      <c r="E138" s="166"/>
      <c r="F138" s="167">
        <f t="shared" si="4"/>
        <v>0</v>
      </c>
    </row>
    <row r="140" spans="1:6" ht="15.6" x14ac:dyDescent="0.3">
      <c r="A140" s="159"/>
      <c r="B140" s="157" t="s">
        <v>50</v>
      </c>
      <c r="C140" s="159"/>
      <c r="D140" s="159"/>
      <c r="E140" s="168"/>
      <c r="F140" s="118"/>
    </row>
    <row r="141" spans="1:6" ht="15.6" x14ac:dyDescent="0.3">
      <c r="A141" s="159"/>
      <c r="B141" s="159" t="s">
        <v>214</v>
      </c>
      <c r="C141" s="159"/>
      <c r="D141" s="157" t="s">
        <v>210</v>
      </c>
      <c r="E141" s="160" t="s">
        <v>235</v>
      </c>
      <c r="F141" s="34"/>
    </row>
    <row r="142" spans="1:6" ht="15.6" x14ac:dyDescent="0.3">
      <c r="A142" s="157" t="s">
        <v>167</v>
      </c>
      <c r="B142" s="166"/>
      <c r="C142" s="164"/>
      <c r="D142" s="166"/>
      <c r="E142" s="167"/>
      <c r="F142" s="172"/>
    </row>
    <row r="143" spans="1:6" ht="15.6" x14ac:dyDescent="0.3">
      <c r="A143" s="157" t="s">
        <v>168</v>
      </c>
      <c r="B143" s="166"/>
      <c r="C143" s="164"/>
      <c r="D143" s="166"/>
      <c r="E143" s="167"/>
      <c r="F143" s="172"/>
    </row>
    <row r="144" spans="1:6" ht="15.6" x14ac:dyDescent="0.3">
      <c r="A144" s="157" t="s">
        <v>169</v>
      </c>
      <c r="B144" s="166"/>
      <c r="C144" s="164"/>
      <c r="D144" s="164"/>
      <c r="E144" s="175"/>
      <c r="F144" s="174"/>
    </row>
  </sheetData>
  <mergeCells count="8">
    <mergeCell ref="J1:L1"/>
    <mergeCell ref="M1:O1"/>
    <mergeCell ref="A23:C23"/>
    <mergeCell ref="D23:F23"/>
    <mergeCell ref="G23:I23"/>
    <mergeCell ref="A1:C1"/>
    <mergeCell ref="D1:F1"/>
    <mergeCell ref="G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6103-7198-4783-9071-EEED97E55E97}">
  <dimension ref="A1:F152"/>
  <sheetViews>
    <sheetView topLeftCell="A46" workbookViewId="0">
      <selection activeCell="B12" sqref="B12"/>
    </sheetView>
  </sheetViews>
  <sheetFormatPr defaultRowHeight="14.4" x14ac:dyDescent="0.3"/>
  <cols>
    <col min="1" max="1" width="44.88671875" bestFit="1" customWidth="1"/>
    <col min="2" max="2" width="21.6640625" bestFit="1" customWidth="1"/>
    <col min="3" max="3" width="23.44140625" bestFit="1" customWidth="1"/>
    <col min="4" max="4" width="22.109375" bestFit="1" customWidth="1"/>
    <col min="5" max="5" width="19.33203125" bestFit="1" customWidth="1"/>
    <col min="6" max="6" width="22.33203125" bestFit="1" customWidth="1"/>
  </cols>
  <sheetData>
    <row r="1" spans="1:6" ht="16.2" thickBot="1" x14ac:dyDescent="0.35">
      <c r="A1" s="195" t="s">
        <v>35</v>
      </c>
      <c r="B1" s="196"/>
      <c r="C1" s="196"/>
      <c r="D1" s="196"/>
      <c r="E1" s="196"/>
      <c r="F1" s="197"/>
    </row>
    <row r="2" spans="1:6" ht="15.6" x14ac:dyDescent="0.3">
      <c r="A2" s="21" t="s">
        <v>0</v>
      </c>
      <c r="B2" s="22" t="s">
        <v>197</v>
      </c>
      <c r="C2" s="129" t="s">
        <v>198</v>
      </c>
      <c r="D2" s="129" t="s">
        <v>199</v>
      </c>
      <c r="E2" s="130" t="s">
        <v>200</v>
      </c>
    </row>
    <row r="3" spans="1:6" ht="15.6" x14ac:dyDescent="0.3">
      <c r="A3" s="2" t="s">
        <v>178</v>
      </c>
      <c r="B3" s="121">
        <v>0.93420000000000003</v>
      </c>
      <c r="C3" s="122">
        <v>5.4800000000000001E-2</v>
      </c>
      <c r="D3" s="121">
        <v>1.0999999999999999E-2</v>
      </c>
      <c r="E3" s="123">
        <v>0</v>
      </c>
      <c r="F3" s="127">
        <f>SUM(B3:E3)</f>
        <v>1</v>
      </c>
    </row>
    <row r="4" spans="1:6" ht="18" x14ac:dyDescent="0.4">
      <c r="A4" s="59" t="s">
        <v>201</v>
      </c>
      <c r="B4" s="124">
        <v>0.80940000000000001</v>
      </c>
      <c r="C4" s="121">
        <v>0.14269999999999999</v>
      </c>
      <c r="D4" s="121">
        <v>4.7899999999999998E-2</v>
      </c>
      <c r="E4" s="123">
        <v>0</v>
      </c>
      <c r="F4" s="127">
        <f t="shared" ref="F4:F20" si="0">SUM(B4:E4)</f>
        <v>1</v>
      </c>
    </row>
    <row r="5" spans="1:6" ht="15.6" x14ac:dyDescent="0.3">
      <c r="A5" s="2" t="s">
        <v>179</v>
      </c>
      <c r="B5" s="122">
        <v>0.71760000000000002</v>
      </c>
      <c r="C5" s="121">
        <v>0.2266</v>
      </c>
      <c r="D5" s="121">
        <v>5.5800000000000002E-2</v>
      </c>
      <c r="E5" s="123">
        <v>0</v>
      </c>
      <c r="F5" s="127">
        <f t="shared" si="0"/>
        <v>1</v>
      </c>
    </row>
    <row r="6" spans="1:6" ht="15.6" x14ac:dyDescent="0.3">
      <c r="A6" s="2" t="s">
        <v>180</v>
      </c>
      <c r="B6" s="121">
        <v>0.71160000000000001</v>
      </c>
      <c r="C6" s="121">
        <v>0.1757</v>
      </c>
      <c r="D6" s="121">
        <v>0.11269999999999999</v>
      </c>
      <c r="E6" s="123">
        <v>0</v>
      </c>
      <c r="F6" s="127">
        <f t="shared" si="0"/>
        <v>1</v>
      </c>
    </row>
    <row r="7" spans="1:6" ht="15.6" x14ac:dyDescent="0.3">
      <c r="A7" s="2" t="s">
        <v>181</v>
      </c>
      <c r="B7" s="121">
        <v>0.43049999999999999</v>
      </c>
      <c r="C7" s="121">
        <v>0.47549999999999998</v>
      </c>
      <c r="D7" s="121">
        <v>9.4E-2</v>
      </c>
      <c r="E7" s="123">
        <v>0</v>
      </c>
      <c r="F7" s="127">
        <f t="shared" si="0"/>
        <v>0.99999999999999989</v>
      </c>
    </row>
    <row r="8" spans="1:6" ht="15.6" x14ac:dyDescent="0.3">
      <c r="A8" s="2" t="s">
        <v>182</v>
      </c>
      <c r="B8" s="121">
        <v>4.8399999999999999E-2</v>
      </c>
      <c r="C8" s="124">
        <v>0.94479999999999997</v>
      </c>
      <c r="D8" s="121">
        <v>6.7999999999999996E-3</v>
      </c>
      <c r="E8" s="123">
        <v>0</v>
      </c>
      <c r="F8" s="127">
        <f t="shared" si="0"/>
        <v>1</v>
      </c>
    </row>
    <row r="9" spans="1:6" ht="15.6" x14ac:dyDescent="0.3">
      <c r="A9" s="2" t="s">
        <v>183</v>
      </c>
      <c r="B9" s="122">
        <v>0.67920000000000003</v>
      </c>
      <c r="C9" s="124">
        <v>0.24529999999999999</v>
      </c>
      <c r="D9" s="124">
        <v>7.5499999999999998E-2</v>
      </c>
      <c r="E9" s="123">
        <v>0</v>
      </c>
      <c r="F9" s="127">
        <f t="shared" si="0"/>
        <v>1</v>
      </c>
    </row>
    <row r="10" spans="1:6" ht="15.6" x14ac:dyDescent="0.3">
      <c r="A10" s="2" t="s">
        <v>184</v>
      </c>
      <c r="B10" s="121">
        <v>0.53559999999999997</v>
      </c>
      <c r="C10" s="124">
        <v>0.32990000000000003</v>
      </c>
      <c r="D10" s="124">
        <v>0.13350000000000001</v>
      </c>
      <c r="E10" s="123">
        <v>0</v>
      </c>
      <c r="F10" s="127">
        <f t="shared" si="0"/>
        <v>0.99899999999999989</v>
      </c>
    </row>
    <row r="11" spans="1:6" ht="15.6" x14ac:dyDescent="0.3">
      <c r="A11" s="2" t="s">
        <v>185</v>
      </c>
      <c r="B11" s="122">
        <v>7.6E-3</v>
      </c>
      <c r="C11" s="121">
        <v>1.5900000000000001E-2</v>
      </c>
      <c r="D11" s="121">
        <v>2.9999999999999997E-4</v>
      </c>
      <c r="E11" s="126">
        <v>0.97619999999999996</v>
      </c>
      <c r="F11" s="127">
        <f t="shared" si="0"/>
        <v>1</v>
      </c>
    </row>
    <row r="12" spans="1:6" ht="15.6" x14ac:dyDescent="0.3">
      <c r="A12" s="2" t="s">
        <v>186</v>
      </c>
      <c r="B12" s="122">
        <v>0.71840000000000004</v>
      </c>
      <c r="C12" s="124">
        <v>0.15509999999999999</v>
      </c>
      <c r="D12" s="124">
        <v>0.1265</v>
      </c>
      <c r="E12" s="126">
        <v>0</v>
      </c>
      <c r="F12" s="127">
        <f t="shared" si="0"/>
        <v>1</v>
      </c>
    </row>
    <row r="13" spans="1:6" ht="15.6" x14ac:dyDescent="0.3">
      <c r="A13" s="2" t="s">
        <v>187</v>
      </c>
      <c r="B13" s="121">
        <v>0.72130000000000005</v>
      </c>
      <c r="C13" s="124">
        <v>0.2492</v>
      </c>
      <c r="D13" s="124">
        <v>2.9500000000000002E-2</v>
      </c>
      <c r="E13" s="126">
        <v>0</v>
      </c>
      <c r="F13" s="127">
        <f t="shared" si="0"/>
        <v>1</v>
      </c>
    </row>
    <row r="14" spans="1:6" ht="15.6" x14ac:dyDescent="0.3">
      <c r="A14" s="2" t="s">
        <v>188</v>
      </c>
      <c r="B14" s="122">
        <v>0.63660000000000005</v>
      </c>
      <c r="C14" s="124">
        <v>0.317</v>
      </c>
      <c r="D14" s="121">
        <v>4.6399999999999997E-2</v>
      </c>
      <c r="E14" s="126">
        <v>0</v>
      </c>
      <c r="F14" s="127">
        <f t="shared" si="0"/>
        <v>1</v>
      </c>
    </row>
    <row r="15" spans="1:6" ht="15.6" x14ac:dyDescent="0.3">
      <c r="A15" s="2" t="s">
        <v>189</v>
      </c>
      <c r="B15" s="122">
        <v>1.2500000000000001E-2</v>
      </c>
      <c r="C15" s="124">
        <v>5.8600000000000006E-2</v>
      </c>
      <c r="D15" s="121">
        <v>1.6999999999999999E-3</v>
      </c>
      <c r="E15" s="123">
        <v>0.92720000000000002</v>
      </c>
      <c r="F15" s="127">
        <f t="shared" si="0"/>
        <v>1</v>
      </c>
    </row>
    <row r="16" spans="1:6" ht="15.6" x14ac:dyDescent="0.3">
      <c r="A16" s="2" t="s">
        <v>190</v>
      </c>
      <c r="B16" s="122">
        <v>3.5999999999999999E-3</v>
      </c>
      <c r="C16" s="124">
        <v>1.4499999999999999E-2</v>
      </c>
      <c r="D16" s="121">
        <v>5.0000000000000001E-4</v>
      </c>
      <c r="E16" s="123">
        <v>0.98140000000000005</v>
      </c>
      <c r="F16" s="127">
        <f t="shared" si="0"/>
        <v>1</v>
      </c>
    </row>
    <row r="17" spans="1:6" ht="15.6" x14ac:dyDescent="0.3">
      <c r="A17" s="2" t="s">
        <v>191</v>
      </c>
      <c r="B17" s="122">
        <v>1.14E-2</v>
      </c>
      <c r="C17" s="124">
        <v>1.7600000000000001E-2</v>
      </c>
      <c r="D17" s="124">
        <v>2.3E-3</v>
      </c>
      <c r="E17" s="123">
        <v>0.96870000000000001</v>
      </c>
      <c r="F17" s="127">
        <f t="shared" si="0"/>
        <v>1</v>
      </c>
    </row>
    <row r="18" spans="1:6" ht="15.6" x14ac:dyDescent="0.3">
      <c r="A18" s="2" t="s">
        <v>192</v>
      </c>
      <c r="B18" s="122">
        <v>0.4345</v>
      </c>
      <c r="C18" s="124">
        <v>0.54059999999999997</v>
      </c>
      <c r="D18" s="121">
        <v>2.4899999999999999E-2</v>
      </c>
      <c r="E18" s="123">
        <v>0</v>
      </c>
      <c r="F18" s="127">
        <f t="shared" si="0"/>
        <v>1</v>
      </c>
    </row>
    <row r="19" spans="1:6" ht="15.6" x14ac:dyDescent="0.3">
      <c r="A19" s="2" t="s">
        <v>193</v>
      </c>
      <c r="B19" s="121">
        <v>0.61839999999999995</v>
      </c>
      <c r="C19" s="124">
        <v>0.12369999999999999</v>
      </c>
      <c r="D19" s="124">
        <v>0.25790000000000002</v>
      </c>
      <c r="E19" s="123">
        <v>0</v>
      </c>
      <c r="F19" s="127">
        <f t="shared" si="0"/>
        <v>1</v>
      </c>
    </row>
    <row r="20" spans="1:6" ht="16.2" thickBot="1" x14ac:dyDescent="0.35">
      <c r="A20" s="4" t="s">
        <v>194</v>
      </c>
      <c r="B20" s="128">
        <v>0.94210000000000005</v>
      </c>
      <c r="C20" s="128">
        <v>1.7299999999999999E-2</v>
      </c>
      <c r="D20" s="128">
        <v>4.0599999999999997E-2</v>
      </c>
      <c r="E20" s="131">
        <v>0</v>
      </c>
      <c r="F20" s="127">
        <f t="shared" si="0"/>
        <v>1</v>
      </c>
    </row>
    <row r="22" spans="1:6" ht="16.2" thickBot="1" x14ac:dyDescent="0.35">
      <c r="A22" s="204" t="s">
        <v>36</v>
      </c>
      <c r="B22" s="205"/>
      <c r="C22" s="205"/>
      <c r="D22" s="205"/>
      <c r="E22" s="205"/>
      <c r="F22" s="205"/>
    </row>
    <row r="23" spans="1:6" ht="15.6" x14ac:dyDescent="0.3">
      <c r="A23" s="21" t="s">
        <v>0</v>
      </c>
      <c r="B23" s="142" t="s">
        <v>197</v>
      </c>
      <c r="C23" s="129" t="s">
        <v>198</v>
      </c>
      <c r="D23" s="142" t="s">
        <v>202</v>
      </c>
      <c r="E23" s="142" t="s">
        <v>199</v>
      </c>
      <c r="F23" s="143"/>
    </row>
    <row r="24" spans="1:6" ht="15.6" x14ac:dyDescent="0.3">
      <c r="A24" s="132" t="s">
        <v>178</v>
      </c>
      <c r="B24" s="144">
        <v>0</v>
      </c>
      <c r="C24" s="144">
        <v>0</v>
      </c>
      <c r="D24" s="144">
        <v>0</v>
      </c>
      <c r="E24" s="144">
        <v>0</v>
      </c>
      <c r="F24" s="145"/>
    </row>
    <row r="25" spans="1:6" ht="18" x14ac:dyDescent="0.4">
      <c r="A25" s="59" t="s">
        <v>201</v>
      </c>
      <c r="B25" s="122">
        <v>0.46060000000000001</v>
      </c>
      <c r="C25" s="122">
        <v>0.49209999999999998</v>
      </c>
      <c r="D25" s="122">
        <v>3.5000000000000003E-2</v>
      </c>
      <c r="E25" s="134">
        <v>1.23E-2</v>
      </c>
      <c r="F25" s="121">
        <f>SUM(B25:E25)</f>
        <v>1</v>
      </c>
    </row>
    <row r="26" spans="1:6" ht="15.6" x14ac:dyDescent="0.3">
      <c r="A26" s="2" t="s">
        <v>179</v>
      </c>
      <c r="B26" s="122">
        <v>0.91539999999999999</v>
      </c>
      <c r="C26" s="122">
        <v>2.0999999999999999E-3</v>
      </c>
      <c r="D26" s="122">
        <v>5.0599999999999999E-2</v>
      </c>
      <c r="E26" s="122">
        <v>3.1899999999999998E-2</v>
      </c>
      <c r="F26" s="121">
        <f>SUM(B26:E26)</f>
        <v>1</v>
      </c>
    </row>
    <row r="27" spans="1:6" ht="15.6" x14ac:dyDescent="0.3">
      <c r="A27" s="2" t="s">
        <v>180</v>
      </c>
      <c r="B27" s="122">
        <v>0.93159999999999998</v>
      </c>
      <c r="C27" s="122">
        <v>1.55E-2</v>
      </c>
      <c r="D27" s="122">
        <v>3.4200000000000001E-2</v>
      </c>
      <c r="E27" s="122">
        <v>1.8700000000000001E-2</v>
      </c>
      <c r="F27" s="121">
        <f>SUM(B27:E27)</f>
        <v>1</v>
      </c>
    </row>
    <row r="28" spans="1:6" ht="15.6" x14ac:dyDescent="0.3">
      <c r="A28" s="2" t="s">
        <v>181</v>
      </c>
      <c r="B28" s="122">
        <v>0.98939999999999995</v>
      </c>
      <c r="C28" s="122">
        <v>4.7000000000000002E-3</v>
      </c>
      <c r="D28" s="122">
        <v>4.7000000000000002E-3</v>
      </c>
      <c r="E28" s="122">
        <v>1.1999999999999999E-3</v>
      </c>
      <c r="F28" s="121">
        <f>SUM(B28:E28)</f>
        <v>1</v>
      </c>
    </row>
    <row r="29" spans="1:6" ht="15.6" x14ac:dyDescent="0.3">
      <c r="A29" s="2" t="s">
        <v>182</v>
      </c>
      <c r="B29" s="122">
        <v>0.94189999999999996</v>
      </c>
      <c r="C29" s="122">
        <v>4.9000000000000002E-2</v>
      </c>
      <c r="D29" s="122">
        <v>7.9000000000000008E-3</v>
      </c>
      <c r="E29" s="122">
        <v>1.1999999999999999E-3</v>
      </c>
      <c r="F29" s="121">
        <f t="shared" ref="F29:F41" si="1">SUM(B29:E29)</f>
        <v>1</v>
      </c>
    </row>
    <row r="30" spans="1:6" ht="15.6" x14ac:dyDescent="0.3">
      <c r="A30" s="2" t="s">
        <v>183</v>
      </c>
      <c r="B30" s="122">
        <v>0.83309999999999995</v>
      </c>
      <c r="C30" s="122">
        <v>3.7000000000000002E-3</v>
      </c>
      <c r="D30" s="122">
        <v>0.14560000000000001</v>
      </c>
      <c r="E30" s="122">
        <v>1.7600000000000001E-2</v>
      </c>
      <c r="F30" s="121">
        <f t="shared" si="1"/>
        <v>0.99999999999999989</v>
      </c>
    </row>
    <row r="31" spans="1:6" ht="15.6" x14ac:dyDescent="0.3">
      <c r="A31" s="2" t="s">
        <v>184</v>
      </c>
      <c r="B31" s="122">
        <v>0.92659999999999998</v>
      </c>
      <c r="C31" s="122">
        <v>2.3099999999999999E-2</v>
      </c>
      <c r="D31" s="122">
        <v>3.3799999999999997E-2</v>
      </c>
      <c r="E31" s="122">
        <v>1.6500000000000001E-2</v>
      </c>
      <c r="F31" s="121">
        <f t="shared" si="1"/>
        <v>1</v>
      </c>
    </row>
    <row r="32" spans="1:6" ht="15.6" x14ac:dyDescent="0.3">
      <c r="A32" s="2" t="s">
        <v>185</v>
      </c>
      <c r="B32" s="122">
        <v>0.82550000000000001</v>
      </c>
      <c r="C32" s="122">
        <v>0.17030000000000001</v>
      </c>
      <c r="D32" s="122">
        <v>3.0000000000000001E-3</v>
      </c>
      <c r="E32" s="122">
        <v>1.1999999999999999E-3</v>
      </c>
      <c r="F32" s="121">
        <f t="shared" si="1"/>
        <v>1</v>
      </c>
    </row>
    <row r="33" spans="1:6" ht="15.6" x14ac:dyDescent="0.3">
      <c r="A33" s="2" t="s">
        <v>186</v>
      </c>
      <c r="B33" s="122">
        <v>0.91790000000000005</v>
      </c>
      <c r="C33" s="122">
        <v>1.32E-2</v>
      </c>
      <c r="D33" s="122">
        <v>4.0500000000000001E-2</v>
      </c>
      <c r="E33" s="122">
        <v>2.8400000000000002E-2</v>
      </c>
      <c r="F33" s="121">
        <f t="shared" si="1"/>
        <v>1</v>
      </c>
    </row>
    <row r="34" spans="1:6" ht="15.6" x14ac:dyDescent="0.3">
      <c r="A34" s="132" t="s">
        <v>187</v>
      </c>
      <c r="B34" s="146">
        <v>0</v>
      </c>
      <c r="C34" s="146">
        <v>0</v>
      </c>
      <c r="D34" s="146">
        <v>0</v>
      </c>
      <c r="E34" s="146">
        <v>0</v>
      </c>
      <c r="F34" s="136">
        <f t="shared" si="1"/>
        <v>0</v>
      </c>
    </row>
    <row r="35" spans="1:6" ht="15.6" x14ac:dyDescent="0.3">
      <c r="A35" s="2" t="s">
        <v>188</v>
      </c>
      <c r="B35" s="122">
        <v>0.94319999999999993</v>
      </c>
      <c r="C35" s="122">
        <v>8.9999999999999998E-4</v>
      </c>
      <c r="D35" s="122">
        <v>5.1500000000000004E-2</v>
      </c>
      <c r="E35" s="122">
        <v>4.4000000000000003E-3</v>
      </c>
      <c r="F35" s="121">
        <f t="shared" si="1"/>
        <v>0.99999999999999989</v>
      </c>
    </row>
    <row r="36" spans="1:6" ht="15.6" x14ac:dyDescent="0.3">
      <c r="A36" s="2" t="s">
        <v>189</v>
      </c>
      <c r="B36" s="122">
        <v>0.67849999999999999</v>
      </c>
      <c r="C36" s="122">
        <v>0.26319999999999999</v>
      </c>
      <c r="D36" s="122">
        <v>5.2499999999999998E-2</v>
      </c>
      <c r="E36" s="122">
        <v>5.7999999999999996E-3</v>
      </c>
      <c r="F36" s="121">
        <f t="shared" si="1"/>
        <v>1</v>
      </c>
    </row>
    <row r="37" spans="1:6" ht="15.6" x14ac:dyDescent="0.3">
      <c r="A37" s="2" t="s">
        <v>190</v>
      </c>
      <c r="B37" s="122">
        <v>0.89900000000000002</v>
      </c>
      <c r="C37" s="122">
        <v>9.6199999999999994E-2</v>
      </c>
      <c r="D37" s="122">
        <v>4.0000000000000001E-3</v>
      </c>
      <c r="E37" s="122">
        <v>8.0000000000000004E-4</v>
      </c>
      <c r="F37" s="121">
        <f t="shared" si="1"/>
        <v>1</v>
      </c>
    </row>
    <row r="38" spans="1:6" ht="15.6" x14ac:dyDescent="0.3">
      <c r="A38" s="2" t="s">
        <v>191</v>
      </c>
      <c r="B38" s="122">
        <v>0.7077</v>
      </c>
      <c r="C38" s="122">
        <v>0.2145</v>
      </c>
      <c r="D38" s="122">
        <v>7.0699999999999999E-2</v>
      </c>
      <c r="E38" s="122">
        <v>7.1000000000000004E-3</v>
      </c>
      <c r="F38" s="121">
        <f t="shared" si="1"/>
        <v>1</v>
      </c>
    </row>
    <row r="39" spans="1:6" ht="15.6" x14ac:dyDescent="0.3">
      <c r="A39" s="132" t="s">
        <v>192</v>
      </c>
      <c r="B39" s="146">
        <v>0</v>
      </c>
      <c r="C39" s="146">
        <v>0</v>
      </c>
      <c r="D39" s="146">
        <v>0</v>
      </c>
      <c r="E39" s="146">
        <v>0</v>
      </c>
      <c r="F39" s="136">
        <f t="shared" si="1"/>
        <v>0</v>
      </c>
    </row>
    <row r="40" spans="1:6" ht="15.6" x14ac:dyDescent="0.3">
      <c r="A40" s="2" t="s">
        <v>193</v>
      </c>
      <c r="B40" s="122">
        <v>0.88260000000000005</v>
      </c>
      <c r="C40" s="122">
        <v>1.6899999999999998E-2</v>
      </c>
      <c r="D40" s="122">
        <v>6.3700000000000007E-2</v>
      </c>
      <c r="E40" s="122">
        <v>3.6799999999999999E-2</v>
      </c>
      <c r="F40" s="121">
        <f t="shared" si="1"/>
        <v>1</v>
      </c>
    </row>
    <row r="41" spans="1:6" ht="16.2" thickBot="1" x14ac:dyDescent="0.35">
      <c r="A41" s="133" t="s">
        <v>194</v>
      </c>
      <c r="B41" s="147">
        <v>0</v>
      </c>
      <c r="C41" s="147">
        <v>0</v>
      </c>
      <c r="D41" s="147">
        <v>0</v>
      </c>
      <c r="E41" s="147">
        <v>0</v>
      </c>
      <c r="F41" s="138">
        <f t="shared" si="1"/>
        <v>0</v>
      </c>
    </row>
    <row r="44" spans="1:6" ht="15.6" x14ac:dyDescent="0.3">
      <c r="A44" s="198" t="s">
        <v>37</v>
      </c>
      <c r="B44" s="199"/>
      <c r="C44" s="199"/>
      <c r="D44" s="199"/>
      <c r="E44" s="199"/>
      <c r="F44" s="199"/>
    </row>
    <row r="45" spans="1:6" ht="15.6" x14ac:dyDescent="0.3">
      <c r="A45" s="56" t="s">
        <v>0</v>
      </c>
      <c r="B45" s="45" t="s">
        <v>203</v>
      </c>
      <c r="C45" s="45" t="s">
        <v>204</v>
      </c>
      <c r="D45" s="74"/>
      <c r="E45" s="74"/>
      <c r="F45" s="74"/>
    </row>
    <row r="46" spans="1:6" ht="15.6" x14ac:dyDescent="0.3">
      <c r="A46" s="59" t="s">
        <v>178</v>
      </c>
      <c r="B46" s="121">
        <v>0.99470000000000003</v>
      </c>
      <c r="C46" s="121">
        <v>5.3E-3</v>
      </c>
      <c r="D46" s="121">
        <f>SUM(B46:C46)</f>
        <v>1</v>
      </c>
      <c r="E46" s="74"/>
      <c r="F46" s="74"/>
    </row>
    <row r="47" spans="1:6" ht="18" x14ac:dyDescent="0.4">
      <c r="A47" s="59" t="s">
        <v>201</v>
      </c>
      <c r="B47" s="121">
        <v>0.39100000000000001</v>
      </c>
      <c r="C47" s="121">
        <v>0.60899999999999999</v>
      </c>
      <c r="D47" s="121">
        <f t="shared" ref="D47:D63" si="2">SUM(B47:C47)</f>
        <v>1</v>
      </c>
      <c r="E47" s="74"/>
      <c r="F47" s="74"/>
    </row>
    <row r="48" spans="1:6" ht="15.6" x14ac:dyDescent="0.3">
      <c r="A48" s="59" t="s">
        <v>179</v>
      </c>
      <c r="B48" s="121">
        <v>0.18379999999999999</v>
      </c>
      <c r="C48" s="121">
        <f>1-B48</f>
        <v>0.81620000000000004</v>
      </c>
      <c r="D48" s="121">
        <f t="shared" si="2"/>
        <v>1</v>
      </c>
      <c r="E48" s="74"/>
      <c r="F48" s="74"/>
    </row>
    <row r="49" spans="1:6" ht="15.6" x14ac:dyDescent="0.3">
      <c r="A49" s="59" t="s">
        <v>180</v>
      </c>
      <c r="B49" s="121">
        <v>0.83299999999999996</v>
      </c>
      <c r="C49" s="121">
        <f t="shared" ref="C49:C63" si="3">1-B49</f>
        <v>0.16700000000000004</v>
      </c>
      <c r="D49" s="121">
        <f t="shared" si="2"/>
        <v>1</v>
      </c>
      <c r="E49" s="74"/>
      <c r="F49" s="74"/>
    </row>
    <row r="50" spans="1:6" ht="15.6" x14ac:dyDescent="0.3">
      <c r="A50" s="59" t="s">
        <v>181</v>
      </c>
      <c r="B50" s="121">
        <v>0.86639999999999995</v>
      </c>
      <c r="C50" s="121">
        <f t="shared" si="3"/>
        <v>0.13360000000000005</v>
      </c>
      <c r="D50" s="121">
        <f t="shared" si="2"/>
        <v>1</v>
      </c>
      <c r="E50" s="74"/>
      <c r="F50" s="74"/>
    </row>
    <row r="51" spans="1:6" ht="15.6" x14ac:dyDescent="0.3">
      <c r="A51" s="59" t="s">
        <v>182</v>
      </c>
      <c r="B51" s="121">
        <v>0.45610000000000001</v>
      </c>
      <c r="C51" s="121">
        <f t="shared" si="3"/>
        <v>0.54390000000000005</v>
      </c>
      <c r="D51" s="121">
        <f t="shared" si="2"/>
        <v>1</v>
      </c>
      <c r="E51" s="74"/>
      <c r="F51" s="74"/>
    </row>
    <row r="52" spans="1:6" ht="15.6" x14ac:dyDescent="0.3">
      <c r="A52" s="59" t="s">
        <v>183</v>
      </c>
      <c r="B52" s="121">
        <v>0.41099999999999998</v>
      </c>
      <c r="C52" s="121">
        <f t="shared" si="3"/>
        <v>0.58899999999999997</v>
      </c>
      <c r="D52" s="121">
        <f t="shared" si="2"/>
        <v>1</v>
      </c>
      <c r="E52" s="74"/>
      <c r="F52" s="74"/>
    </row>
    <row r="53" spans="1:6" ht="15.6" x14ac:dyDescent="0.3">
      <c r="A53" s="59" t="s">
        <v>184</v>
      </c>
      <c r="B53" s="121">
        <v>0.61080000000000001</v>
      </c>
      <c r="C53" s="121">
        <f t="shared" si="3"/>
        <v>0.38919999999999999</v>
      </c>
      <c r="D53" s="121">
        <f t="shared" si="2"/>
        <v>1</v>
      </c>
      <c r="E53" s="74"/>
      <c r="F53" s="74"/>
    </row>
    <row r="54" spans="1:6" ht="15.6" x14ac:dyDescent="0.3">
      <c r="A54" s="59" t="s">
        <v>185</v>
      </c>
      <c r="B54" s="121">
        <v>0.88519999999999999</v>
      </c>
      <c r="C54" s="121">
        <f t="shared" si="3"/>
        <v>0.11480000000000001</v>
      </c>
      <c r="D54" s="121">
        <f t="shared" si="2"/>
        <v>1</v>
      </c>
      <c r="E54" s="74"/>
      <c r="F54" s="74"/>
    </row>
    <row r="55" spans="1:6" ht="15.6" x14ac:dyDescent="0.3">
      <c r="A55" s="59" t="s">
        <v>186</v>
      </c>
      <c r="B55" s="121">
        <v>0.65620000000000001</v>
      </c>
      <c r="C55" s="121">
        <f t="shared" si="3"/>
        <v>0.34379999999999999</v>
      </c>
      <c r="D55" s="121">
        <f t="shared" si="2"/>
        <v>1</v>
      </c>
      <c r="E55" s="74"/>
      <c r="F55" s="74"/>
    </row>
    <row r="56" spans="1:6" ht="15.6" x14ac:dyDescent="0.3">
      <c r="A56" s="59" t="s">
        <v>187</v>
      </c>
      <c r="B56" s="121">
        <v>0.25940000000000002</v>
      </c>
      <c r="C56" s="121">
        <f t="shared" si="3"/>
        <v>0.74059999999999993</v>
      </c>
      <c r="D56" s="121">
        <f t="shared" si="2"/>
        <v>1</v>
      </c>
      <c r="E56" s="74"/>
      <c r="F56" s="74"/>
    </row>
    <row r="57" spans="1:6" ht="15.6" x14ac:dyDescent="0.3">
      <c r="A57" s="59" t="s">
        <v>188</v>
      </c>
      <c r="B57" s="121">
        <v>0.40050000000000002</v>
      </c>
      <c r="C57" s="121">
        <f t="shared" si="3"/>
        <v>0.59949999999999992</v>
      </c>
      <c r="D57" s="121">
        <f t="shared" si="2"/>
        <v>1</v>
      </c>
      <c r="E57" s="74"/>
      <c r="F57" s="74"/>
    </row>
    <row r="58" spans="1:6" ht="15.6" x14ac:dyDescent="0.3">
      <c r="A58" s="59" t="s">
        <v>189</v>
      </c>
      <c r="B58" s="121">
        <v>0.59419999999999995</v>
      </c>
      <c r="C58" s="121">
        <f t="shared" si="3"/>
        <v>0.40580000000000005</v>
      </c>
      <c r="D58" s="121">
        <f t="shared" si="2"/>
        <v>1</v>
      </c>
      <c r="E58" s="74"/>
      <c r="F58" s="74"/>
    </row>
    <row r="59" spans="1:6" ht="15.6" x14ac:dyDescent="0.3">
      <c r="A59" s="59" t="s">
        <v>190</v>
      </c>
      <c r="B59" s="121">
        <v>0.59660000000000002</v>
      </c>
      <c r="C59" s="121">
        <f t="shared" si="3"/>
        <v>0.40339999999999998</v>
      </c>
      <c r="D59" s="121">
        <f t="shared" si="2"/>
        <v>1</v>
      </c>
      <c r="E59" s="74"/>
      <c r="F59" s="74"/>
    </row>
    <row r="60" spans="1:6" ht="15.6" x14ac:dyDescent="0.3">
      <c r="A60" s="59" t="s">
        <v>191</v>
      </c>
      <c r="B60" s="121">
        <v>0.73619999999999997</v>
      </c>
      <c r="C60" s="121">
        <f t="shared" si="3"/>
        <v>0.26380000000000003</v>
      </c>
      <c r="D60" s="121">
        <f t="shared" si="2"/>
        <v>1</v>
      </c>
      <c r="E60" s="74"/>
      <c r="F60" s="74"/>
    </row>
    <row r="61" spans="1:6" ht="15.6" x14ac:dyDescent="0.3">
      <c r="A61" s="59" t="s">
        <v>192</v>
      </c>
      <c r="B61" s="121">
        <v>0.87760000000000005</v>
      </c>
      <c r="C61" s="121">
        <f t="shared" si="3"/>
        <v>0.12239999999999995</v>
      </c>
      <c r="D61" s="121">
        <f t="shared" si="2"/>
        <v>1</v>
      </c>
      <c r="E61" s="74"/>
      <c r="F61" s="74"/>
    </row>
    <row r="62" spans="1:6" ht="15.6" x14ac:dyDescent="0.3">
      <c r="A62" s="59" t="s">
        <v>193</v>
      </c>
      <c r="B62" s="121">
        <v>0.54349999999999998</v>
      </c>
      <c r="C62" s="121">
        <f t="shared" si="3"/>
        <v>0.45650000000000002</v>
      </c>
      <c r="D62" s="121">
        <f t="shared" si="2"/>
        <v>1</v>
      </c>
      <c r="E62" s="74"/>
      <c r="F62" s="74"/>
    </row>
    <row r="63" spans="1:6" ht="16.2" thickBot="1" x14ac:dyDescent="0.35">
      <c r="A63" s="63" t="s">
        <v>194</v>
      </c>
      <c r="B63" s="148">
        <v>0.77349999999999997</v>
      </c>
      <c r="C63" s="148">
        <f t="shared" si="3"/>
        <v>0.22650000000000003</v>
      </c>
      <c r="D63" s="148">
        <f t="shared" si="2"/>
        <v>1</v>
      </c>
      <c r="E63" s="88"/>
      <c r="F63" s="88"/>
    </row>
    <row r="66" spans="1:6" ht="16.2" thickBot="1" x14ac:dyDescent="0.35">
      <c r="A66" s="200" t="s">
        <v>38</v>
      </c>
      <c r="B66" s="201"/>
      <c r="C66" s="201"/>
      <c r="D66" s="201"/>
      <c r="E66" s="201"/>
      <c r="F66" s="201"/>
    </row>
    <row r="67" spans="1:6" ht="16.2" thickBot="1" x14ac:dyDescent="0.35">
      <c r="A67" s="139"/>
      <c r="B67" s="140" t="s">
        <v>197</v>
      </c>
      <c r="C67" s="141" t="s">
        <v>198</v>
      </c>
      <c r="D67" s="140" t="s">
        <v>199</v>
      </c>
      <c r="E67" s="139"/>
      <c r="F67" s="139"/>
    </row>
    <row r="68" spans="1:6" ht="15.6" x14ac:dyDescent="0.3">
      <c r="A68" s="132" t="s">
        <v>178</v>
      </c>
      <c r="B68" s="135">
        <v>0</v>
      </c>
      <c r="C68" s="135">
        <v>0</v>
      </c>
      <c r="D68" s="135">
        <v>0</v>
      </c>
      <c r="E68" s="136">
        <f>SUM(B68:D68)</f>
        <v>0</v>
      </c>
    </row>
    <row r="69" spans="1:6" ht="18" x14ac:dyDescent="0.4">
      <c r="A69" s="59" t="s">
        <v>201</v>
      </c>
      <c r="B69" s="121">
        <v>0.67069999999999996</v>
      </c>
      <c r="C69" s="121">
        <v>0.2959</v>
      </c>
      <c r="D69" s="121">
        <f>1-C69-B69</f>
        <v>3.3399999999999985E-2</v>
      </c>
      <c r="E69" s="121">
        <f>SUM(B69:D69)</f>
        <v>0.99999999999999989</v>
      </c>
    </row>
    <row r="70" spans="1:6" ht="15.6" x14ac:dyDescent="0.3">
      <c r="A70" s="2" t="s">
        <v>179</v>
      </c>
      <c r="B70" s="121">
        <v>0.93369999999999997</v>
      </c>
      <c r="C70" s="121">
        <v>2.2599999999999999E-2</v>
      </c>
      <c r="D70" s="121">
        <f>1-C70-B70</f>
        <v>4.3700000000000072E-2</v>
      </c>
      <c r="E70" s="121">
        <f t="shared" ref="E70:E85" si="4">SUM(B70:D70)</f>
        <v>1</v>
      </c>
    </row>
    <row r="71" spans="1:6" ht="15.6" x14ac:dyDescent="0.3">
      <c r="A71" s="132" t="s">
        <v>180</v>
      </c>
      <c r="B71" s="135">
        <v>0</v>
      </c>
      <c r="C71" s="135">
        <v>0</v>
      </c>
      <c r="D71" s="136">
        <v>0</v>
      </c>
      <c r="E71" s="136">
        <f t="shared" si="4"/>
        <v>0</v>
      </c>
    </row>
    <row r="72" spans="1:6" ht="15.6" x14ac:dyDescent="0.3">
      <c r="A72" s="2" t="s">
        <v>181</v>
      </c>
      <c r="B72" s="121">
        <v>0.70820000000000005</v>
      </c>
      <c r="C72" s="121">
        <v>0.13059999999999999</v>
      </c>
      <c r="D72" s="121">
        <f>1-C72-B72</f>
        <v>0.1611999999999999</v>
      </c>
      <c r="E72" s="121">
        <f>SUM(B72:D72)</f>
        <v>0.99999999999999989</v>
      </c>
    </row>
    <row r="73" spans="1:6" ht="15.6" x14ac:dyDescent="0.3">
      <c r="A73" s="2" t="s">
        <v>182</v>
      </c>
      <c r="B73" s="121">
        <v>1.4E-3</v>
      </c>
      <c r="C73" s="121">
        <v>0.99529999999999996</v>
      </c>
      <c r="D73" s="121">
        <f>1-C73-B73</f>
        <v>3.3000000000000373E-3</v>
      </c>
      <c r="E73" s="121">
        <f t="shared" si="4"/>
        <v>1</v>
      </c>
    </row>
    <row r="74" spans="1:6" ht="15.6" x14ac:dyDescent="0.3">
      <c r="A74" s="2" t="s">
        <v>183</v>
      </c>
      <c r="B74" s="121">
        <v>0.64629999999999999</v>
      </c>
      <c r="C74" s="121">
        <v>0.16879999999999998</v>
      </c>
      <c r="D74" s="121">
        <f t="shared" ref="D74:D83" si="5">1-C74-B74</f>
        <v>0.18490000000000006</v>
      </c>
      <c r="E74" s="121">
        <f t="shared" si="4"/>
        <v>1</v>
      </c>
    </row>
    <row r="75" spans="1:6" ht="15.6" x14ac:dyDescent="0.3">
      <c r="A75" s="2" t="s">
        <v>184</v>
      </c>
      <c r="B75" s="121">
        <v>3.8800000000000001E-2</v>
      </c>
      <c r="C75" s="121">
        <v>0.95989999999999998</v>
      </c>
      <c r="D75" s="125">
        <f t="shared" si="5"/>
        <v>1.3000000000000234E-3</v>
      </c>
      <c r="E75" s="121">
        <f t="shared" si="4"/>
        <v>1</v>
      </c>
    </row>
    <row r="76" spans="1:6" ht="15.6" x14ac:dyDescent="0.3">
      <c r="A76" s="2" t="s">
        <v>185</v>
      </c>
      <c r="B76" s="121">
        <v>1.89E-2</v>
      </c>
      <c r="C76" s="121">
        <v>0.97849999999999993</v>
      </c>
      <c r="D76" s="121">
        <f t="shared" si="5"/>
        <v>2.6000000000000745E-3</v>
      </c>
      <c r="E76" s="121">
        <f t="shared" si="4"/>
        <v>1</v>
      </c>
    </row>
    <row r="77" spans="1:6" ht="15.6" x14ac:dyDescent="0.3">
      <c r="A77" s="2" t="s">
        <v>186</v>
      </c>
      <c r="B77" s="121">
        <v>3.7100000000000001E-2</v>
      </c>
      <c r="C77" s="121">
        <v>0.96009999999999995</v>
      </c>
      <c r="D77" s="121">
        <f t="shared" si="5"/>
        <v>2.8000000000000455E-3</v>
      </c>
      <c r="E77" s="121">
        <f t="shared" si="4"/>
        <v>1</v>
      </c>
    </row>
    <row r="78" spans="1:6" ht="15.6" x14ac:dyDescent="0.3">
      <c r="A78" s="132" t="s">
        <v>187</v>
      </c>
      <c r="B78" s="135">
        <v>0</v>
      </c>
      <c r="C78" s="135">
        <v>0</v>
      </c>
      <c r="D78" s="136">
        <v>0</v>
      </c>
      <c r="E78" s="136">
        <f t="shared" si="4"/>
        <v>0</v>
      </c>
    </row>
    <row r="79" spans="1:6" ht="15.6" x14ac:dyDescent="0.3">
      <c r="A79" s="2" t="s">
        <v>188</v>
      </c>
      <c r="B79" s="121">
        <v>0.6885</v>
      </c>
      <c r="C79" s="121">
        <v>0.1709</v>
      </c>
      <c r="D79" s="121">
        <f t="shared" si="5"/>
        <v>0.14059999999999995</v>
      </c>
      <c r="E79" s="121">
        <f t="shared" si="4"/>
        <v>0.99999999999999989</v>
      </c>
    </row>
    <row r="80" spans="1:6" ht="15.6" x14ac:dyDescent="0.3">
      <c r="A80" s="2" t="s">
        <v>189</v>
      </c>
      <c r="B80" s="121">
        <v>4.7000000000000002E-3</v>
      </c>
      <c r="C80" s="121">
        <v>0.99529999999999996</v>
      </c>
      <c r="D80" s="121">
        <f t="shared" si="5"/>
        <v>3.7296554733501353E-17</v>
      </c>
      <c r="E80" s="121">
        <f t="shared" si="4"/>
        <v>1</v>
      </c>
    </row>
    <row r="81" spans="1:5" ht="15.6" x14ac:dyDescent="0.3">
      <c r="A81" s="2" t="s">
        <v>190</v>
      </c>
      <c r="B81" s="121">
        <v>2.9700000000000001E-2</v>
      </c>
      <c r="C81" s="121">
        <v>0.9667</v>
      </c>
      <c r="D81" s="121">
        <f t="shared" si="5"/>
        <v>3.5999999999999956E-3</v>
      </c>
      <c r="E81" s="121">
        <f t="shared" si="4"/>
        <v>1</v>
      </c>
    </row>
    <row r="82" spans="1:5" ht="15.6" x14ac:dyDescent="0.3">
      <c r="A82" s="2" t="s">
        <v>191</v>
      </c>
      <c r="B82" s="121">
        <v>2.4399999999999998E-2</v>
      </c>
      <c r="C82" s="121">
        <v>0.94010000000000005</v>
      </c>
      <c r="D82" s="121">
        <f t="shared" si="5"/>
        <v>3.5499999999999955E-2</v>
      </c>
      <c r="E82" s="121">
        <f t="shared" si="4"/>
        <v>1</v>
      </c>
    </row>
    <row r="83" spans="1:5" ht="15.6" x14ac:dyDescent="0.3">
      <c r="A83" s="2" t="s">
        <v>192</v>
      </c>
      <c r="B83" s="121">
        <v>3.0099999999999998E-2</v>
      </c>
      <c r="C83" s="121">
        <v>0.94940000000000002</v>
      </c>
      <c r="D83" s="121">
        <f t="shared" si="5"/>
        <v>2.049999999999998E-2</v>
      </c>
      <c r="E83" s="121">
        <f t="shared" si="4"/>
        <v>1</v>
      </c>
    </row>
    <row r="84" spans="1:5" ht="15.6" x14ac:dyDescent="0.3">
      <c r="A84" s="132" t="s">
        <v>193</v>
      </c>
      <c r="B84" s="135">
        <v>0</v>
      </c>
      <c r="C84" s="135">
        <v>0</v>
      </c>
      <c r="D84" s="136">
        <v>0</v>
      </c>
      <c r="E84" s="136">
        <f t="shared" si="4"/>
        <v>0</v>
      </c>
    </row>
    <row r="85" spans="1:5" ht="16.2" thickBot="1" x14ac:dyDescent="0.35">
      <c r="A85" s="133" t="s">
        <v>194</v>
      </c>
      <c r="B85" s="137">
        <v>0</v>
      </c>
      <c r="C85" s="137">
        <v>0</v>
      </c>
      <c r="D85" s="138">
        <v>0</v>
      </c>
      <c r="E85" s="138">
        <f t="shared" si="4"/>
        <v>0</v>
      </c>
    </row>
    <row r="88" spans="1:5" ht="16.2" thickBot="1" x14ac:dyDescent="0.35">
      <c r="A88" s="202" t="s">
        <v>39</v>
      </c>
      <c r="B88" s="203"/>
      <c r="C88" s="203"/>
      <c r="D88" s="203"/>
      <c r="E88" s="203"/>
    </row>
    <row r="89" spans="1:5" ht="15.6" x14ac:dyDescent="0.3">
      <c r="A89" s="149" t="s">
        <v>0</v>
      </c>
      <c r="B89" s="150" t="s">
        <v>197</v>
      </c>
      <c r="C89" s="150" t="s">
        <v>202</v>
      </c>
      <c r="D89" s="150" t="s">
        <v>199</v>
      </c>
      <c r="E89" s="151"/>
    </row>
    <row r="90" spans="1:5" ht="15.6" x14ac:dyDescent="0.3">
      <c r="A90" s="132" t="s">
        <v>178</v>
      </c>
      <c r="B90" s="135">
        <v>0</v>
      </c>
      <c r="C90" s="135">
        <v>0</v>
      </c>
      <c r="D90" s="135">
        <v>0</v>
      </c>
      <c r="E90" s="145"/>
    </row>
    <row r="91" spans="1:5" ht="18" x14ac:dyDescent="0.4">
      <c r="A91" s="59" t="s">
        <v>201</v>
      </c>
      <c r="B91" s="121">
        <v>0.2767</v>
      </c>
      <c r="C91" s="121">
        <v>0.69259999999999999</v>
      </c>
      <c r="D91" s="121">
        <f>1-C91-B91</f>
        <v>3.0700000000000005E-2</v>
      </c>
      <c r="E91" s="152">
        <f>SUM(B91:D91)</f>
        <v>1</v>
      </c>
    </row>
    <row r="92" spans="1:5" ht="15.6" x14ac:dyDescent="0.3">
      <c r="A92" s="59" t="s">
        <v>179</v>
      </c>
      <c r="B92" s="121">
        <v>0.93610000000000004</v>
      </c>
      <c r="C92" s="121">
        <v>4.3200000000000002E-2</v>
      </c>
      <c r="D92" s="121">
        <f>1-C92-B92</f>
        <v>2.0699999999999941E-2</v>
      </c>
      <c r="E92" s="152">
        <f>SUM(B92:D92)</f>
        <v>1</v>
      </c>
    </row>
    <row r="93" spans="1:5" ht="15.6" x14ac:dyDescent="0.3">
      <c r="A93" s="132" t="s">
        <v>180</v>
      </c>
      <c r="B93" s="135">
        <v>0</v>
      </c>
      <c r="C93" s="135">
        <v>0</v>
      </c>
      <c r="D93" s="136">
        <f t="shared" ref="D93:D107" si="6">1-C93-B93</f>
        <v>1</v>
      </c>
      <c r="E93" s="135">
        <f t="shared" ref="E93:E107" si="7">SUM(B93:D93)</f>
        <v>1</v>
      </c>
    </row>
    <row r="94" spans="1:5" ht="15.6" x14ac:dyDescent="0.3">
      <c r="A94" s="59" t="s">
        <v>181</v>
      </c>
      <c r="B94" s="121">
        <v>0.63249999999999995</v>
      </c>
      <c r="C94" s="121">
        <v>0.36159999999999998</v>
      </c>
      <c r="D94" s="121">
        <f t="shared" si="6"/>
        <v>5.9000000000001274E-3</v>
      </c>
      <c r="E94" s="152">
        <f t="shared" si="7"/>
        <v>1</v>
      </c>
    </row>
    <row r="95" spans="1:5" ht="15.6" x14ac:dyDescent="0.3">
      <c r="A95" s="59" t="s">
        <v>182</v>
      </c>
      <c r="B95" s="121">
        <v>4.1399999999999999E-2</v>
      </c>
      <c r="C95" s="121">
        <v>0.95809999999999995</v>
      </c>
      <c r="D95" s="121">
        <f t="shared" si="6"/>
        <v>5.0000000000004902E-4</v>
      </c>
      <c r="E95" s="152">
        <f t="shared" si="7"/>
        <v>1</v>
      </c>
    </row>
    <row r="96" spans="1:5" ht="15.6" x14ac:dyDescent="0.3">
      <c r="A96" s="59" t="s">
        <v>183</v>
      </c>
      <c r="B96" s="121">
        <v>0.9446</v>
      </c>
      <c r="C96" s="124">
        <v>4.6399999999999997E-2</v>
      </c>
      <c r="D96" s="121">
        <f t="shared" si="6"/>
        <v>9.000000000000008E-3</v>
      </c>
      <c r="E96" s="152">
        <f t="shared" si="7"/>
        <v>1</v>
      </c>
    </row>
    <row r="97" spans="1:6" ht="15.6" x14ac:dyDescent="0.3">
      <c r="A97" s="59" t="s">
        <v>184</v>
      </c>
      <c r="B97" s="121">
        <v>0.82920000000000005</v>
      </c>
      <c r="C97" s="121">
        <v>0.159</v>
      </c>
      <c r="D97" s="121">
        <f t="shared" si="6"/>
        <v>1.1799999999999922E-2</v>
      </c>
      <c r="E97" s="152">
        <f t="shared" si="7"/>
        <v>1</v>
      </c>
    </row>
    <row r="98" spans="1:6" ht="15.6" x14ac:dyDescent="0.3">
      <c r="A98" s="132" t="s">
        <v>185</v>
      </c>
      <c r="B98" s="135">
        <v>0</v>
      </c>
      <c r="C98" s="135">
        <v>0</v>
      </c>
      <c r="D98" s="136">
        <f t="shared" si="6"/>
        <v>1</v>
      </c>
      <c r="E98" s="135">
        <f t="shared" si="7"/>
        <v>1</v>
      </c>
    </row>
    <row r="99" spans="1:6" ht="15.6" x14ac:dyDescent="0.3">
      <c r="A99" s="59" t="s">
        <v>186</v>
      </c>
      <c r="B99" s="124">
        <v>0.76890000000000003</v>
      </c>
      <c r="C99" s="124">
        <v>0.21809999999999999</v>
      </c>
      <c r="D99" s="121">
        <f t="shared" si="6"/>
        <v>1.3000000000000012E-2</v>
      </c>
      <c r="E99" s="152">
        <f t="shared" si="7"/>
        <v>1</v>
      </c>
    </row>
    <row r="100" spans="1:6" ht="15.6" x14ac:dyDescent="0.3">
      <c r="A100" s="132" t="s">
        <v>187</v>
      </c>
      <c r="B100" s="135">
        <v>0</v>
      </c>
      <c r="C100" s="135">
        <v>0</v>
      </c>
      <c r="D100" s="136">
        <f t="shared" si="6"/>
        <v>1</v>
      </c>
      <c r="E100" s="135">
        <f t="shared" si="7"/>
        <v>1</v>
      </c>
    </row>
    <row r="101" spans="1:6" ht="15.6" x14ac:dyDescent="0.3">
      <c r="A101" s="132" t="s">
        <v>188</v>
      </c>
      <c r="B101" s="156">
        <v>0.90200000000000002</v>
      </c>
      <c r="C101" s="156">
        <v>2.4E-2</v>
      </c>
      <c r="D101" s="136">
        <f t="shared" si="6"/>
        <v>7.3999999999999955E-2</v>
      </c>
      <c r="E101" s="135">
        <f t="shared" si="7"/>
        <v>1</v>
      </c>
    </row>
    <row r="102" spans="1:6" ht="15.6" x14ac:dyDescent="0.3">
      <c r="A102" s="59" t="s">
        <v>189</v>
      </c>
      <c r="B102" s="121">
        <v>0.19650000000000001</v>
      </c>
      <c r="C102" s="121">
        <v>0.80069999999999997</v>
      </c>
      <c r="D102" s="121">
        <f t="shared" si="6"/>
        <v>2.8000000000000247E-3</v>
      </c>
      <c r="E102" s="152">
        <f t="shared" si="7"/>
        <v>1</v>
      </c>
    </row>
    <row r="103" spans="1:6" ht="15.6" x14ac:dyDescent="0.3">
      <c r="A103" s="59" t="s">
        <v>190</v>
      </c>
      <c r="B103" s="121">
        <v>0.44590000000000002</v>
      </c>
      <c r="C103" s="121">
        <v>0.5514</v>
      </c>
      <c r="D103" s="121">
        <f t="shared" si="6"/>
        <v>2.6999999999999802E-3</v>
      </c>
      <c r="E103" s="152">
        <f t="shared" si="7"/>
        <v>1</v>
      </c>
    </row>
    <row r="104" spans="1:6" ht="15.6" x14ac:dyDescent="0.3">
      <c r="A104" s="132" t="s">
        <v>191</v>
      </c>
      <c r="B104" s="135">
        <v>0</v>
      </c>
      <c r="C104" s="135">
        <v>0</v>
      </c>
      <c r="D104" s="136">
        <f t="shared" si="6"/>
        <v>1</v>
      </c>
      <c r="E104" s="135">
        <f t="shared" si="7"/>
        <v>1</v>
      </c>
    </row>
    <row r="105" spans="1:6" ht="15.6" x14ac:dyDescent="0.3">
      <c r="A105" s="59" t="s">
        <v>192</v>
      </c>
      <c r="B105" s="121">
        <v>0.83320000000000005</v>
      </c>
      <c r="C105" s="121">
        <v>1.9099999999999999E-2</v>
      </c>
      <c r="D105" s="121">
        <f t="shared" si="6"/>
        <v>0.14769999999999994</v>
      </c>
      <c r="E105" s="152">
        <f t="shared" si="7"/>
        <v>1</v>
      </c>
    </row>
    <row r="106" spans="1:6" ht="15.6" x14ac:dyDescent="0.3">
      <c r="A106" s="59" t="s">
        <v>193</v>
      </c>
      <c r="B106" s="124">
        <v>0.47159999999999996</v>
      </c>
      <c r="C106" s="124">
        <v>0.49700000000000005</v>
      </c>
      <c r="D106" s="121">
        <f t="shared" si="6"/>
        <v>3.1399999999999928E-2</v>
      </c>
      <c r="E106" s="152">
        <f t="shared" si="7"/>
        <v>1</v>
      </c>
    </row>
    <row r="107" spans="1:6" ht="16.2" thickBot="1" x14ac:dyDescent="0.35">
      <c r="A107" s="63" t="s">
        <v>194</v>
      </c>
      <c r="B107" s="148">
        <v>1.15E-2</v>
      </c>
      <c r="C107" s="148">
        <v>1.4E-3</v>
      </c>
      <c r="D107" s="148">
        <f t="shared" si="6"/>
        <v>0.98710000000000009</v>
      </c>
      <c r="E107" s="153">
        <f t="shared" si="7"/>
        <v>1</v>
      </c>
    </row>
    <row r="110" spans="1:6" ht="15" thickBot="1" x14ac:dyDescent="0.35"/>
    <row r="111" spans="1:6" ht="16.2" thickBot="1" x14ac:dyDescent="0.35">
      <c r="A111" s="195" t="s">
        <v>40</v>
      </c>
      <c r="B111" s="196"/>
      <c r="C111" s="196"/>
      <c r="D111" s="196"/>
      <c r="E111" s="196"/>
      <c r="F111" s="197"/>
    </row>
    <row r="112" spans="1:6" ht="16.2" thickBot="1" x14ac:dyDescent="0.35">
      <c r="A112" s="154" t="s">
        <v>0</v>
      </c>
      <c r="B112" s="155" t="s">
        <v>205</v>
      </c>
      <c r="C112" s="155" t="s">
        <v>206</v>
      </c>
      <c r="D112" s="155" t="s">
        <v>207</v>
      </c>
      <c r="E112" s="68" t="s">
        <v>208</v>
      </c>
      <c r="F112" s="68" t="s">
        <v>209</v>
      </c>
    </row>
    <row r="113" spans="1:6" ht="15.6" x14ac:dyDescent="0.3">
      <c r="A113" s="59" t="s">
        <v>178</v>
      </c>
      <c r="B113" s="121">
        <v>0.30380000000000001</v>
      </c>
      <c r="C113" s="121">
        <v>5.0000000000000001E-4</v>
      </c>
      <c r="D113" s="121">
        <v>0.34060000000000001</v>
      </c>
      <c r="E113" s="152">
        <v>0.34</v>
      </c>
      <c r="F113" s="121">
        <f>1-E113-D113-C113-B113</f>
        <v>1.5099999999999891E-2</v>
      </c>
    </row>
    <row r="114" spans="1:6" ht="18" x14ac:dyDescent="0.4">
      <c r="A114" s="59" t="s">
        <v>201</v>
      </c>
      <c r="B114" s="121">
        <v>0.7016</v>
      </c>
      <c r="C114" s="121">
        <v>4.36E-2</v>
      </c>
      <c r="D114" s="121">
        <v>8.2699999999999996E-2</v>
      </c>
      <c r="E114" s="121">
        <v>2.6499999999999999E-2</v>
      </c>
      <c r="F114" s="121">
        <f>1-E114-D114-C114-B114</f>
        <v>0.14560000000000006</v>
      </c>
    </row>
    <row r="115" spans="1:6" ht="15.6" x14ac:dyDescent="0.3">
      <c r="A115" s="59" t="s">
        <v>179</v>
      </c>
      <c r="B115" s="121">
        <v>0.40720000000000001</v>
      </c>
      <c r="C115" s="121">
        <v>0.14130000000000001</v>
      </c>
      <c r="D115" s="121">
        <v>0.1807</v>
      </c>
      <c r="E115" s="121">
        <v>1.54E-2</v>
      </c>
      <c r="F115" s="121">
        <f t="shared" ref="F115:F130" si="8">1-E115-D115-C115-B115</f>
        <v>0.25540000000000007</v>
      </c>
    </row>
    <row r="116" spans="1:6" ht="15.6" x14ac:dyDescent="0.3">
      <c r="A116" s="59" t="s">
        <v>180</v>
      </c>
      <c r="B116" s="121">
        <v>0.83079999999999998</v>
      </c>
      <c r="C116" s="121">
        <v>1.34E-2</v>
      </c>
      <c r="D116" s="121">
        <v>3.1E-2</v>
      </c>
      <c r="E116" s="121">
        <v>1.9900000000000001E-2</v>
      </c>
      <c r="F116" s="121">
        <f t="shared" si="8"/>
        <v>0.10489999999999999</v>
      </c>
    </row>
    <row r="117" spans="1:6" ht="15.6" x14ac:dyDescent="0.3">
      <c r="A117" s="59" t="s">
        <v>181</v>
      </c>
      <c r="B117" s="121">
        <v>0.79600000000000004</v>
      </c>
      <c r="C117" s="121">
        <v>1.2800000000000001E-2</v>
      </c>
      <c r="D117" s="121">
        <v>4.9799999999999997E-2</v>
      </c>
      <c r="E117" s="121">
        <v>4.5900000000000003E-2</v>
      </c>
      <c r="F117" s="121">
        <f t="shared" si="8"/>
        <v>9.5499999999999918E-2</v>
      </c>
    </row>
    <row r="118" spans="1:6" ht="15.6" x14ac:dyDescent="0.3">
      <c r="A118" s="59" t="s">
        <v>182</v>
      </c>
      <c r="B118" s="121">
        <v>0.82640000000000002</v>
      </c>
      <c r="C118" s="121">
        <v>1.9300000000000001E-2</v>
      </c>
      <c r="D118" s="121">
        <v>4.6399999999999997E-2</v>
      </c>
      <c r="E118" s="121">
        <v>2.8399999999999998E-2</v>
      </c>
      <c r="F118" s="121">
        <f t="shared" si="8"/>
        <v>7.9500000000000015E-2</v>
      </c>
    </row>
    <row r="119" spans="1:6" ht="15.6" x14ac:dyDescent="0.3">
      <c r="A119" s="59" t="s">
        <v>183</v>
      </c>
      <c r="B119" s="121">
        <v>0.89390000000000003</v>
      </c>
      <c r="C119" s="121">
        <v>3.0499999999999999E-2</v>
      </c>
      <c r="D119" s="121">
        <v>4.1399999999999999E-2</v>
      </c>
      <c r="E119" s="121">
        <v>6.3E-3</v>
      </c>
      <c r="F119" s="121">
        <f t="shared" si="8"/>
        <v>2.7900000000000036E-2</v>
      </c>
    </row>
    <row r="120" spans="1:6" ht="15.6" x14ac:dyDescent="0.3">
      <c r="A120" s="59" t="s">
        <v>184</v>
      </c>
      <c r="B120" s="121">
        <v>0.8508</v>
      </c>
      <c r="C120" s="121">
        <v>1.26E-2</v>
      </c>
      <c r="D120" s="121">
        <v>3.0899999999999997E-2</v>
      </c>
      <c r="E120" s="121">
        <v>2.1000000000000001E-2</v>
      </c>
      <c r="F120" s="121">
        <f t="shared" si="8"/>
        <v>8.4699999999999998E-2</v>
      </c>
    </row>
    <row r="121" spans="1:6" ht="15.6" x14ac:dyDescent="0.3">
      <c r="A121" s="59" t="s">
        <v>185</v>
      </c>
      <c r="B121" s="121">
        <v>0.83050000000000002</v>
      </c>
      <c r="C121" s="121">
        <v>3.1E-2</v>
      </c>
      <c r="D121" s="121">
        <v>5.21E-2</v>
      </c>
      <c r="E121" s="121">
        <v>1.78E-2</v>
      </c>
      <c r="F121" s="121">
        <f t="shared" si="8"/>
        <v>6.8599999999999883E-2</v>
      </c>
    </row>
    <row r="122" spans="1:6" ht="15.6" x14ac:dyDescent="0.3">
      <c r="A122" s="59" t="s">
        <v>186</v>
      </c>
      <c r="B122" s="121">
        <v>0.90269999999999995</v>
      </c>
      <c r="C122" s="121">
        <v>1.26E-2</v>
      </c>
      <c r="D122" s="121">
        <v>2.5399999999999999E-2</v>
      </c>
      <c r="E122" s="121">
        <v>1.06E-2</v>
      </c>
      <c r="F122" s="121">
        <f t="shared" si="8"/>
        <v>4.8700000000000077E-2</v>
      </c>
    </row>
    <row r="123" spans="1:6" ht="15.6" x14ac:dyDescent="0.3">
      <c r="A123" s="59" t="s">
        <v>187</v>
      </c>
      <c r="B123" s="121">
        <v>0.36469999999999997</v>
      </c>
      <c r="C123" s="121">
        <v>0.14279999999999998</v>
      </c>
      <c r="D123" s="121">
        <v>0.31109999999999999</v>
      </c>
      <c r="E123" s="121">
        <v>2.3199999999999998E-2</v>
      </c>
      <c r="F123" s="121">
        <f t="shared" si="8"/>
        <v>0.15819999999999995</v>
      </c>
    </row>
    <row r="124" spans="1:6" ht="15.6" x14ac:dyDescent="0.3">
      <c r="A124" s="59" t="s">
        <v>188</v>
      </c>
      <c r="B124" s="121">
        <v>0.58360000000000001</v>
      </c>
      <c r="C124" s="121">
        <v>0.11289999999999999</v>
      </c>
      <c r="D124" s="121">
        <v>0.1406</v>
      </c>
      <c r="E124" s="121">
        <v>1.41E-2</v>
      </c>
      <c r="F124" s="121">
        <f t="shared" si="8"/>
        <v>0.14879999999999993</v>
      </c>
    </row>
    <row r="125" spans="1:6" ht="15.6" x14ac:dyDescent="0.3">
      <c r="A125" s="59" t="s">
        <v>189</v>
      </c>
      <c r="B125" s="121">
        <v>0.78790000000000004</v>
      </c>
      <c r="C125" s="121">
        <v>3.7900000000000003E-2</v>
      </c>
      <c r="D125" s="121">
        <v>6.7199999999999996E-2</v>
      </c>
      <c r="E125" s="121">
        <v>2.6499999999999999E-2</v>
      </c>
      <c r="F125" s="121">
        <f t="shared" si="8"/>
        <v>8.0499999999999905E-2</v>
      </c>
    </row>
    <row r="126" spans="1:6" ht="15.6" x14ac:dyDescent="0.3">
      <c r="A126" s="59" t="s">
        <v>190</v>
      </c>
      <c r="B126" s="121">
        <v>0.75450000000000006</v>
      </c>
      <c r="C126" s="121">
        <v>4.2199999999999994E-2</v>
      </c>
      <c r="D126" s="121">
        <v>8.48E-2</v>
      </c>
      <c r="E126" s="121">
        <v>3.1E-2</v>
      </c>
      <c r="F126" s="121">
        <f t="shared" si="8"/>
        <v>8.7499999999999911E-2</v>
      </c>
    </row>
    <row r="127" spans="1:6" ht="15.6" x14ac:dyDescent="0.3">
      <c r="A127" s="59" t="s">
        <v>191</v>
      </c>
      <c r="B127" s="121">
        <v>0.72719999999999996</v>
      </c>
      <c r="C127" s="121">
        <v>5.9000000000000004E-2</v>
      </c>
      <c r="D127" s="121">
        <v>8.8499999999999995E-2</v>
      </c>
      <c r="E127" s="121">
        <v>2.2799999999999997E-2</v>
      </c>
      <c r="F127" s="121">
        <f t="shared" si="8"/>
        <v>0.10249999999999992</v>
      </c>
    </row>
    <row r="128" spans="1:6" ht="15.6" x14ac:dyDescent="0.3">
      <c r="A128" s="59" t="s">
        <v>192</v>
      </c>
      <c r="B128" s="121">
        <v>0.77410000000000001</v>
      </c>
      <c r="C128" s="121">
        <v>3.1699999999999999E-2</v>
      </c>
      <c r="D128" s="121">
        <v>5.7200000000000001E-2</v>
      </c>
      <c r="E128" s="121">
        <v>2.2799999999999997E-2</v>
      </c>
      <c r="F128" s="121">
        <f t="shared" si="8"/>
        <v>0.11419999999999997</v>
      </c>
    </row>
    <row r="129" spans="1:6" ht="15.6" x14ac:dyDescent="0.3">
      <c r="A129" s="59" t="s">
        <v>193</v>
      </c>
      <c r="B129" s="121">
        <v>0.40110000000000001</v>
      </c>
      <c r="C129" s="121">
        <v>8.9999999999999998E-4</v>
      </c>
      <c r="D129" s="121">
        <v>0.29510000000000003</v>
      </c>
      <c r="E129" s="121">
        <v>0.29420000000000002</v>
      </c>
      <c r="F129" s="121">
        <f t="shared" si="8"/>
        <v>8.69999999999993E-3</v>
      </c>
    </row>
    <row r="130" spans="1:6" ht="16.2" thickBot="1" x14ac:dyDescent="0.35">
      <c r="A130" s="63" t="s">
        <v>194</v>
      </c>
      <c r="B130" s="148">
        <v>0.92530000000000001</v>
      </c>
      <c r="C130" s="148">
        <v>3.7000000000000002E-3</v>
      </c>
      <c r="D130" s="148">
        <v>1.6399999999999998E-2</v>
      </c>
      <c r="E130" s="148">
        <v>1.49E-2</v>
      </c>
      <c r="F130" s="148">
        <f t="shared" si="8"/>
        <v>3.9699999999999958E-2</v>
      </c>
    </row>
    <row r="133" spans="1:6" ht="15.6" x14ac:dyDescent="0.3">
      <c r="A133" s="198" t="s">
        <v>41</v>
      </c>
      <c r="B133" s="199"/>
      <c r="C133" s="199"/>
      <c r="D133" s="199"/>
      <c r="E133" s="199"/>
      <c r="F133" s="199"/>
    </row>
    <row r="134" spans="1:6" ht="15.6" x14ac:dyDescent="0.3">
      <c r="A134" s="56" t="s">
        <v>0</v>
      </c>
      <c r="B134" s="45" t="s">
        <v>205</v>
      </c>
      <c r="C134" s="45" t="s">
        <v>207</v>
      </c>
      <c r="D134" s="120" t="s">
        <v>209</v>
      </c>
      <c r="E134" s="74"/>
      <c r="F134" s="74"/>
    </row>
    <row r="135" spans="1:6" ht="15.6" x14ac:dyDescent="0.3">
      <c r="A135" s="59" t="s">
        <v>178</v>
      </c>
      <c r="B135" s="121">
        <v>0.99470000000000003</v>
      </c>
      <c r="C135" s="121">
        <v>5.3E-3</v>
      </c>
      <c r="D135" s="121">
        <f>1-B135-C135</f>
        <v>-2.8622937353617317E-17</v>
      </c>
      <c r="E135" s="121">
        <f>SUM(B135:D135)</f>
        <v>1</v>
      </c>
      <c r="F135" s="74"/>
    </row>
    <row r="136" spans="1:6" ht="18" x14ac:dyDescent="0.4">
      <c r="A136" s="59" t="s">
        <v>201</v>
      </c>
      <c r="B136" s="121">
        <v>0.27300000000000002</v>
      </c>
      <c r="C136" s="121">
        <v>0.42670000000000002</v>
      </c>
      <c r="D136" s="121">
        <f t="shared" ref="D136:D152" si="9">1-B136-C136</f>
        <v>0.30029999999999996</v>
      </c>
      <c r="E136" s="121">
        <f>SUM(B136:D136)</f>
        <v>1</v>
      </c>
      <c r="F136" s="74"/>
    </row>
    <row r="137" spans="1:6" ht="15.6" x14ac:dyDescent="0.3">
      <c r="A137" s="59" t="s">
        <v>179</v>
      </c>
      <c r="B137" s="121">
        <v>0.34920000000000001</v>
      </c>
      <c r="C137" s="121">
        <v>0.3337</v>
      </c>
      <c r="D137" s="121">
        <f t="shared" si="9"/>
        <v>0.31710000000000005</v>
      </c>
      <c r="E137" s="121">
        <f t="shared" ref="E137:E152" si="10">SUM(B137:D137)</f>
        <v>1</v>
      </c>
      <c r="F137" s="74"/>
    </row>
    <row r="138" spans="1:6" ht="15.6" x14ac:dyDescent="0.3">
      <c r="A138" s="59" t="s">
        <v>180</v>
      </c>
      <c r="B138" s="121">
        <v>0.1709</v>
      </c>
      <c r="C138" s="121">
        <v>0.40289999999999998</v>
      </c>
      <c r="D138" s="121">
        <f t="shared" si="9"/>
        <v>0.42619999999999997</v>
      </c>
      <c r="E138" s="121">
        <f t="shared" si="10"/>
        <v>1</v>
      </c>
      <c r="F138" s="74"/>
    </row>
    <row r="139" spans="1:6" ht="15.6" x14ac:dyDescent="0.3">
      <c r="A139" s="132" t="s">
        <v>181</v>
      </c>
      <c r="B139" s="136">
        <v>0.86639999999999995</v>
      </c>
      <c r="C139" s="136">
        <f t="shared" ref="C139:C152" si="11">1-B139</f>
        <v>0.13360000000000005</v>
      </c>
      <c r="D139" s="136">
        <f t="shared" si="9"/>
        <v>0</v>
      </c>
      <c r="E139" s="136">
        <f t="shared" si="10"/>
        <v>1</v>
      </c>
      <c r="F139" s="74"/>
    </row>
    <row r="140" spans="1:6" ht="15.6" x14ac:dyDescent="0.3">
      <c r="A140" s="132" t="s">
        <v>182</v>
      </c>
      <c r="B140" s="136">
        <v>0.45610000000000001</v>
      </c>
      <c r="C140" s="136">
        <f t="shared" si="11"/>
        <v>0.54390000000000005</v>
      </c>
      <c r="D140" s="136">
        <f t="shared" si="9"/>
        <v>0</v>
      </c>
      <c r="E140" s="136">
        <f t="shared" si="10"/>
        <v>1</v>
      </c>
      <c r="F140" s="74"/>
    </row>
    <row r="141" spans="1:6" ht="15.6" x14ac:dyDescent="0.3">
      <c r="A141" s="59" t="s">
        <v>183</v>
      </c>
      <c r="B141" s="121">
        <v>0.18029999999999999</v>
      </c>
      <c r="C141" s="121">
        <v>0.56720000000000004</v>
      </c>
      <c r="D141" s="121">
        <f t="shared" si="9"/>
        <v>0.25249999999999995</v>
      </c>
      <c r="E141" s="121">
        <f t="shared" si="10"/>
        <v>1</v>
      </c>
      <c r="F141" s="74"/>
    </row>
    <row r="142" spans="1:6" ht="15.6" x14ac:dyDescent="0.3">
      <c r="A142" s="132" t="s">
        <v>184</v>
      </c>
      <c r="B142" s="136">
        <v>0.61080000000000001</v>
      </c>
      <c r="C142" s="136">
        <f t="shared" si="11"/>
        <v>0.38919999999999999</v>
      </c>
      <c r="D142" s="136">
        <f t="shared" si="9"/>
        <v>0</v>
      </c>
      <c r="E142" s="136">
        <f t="shared" si="10"/>
        <v>1</v>
      </c>
      <c r="F142" s="74"/>
    </row>
    <row r="143" spans="1:6" ht="15.6" x14ac:dyDescent="0.3">
      <c r="A143" s="59" t="s">
        <v>185</v>
      </c>
      <c r="B143" s="121">
        <v>0.51659999999999995</v>
      </c>
      <c r="C143" s="121">
        <v>0.186</v>
      </c>
      <c r="D143" s="121">
        <f t="shared" si="9"/>
        <v>0.29740000000000005</v>
      </c>
      <c r="E143" s="121">
        <f t="shared" si="10"/>
        <v>1</v>
      </c>
      <c r="F143" s="74"/>
    </row>
    <row r="144" spans="1:6" ht="15.6" x14ac:dyDescent="0.3">
      <c r="A144" s="132" t="s">
        <v>186</v>
      </c>
      <c r="B144" s="136">
        <v>0.65620000000000001</v>
      </c>
      <c r="C144" s="136">
        <f t="shared" si="11"/>
        <v>0.34379999999999999</v>
      </c>
      <c r="D144" s="136">
        <f t="shared" si="9"/>
        <v>0</v>
      </c>
      <c r="E144" s="136">
        <f t="shared" si="10"/>
        <v>1</v>
      </c>
      <c r="F144" s="74"/>
    </row>
    <row r="145" spans="1:6" ht="15.6" x14ac:dyDescent="0.3">
      <c r="A145" s="59" t="s">
        <v>187</v>
      </c>
      <c r="B145" s="121">
        <v>0.53569999999999995</v>
      </c>
      <c r="C145" s="121">
        <v>0.43030000000000002</v>
      </c>
      <c r="D145" s="121">
        <f t="shared" si="9"/>
        <v>3.400000000000003E-2</v>
      </c>
      <c r="E145" s="121">
        <f t="shared" si="10"/>
        <v>1</v>
      </c>
      <c r="F145" s="74"/>
    </row>
    <row r="146" spans="1:6" ht="15.6" x14ac:dyDescent="0.3">
      <c r="A146" s="59" t="s">
        <v>188</v>
      </c>
      <c r="B146" s="121">
        <v>0.4118</v>
      </c>
      <c r="C146" s="121">
        <v>0.38190000000000002</v>
      </c>
      <c r="D146" s="121">
        <f t="shared" si="9"/>
        <v>0.20630000000000004</v>
      </c>
      <c r="E146" s="121">
        <f t="shared" si="10"/>
        <v>1</v>
      </c>
      <c r="F146" s="74"/>
    </row>
    <row r="147" spans="1:6" ht="15.6" x14ac:dyDescent="0.3">
      <c r="A147" s="59" t="s">
        <v>189</v>
      </c>
      <c r="B147" s="121">
        <v>0.59419999999999995</v>
      </c>
      <c r="C147" s="121">
        <f t="shared" si="11"/>
        <v>0.40580000000000005</v>
      </c>
      <c r="D147" s="121">
        <f t="shared" si="9"/>
        <v>0</v>
      </c>
      <c r="E147" s="121">
        <f t="shared" si="10"/>
        <v>1</v>
      </c>
      <c r="F147" s="74"/>
    </row>
    <row r="148" spans="1:6" ht="15.6" x14ac:dyDescent="0.3">
      <c r="A148" s="59" t="s">
        <v>190</v>
      </c>
      <c r="B148" s="121">
        <v>0.59660000000000002</v>
      </c>
      <c r="C148" s="121">
        <f t="shared" si="11"/>
        <v>0.40339999999999998</v>
      </c>
      <c r="D148" s="121">
        <f t="shared" si="9"/>
        <v>0</v>
      </c>
      <c r="E148" s="121">
        <f t="shared" si="10"/>
        <v>1</v>
      </c>
      <c r="F148" s="74"/>
    </row>
    <row r="149" spans="1:6" ht="15.6" x14ac:dyDescent="0.3">
      <c r="A149" s="59" t="s">
        <v>191</v>
      </c>
      <c r="B149" s="121">
        <v>0.73619999999999997</v>
      </c>
      <c r="C149" s="121">
        <f t="shared" si="11"/>
        <v>0.26380000000000003</v>
      </c>
      <c r="D149" s="121">
        <f t="shared" si="9"/>
        <v>0</v>
      </c>
      <c r="E149" s="121">
        <f t="shared" si="10"/>
        <v>1</v>
      </c>
      <c r="F149" s="74"/>
    </row>
    <row r="150" spans="1:6" ht="15.6" x14ac:dyDescent="0.3">
      <c r="A150" s="59" t="s">
        <v>192</v>
      </c>
      <c r="B150" s="121">
        <v>0.87760000000000005</v>
      </c>
      <c r="C150" s="121">
        <f t="shared" si="11"/>
        <v>0.12239999999999995</v>
      </c>
      <c r="D150" s="121">
        <f t="shared" si="9"/>
        <v>0</v>
      </c>
      <c r="E150" s="121">
        <f t="shared" si="10"/>
        <v>1</v>
      </c>
      <c r="F150" s="74"/>
    </row>
    <row r="151" spans="1:6" ht="15.6" x14ac:dyDescent="0.3">
      <c r="A151" s="59" t="s">
        <v>193</v>
      </c>
      <c r="B151" s="121">
        <v>0.54349999999999998</v>
      </c>
      <c r="C151" s="121">
        <f t="shared" si="11"/>
        <v>0.45650000000000002</v>
      </c>
      <c r="D151" s="121">
        <f t="shared" si="9"/>
        <v>0</v>
      </c>
      <c r="E151" s="121">
        <f t="shared" si="10"/>
        <v>1</v>
      </c>
      <c r="F151" s="74"/>
    </row>
    <row r="152" spans="1:6" ht="16.2" thickBot="1" x14ac:dyDescent="0.35">
      <c r="A152" s="63" t="s">
        <v>194</v>
      </c>
      <c r="B152" s="148">
        <v>0.77349999999999997</v>
      </c>
      <c r="C152" s="148">
        <f t="shared" si="11"/>
        <v>0.22650000000000003</v>
      </c>
      <c r="D152" s="121">
        <f t="shared" si="9"/>
        <v>0</v>
      </c>
      <c r="E152" s="121">
        <f t="shared" si="10"/>
        <v>1</v>
      </c>
      <c r="F152" s="88"/>
    </row>
  </sheetData>
  <mergeCells count="7">
    <mergeCell ref="A111:F111"/>
    <mergeCell ref="A133:F133"/>
    <mergeCell ref="A66:F66"/>
    <mergeCell ref="A88:E88"/>
    <mergeCell ref="A1:F1"/>
    <mergeCell ref="A22:F22"/>
    <mergeCell ref="A44:F4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7157-483B-45C2-8336-F3360B033557}">
  <dimension ref="A1:O12"/>
  <sheetViews>
    <sheetView workbookViewId="0">
      <selection activeCell="G10" sqref="G10:I12"/>
    </sheetView>
  </sheetViews>
  <sheetFormatPr defaultRowHeight="14.4" x14ac:dyDescent="0.3"/>
  <cols>
    <col min="1" max="1" width="26.6640625" bestFit="1" customWidth="1"/>
    <col min="2" max="2" width="14.6640625" bestFit="1" customWidth="1"/>
    <col min="3" max="3" width="12" bestFit="1" customWidth="1"/>
    <col min="4" max="4" width="26.6640625" bestFit="1" customWidth="1"/>
    <col min="5" max="5" width="14.6640625" bestFit="1" customWidth="1"/>
    <col min="7" max="7" width="26.6640625" bestFit="1" customWidth="1"/>
    <col min="8" max="8" width="14.6640625" bestFit="1" customWidth="1"/>
    <col min="10" max="10" width="26.6640625" bestFit="1" customWidth="1"/>
    <col min="11" max="11" width="14.6640625" bestFit="1" customWidth="1"/>
    <col min="12" max="12" width="12" bestFit="1" customWidth="1"/>
    <col min="13" max="13" width="26.6640625" bestFit="1" customWidth="1"/>
    <col min="14" max="14" width="14.6640625" bestFit="1" customWidth="1"/>
  </cols>
  <sheetData>
    <row r="1" spans="1:15" ht="16.2" thickBot="1" x14ac:dyDescent="0.35">
      <c r="A1" s="192" t="s">
        <v>36</v>
      </c>
      <c r="B1" s="193"/>
      <c r="C1" s="194"/>
      <c r="D1" s="192" t="s">
        <v>37</v>
      </c>
      <c r="E1" s="193"/>
      <c r="F1" s="194"/>
      <c r="G1" s="189" t="s">
        <v>35</v>
      </c>
      <c r="H1" s="190"/>
      <c r="I1" s="191"/>
      <c r="J1" s="183" t="s">
        <v>38</v>
      </c>
      <c r="K1" s="184"/>
      <c r="L1" s="185"/>
      <c r="M1" s="186" t="s">
        <v>39</v>
      </c>
      <c r="N1" s="187"/>
      <c r="O1" s="188"/>
    </row>
    <row r="2" spans="1:15" ht="15.6" x14ac:dyDescent="0.3">
      <c r="A2" s="27" t="s">
        <v>0</v>
      </c>
      <c r="B2" s="28" t="s">
        <v>1</v>
      </c>
      <c r="C2" s="28" t="s">
        <v>2</v>
      </c>
      <c r="D2" s="28" t="s">
        <v>0</v>
      </c>
      <c r="E2" s="28" t="s">
        <v>1</v>
      </c>
      <c r="F2" s="28" t="s">
        <v>2</v>
      </c>
      <c r="G2" s="28" t="s">
        <v>0</v>
      </c>
      <c r="H2" s="28" t="s">
        <v>1</v>
      </c>
      <c r="I2" s="28" t="s">
        <v>2</v>
      </c>
      <c r="J2" s="28" t="s">
        <v>0</v>
      </c>
      <c r="K2" s="28" t="s">
        <v>1</v>
      </c>
      <c r="L2" s="28" t="s">
        <v>2</v>
      </c>
      <c r="M2" s="28" t="s">
        <v>0</v>
      </c>
      <c r="N2" s="28" t="s">
        <v>1</v>
      </c>
      <c r="O2" s="29" t="s">
        <v>2</v>
      </c>
    </row>
    <row r="3" spans="1:15" ht="15.6" x14ac:dyDescent="0.3">
      <c r="A3" s="2" t="s">
        <v>46</v>
      </c>
      <c r="B3" s="3" t="s">
        <v>43</v>
      </c>
      <c r="C3" s="35">
        <f>0.0238261686112878*1000</f>
        <v>23.826168611287798</v>
      </c>
      <c r="D3" s="3" t="s">
        <v>46</v>
      </c>
      <c r="E3" s="3" t="s">
        <v>43</v>
      </c>
      <c r="F3" s="35">
        <f>0.0567226795287126*1000</f>
        <v>56.722679528712597</v>
      </c>
      <c r="G3" s="3" t="s">
        <v>46</v>
      </c>
      <c r="H3" s="3" t="s">
        <v>43</v>
      </c>
      <c r="I3" s="35">
        <f>0.0265375299322887*1000</f>
        <v>26.537529932288699</v>
      </c>
      <c r="J3" s="3" t="s">
        <v>46</v>
      </c>
      <c r="K3" s="3" t="s">
        <v>43</v>
      </c>
      <c r="L3" s="35">
        <f>0.0318309644774891*1000</f>
        <v>31.830964477489101</v>
      </c>
      <c r="M3" s="3" t="s">
        <v>46</v>
      </c>
      <c r="N3" s="3" t="s">
        <v>43</v>
      </c>
      <c r="O3" s="36">
        <f>0.0464667150682018*1000</f>
        <v>46.4667150682018</v>
      </c>
    </row>
    <row r="4" spans="1:15" ht="15.6" x14ac:dyDescent="0.3">
      <c r="A4" s="48" t="s">
        <v>47</v>
      </c>
      <c r="B4" s="45" t="s">
        <v>43</v>
      </c>
      <c r="C4" s="46">
        <f>0.0246271646951187*1000</f>
        <v>24.627164695118697</v>
      </c>
      <c r="D4" s="45" t="s">
        <v>47</v>
      </c>
      <c r="E4" s="45" t="s">
        <v>43</v>
      </c>
      <c r="F4" s="46">
        <f>0.066897831886165*1000</f>
        <v>66.897831886164994</v>
      </c>
      <c r="G4" s="45" t="s">
        <v>47</v>
      </c>
      <c r="H4" s="45" t="s">
        <v>43</v>
      </c>
      <c r="I4" s="46">
        <f>0.0288184576676279*1000</f>
        <v>28.8184576676279</v>
      </c>
      <c r="J4" s="45" t="s">
        <v>47</v>
      </c>
      <c r="K4" s="45" t="s">
        <v>43</v>
      </c>
      <c r="L4" s="46">
        <f>0.0823553885793793*1000</f>
        <v>82.355388579379294</v>
      </c>
      <c r="M4" s="45" t="s">
        <v>47</v>
      </c>
      <c r="N4" s="45" t="s">
        <v>43</v>
      </c>
      <c r="O4" s="47">
        <f>0.0435950681547704*1000</f>
        <v>43.595068154770395</v>
      </c>
    </row>
    <row r="5" spans="1:15" ht="16.2" thickBot="1" x14ac:dyDescent="0.35">
      <c r="A5" s="4" t="s">
        <v>48</v>
      </c>
      <c r="B5" s="5" t="s">
        <v>43</v>
      </c>
      <c r="C5" s="37">
        <f>0.024199815931583*1000</f>
        <v>24.199815931583</v>
      </c>
      <c r="D5" s="5" t="s">
        <v>48</v>
      </c>
      <c r="E5" s="5" t="s">
        <v>43</v>
      </c>
      <c r="F5" s="37">
        <f>0.0466884987585576*1000</f>
        <v>46.6884987585576</v>
      </c>
      <c r="G5" s="38" t="s">
        <v>48</v>
      </c>
      <c r="H5" s="5" t="s">
        <v>43</v>
      </c>
      <c r="I5" s="37">
        <f>0.0224956321883132*1000</f>
        <v>22.495632188313198</v>
      </c>
      <c r="J5" s="5" t="s">
        <v>48</v>
      </c>
      <c r="K5" s="5" t="s">
        <v>43</v>
      </c>
      <c r="L5" s="37">
        <f>0.0129185862217969*1000</f>
        <v>12.9185862217969</v>
      </c>
      <c r="M5" s="5" t="s">
        <v>48</v>
      </c>
      <c r="N5" s="5" t="s">
        <v>43</v>
      </c>
      <c r="O5" s="39">
        <f>0.0464392328920638*1000</f>
        <v>46.439232892063799</v>
      </c>
    </row>
    <row r="7" spans="1:15" ht="15" thickBot="1" x14ac:dyDescent="0.35"/>
    <row r="8" spans="1:15" ht="16.2" thickBot="1" x14ac:dyDescent="0.35">
      <c r="A8" s="192" t="s">
        <v>54</v>
      </c>
      <c r="B8" s="193"/>
      <c r="C8" s="194"/>
      <c r="D8" s="189" t="s">
        <v>55</v>
      </c>
      <c r="E8" s="190"/>
      <c r="F8" s="191"/>
      <c r="G8" s="183" t="s">
        <v>42</v>
      </c>
      <c r="H8" s="184"/>
      <c r="I8" s="185"/>
    </row>
    <row r="9" spans="1:15" ht="15.6" x14ac:dyDescent="0.3">
      <c r="A9" s="24" t="s">
        <v>0</v>
      </c>
      <c r="B9" s="25" t="s">
        <v>1</v>
      </c>
      <c r="C9" s="25" t="s">
        <v>2</v>
      </c>
      <c r="D9" s="25" t="s">
        <v>0</v>
      </c>
      <c r="E9" s="25" t="s">
        <v>1</v>
      </c>
      <c r="F9" s="25" t="s">
        <v>2</v>
      </c>
      <c r="G9" s="25" t="s">
        <v>0</v>
      </c>
      <c r="H9" s="25" t="s">
        <v>1</v>
      </c>
      <c r="I9" s="26" t="s">
        <v>2</v>
      </c>
    </row>
    <row r="10" spans="1:15" ht="15.6" x14ac:dyDescent="0.3">
      <c r="A10" s="2" t="s">
        <v>46</v>
      </c>
      <c r="B10" s="3" t="s">
        <v>43</v>
      </c>
      <c r="C10" s="41">
        <f>0.0183920462966437*1000</f>
        <v>18.392046296643702</v>
      </c>
      <c r="D10" s="3" t="s">
        <v>46</v>
      </c>
      <c r="E10" s="3" t="s">
        <v>43</v>
      </c>
      <c r="F10" s="41">
        <f>0.0279886599815938*1000</f>
        <v>27.988659981593798</v>
      </c>
      <c r="G10" s="3" t="s">
        <v>46</v>
      </c>
      <c r="H10" s="3" t="s">
        <v>43</v>
      </c>
      <c r="I10" s="42">
        <f>0.0137801216683835*1000</f>
        <v>13.780121668383501</v>
      </c>
    </row>
    <row r="11" spans="1:15" ht="15.6" x14ac:dyDescent="0.3">
      <c r="A11" s="48" t="s">
        <v>47</v>
      </c>
      <c r="B11" s="45" t="s">
        <v>43</v>
      </c>
      <c r="C11" s="49">
        <f>0.0212107933313921*1000</f>
        <v>21.2107933313921</v>
      </c>
      <c r="D11" s="45" t="s">
        <v>47</v>
      </c>
      <c r="E11" s="45" t="s">
        <v>43</v>
      </c>
      <c r="F11" s="49">
        <f>0.0319374597413986*1000</f>
        <v>31.937459741398598</v>
      </c>
      <c r="G11" s="45" t="s">
        <v>47</v>
      </c>
      <c r="H11" s="45" t="s">
        <v>43</v>
      </c>
      <c r="I11" s="50">
        <f>0.0158571081361335*1000</f>
        <v>15.857108136133499</v>
      </c>
    </row>
    <row r="12" spans="1:15" ht="16.2" thickBot="1" x14ac:dyDescent="0.35">
      <c r="A12" s="4" t="s">
        <v>48</v>
      </c>
      <c r="B12" s="5" t="s">
        <v>43</v>
      </c>
      <c r="C12" s="43">
        <f>0.0172894611070245*1000</f>
        <v>17.289461107024501</v>
      </c>
      <c r="D12" s="5" t="s">
        <v>48</v>
      </c>
      <c r="E12" s="5" t="s">
        <v>43</v>
      </c>
      <c r="F12" s="43">
        <f>0.026367397277486*1000</f>
        <v>26.367397277485999</v>
      </c>
      <c r="G12" s="5" t="s">
        <v>48</v>
      </c>
      <c r="H12" s="5" t="s">
        <v>43</v>
      </c>
      <c r="I12" s="44">
        <f>0.0128968141479346*1000</f>
        <v>12.896814147934601</v>
      </c>
    </row>
  </sheetData>
  <mergeCells count="8">
    <mergeCell ref="J1:L1"/>
    <mergeCell ref="M1:O1"/>
    <mergeCell ref="A8:C8"/>
    <mergeCell ref="D8:F8"/>
    <mergeCell ref="G8:I8"/>
    <mergeCell ref="A1:C1"/>
    <mergeCell ref="D1:F1"/>
    <mergeCell ref="G1:I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8E2B-2084-4C71-828A-CB7D5967121E}">
  <dimension ref="A1:O108"/>
  <sheetViews>
    <sheetView topLeftCell="B55" workbookViewId="0">
      <selection activeCell="G61" sqref="G61:I63"/>
    </sheetView>
  </sheetViews>
  <sheetFormatPr defaultRowHeight="14.4" x14ac:dyDescent="0.3"/>
  <cols>
    <col min="1" max="1" width="48.88671875" bestFit="1" customWidth="1"/>
    <col min="2" max="2" width="16.6640625" bestFit="1" customWidth="1"/>
    <col min="3" max="3" width="12.6640625" bestFit="1" customWidth="1"/>
    <col min="4" max="4" width="56" bestFit="1" customWidth="1"/>
    <col min="5" max="5" width="16.6640625" bestFit="1" customWidth="1"/>
    <col min="6" max="6" width="12" bestFit="1" customWidth="1"/>
    <col min="7" max="7" width="56" bestFit="1" customWidth="1"/>
    <col min="8" max="8" width="16.6640625" bestFit="1" customWidth="1"/>
    <col min="9" max="9" width="13.33203125" bestFit="1" customWidth="1"/>
    <col min="10" max="10" width="56" bestFit="1" customWidth="1"/>
    <col min="11" max="11" width="16.6640625" bestFit="1" customWidth="1"/>
    <col min="12" max="12" width="14" bestFit="1" customWidth="1"/>
    <col min="13" max="13" width="56" bestFit="1" customWidth="1"/>
    <col min="14" max="14" width="16.6640625" bestFit="1" customWidth="1"/>
    <col min="15" max="15" width="14" bestFit="1" customWidth="1"/>
  </cols>
  <sheetData>
    <row r="1" spans="1:15" ht="16.2" thickBot="1" x14ac:dyDescent="0.35">
      <c r="A1" s="192" t="s">
        <v>36</v>
      </c>
      <c r="B1" s="193"/>
      <c r="C1" s="194"/>
      <c r="D1" s="192" t="s">
        <v>37</v>
      </c>
      <c r="E1" s="193"/>
      <c r="F1" s="194"/>
      <c r="G1" s="189" t="s">
        <v>35</v>
      </c>
      <c r="H1" s="190"/>
      <c r="I1" s="191"/>
      <c r="J1" s="183" t="s">
        <v>38</v>
      </c>
      <c r="K1" s="184"/>
      <c r="L1" s="185"/>
      <c r="M1" s="186" t="s">
        <v>39</v>
      </c>
      <c r="N1" s="187"/>
      <c r="O1" s="188"/>
    </row>
    <row r="2" spans="1:15" ht="15.6" x14ac:dyDescent="0.3">
      <c r="A2" s="24" t="s">
        <v>0</v>
      </c>
      <c r="B2" s="25" t="s">
        <v>1</v>
      </c>
      <c r="C2" s="25" t="s">
        <v>2</v>
      </c>
      <c r="D2" s="25" t="s">
        <v>0</v>
      </c>
      <c r="E2" s="25" t="s">
        <v>1</v>
      </c>
      <c r="F2" s="26" t="s">
        <v>2</v>
      </c>
      <c r="G2" s="24" t="s">
        <v>0</v>
      </c>
      <c r="H2" s="25" t="s">
        <v>1</v>
      </c>
      <c r="I2" s="26" t="s">
        <v>2</v>
      </c>
      <c r="J2" s="24" t="s">
        <v>0</v>
      </c>
      <c r="K2" s="25" t="s">
        <v>1</v>
      </c>
      <c r="L2" s="26" t="s">
        <v>2</v>
      </c>
      <c r="M2" s="24" t="s">
        <v>0</v>
      </c>
      <c r="N2" s="25" t="s">
        <v>1</v>
      </c>
      <c r="O2" s="26" t="s">
        <v>2</v>
      </c>
    </row>
    <row r="3" spans="1:15" ht="15.6" x14ac:dyDescent="0.3">
      <c r="A3" s="2" t="s">
        <v>56</v>
      </c>
      <c r="B3" s="3" t="s">
        <v>30</v>
      </c>
      <c r="C3" s="51">
        <v>6.2809184220985503E-4</v>
      </c>
      <c r="D3" s="3" t="s">
        <v>56</v>
      </c>
      <c r="E3" s="3" t="s">
        <v>30</v>
      </c>
      <c r="F3" s="16">
        <v>3.1521239584433657E-4</v>
      </c>
      <c r="G3" s="2" t="s">
        <v>56</v>
      </c>
      <c r="H3" s="3" t="s">
        <v>30</v>
      </c>
      <c r="I3" s="16">
        <v>1.197239106285791E-2</v>
      </c>
      <c r="J3" s="2" t="s">
        <v>56</v>
      </c>
      <c r="K3" s="3" t="s">
        <v>30</v>
      </c>
      <c r="L3" s="16">
        <v>5.2749715979427125E-2</v>
      </c>
      <c r="M3" s="2" t="s">
        <v>56</v>
      </c>
      <c r="N3" s="3" t="s">
        <v>30</v>
      </c>
      <c r="O3" s="16">
        <v>6.9343087915994448E-4</v>
      </c>
    </row>
    <row r="4" spans="1:15" ht="15.6" x14ac:dyDescent="0.3">
      <c r="A4" s="2" t="s">
        <v>57</v>
      </c>
      <c r="B4" s="3" t="s">
        <v>30</v>
      </c>
      <c r="C4" s="51">
        <v>7.8056321910602582E-4</v>
      </c>
      <c r="D4" s="3" t="s">
        <v>57</v>
      </c>
      <c r="E4" s="3" t="s">
        <v>30</v>
      </c>
      <c r="F4" s="16">
        <v>3.4609211654509545E-4</v>
      </c>
      <c r="G4" s="2" t="s">
        <v>57</v>
      </c>
      <c r="H4" s="3" t="s">
        <v>30</v>
      </c>
      <c r="I4" s="16">
        <v>1.669751613175538E-2</v>
      </c>
      <c r="J4" s="2" t="s">
        <v>57</v>
      </c>
      <c r="K4" s="3" t="s">
        <v>30</v>
      </c>
      <c r="L4" s="16">
        <v>7.2441923947194689E-2</v>
      </c>
      <c r="M4" s="2" t="s">
        <v>57</v>
      </c>
      <c r="N4" s="3" t="s">
        <v>30</v>
      </c>
      <c r="O4" s="16">
        <v>9.9407432529801027E-4</v>
      </c>
    </row>
    <row r="5" spans="1:15" ht="15.6" x14ac:dyDescent="0.3">
      <c r="A5" s="10" t="s">
        <v>46</v>
      </c>
      <c r="B5" s="11" t="s">
        <v>43</v>
      </c>
      <c r="C5" s="52">
        <f>0.0209066076775414*1000</f>
        <v>20.906607677541398</v>
      </c>
      <c r="D5" s="11" t="s">
        <v>46</v>
      </c>
      <c r="E5" s="11" t="s">
        <v>43</v>
      </c>
      <c r="F5" s="30">
        <f>0.0536331736551972*1000</f>
        <v>53.633173655197204</v>
      </c>
      <c r="G5" s="8" t="s">
        <v>46</v>
      </c>
      <c r="H5" s="9" t="s">
        <v>43</v>
      </c>
      <c r="I5" s="33">
        <f>0.0281582202242685*1000</f>
        <v>28.158220224268501</v>
      </c>
      <c r="J5" s="6" t="s">
        <v>46</v>
      </c>
      <c r="K5" s="7" t="s">
        <v>43</v>
      </c>
      <c r="L5" s="31">
        <f>0.0372936016999238*1000</f>
        <v>37.293601699923805</v>
      </c>
      <c r="M5" s="19" t="s">
        <v>46</v>
      </c>
      <c r="N5" s="20" t="s">
        <v>43</v>
      </c>
      <c r="O5" s="32">
        <f>0.0275202200268342*1000</f>
        <v>27.520220026834199</v>
      </c>
    </row>
    <row r="6" spans="1:15" ht="15.6" x14ac:dyDescent="0.3">
      <c r="A6" s="10" t="s">
        <v>47</v>
      </c>
      <c r="B6" s="11" t="s">
        <v>43</v>
      </c>
      <c r="C6" s="52">
        <f>0.0217381069846596*1000</f>
        <v>21.738106984659602</v>
      </c>
      <c r="D6" s="11" t="s">
        <v>47</v>
      </c>
      <c r="E6" s="11" t="s">
        <v>43</v>
      </c>
      <c r="F6" s="30">
        <f>0.0577574486749448*1000</f>
        <v>57.757448674944797</v>
      </c>
      <c r="G6" s="8" t="s">
        <v>47</v>
      </c>
      <c r="H6" s="9" t="s">
        <v>43</v>
      </c>
      <c r="I6" s="33">
        <f>0.0304213437055685*1000</f>
        <v>30.4213437055685</v>
      </c>
      <c r="J6" s="6" t="s">
        <v>47</v>
      </c>
      <c r="K6" s="7" t="s">
        <v>43</v>
      </c>
      <c r="L6" s="31">
        <f>0.0878411324113301*1000</f>
        <v>87.841132411330094</v>
      </c>
      <c r="M6" s="19" t="s">
        <v>47</v>
      </c>
      <c r="N6" s="20" t="s">
        <v>43</v>
      </c>
      <c r="O6" s="32">
        <f>0.0248620468640249*1000</f>
        <v>24.862046864024897</v>
      </c>
    </row>
    <row r="7" spans="1:15" ht="15.6" x14ac:dyDescent="0.3">
      <c r="A7" s="10" t="s">
        <v>48</v>
      </c>
      <c r="B7" s="11" t="s">
        <v>43</v>
      </c>
      <c r="C7" s="52">
        <f>0.0212678561470679*1000</f>
        <v>21.267856147067903</v>
      </c>
      <c r="D7" s="11" t="s">
        <v>48</v>
      </c>
      <c r="E7" s="11" t="s">
        <v>43</v>
      </c>
      <c r="F7" s="30">
        <f>0.0458382271690562*1000</f>
        <v>45.838227169056204</v>
      </c>
      <c r="G7" s="8" t="s">
        <v>48</v>
      </c>
      <c r="H7" s="9" t="s">
        <v>43</v>
      </c>
      <c r="I7" s="33">
        <f>0.0241219386159649*1000</f>
        <v>24.121938615964901</v>
      </c>
      <c r="J7" s="6" t="s">
        <v>48</v>
      </c>
      <c r="K7" s="7" t="s">
        <v>43</v>
      </c>
      <c r="L7" s="31">
        <f>0.0183718503078423*1000</f>
        <v>18.371850307842298</v>
      </c>
      <c r="M7" s="19" t="s">
        <v>48</v>
      </c>
      <c r="N7" s="20" t="s">
        <v>43</v>
      </c>
      <c r="O7" s="32">
        <f>0.0274089101885476*1000</f>
        <v>27.408910188547598</v>
      </c>
    </row>
    <row r="8" spans="1:15" ht="15.6" x14ac:dyDescent="0.3">
      <c r="A8" s="2" t="s">
        <v>58</v>
      </c>
      <c r="B8" s="3" t="s">
        <v>6</v>
      </c>
      <c r="C8" s="51">
        <v>2.0642533993937919E-2</v>
      </c>
      <c r="D8" s="3" t="s">
        <v>58</v>
      </c>
      <c r="E8" s="3" t="s">
        <v>6</v>
      </c>
      <c r="F8" s="16">
        <v>5.3859767003578231E-2</v>
      </c>
      <c r="G8" s="2" t="s">
        <v>58</v>
      </c>
      <c r="H8" s="3" t="s">
        <v>6</v>
      </c>
      <c r="I8" s="16">
        <v>0.14615013660636553</v>
      </c>
      <c r="J8" s="2" t="s">
        <v>58</v>
      </c>
      <c r="K8" s="3" t="s">
        <v>6</v>
      </c>
      <c r="L8" s="16">
        <v>0.51152409586014291</v>
      </c>
      <c r="M8" s="2" t="s">
        <v>58</v>
      </c>
      <c r="N8" s="3" t="s">
        <v>6</v>
      </c>
      <c r="O8" s="16">
        <v>3.8896870988440344E-2</v>
      </c>
    </row>
    <row r="9" spans="1:15" ht="15.6" x14ac:dyDescent="0.3">
      <c r="A9" s="2" t="s">
        <v>59</v>
      </c>
      <c r="B9" s="3" t="s">
        <v>6</v>
      </c>
      <c r="C9" s="51">
        <v>3.6744790697290447E-2</v>
      </c>
      <c r="D9" s="3" t="s">
        <v>59</v>
      </c>
      <c r="E9" s="3" t="s">
        <v>6</v>
      </c>
      <c r="F9" s="16">
        <v>5.3993601314212984E-2</v>
      </c>
      <c r="G9" s="2" t="s">
        <v>59</v>
      </c>
      <c r="H9" s="3" t="s">
        <v>6</v>
      </c>
      <c r="I9" s="16">
        <v>0.1462255517407054</v>
      </c>
      <c r="J9" s="2" t="s">
        <v>59</v>
      </c>
      <c r="K9" s="3" t="s">
        <v>6</v>
      </c>
      <c r="L9" s="16">
        <v>0.5242458937033786</v>
      </c>
      <c r="M9" s="2" t="s">
        <v>59</v>
      </c>
      <c r="N9" s="3" t="s">
        <v>6</v>
      </c>
      <c r="O9" s="16">
        <v>3.9269083933095819E-2</v>
      </c>
    </row>
    <row r="10" spans="1:15" ht="15.6" x14ac:dyDescent="0.3">
      <c r="A10" s="2" t="s">
        <v>60</v>
      </c>
      <c r="B10" s="3" t="s">
        <v>61</v>
      </c>
      <c r="C10" s="51">
        <v>1.1112727895929999E-3</v>
      </c>
      <c r="D10" s="3" t="s">
        <v>60</v>
      </c>
      <c r="E10" s="3" t="s">
        <v>61</v>
      </c>
      <c r="F10" s="16">
        <v>5.1563805865948017E-4</v>
      </c>
      <c r="G10" s="2" t="s">
        <v>60</v>
      </c>
      <c r="H10" s="3" t="s">
        <v>61</v>
      </c>
      <c r="I10" s="16">
        <v>2.8528753784231413E-2</v>
      </c>
      <c r="J10" s="2" t="s">
        <v>60</v>
      </c>
      <c r="K10" s="3" t="s">
        <v>61</v>
      </c>
      <c r="L10" s="16">
        <v>0.1252902050411267</v>
      </c>
      <c r="M10" s="2" t="s">
        <v>60</v>
      </c>
      <c r="N10" s="3" t="s">
        <v>61</v>
      </c>
      <c r="O10" s="16">
        <v>8.6379840676454201E-4</v>
      </c>
    </row>
    <row r="11" spans="1:15" ht="15.6" x14ac:dyDescent="0.3">
      <c r="A11" s="2" t="s">
        <v>62</v>
      </c>
      <c r="B11" s="3" t="s">
        <v>63</v>
      </c>
      <c r="C11" s="51">
        <v>3.8295482287860132E-4</v>
      </c>
      <c r="D11" s="3" t="s">
        <v>62</v>
      </c>
      <c r="E11" s="3" t="s">
        <v>63</v>
      </c>
      <c r="F11" s="16">
        <v>1.5434027544468653E-4</v>
      </c>
      <c r="G11" s="2" t="s">
        <v>62</v>
      </c>
      <c r="H11" s="3" t="s">
        <v>63</v>
      </c>
      <c r="I11" s="16">
        <v>3.174432402178089E-3</v>
      </c>
      <c r="J11" s="2" t="s">
        <v>62</v>
      </c>
      <c r="K11" s="3" t="s">
        <v>63</v>
      </c>
      <c r="L11" s="16">
        <v>1.4280814717331395E-2</v>
      </c>
      <c r="M11" s="2" t="s">
        <v>62</v>
      </c>
      <c r="N11" s="3" t="s">
        <v>63</v>
      </c>
      <c r="O11" s="16">
        <v>1.2105530449698825E-4</v>
      </c>
    </row>
    <row r="12" spans="1:15" ht="15.6" x14ac:dyDescent="0.3">
      <c r="A12" s="2" t="s">
        <v>64</v>
      </c>
      <c r="B12" s="3" t="s">
        <v>10</v>
      </c>
      <c r="C12" s="51">
        <v>8.1140822062957408E-3</v>
      </c>
      <c r="D12" s="3" t="s">
        <v>64</v>
      </c>
      <c r="E12" s="3" t="s">
        <v>10</v>
      </c>
      <c r="F12" s="16">
        <v>1.0678747268599945E-2</v>
      </c>
      <c r="G12" s="2" t="s">
        <v>64</v>
      </c>
      <c r="H12" s="3" t="s">
        <v>10</v>
      </c>
      <c r="I12" s="16">
        <v>1.6049447013115638E-2</v>
      </c>
      <c r="J12" s="2" t="s">
        <v>64</v>
      </c>
      <c r="K12" s="3" t="s">
        <v>10</v>
      </c>
      <c r="L12" s="16">
        <v>-0.22055637791810603</v>
      </c>
      <c r="M12" s="2" t="s">
        <v>64</v>
      </c>
      <c r="N12" s="3" t="s">
        <v>10</v>
      </c>
      <c r="O12" s="16">
        <v>3.057402004528316E-2</v>
      </c>
    </row>
    <row r="13" spans="1:15" ht="15.6" x14ac:dyDescent="0.3">
      <c r="A13" s="2" t="s">
        <v>65</v>
      </c>
      <c r="B13" s="3" t="s">
        <v>10</v>
      </c>
      <c r="C13" s="51">
        <v>7.5108268556797536E-3</v>
      </c>
      <c r="D13" s="3" t="s">
        <v>65</v>
      </c>
      <c r="E13" s="3" t="s">
        <v>10</v>
      </c>
      <c r="F13" s="16">
        <v>1.005141364350211E-2</v>
      </c>
      <c r="G13" s="2" t="s">
        <v>65</v>
      </c>
      <c r="H13" s="3" t="s">
        <v>10</v>
      </c>
      <c r="I13" s="16">
        <v>1.4922811663204014E-2</v>
      </c>
      <c r="J13" s="2" t="s">
        <v>65</v>
      </c>
      <c r="K13" s="3" t="s">
        <v>10</v>
      </c>
      <c r="L13" s="16">
        <v>-0.20665542050349844</v>
      </c>
      <c r="M13" s="2" t="s">
        <v>65</v>
      </c>
      <c r="N13" s="3" t="s">
        <v>10</v>
      </c>
      <c r="O13" s="16">
        <v>2.7316282579406215E-2</v>
      </c>
    </row>
    <row r="14" spans="1:15" ht="15.6" x14ac:dyDescent="0.3">
      <c r="A14" s="2" t="s">
        <v>66</v>
      </c>
      <c r="B14" s="3" t="s">
        <v>10</v>
      </c>
      <c r="C14" s="51">
        <v>8.1228984938102825E-3</v>
      </c>
      <c r="D14" s="3" t="s">
        <v>66</v>
      </c>
      <c r="E14" s="3" t="s">
        <v>10</v>
      </c>
      <c r="F14" s="16">
        <v>1.0703937944246808E-2</v>
      </c>
      <c r="G14" s="2" t="s">
        <v>66</v>
      </c>
      <c r="H14" s="3" t="s">
        <v>10</v>
      </c>
      <c r="I14" s="16">
        <v>1.6202817796359112E-2</v>
      </c>
      <c r="J14" s="2" t="s">
        <v>66</v>
      </c>
      <c r="K14" s="3" t="s">
        <v>10</v>
      </c>
      <c r="L14" s="16">
        <v>-0.2167287709936907</v>
      </c>
      <c r="M14" s="2" t="s">
        <v>66</v>
      </c>
      <c r="N14" s="3" t="s">
        <v>10</v>
      </c>
      <c r="O14" s="16">
        <v>3.115087302289396E-2</v>
      </c>
    </row>
    <row r="15" spans="1:15" ht="15.6" x14ac:dyDescent="0.3">
      <c r="A15" s="2" t="s">
        <v>67</v>
      </c>
      <c r="B15" s="3" t="s">
        <v>10</v>
      </c>
      <c r="C15" s="51">
        <v>8.1418732748862396E-3</v>
      </c>
      <c r="D15" s="3" t="s">
        <v>67</v>
      </c>
      <c r="E15" s="3" t="s">
        <v>10</v>
      </c>
      <c r="F15" s="16">
        <v>1.0825845353412277E-2</v>
      </c>
      <c r="G15" s="2" t="s">
        <v>67</v>
      </c>
      <c r="H15" s="3" t="s">
        <v>10</v>
      </c>
      <c r="I15" s="16">
        <v>1.6697017875327506E-2</v>
      </c>
      <c r="J15" s="2" t="s">
        <v>67</v>
      </c>
      <c r="K15" s="3" t="s">
        <v>10</v>
      </c>
      <c r="L15" s="16">
        <v>-0.20849876890003716</v>
      </c>
      <c r="M15" s="2" t="s">
        <v>67</v>
      </c>
      <c r="N15" s="3" t="s">
        <v>10</v>
      </c>
      <c r="O15" s="16">
        <v>2.9621285708480202E-2</v>
      </c>
    </row>
    <row r="16" spans="1:15" ht="15.6" x14ac:dyDescent="0.3">
      <c r="A16" s="2" t="s">
        <v>68</v>
      </c>
      <c r="B16" s="3" t="s">
        <v>10</v>
      </c>
      <c r="C16" s="51">
        <v>1.9309156523216121E-2</v>
      </c>
      <c r="D16" s="3" t="s">
        <v>68</v>
      </c>
      <c r="E16" s="3" t="s">
        <v>10</v>
      </c>
      <c r="F16" s="16">
        <v>2.3272391307595182E-2</v>
      </c>
      <c r="G16" s="2" t="s">
        <v>68</v>
      </c>
      <c r="H16" s="3" t="s">
        <v>10</v>
      </c>
      <c r="I16" s="16">
        <v>3.6655808477676681E-2</v>
      </c>
      <c r="J16" s="2" t="s">
        <v>68</v>
      </c>
      <c r="K16" s="3" t="s">
        <v>10</v>
      </c>
      <c r="L16" s="16">
        <v>-0.54614764734934007</v>
      </c>
      <c r="M16" s="2" t="s">
        <v>68</v>
      </c>
      <c r="N16" s="3" t="s">
        <v>10</v>
      </c>
      <c r="O16" s="16">
        <v>9.6176619907385283E-2</v>
      </c>
    </row>
    <row r="17" spans="1:15" ht="15.6" x14ac:dyDescent="0.3">
      <c r="A17" s="2" t="s">
        <v>69</v>
      </c>
      <c r="B17" s="3" t="s">
        <v>10</v>
      </c>
      <c r="C17" s="51">
        <v>1.7677169980864899E-2</v>
      </c>
      <c r="D17" s="3" t="s">
        <v>69</v>
      </c>
      <c r="E17" s="3" t="s">
        <v>10</v>
      </c>
      <c r="F17" s="16">
        <v>2.1579158799721356E-2</v>
      </c>
      <c r="G17" s="2" t="s">
        <v>69</v>
      </c>
      <c r="H17" s="3" t="s">
        <v>10</v>
      </c>
      <c r="I17" s="16">
        <v>3.3627178297467655E-2</v>
      </c>
      <c r="J17" s="2" t="s">
        <v>69</v>
      </c>
      <c r="K17" s="3" t="s">
        <v>10</v>
      </c>
      <c r="L17" s="16">
        <v>-0.50767348583886174</v>
      </c>
      <c r="M17" s="2" t="s">
        <v>69</v>
      </c>
      <c r="N17" s="3" t="s">
        <v>10</v>
      </c>
      <c r="O17" s="16">
        <v>8.7456723015930715E-2</v>
      </c>
    </row>
    <row r="18" spans="1:15" ht="15.6" x14ac:dyDescent="0.3">
      <c r="A18" s="2" t="s">
        <v>70</v>
      </c>
      <c r="B18" s="3" t="s">
        <v>10</v>
      </c>
      <c r="C18" s="51">
        <v>1.9329625934294697E-2</v>
      </c>
      <c r="D18" s="3" t="s">
        <v>70</v>
      </c>
      <c r="E18" s="3" t="s">
        <v>10</v>
      </c>
      <c r="F18" s="16">
        <v>2.3332532014271372E-2</v>
      </c>
      <c r="G18" s="2" t="s">
        <v>70</v>
      </c>
      <c r="H18" s="3" t="s">
        <v>10</v>
      </c>
      <c r="I18" s="16">
        <v>3.7024816027991146E-2</v>
      </c>
      <c r="J18" s="2" t="s">
        <v>70</v>
      </c>
      <c r="K18" s="3" t="s">
        <v>10</v>
      </c>
      <c r="L18" s="16">
        <v>-0.53637977232344314</v>
      </c>
      <c r="M18" s="2" t="s">
        <v>70</v>
      </c>
      <c r="N18" s="3" t="s">
        <v>10</v>
      </c>
      <c r="O18" s="16">
        <v>9.7542364102904983E-2</v>
      </c>
    </row>
    <row r="19" spans="1:15" ht="15.6" x14ac:dyDescent="0.3">
      <c r="A19" s="2" t="s">
        <v>71</v>
      </c>
      <c r="B19" s="3" t="s">
        <v>10</v>
      </c>
      <c r="C19" s="51">
        <v>1.938336605334284E-2</v>
      </c>
      <c r="D19" s="3" t="s">
        <v>71</v>
      </c>
      <c r="E19" s="3" t="s">
        <v>10</v>
      </c>
      <c r="F19" s="16">
        <v>2.3535836767131793E-2</v>
      </c>
      <c r="G19" s="2" t="s">
        <v>71</v>
      </c>
      <c r="H19" s="3" t="s">
        <v>10</v>
      </c>
      <c r="I19" s="16">
        <v>3.8057974977259906E-2</v>
      </c>
      <c r="J19" s="2" t="s">
        <v>71</v>
      </c>
      <c r="K19" s="3" t="s">
        <v>10</v>
      </c>
      <c r="L19" s="16">
        <v>-0.51347055673602238</v>
      </c>
      <c r="M19" s="2" t="s">
        <v>71</v>
      </c>
      <c r="N19" s="3" t="s">
        <v>10</v>
      </c>
      <c r="O19" s="16">
        <v>9.7813785907742284E-2</v>
      </c>
    </row>
    <row r="20" spans="1:15" ht="15.6" x14ac:dyDescent="0.3">
      <c r="A20" s="2" t="s">
        <v>72</v>
      </c>
      <c r="B20" s="3" t="s">
        <v>10</v>
      </c>
      <c r="C20" s="51">
        <v>1.0291740533385147E-2</v>
      </c>
      <c r="D20" s="3" t="s">
        <v>72</v>
      </c>
      <c r="E20" s="3" t="s">
        <v>10</v>
      </c>
      <c r="F20" s="16">
        <v>1.2999085971810601E-2</v>
      </c>
      <c r="G20" s="2" t="s">
        <v>72</v>
      </c>
      <c r="H20" s="3" t="s">
        <v>10</v>
      </c>
      <c r="I20" s="16">
        <v>7.6141971702903585E-2</v>
      </c>
      <c r="J20" s="2" t="s">
        <v>72</v>
      </c>
      <c r="K20" s="3" t="s">
        <v>10</v>
      </c>
      <c r="L20" s="16">
        <v>11.251470596961083</v>
      </c>
      <c r="M20" s="2" t="s">
        <v>72</v>
      </c>
      <c r="N20" s="3" t="s">
        <v>10</v>
      </c>
      <c r="O20" s="16">
        <v>0.16272970288032704</v>
      </c>
    </row>
    <row r="21" spans="1:15" ht="15.6" x14ac:dyDescent="0.3">
      <c r="A21" s="2" t="s">
        <v>73</v>
      </c>
      <c r="B21" s="3" t="s">
        <v>10</v>
      </c>
      <c r="C21" s="51">
        <v>1.028134452602468E-2</v>
      </c>
      <c r="D21" s="3" t="s">
        <v>73</v>
      </c>
      <c r="E21" s="3" t="s">
        <v>10</v>
      </c>
      <c r="F21" s="16">
        <v>1.2948205005210234E-2</v>
      </c>
      <c r="G21" s="2" t="s">
        <v>73</v>
      </c>
      <c r="H21" s="3" t="s">
        <v>10</v>
      </c>
      <c r="I21" s="16">
        <v>7.5986677274233652E-2</v>
      </c>
      <c r="J21" s="2" t="s">
        <v>73</v>
      </c>
      <c r="K21" s="3" t="s">
        <v>10</v>
      </c>
      <c r="L21" s="16">
        <v>11.248500369101169</v>
      </c>
      <c r="M21" s="2" t="s">
        <v>73</v>
      </c>
      <c r="N21" s="3" t="s">
        <v>10</v>
      </c>
      <c r="O21" s="16">
        <v>0.16257277733433281</v>
      </c>
    </row>
    <row r="22" spans="1:15" ht="15.6" x14ac:dyDescent="0.3">
      <c r="A22" s="2" t="s">
        <v>74</v>
      </c>
      <c r="B22" s="3" t="s">
        <v>10</v>
      </c>
      <c r="C22" s="51">
        <v>1.0292278704652861E-2</v>
      </c>
      <c r="D22" s="3" t="s">
        <v>74</v>
      </c>
      <c r="E22" s="3" t="s">
        <v>10</v>
      </c>
      <c r="F22" s="16">
        <v>1.3130832673314158E-2</v>
      </c>
      <c r="G22" s="2" t="s">
        <v>74</v>
      </c>
      <c r="H22" s="3" t="s">
        <v>10</v>
      </c>
      <c r="I22" s="16">
        <v>7.6620429288745517E-2</v>
      </c>
      <c r="J22" s="2" t="s">
        <v>74</v>
      </c>
      <c r="K22" s="3" t="s">
        <v>10</v>
      </c>
      <c r="L22" s="16">
        <v>11.2522390237026</v>
      </c>
      <c r="M22" s="2" t="s">
        <v>74</v>
      </c>
      <c r="N22" s="3" t="s">
        <v>10</v>
      </c>
      <c r="O22" s="16">
        <v>0.16256360053681856</v>
      </c>
    </row>
    <row r="23" spans="1:15" ht="15.6" x14ac:dyDescent="0.3">
      <c r="A23" s="2" t="s">
        <v>75</v>
      </c>
      <c r="B23" s="3" t="s">
        <v>10</v>
      </c>
      <c r="C23" s="51">
        <v>1.5423669311417634E-2</v>
      </c>
      <c r="D23" s="3" t="s">
        <v>75</v>
      </c>
      <c r="E23" s="3" t="s">
        <v>10</v>
      </c>
      <c r="F23" s="16">
        <v>2.5091895445675975E-2</v>
      </c>
      <c r="G23" s="2" t="s">
        <v>75</v>
      </c>
      <c r="H23" s="3" t="s">
        <v>10</v>
      </c>
      <c r="I23" s="16">
        <v>9.3889015364988157E-2</v>
      </c>
      <c r="J23" s="2" t="s">
        <v>75</v>
      </c>
      <c r="K23" s="3" t="s">
        <v>10</v>
      </c>
      <c r="L23" s="16">
        <v>11.210427216710098</v>
      </c>
      <c r="M23" s="2" t="s">
        <v>75</v>
      </c>
      <c r="N23" s="3" t="s">
        <v>10</v>
      </c>
      <c r="O23" s="16">
        <v>0.17184554585391737</v>
      </c>
    </row>
    <row r="24" spans="1:15" ht="15.6" x14ac:dyDescent="0.3">
      <c r="A24" s="2" t="s">
        <v>76</v>
      </c>
      <c r="B24" s="3" t="s">
        <v>77</v>
      </c>
      <c r="C24" s="51">
        <v>1.3851352697062134E-11</v>
      </c>
      <c r="D24" s="3" t="s">
        <v>76</v>
      </c>
      <c r="E24" s="3" t="s">
        <v>77</v>
      </c>
      <c r="F24" s="16">
        <v>2.701582949905917E-11</v>
      </c>
      <c r="G24" s="2" t="s">
        <v>76</v>
      </c>
      <c r="H24" s="3" t="s">
        <v>77</v>
      </c>
      <c r="I24" s="16">
        <v>3.0226340811741159E-11</v>
      </c>
      <c r="J24" s="2" t="s">
        <v>76</v>
      </c>
      <c r="K24" s="3" t="s">
        <v>77</v>
      </c>
      <c r="L24" s="16">
        <v>7.6489396861569508E-12</v>
      </c>
      <c r="M24" s="2" t="s">
        <v>76</v>
      </c>
      <c r="N24" s="3" t="s">
        <v>77</v>
      </c>
      <c r="O24" s="16">
        <v>9.3669518178056202E-11</v>
      </c>
    </row>
    <row r="25" spans="1:15" ht="15.6" x14ac:dyDescent="0.3">
      <c r="A25" s="2" t="s">
        <v>78</v>
      </c>
      <c r="B25" s="3" t="s">
        <v>4</v>
      </c>
      <c r="C25" s="51">
        <v>-1.0285346370083642E-2</v>
      </c>
      <c r="D25" s="3" t="s">
        <v>78</v>
      </c>
      <c r="E25" s="3" t="s">
        <v>4</v>
      </c>
      <c r="F25" s="16">
        <v>3.0729273126575253E-3</v>
      </c>
      <c r="G25" s="2" t="s">
        <v>78</v>
      </c>
      <c r="H25" s="3" t="s">
        <v>4</v>
      </c>
      <c r="I25" s="16">
        <v>8.7391624963317465E-3</v>
      </c>
      <c r="J25" s="2" t="s">
        <v>78</v>
      </c>
      <c r="K25" s="3" t="s">
        <v>4</v>
      </c>
      <c r="L25" s="16">
        <v>-8.7525456897252808E-3</v>
      </c>
      <c r="M25" s="2" t="s">
        <v>78</v>
      </c>
      <c r="N25" s="3" t="s">
        <v>4</v>
      </c>
      <c r="O25" s="16">
        <v>-0.19217079254784741</v>
      </c>
    </row>
    <row r="26" spans="1:15" ht="15.6" x14ac:dyDescent="0.3">
      <c r="A26" s="2" t="s">
        <v>79</v>
      </c>
      <c r="B26" s="3" t="s">
        <v>80</v>
      </c>
      <c r="C26" s="51">
        <v>118.47996668943436</v>
      </c>
      <c r="D26" s="3" t="s">
        <v>79</v>
      </c>
      <c r="E26" s="3" t="s">
        <v>80</v>
      </c>
      <c r="F26" s="16">
        <v>1077.409291046587</v>
      </c>
      <c r="G26" s="2" t="s">
        <v>79</v>
      </c>
      <c r="H26" s="3" t="s">
        <v>80</v>
      </c>
      <c r="I26" s="16">
        <v>1678.9815791068593</v>
      </c>
      <c r="J26" s="2" t="s">
        <v>79</v>
      </c>
      <c r="K26" s="3" t="s">
        <v>80</v>
      </c>
      <c r="L26" s="16">
        <v>249205.67905317753</v>
      </c>
      <c r="M26" s="2" t="s">
        <v>79</v>
      </c>
      <c r="N26" s="3" t="s">
        <v>80</v>
      </c>
      <c r="O26" s="16">
        <v>4641.5346511074786</v>
      </c>
    </row>
    <row r="27" spans="1:15" ht="15.6" x14ac:dyDescent="0.3">
      <c r="A27" s="2" t="s">
        <v>81</v>
      </c>
      <c r="B27" s="3" t="s">
        <v>10</v>
      </c>
      <c r="C27" s="51">
        <v>2.835785464141612E-2</v>
      </c>
      <c r="D27" s="3" t="s">
        <v>81</v>
      </c>
      <c r="E27" s="3" t="s">
        <v>10</v>
      </c>
      <c r="F27" s="16">
        <v>3.6101336207413084E-2</v>
      </c>
      <c r="G27" s="2" t="s">
        <v>81</v>
      </c>
      <c r="H27" s="3" t="s">
        <v>10</v>
      </c>
      <c r="I27" s="16">
        <v>5.816998093158271E-2</v>
      </c>
      <c r="J27" s="2" t="s">
        <v>81</v>
      </c>
      <c r="K27" s="3" t="s">
        <v>10</v>
      </c>
      <c r="L27" s="16">
        <v>0.18303260781584166</v>
      </c>
      <c r="M27" s="2" t="s">
        <v>81</v>
      </c>
      <c r="N27" s="3" t="s">
        <v>10</v>
      </c>
      <c r="O27" s="16">
        <v>0.17207601572921161</v>
      </c>
    </row>
    <row r="28" spans="1:15" ht="15.6" x14ac:dyDescent="0.3">
      <c r="A28" s="2" t="s">
        <v>82</v>
      </c>
      <c r="B28" s="3" t="s">
        <v>10</v>
      </c>
      <c r="C28" s="51">
        <v>3.8018968311534546E-3</v>
      </c>
      <c r="D28" s="3" t="s">
        <v>82</v>
      </c>
      <c r="E28" s="3" t="s">
        <v>10</v>
      </c>
      <c r="F28" s="16">
        <v>5.1919943879022937E-3</v>
      </c>
      <c r="G28" s="2" t="s">
        <v>82</v>
      </c>
      <c r="H28" s="3" t="s">
        <v>10</v>
      </c>
      <c r="I28" s="16">
        <v>8.2456402865066399E-3</v>
      </c>
      <c r="J28" s="2" t="s">
        <v>82</v>
      </c>
      <c r="K28" s="3" t="s">
        <v>10</v>
      </c>
      <c r="L28" s="16">
        <v>0.10721627537126072</v>
      </c>
      <c r="M28" s="2" t="s">
        <v>82</v>
      </c>
      <c r="N28" s="3" t="s">
        <v>10</v>
      </c>
      <c r="O28" s="16">
        <v>2.4092103474316021E-2</v>
      </c>
    </row>
    <row r="29" spans="1:15" ht="15.6" x14ac:dyDescent="0.3">
      <c r="A29" s="2" t="s">
        <v>83</v>
      </c>
      <c r="B29" s="3" t="s">
        <v>10</v>
      </c>
      <c r="C29" s="51">
        <v>0.15644240050664776</v>
      </c>
      <c r="D29" s="3" t="s">
        <v>83</v>
      </c>
      <c r="E29" s="3" t="s">
        <v>10</v>
      </c>
      <c r="F29" s="16">
        <v>0.1957187379111727</v>
      </c>
      <c r="G29" s="2" t="s">
        <v>83</v>
      </c>
      <c r="H29" s="3" t="s">
        <v>10</v>
      </c>
      <c r="I29" s="16">
        <v>0.31849063553668266</v>
      </c>
      <c r="J29" s="2" t="s">
        <v>83</v>
      </c>
      <c r="K29" s="3" t="s">
        <v>10</v>
      </c>
      <c r="L29" s="16">
        <v>0.71990060868136863</v>
      </c>
      <c r="M29" s="2" t="s">
        <v>83</v>
      </c>
      <c r="N29" s="3" t="s">
        <v>10</v>
      </c>
      <c r="O29" s="16">
        <v>0.94607718755892301</v>
      </c>
    </row>
    <row r="30" spans="1:15" ht="15.6" x14ac:dyDescent="0.3">
      <c r="A30" s="2" t="s">
        <v>84</v>
      </c>
      <c r="B30" s="3" t="s">
        <v>10</v>
      </c>
      <c r="C30" s="51">
        <v>14.143821320626202</v>
      </c>
      <c r="D30" s="3" t="s">
        <v>84</v>
      </c>
      <c r="E30" s="3" t="s">
        <v>10</v>
      </c>
      <c r="F30" s="16">
        <v>28.486598370021383</v>
      </c>
      <c r="G30" s="2" t="s">
        <v>84</v>
      </c>
      <c r="H30" s="3" t="s">
        <v>10</v>
      </c>
      <c r="I30" s="16">
        <v>32.468663837782778</v>
      </c>
      <c r="J30" s="2" t="s">
        <v>84</v>
      </c>
      <c r="K30" s="3" t="s">
        <v>10</v>
      </c>
      <c r="L30" s="16">
        <v>-113.39422409252654</v>
      </c>
      <c r="M30" s="2" t="s">
        <v>84</v>
      </c>
      <c r="N30" s="3" t="s">
        <v>10</v>
      </c>
      <c r="O30" s="16">
        <v>95.862670797466492</v>
      </c>
    </row>
    <row r="31" spans="1:15" ht="15.6" x14ac:dyDescent="0.3">
      <c r="A31" s="2" t="s">
        <v>85</v>
      </c>
      <c r="B31" s="3" t="s">
        <v>10</v>
      </c>
      <c r="C31" s="51">
        <v>3.3938607137001538E-2</v>
      </c>
      <c r="D31" s="3" t="s">
        <v>85</v>
      </c>
      <c r="E31" s="3" t="s">
        <v>10</v>
      </c>
      <c r="F31" s="16">
        <v>4.1259744280489306E-2</v>
      </c>
      <c r="G31" s="2" t="s">
        <v>85</v>
      </c>
      <c r="H31" s="3" t="s">
        <v>10</v>
      </c>
      <c r="I31" s="16">
        <v>6.9019639913907208E-2</v>
      </c>
      <c r="J31" s="2" t="s">
        <v>85</v>
      </c>
      <c r="K31" s="3" t="s">
        <v>10</v>
      </c>
      <c r="L31" s="16">
        <v>0.393920636242512</v>
      </c>
      <c r="M31" s="2" t="s">
        <v>85</v>
      </c>
      <c r="N31" s="3" t="s">
        <v>10</v>
      </c>
      <c r="O31" s="16">
        <v>0.2058798556971666</v>
      </c>
    </row>
    <row r="32" spans="1:15" ht="15.6" x14ac:dyDescent="0.3">
      <c r="A32" s="2" t="s">
        <v>86</v>
      </c>
      <c r="B32" s="3" t="s">
        <v>10</v>
      </c>
      <c r="C32" s="51">
        <v>7.2274293058126335E-3</v>
      </c>
      <c r="D32" s="3" t="s">
        <v>86</v>
      </c>
      <c r="E32" s="3" t="s">
        <v>10</v>
      </c>
      <c r="F32" s="16">
        <v>9.3471620082638471E-3</v>
      </c>
      <c r="G32" s="2" t="s">
        <v>86</v>
      </c>
      <c r="H32" s="3" t="s">
        <v>10</v>
      </c>
      <c r="I32" s="16">
        <v>1.5480554697256515E-2</v>
      </c>
      <c r="J32" s="2" t="s">
        <v>86</v>
      </c>
      <c r="K32" s="3" t="s">
        <v>10</v>
      </c>
      <c r="L32" s="16">
        <v>0.24135225927561343</v>
      </c>
      <c r="M32" s="2" t="s">
        <v>86</v>
      </c>
      <c r="N32" s="3" t="s">
        <v>10</v>
      </c>
      <c r="O32" s="16">
        <v>4.7192144747802145E-2</v>
      </c>
    </row>
    <row r="33" spans="1:15" ht="15.6" x14ac:dyDescent="0.3">
      <c r="A33" s="2" t="s">
        <v>87</v>
      </c>
      <c r="B33" s="3" t="s">
        <v>10</v>
      </c>
      <c r="C33" s="51">
        <v>0.14989130307340542</v>
      </c>
      <c r="D33" s="3" t="s">
        <v>87</v>
      </c>
      <c r="E33" s="3" t="s">
        <v>10</v>
      </c>
      <c r="F33" s="16">
        <v>0.18182480902870049</v>
      </c>
      <c r="G33" s="2" t="s">
        <v>87</v>
      </c>
      <c r="H33" s="3" t="s">
        <v>10</v>
      </c>
      <c r="I33" s="16">
        <v>0.30398020698506428</v>
      </c>
      <c r="J33" s="2" t="s">
        <v>87</v>
      </c>
      <c r="K33" s="3" t="s">
        <v>10</v>
      </c>
      <c r="L33" s="16">
        <v>1.0715012016735086</v>
      </c>
      <c r="M33" s="2" t="s">
        <v>87</v>
      </c>
      <c r="N33" s="3" t="s">
        <v>10</v>
      </c>
      <c r="O33" s="16">
        <v>0.90283996867997285</v>
      </c>
    </row>
    <row r="34" spans="1:15" ht="15.6" x14ac:dyDescent="0.3">
      <c r="A34" s="2" t="s">
        <v>88</v>
      </c>
      <c r="B34" s="3" t="s">
        <v>10</v>
      </c>
      <c r="C34" s="51">
        <v>8.296318642556173</v>
      </c>
      <c r="D34" s="3" t="s">
        <v>88</v>
      </c>
      <c r="E34" s="3" t="s">
        <v>10</v>
      </c>
      <c r="F34" s="16">
        <v>15.389161298689416</v>
      </c>
      <c r="G34" s="2" t="s">
        <v>88</v>
      </c>
      <c r="H34" s="3" t="s">
        <v>10</v>
      </c>
      <c r="I34" s="16">
        <v>18.521872996392112</v>
      </c>
      <c r="J34" s="2" t="s">
        <v>88</v>
      </c>
      <c r="K34" s="3" t="s">
        <v>10</v>
      </c>
      <c r="L34" s="16">
        <v>-89.055912405232078</v>
      </c>
      <c r="M34" s="2" t="s">
        <v>88</v>
      </c>
      <c r="N34" s="3" t="s">
        <v>10</v>
      </c>
      <c r="O34" s="16">
        <v>54.43062098944592</v>
      </c>
    </row>
    <row r="35" spans="1:15" ht="15.6" x14ac:dyDescent="0.3">
      <c r="A35" s="2" t="s">
        <v>89</v>
      </c>
      <c r="B35" s="3" t="s">
        <v>90</v>
      </c>
      <c r="C35" s="51">
        <v>2.9185473636477398E-4</v>
      </c>
      <c r="D35" s="3" t="s">
        <v>89</v>
      </c>
      <c r="E35" s="3" t="s">
        <v>90</v>
      </c>
      <c r="F35" s="16">
        <v>4.6776061005328138E-6</v>
      </c>
      <c r="G35" s="2" t="s">
        <v>89</v>
      </c>
      <c r="H35" s="3" t="s">
        <v>90</v>
      </c>
      <c r="I35" s="16">
        <v>8.6014604623922835E-6</v>
      </c>
      <c r="J35" s="2" t="s">
        <v>89</v>
      </c>
      <c r="K35" s="3" t="s">
        <v>90</v>
      </c>
      <c r="L35" s="16">
        <v>9.8338402037341402E-4</v>
      </c>
      <c r="M35" s="2" t="s">
        <v>89</v>
      </c>
      <c r="N35" s="3" t="s">
        <v>90</v>
      </c>
      <c r="O35" s="16">
        <v>-7.6332841021162706E-5</v>
      </c>
    </row>
    <row r="36" spans="1:15" ht="15.6" x14ac:dyDescent="0.3">
      <c r="A36" s="2" t="s">
        <v>91</v>
      </c>
      <c r="B36" s="3" t="s">
        <v>92</v>
      </c>
      <c r="C36" s="51">
        <v>2.2120949387568727E-4</v>
      </c>
      <c r="D36" s="3" t="s">
        <v>91</v>
      </c>
      <c r="E36" s="3" t="s">
        <v>92</v>
      </c>
      <c r="F36" s="16">
        <v>8.1706201940606513E-6</v>
      </c>
      <c r="G36" s="2" t="s">
        <v>91</v>
      </c>
      <c r="H36" s="3" t="s">
        <v>92</v>
      </c>
      <c r="I36" s="16">
        <v>9.6981313988062518E-6</v>
      </c>
      <c r="J36" s="2" t="s">
        <v>91</v>
      </c>
      <c r="K36" s="3" t="s">
        <v>92</v>
      </c>
      <c r="L36" s="16">
        <v>9.0539222927812902E-4</v>
      </c>
      <c r="M36" s="2" t="s">
        <v>91</v>
      </c>
      <c r="N36" s="3" t="s">
        <v>92</v>
      </c>
      <c r="O36" s="16">
        <v>-1.8973306818243314E-5</v>
      </c>
    </row>
    <row r="37" spans="1:15" ht="15.6" x14ac:dyDescent="0.3">
      <c r="A37" s="2" t="s">
        <v>93</v>
      </c>
      <c r="B37" s="3" t="s">
        <v>92</v>
      </c>
      <c r="C37" s="51">
        <v>3.2047175786849031E-4</v>
      </c>
      <c r="D37" s="3" t="s">
        <v>93</v>
      </c>
      <c r="E37" s="3" t="s">
        <v>92</v>
      </c>
      <c r="F37" s="16">
        <v>4.2410780263487443E-6</v>
      </c>
      <c r="G37" s="2" t="s">
        <v>93</v>
      </c>
      <c r="H37" s="3" t="s">
        <v>92</v>
      </c>
      <c r="I37" s="16">
        <v>5.594236681016945E-6</v>
      </c>
      <c r="J37" s="2" t="s">
        <v>93</v>
      </c>
      <c r="K37" s="3" t="s">
        <v>92</v>
      </c>
      <c r="L37" s="16">
        <v>9.4643100464866033E-4</v>
      </c>
      <c r="M37" s="2" t="s">
        <v>93</v>
      </c>
      <c r="N37" s="3" t="s">
        <v>92</v>
      </c>
      <c r="O37" s="16">
        <v>-2.4812389616275437E-6</v>
      </c>
    </row>
    <row r="38" spans="1:15" ht="15.6" x14ac:dyDescent="0.3">
      <c r="A38" s="2" t="s">
        <v>94</v>
      </c>
      <c r="B38" s="3" t="s">
        <v>90</v>
      </c>
      <c r="C38" s="51">
        <v>1.2303647902215436E-4</v>
      </c>
      <c r="D38" s="3" t="s">
        <v>94</v>
      </c>
      <c r="E38" s="3" t="s">
        <v>90</v>
      </c>
      <c r="F38" s="16">
        <v>3.4197201707854979E-6</v>
      </c>
      <c r="G38" s="2" t="s">
        <v>94</v>
      </c>
      <c r="H38" s="3" t="s">
        <v>90</v>
      </c>
      <c r="I38" s="16">
        <v>1.0232805915362909E-5</v>
      </c>
      <c r="J38" s="2" t="s">
        <v>94</v>
      </c>
      <c r="K38" s="3" t="s">
        <v>90</v>
      </c>
      <c r="L38" s="16">
        <v>1.5067072968704717E-3</v>
      </c>
      <c r="M38" s="2" t="s">
        <v>94</v>
      </c>
      <c r="N38" s="3" t="s">
        <v>90</v>
      </c>
      <c r="O38" s="16">
        <v>-3.8174163218532593E-5</v>
      </c>
    </row>
    <row r="39" spans="1:15" ht="15.6" x14ac:dyDescent="0.3">
      <c r="A39" s="2" t="s">
        <v>95</v>
      </c>
      <c r="B39" s="3" t="s">
        <v>90</v>
      </c>
      <c r="C39" s="51">
        <v>2.2648716593840493E-4</v>
      </c>
      <c r="D39" s="3" t="s">
        <v>95</v>
      </c>
      <c r="E39" s="3" t="s">
        <v>90</v>
      </c>
      <c r="F39" s="16">
        <v>4.4399359746809932E-6</v>
      </c>
      <c r="G39" s="2" t="s">
        <v>95</v>
      </c>
      <c r="H39" s="3" t="s">
        <v>90</v>
      </c>
      <c r="I39" s="16">
        <v>1.0248352021985342E-5</v>
      </c>
      <c r="J39" s="2" t="s">
        <v>95</v>
      </c>
      <c r="K39" s="3" t="s">
        <v>90</v>
      </c>
      <c r="L39" s="16">
        <v>1.2794899574121226E-3</v>
      </c>
      <c r="M39" s="2" t="s">
        <v>95</v>
      </c>
      <c r="N39" s="3" t="s">
        <v>90</v>
      </c>
      <c r="O39" s="16">
        <v>-6.7182632796417813E-5</v>
      </c>
    </row>
    <row r="40" spans="1:15" ht="15.6" x14ac:dyDescent="0.3">
      <c r="A40" s="2" t="s">
        <v>96</v>
      </c>
      <c r="B40" s="3" t="s">
        <v>97</v>
      </c>
      <c r="C40" s="51">
        <v>1.170092506248417E-4</v>
      </c>
      <c r="D40" s="3" t="s">
        <v>96</v>
      </c>
      <c r="E40" s="3" t="s">
        <v>97</v>
      </c>
      <c r="F40" s="16">
        <v>3.304642535175354E-4</v>
      </c>
      <c r="G40" s="2" t="s">
        <v>96</v>
      </c>
      <c r="H40" s="3" t="s">
        <v>97</v>
      </c>
      <c r="I40" s="16">
        <v>1.9008588314518672E-4</v>
      </c>
      <c r="J40" s="2" t="s">
        <v>96</v>
      </c>
      <c r="K40" s="3" t="s">
        <v>97</v>
      </c>
      <c r="L40" s="16">
        <v>1.3890534651158127E-4</v>
      </c>
      <c r="M40" s="2" t="s">
        <v>96</v>
      </c>
      <c r="N40" s="3" t="s">
        <v>97</v>
      </c>
      <c r="O40" s="16">
        <v>5.3186107844054096E-4</v>
      </c>
    </row>
    <row r="41" spans="1:15" ht="15.6" x14ac:dyDescent="0.3">
      <c r="A41" s="2" t="s">
        <v>98</v>
      </c>
      <c r="B41" s="3" t="s">
        <v>24</v>
      </c>
      <c r="C41" s="51">
        <v>6.5239640480248171E-9</v>
      </c>
      <c r="D41" s="3" t="s">
        <v>98</v>
      </c>
      <c r="E41" s="3" t="s">
        <v>24</v>
      </c>
      <c r="F41" s="16">
        <v>6.4732305219444094E-9</v>
      </c>
      <c r="G41" s="2" t="s">
        <v>98</v>
      </c>
      <c r="H41" s="3" t="s">
        <v>24</v>
      </c>
      <c r="I41" s="16">
        <v>3.1738110072650274E-9</v>
      </c>
      <c r="J41" s="2" t="s">
        <v>98</v>
      </c>
      <c r="K41" s="3" t="s">
        <v>24</v>
      </c>
      <c r="L41" s="16">
        <v>2.5592002499047254E-9</v>
      </c>
      <c r="M41" s="2" t="s">
        <v>98</v>
      </c>
      <c r="N41" s="3" t="s">
        <v>24</v>
      </c>
      <c r="O41" s="16">
        <v>-5.0927092574448932E-9</v>
      </c>
    </row>
    <row r="42" spans="1:15" ht="15.6" x14ac:dyDescent="0.3">
      <c r="A42" s="2" t="s">
        <v>99</v>
      </c>
      <c r="B42" s="3" t="s">
        <v>24</v>
      </c>
      <c r="C42" s="51">
        <v>6.4177910132023274E-9</v>
      </c>
      <c r="D42" s="3" t="s">
        <v>99</v>
      </c>
      <c r="E42" s="3" t="s">
        <v>24</v>
      </c>
      <c r="F42" s="16">
        <v>6.378630408797271E-9</v>
      </c>
      <c r="G42" s="2" t="s">
        <v>99</v>
      </c>
      <c r="H42" s="3" t="s">
        <v>24</v>
      </c>
      <c r="I42" s="16">
        <v>3.1374462358894889E-9</v>
      </c>
      <c r="J42" s="2" t="s">
        <v>99</v>
      </c>
      <c r="K42" s="3" t="s">
        <v>24</v>
      </c>
      <c r="L42" s="16">
        <v>2.537526579841356E-9</v>
      </c>
      <c r="M42" s="2" t="s">
        <v>99</v>
      </c>
      <c r="N42" s="3" t="s">
        <v>24</v>
      </c>
      <c r="O42" s="16">
        <v>-5.092243064108031E-9</v>
      </c>
    </row>
    <row r="43" spans="1:15" ht="15.6" x14ac:dyDescent="0.3">
      <c r="A43" s="2" t="s">
        <v>100</v>
      </c>
      <c r="B43" s="3" t="s">
        <v>24</v>
      </c>
      <c r="C43" s="51">
        <v>6.3582254913804179E-9</v>
      </c>
      <c r="D43" s="3" t="s">
        <v>100</v>
      </c>
      <c r="E43" s="3" t="s">
        <v>24</v>
      </c>
      <c r="F43" s="16">
        <v>6.2948075661884649E-9</v>
      </c>
      <c r="G43" s="2" t="s">
        <v>100</v>
      </c>
      <c r="H43" s="3" t="s">
        <v>24</v>
      </c>
      <c r="I43" s="16">
        <v>3.0993135308406338E-9</v>
      </c>
      <c r="J43" s="2" t="s">
        <v>100</v>
      </c>
      <c r="K43" s="3" t="s">
        <v>24</v>
      </c>
      <c r="L43" s="16">
        <v>2.5152001580862474E-9</v>
      </c>
      <c r="M43" s="2" t="s">
        <v>100</v>
      </c>
      <c r="N43" s="3" t="s">
        <v>24</v>
      </c>
      <c r="O43" s="16">
        <v>-5.1441010463788493E-9</v>
      </c>
    </row>
    <row r="44" spans="1:15" ht="15.6" x14ac:dyDescent="0.3">
      <c r="A44" s="2" t="s">
        <v>101</v>
      </c>
      <c r="B44" s="3" t="s">
        <v>24</v>
      </c>
      <c r="C44" s="51">
        <v>6.3543596429662548E-9</v>
      </c>
      <c r="D44" s="3" t="s">
        <v>101</v>
      </c>
      <c r="E44" s="3" t="s">
        <v>24</v>
      </c>
      <c r="F44" s="16">
        <v>6.2773424480968631E-9</v>
      </c>
      <c r="G44" s="2" t="s">
        <v>101</v>
      </c>
      <c r="H44" s="3" t="s">
        <v>24</v>
      </c>
      <c r="I44" s="16">
        <v>3.0947807624692388E-9</v>
      </c>
      <c r="J44" s="2" t="s">
        <v>101</v>
      </c>
      <c r="K44" s="3" t="s">
        <v>24</v>
      </c>
      <c r="L44" s="16">
        <v>2.517112186333238E-9</v>
      </c>
      <c r="M44" s="2" t="s">
        <v>101</v>
      </c>
      <c r="N44" s="3" t="s">
        <v>24</v>
      </c>
      <c r="O44" s="16">
        <v>-5.209411450666879E-9</v>
      </c>
    </row>
    <row r="45" spans="1:15" ht="15.6" x14ac:dyDescent="0.3">
      <c r="A45" s="2" t="s">
        <v>102</v>
      </c>
      <c r="B45" s="3" t="s">
        <v>24</v>
      </c>
      <c r="C45" s="51">
        <v>6.2627742238874735E-9</v>
      </c>
      <c r="D45" s="3" t="s">
        <v>102</v>
      </c>
      <c r="E45" s="3" t="s">
        <v>24</v>
      </c>
      <c r="F45" s="16">
        <v>6.2210070542146785E-9</v>
      </c>
      <c r="G45" s="2" t="s">
        <v>102</v>
      </c>
      <c r="H45" s="3" t="s">
        <v>24</v>
      </c>
      <c r="I45" s="16">
        <v>3.0852647066841674E-9</v>
      </c>
      <c r="J45" s="2" t="s">
        <v>102</v>
      </c>
      <c r="K45" s="3" t="s">
        <v>24</v>
      </c>
      <c r="L45" s="16">
        <v>2.5041480117171164E-9</v>
      </c>
      <c r="M45" s="2" t="s">
        <v>102</v>
      </c>
      <c r="N45" s="3" t="s">
        <v>24</v>
      </c>
      <c r="O45" s="16">
        <v>-5.0904237850760395E-9</v>
      </c>
    </row>
    <row r="46" spans="1:15" ht="15.6" x14ac:dyDescent="0.3">
      <c r="A46" s="2" t="s">
        <v>103</v>
      </c>
      <c r="B46" s="3" t="s">
        <v>24</v>
      </c>
      <c r="C46" s="51">
        <v>5.9861189566819456E-9</v>
      </c>
      <c r="D46" s="3" t="s">
        <v>103</v>
      </c>
      <c r="E46" s="3" t="s">
        <v>24</v>
      </c>
      <c r="F46" s="16">
        <v>6.0485185376476462E-9</v>
      </c>
      <c r="G46" s="2" t="s">
        <v>103</v>
      </c>
      <c r="H46" s="3" t="s">
        <v>24</v>
      </c>
      <c r="I46" s="16">
        <v>3.0432025472691352E-9</v>
      </c>
      <c r="J46" s="2" t="s">
        <v>103</v>
      </c>
      <c r="K46" s="3" t="s">
        <v>24</v>
      </c>
      <c r="L46" s="16">
        <v>2.4514678384813525E-9</v>
      </c>
      <c r="M46" s="2" t="s">
        <v>103</v>
      </c>
      <c r="N46" s="3" t="s">
        <v>24</v>
      </c>
      <c r="O46" s="16">
        <v>-4.6907388442453499E-9</v>
      </c>
    </row>
    <row r="47" spans="1:15" ht="15.6" x14ac:dyDescent="0.3">
      <c r="A47" s="2" t="s">
        <v>104</v>
      </c>
      <c r="B47" s="3" t="s">
        <v>24</v>
      </c>
      <c r="C47" s="51">
        <v>6.614851820034579E-9</v>
      </c>
      <c r="D47" s="3" t="s">
        <v>104</v>
      </c>
      <c r="E47" s="3" t="s">
        <v>24</v>
      </c>
      <c r="F47" s="16">
        <v>6.5831308279187259E-9</v>
      </c>
      <c r="G47" s="2" t="s">
        <v>104</v>
      </c>
      <c r="H47" s="3" t="s">
        <v>24</v>
      </c>
      <c r="I47" s="16">
        <v>3.2433365144557354E-9</v>
      </c>
      <c r="J47" s="2" t="s">
        <v>104</v>
      </c>
      <c r="K47" s="3" t="s">
        <v>24</v>
      </c>
      <c r="L47" s="16">
        <v>2.5758252503867995E-9</v>
      </c>
      <c r="M47" s="2" t="s">
        <v>104</v>
      </c>
      <c r="N47" s="3" t="s">
        <v>24</v>
      </c>
      <c r="O47" s="16">
        <v>-4.7978322816321092E-9</v>
      </c>
    </row>
    <row r="48" spans="1:15" ht="15.6" x14ac:dyDescent="0.3">
      <c r="A48" s="2" t="s">
        <v>105</v>
      </c>
      <c r="B48" s="3" t="s">
        <v>24</v>
      </c>
      <c r="C48" s="51">
        <v>4.4754574840419884E-9</v>
      </c>
      <c r="D48" s="3" t="s">
        <v>105</v>
      </c>
      <c r="E48" s="3" t="s">
        <v>24</v>
      </c>
      <c r="F48" s="16">
        <v>5.4845552607608353E-9</v>
      </c>
      <c r="G48" s="2" t="s">
        <v>105</v>
      </c>
      <c r="H48" s="3" t="s">
        <v>24</v>
      </c>
      <c r="I48" s="16">
        <v>3.1320207227137728E-9</v>
      </c>
      <c r="J48" s="2" t="s">
        <v>105</v>
      </c>
      <c r="K48" s="3" t="s">
        <v>24</v>
      </c>
      <c r="L48" s="16">
        <v>2.2811838335408149E-9</v>
      </c>
      <c r="M48" s="2" t="s">
        <v>105</v>
      </c>
      <c r="N48" s="3" t="s">
        <v>24</v>
      </c>
      <c r="O48" s="16">
        <v>-7.9109632652254188E-10</v>
      </c>
    </row>
    <row r="49" spans="1:15" ht="15.6" x14ac:dyDescent="0.3">
      <c r="A49" s="2" t="s">
        <v>106</v>
      </c>
      <c r="B49" s="3" t="s">
        <v>10</v>
      </c>
      <c r="C49" s="51">
        <v>-1.0174300257103905E-5</v>
      </c>
      <c r="D49" s="3" t="s">
        <v>106</v>
      </c>
      <c r="E49" s="3" t="s">
        <v>10</v>
      </c>
      <c r="F49" s="16">
        <v>2.128851495874118E-5</v>
      </c>
      <c r="G49" s="2" t="s">
        <v>106</v>
      </c>
      <c r="H49" s="3" t="s">
        <v>10</v>
      </c>
      <c r="I49" s="16">
        <v>4.6404980597413279E-5</v>
      </c>
      <c r="J49" s="2" t="s">
        <v>106</v>
      </c>
      <c r="K49" s="3" t="s">
        <v>10</v>
      </c>
      <c r="L49" s="16">
        <v>1.5715286391121592E-3</v>
      </c>
      <c r="M49" s="2" t="s">
        <v>106</v>
      </c>
      <c r="N49" s="3" t="s">
        <v>10</v>
      </c>
      <c r="O49" s="16">
        <v>-6.2970419007653462E-4</v>
      </c>
    </row>
    <row r="50" spans="1:15" ht="15.6" x14ac:dyDescent="0.3">
      <c r="A50" s="2" t="s">
        <v>107</v>
      </c>
      <c r="B50" s="3" t="s">
        <v>10</v>
      </c>
      <c r="C50" s="51">
        <v>-1.0748091733762743E-5</v>
      </c>
      <c r="D50" s="3" t="s">
        <v>107</v>
      </c>
      <c r="E50" s="3" t="s">
        <v>10</v>
      </c>
      <c r="F50" s="16">
        <v>1.8423142707983637E-5</v>
      </c>
      <c r="G50" s="2" t="s">
        <v>107</v>
      </c>
      <c r="H50" s="3" t="s">
        <v>10</v>
      </c>
      <c r="I50" s="16">
        <v>2.7039330237224668E-5</v>
      </c>
      <c r="J50" s="2" t="s">
        <v>107</v>
      </c>
      <c r="K50" s="3" t="s">
        <v>10</v>
      </c>
      <c r="L50" s="16">
        <v>4.3643126312430423E-4</v>
      </c>
      <c r="M50" s="2" t="s">
        <v>107</v>
      </c>
      <c r="N50" s="3" t="s">
        <v>10</v>
      </c>
      <c r="O50" s="16">
        <v>-6.5852320264261975E-4</v>
      </c>
    </row>
    <row r="51" spans="1:15" ht="15.6" x14ac:dyDescent="0.3">
      <c r="A51" s="2" t="s">
        <v>108</v>
      </c>
      <c r="B51" s="3" t="s">
        <v>10</v>
      </c>
      <c r="C51" s="51">
        <v>-8.7818736918822518E-6</v>
      </c>
      <c r="D51" s="3" t="s">
        <v>108</v>
      </c>
      <c r="E51" s="3" t="s">
        <v>10</v>
      </c>
      <c r="F51" s="16">
        <v>3.2209898711599019E-5</v>
      </c>
      <c r="G51" s="2" t="s">
        <v>108</v>
      </c>
      <c r="H51" s="3" t="s">
        <v>10</v>
      </c>
      <c r="I51" s="16">
        <v>1.2556854365932977E-4</v>
      </c>
      <c r="J51" s="2" t="s">
        <v>108</v>
      </c>
      <c r="K51" s="3" t="s">
        <v>10</v>
      </c>
      <c r="L51" s="16">
        <v>5.8994422368207067E-3</v>
      </c>
      <c r="M51" s="2" t="s">
        <v>108</v>
      </c>
      <c r="N51" s="3" t="s">
        <v>10</v>
      </c>
      <c r="O51" s="16">
        <v>-5.4041871958173066E-4</v>
      </c>
    </row>
    <row r="52" spans="1:15" ht="16.2" thickBot="1" x14ac:dyDescent="0.35">
      <c r="A52" s="4" t="s">
        <v>109</v>
      </c>
      <c r="B52" s="5" t="s">
        <v>10</v>
      </c>
      <c r="C52" s="53">
        <v>-1.0924213446540829E-4</v>
      </c>
      <c r="D52" s="5" t="s">
        <v>109</v>
      </c>
      <c r="E52" s="5" t="s">
        <v>10</v>
      </c>
      <c r="F52" s="17">
        <v>1.0626546173586834E-4</v>
      </c>
      <c r="G52" s="4" t="s">
        <v>109</v>
      </c>
      <c r="H52" s="5" t="s">
        <v>10</v>
      </c>
      <c r="I52" s="17">
        <v>1.3893603862275515E-3</v>
      </c>
      <c r="J52" s="4" t="s">
        <v>109</v>
      </c>
      <c r="K52" s="5" t="s">
        <v>10</v>
      </c>
      <c r="L52" s="17">
        <v>1.7846579022077608E-2</v>
      </c>
      <c r="M52" s="4" t="s">
        <v>109</v>
      </c>
      <c r="N52" s="5" t="s">
        <v>10</v>
      </c>
      <c r="O52" s="17">
        <v>-6.616748258287679E-4</v>
      </c>
    </row>
    <row r="56" spans="1:15" ht="15" thickBot="1" x14ac:dyDescent="0.35"/>
    <row r="57" spans="1:15" ht="16.2" thickBot="1" x14ac:dyDescent="0.35">
      <c r="A57" s="192" t="s">
        <v>54</v>
      </c>
      <c r="B57" s="193"/>
      <c r="C57" s="194"/>
      <c r="D57" s="189" t="s">
        <v>55</v>
      </c>
      <c r="E57" s="190"/>
      <c r="F57" s="191"/>
      <c r="G57" s="183" t="s">
        <v>42</v>
      </c>
      <c r="H57" s="184"/>
      <c r="I57" s="185"/>
    </row>
    <row r="58" spans="1:15" ht="15.6" x14ac:dyDescent="0.3">
      <c r="A58" s="24" t="s">
        <v>0</v>
      </c>
      <c r="B58" s="25" t="s">
        <v>1</v>
      </c>
      <c r="C58" s="26" t="s">
        <v>2</v>
      </c>
      <c r="D58" s="24" t="s">
        <v>0</v>
      </c>
      <c r="E58" s="25" t="s">
        <v>1</v>
      </c>
      <c r="F58" s="26" t="s">
        <v>2</v>
      </c>
      <c r="G58" s="24" t="s">
        <v>0</v>
      </c>
      <c r="H58" s="25" t="s">
        <v>1</v>
      </c>
      <c r="I58" s="26" t="s">
        <v>2</v>
      </c>
    </row>
    <row r="59" spans="1:15" ht="15.6" x14ac:dyDescent="0.3">
      <c r="A59" s="2" t="s">
        <v>56</v>
      </c>
      <c r="B59" s="3" t="s">
        <v>30</v>
      </c>
      <c r="C59" s="54">
        <v>5.2234947626455429E-5</v>
      </c>
      <c r="D59" s="2" t="s">
        <v>56</v>
      </c>
      <c r="E59" s="3" t="s">
        <v>30</v>
      </c>
      <c r="F59" s="16">
        <v>1.8632694165126356E-4</v>
      </c>
      <c r="G59" s="2" t="s">
        <v>56</v>
      </c>
      <c r="H59" s="3" t="s">
        <v>30</v>
      </c>
      <c r="I59" s="16">
        <v>2.2355033898928292E-3</v>
      </c>
    </row>
    <row r="60" spans="1:15" ht="15.6" x14ac:dyDescent="0.3">
      <c r="A60" s="2" t="s">
        <v>57</v>
      </c>
      <c r="B60" s="3" t="s">
        <v>30</v>
      </c>
      <c r="C60" s="54">
        <v>5.4207698678968486E-5</v>
      </c>
      <c r="D60" s="2" t="s">
        <v>57</v>
      </c>
      <c r="E60" s="3" t="s">
        <v>30</v>
      </c>
      <c r="F60" s="16">
        <v>2.0107621076317179E-4</v>
      </c>
      <c r="G60" s="2" t="s">
        <v>57</v>
      </c>
      <c r="H60" s="3" t="s">
        <v>30</v>
      </c>
      <c r="I60" s="16">
        <v>1.8909949081670641E-3</v>
      </c>
    </row>
    <row r="61" spans="1:15" ht="15.6" x14ac:dyDescent="0.3">
      <c r="A61" s="10" t="s">
        <v>46</v>
      </c>
      <c r="B61" s="11" t="s">
        <v>43</v>
      </c>
      <c r="C61" s="30">
        <f>0.0183873935731096*1000</f>
        <v>18.387393573109598</v>
      </c>
      <c r="D61" s="8" t="s">
        <v>46</v>
      </c>
      <c r="E61" s="9" t="s">
        <v>43</v>
      </c>
      <c r="F61" s="33">
        <f>0.0280303835662778*1000</f>
        <v>28.030383566277802</v>
      </c>
      <c r="G61" s="6" t="s">
        <v>46</v>
      </c>
      <c r="H61" s="7" t="s">
        <v>43</v>
      </c>
      <c r="I61" s="31">
        <f>0.013843730376389*1000</f>
        <v>13.843730376389001</v>
      </c>
    </row>
    <row r="62" spans="1:15" ht="15.6" x14ac:dyDescent="0.3">
      <c r="A62" s="10" t="s">
        <v>47</v>
      </c>
      <c r="B62" s="11" t="s">
        <v>43</v>
      </c>
      <c r="C62" s="30">
        <f>0.0212032980323335*1000</f>
        <v>21.2032980323335</v>
      </c>
      <c r="D62" s="8" t="s">
        <v>47</v>
      </c>
      <c r="E62" s="9" t="s">
        <v>43</v>
      </c>
      <c r="F62" s="33">
        <f>0.0319754292753249*1000</f>
        <v>31.975429275324903</v>
      </c>
      <c r="G62" s="6" t="s">
        <v>47</v>
      </c>
      <c r="H62" s="7" t="s">
        <v>43</v>
      </c>
      <c r="I62" s="31">
        <f>0.0159043238025625*1000</f>
        <v>15.9043238025625</v>
      </c>
    </row>
    <row r="63" spans="1:15" ht="15.6" x14ac:dyDescent="0.3">
      <c r="A63" s="10" t="s">
        <v>48</v>
      </c>
      <c r="B63" s="11" t="s">
        <v>43</v>
      </c>
      <c r="C63" s="30">
        <f>0.017285813310476*1000</f>
        <v>17.285813310475998</v>
      </c>
      <c r="D63" s="8" t="s">
        <v>48</v>
      </c>
      <c r="E63" s="9" t="s">
        <v>43</v>
      </c>
      <c r="F63" s="33">
        <f>0.0264088027891859*1000</f>
        <v>26.408802789185899</v>
      </c>
      <c r="G63" s="6" t="s">
        <v>48</v>
      </c>
      <c r="H63" s="7" t="s">
        <v>43</v>
      </c>
      <c r="I63" s="31">
        <f>0.0129660759098765*1000</f>
        <v>12.966075909876499</v>
      </c>
    </row>
    <row r="64" spans="1:15" ht="15.6" x14ac:dyDescent="0.3">
      <c r="A64" s="2" t="s">
        <v>58</v>
      </c>
      <c r="B64" s="3" t="s">
        <v>6</v>
      </c>
      <c r="C64" s="16">
        <v>1.8414239896696449E-2</v>
      </c>
      <c r="D64" s="2" t="s">
        <v>58</v>
      </c>
      <c r="E64" s="3" t="s">
        <v>6</v>
      </c>
      <c r="F64" s="16">
        <v>2.844937809883645E-2</v>
      </c>
      <c r="G64" s="2" t="s">
        <v>58</v>
      </c>
      <c r="H64" s="3" t="s">
        <v>6</v>
      </c>
      <c r="I64" s="16">
        <v>1.3898165579838024E-2</v>
      </c>
    </row>
    <row r="65" spans="1:9" ht="15.6" x14ac:dyDescent="0.3">
      <c r="A65" s="2" t="s">
        <v>59</v>
      </c>
      <c r="B65" s="3" t="s">
        <v>6</v>
      </c>
      <c r="C65" s="16">
        <v>1.8467206852419871E-2</v>
      </c>
      <c r="D65" s="2" t="s">
        <v>59</v>
      </c>
      <c r="E65" s="3" t="s">
        <v>6</v>
      </c>
      <c r="F65" s="16">
        <v>2.8686784624727228E-2</v>
      </c>
      <c r="G65" s="2" t="s">
        <v>59</v>
      </c>
      <c r="H65" s="3" t="s">
        <v>6</v>
      </c>
      <c r="I65" s="16">
        <v>1.3944215904288607E-2</v>
      </c>
    </row>
    <row r="66" spans="1:9" ht="15.6" x14ac:dyDescent="0.3">
      <c r="A66" s="2" t="s">
        <v>60</v>
      </c>
      <c r="B66" s="3" t="s">
        <v>61</v>
      </c>
      <c r="C66" s="16">
        <v>4.5011790429905874E-5</v>
      </c>
      <c r="D66" s="2" t="s">
        <v>60</v>
      </c>
      <c r="E66" s="3" t="s">
        <v>61</v>
      </c>
      <c r="F66" s="16">
        <v>1.8693460680188452E-4</v>
      </c>
      <c r="G66" s="2" t="s">
        <v>60</v>
      </c>
      <c r="H66" s="3" t="s">
        <v>61</v>
      </c>
      <c r="I66" s="16">
        <v>1.7359751261234374E-4</v>
      </c>
    </row>
    <row r="67" spans="1:9" ht="15.6" x14ac:dyDescent="0.3">
      <c r="A67" s="2" t="s">
        <v>62</v>
      </c>
      <c r="B67" s="3" t="s">
        <v>63</v>
      </c>
      <c r="C67" s="16">
        <v>1.2594449390351137E-5</v>
      </c>
      <c r="D67" s="2" t="s">
        <v>62</v>
      </c>
      <c r="E67" s="3" t="s">
        <v>63</v>
      </c>
      <c r="F67" s="16">
        <v>4.7493057255968461E-5</v>
      </c>
      <c r="G67" s="2" t="s">
        <v>62</v>
      </c>
      <c r="H67" s="3" t="s">
        <v>63</v>
      </c>
      <c r="I67" s="16">
        <v>6.4498988071434423E-3</v>
      </c>
    </row>
    <row r="68" spans="1:9" ht="15.6" x14ac:dyDescent="0.3">
      <c r="A68" s="2" t="s">
        <v>64</v>
      </c>
      <c r="B68" s="3" t="s">
        <v>10</v>
      </c>
      <c r="C68" s="16">
        <v>9.3885140857306231E-4</v>
      </c>
      <c r="D68" s="2" t="s">
        <v>64</v>
      </c>
      <c r="E68" s="3" t="s">
        <v>10</v>
      </c>
      <c r="F68" s="16">
        <v>1.4609758363458344E-2</v>
      </c>
      <c r="G68" s="2" t="s">
        <v>64</v>
      </c>
      <c r="H68" s="3" t="s">
        <v>10</v>
      </c>
      <c r="I68" s="16">
        <v>0.12995209714006681</v>
      </c>
    </row>
    <row r="69" spans="1:9" ht="15.6" x14ac:dyDescent="0.3">
      <c r="A69" s="2" t="s">
        <v>65</v>
      </c>
      <c r="B69" s="3" t="s">
        <v>10</v>
      </c>
      <c r="C69" s="16">
        <v>9.4599124989719504E-4</v>
      </c>
      <c r="D69" s="2" t="s">
        <v>65</v>
      </c>
      <c r="E69" s="3" t="s">
        <v>10</v>
      </c>
      <c r="F69" s="16">
        <v>1.3671787640489794E-2</v>
      </c>
      <c r="G69" s="2" t="s">
        <v>65</v>
      </c>
      <c r="H69" s="3" t="s">
        <v>10</v>
      </c>
      <c r="I69" s="16">
        <v>0.12945628784170193</v>
      </c>
    </row>
    <row r="70" spans="1:9" ht="15.6" x14ac:dyDescent="0.3">
      <c r="A70" s="2" t="s">
        <v>66</v>
      </c>
      <c r="B70" s="3" t="s">
        <v>10</v>
      </c>
      <c r="C70" s="16">
        <v>9.4908609490517728E-4</v>
      </c>
      <c r="D70" s="2" t="s">
        <v>66</v>
      </c>
      <c r="E70" s="3" t="s">
        <v>10</v>
      </c>
      <c r="F70" s="16">
        <v>1.4668523822131638E-2</v>
      </c>
      <c r="G70" s="2" t="s">
        <v>66</v>
      </c>
      <c r="H70" s="3" t="s">
        <v>10</v>
      </c>
      <c r="I70" s="16">
        <v>0.12996492026330614</v>
      </c>
    </row>
    <row r="71" spans="1:9" ht="15.6" x14ac:dyDescent="0.3">
      <c r="A71" s="2" t="s">
        <v>67</v>
      </c>
      <c r="B71" s="3" t="s">
        <v>10</v>
      </c>
      <c r="C71" s="16">
        <v>9.6916747187714679E-4</v>
      </c>
      <c r="D71" s="2" t="s">
        <v>67</v>
      </c>
      <c r="E71" s="3" t="s">
        <v>10</v>
      </c>
      <c r="F71" s="16">
        <v>1.4896271794258197E-2</v>
      </c>
      <c r="G71" s="2" t="s">
        <v>67</v>
      </c>
      <c r="H71" s="3" t="s">
        <v>10</v>
      </c>
      <c r="I71" s="16">
        <v>0.13004601117542891</v>
      </c>
    </row>
    <row r="72" spans="1:9" ht="15.6" x14ac:dyDescent="0.3">
      <c r="A72" s="2" t="s">
        <v>68</v>
      </c>
      <c r="B72" s="3" t="s">
        <v>10</v>
      </c>
      <c r="C72" s="16">
        <v>1.9110459712134518E-3</v>
      </c>
      <c r="D72" s="2" t="s">
        <v>68</v>
      </c>
      <c r="E72" s="3" t="s">
        <v>10</v>
      </c>
      <c r="F72" s="16">
        <v>3.2628790261760104E-2</v>
      </c>
      <c r="G72" s="2" t="s">
        <v>68</v>
      </c>
      <c r="H72" s="3" t="s">
        <v>10</v>
      </c>
      <c r="I72" s="16">
        <v>0.13729342045517928</v>
      </c>
    </row>
    <row r="73" spans="1:9" ht="15.6" x14ac:dyDescent="0.3">
      <c r="A73" s="2" t="s">
        <v>69</v>
      </c>
      <c r="B73" s="3" t="s">
        <v>10</v>
      </c>
      <c r="C73" s="16">
        <v>1.9305836329646475E-3</v>
      </c>
      <c r="D73" s="2" t="s">
        <v>69</v>
      </c>
      <c r="E73" s="3" t="s">
        <v>10</v>
      </c>
      <c r="F73" s="16">
        <v>3.0097194637944771E-2</v>
      </c>
      <c r="G73" s="2" t="s">
        <v>69</v>
      </c>
      <c r="H73" s="3" t="s">
        <v>10</v>
      </c>
      <c r="I73" s="16">
        <v>0.13594843082016342</v>
      </c>
    </row>
    <row r="74" spans="1:9" ht="15.6" x14ac:dyDescent="0.3">
      <c r="A74" s="2" t="s">
        <v>70</v>
      </c>
      <c r="B74" s="3" t="s">
        <v>10</v>
      </c>
      <c r="C74" s="16">
        <v>1.9355939532468924E-3</v>
      </c>
      <c r="D74" s="2" t="s">
        <v>70</v>
      </c>
      <c r="E74" s="3" t="s">
        <v>10</v>
      </c>
      <c r="F74" s="16">
        <v>3.2769321634912869E-2</v>
      </c>
      <c r="G74" s="2" t="s">
        <v>70</v>
      </c>
      <c r="H74" s="3" t="s">
        <v>10</v>
      </c>
      <c r="I74" s="16">
        <v>0.13732378241927742</v>
      </c>
    </row>
    <row r="75" spans="1:9" ht="15.6" x14ac:dyDescent="0.3">
      <c r="A75" s="2" t="s">
        <v>71</v>
      </c>
      <c r="B75" s="3" t="s">
        <v>10</v>
      </c>
      <c r="C75" s="16">
        <v>1.9791523483733012E-3</v>
      </c>
      <c r="D75" s="2" t="s">
        <v>71</v>
      </c>
      <c r="E75" s="3" t="s">
        <v>10</v>
      </c>
      <c r="F75" s="16">
        <v>3.3196137660859472E-2</v>
      </c>
      <c r="G75" s="2" t="s">
        <v>71</v>
      </c>
      <c r="H75" s="3" t="s">
        <v>10</v>
      </c>
      <c r="I75" s="16">
        <v>0.13745229602654502</v>
      </c>
    </row>
    <row r="76" spans="1:9" ht="15.6" x14ac:dyDescent="0.3">
      <c r="A76" s="2" t="s">
        <v>72</v>
      </c>
      <c r="B76" s="3" t="s">
        <v>10</v>
      </c>
      <c r="C76" s="16">
        <v>3.3096863578163998E-3</v>
      </c>
      <c r="D76" s="2" t="s">
        <v>72</v>
      </c>
      <c r="E76" s="3" t="s">
        <v>10</v>
      </c>
      <c r="F76" s="16">
        <v>2.4928129670706914E-2</v>
      </c>
      <c r="G76" s="2" t="s">
        <v>72</v>
      </c>
      <c r="H76" s="3" t="s">
        <v>10</v>
      </c>
      <c r="I76" s="16">
        <v>9.4576941292480801E-3</v>
      </c>
    </row>
    <row r="77" spans="1:9" ht="15.6" x14ac:dyDescent="0.3">
      <c r="A77" s="2" t="s">
        <v>73</v>
      </c>
      <c r="B77" s="3" t="s">
        <v>10</v>
      </c>
      <c r="C77" s="16">
        <v>3.2914654071302899E-3</v>
      </c>
      <c r="D77" s="2" t="s">
        <v>73</v>
      </c>
      <c r="E77" s="3" t="s">
        <v>10</v>
      </c>
      <c r="F77" s="16">
        <v>2.4856798746837303E-2</v>
      </c>
      <c r="G77" s="2" t="s">
        <v>73</v>
      </c>
      <c r="H77" s="3" t="s">
        <v>10</v>
      </c>
      <c r="I77" s="16">
        <v>9.4390856054923887E-3</v>
      </c>
    </row>
    <row r="78" spans="1:9" ht="15.6" x14ac:dyDescent="0.3">
      <c r="A78" s="2" t="s">
        <v>74</v>
      </c>
      <c r="B78" s="3" t="s">
        <v>10</v>
      </c>
      <c r="C78" s="16">
        <v>3.3486528693163274E-3</v>
      </c>
      <c r="D78" s="2" t="s">
        <v>74</v>
      </c>
      <c r="E78" s="3" t="s">
        <v>10</v>
      </c>
      <c r="F78" s="16">
        <v>2.5078629835596316E-2</v>
      </c>
      <c r="G78" s="2" t="s">
        <v>74</v>
      </c>
      <c r="H78" s="3" t="s">
        <v>10</v>
      </c>
      <c r="I78" s="16">
        <v>9.5035544663697423E-3</v>
      </c>
    </row>
    <row r="79" spans="1:9" ht="15.6" x14ac:dyDescent="0.3">
      <c r="A79" s="2" t="s">
        <v>75</v>
      </c>
      <c r="B79" s="3" t="s">
        <v>10</v>
      </c>
      <c r="C79" s="16">
        <v>5.2905345992509158E-3</v>
      </c>
      <c r="D79" s="2" t="s">
        <v>75</v>
      </c>
      <c r="E79" s="3" t="s">
        <v>10</v>
      </c>
      <c r="F79" s="16">
        <v>4.0235270225956618E-2</v>
      </c>
      <c r="G79" s="2" t="s">
        <v>75</v>
      </c>
      <c r="H79" s="3" t="s">
        <v>10</v>
      </c>
      <c r="I79" s="16">
        <v>1.6304555599800017E-2</v>
      </c>
    </row>
    <row r="80" spans="1:9" ht="15.6" x14ac:dyDescent="0.3">
      <c r="A80" s="2" t="s">
        <v>76</v>
      </c>
      <c r="B80" s="3" t="s">
        <v>77</v>
      </c>
      <c r="C80" s="16">
        <v>1.1006265033978823E-11</v>
      </c>
      <c r="D80" s="2" t="s">
        <v>76</v>
      </c>
      <c r="E80" s="3" t="s">
        <v>77</v>
      </c>
      <c r="F80" s="16">
        <v>3.6765983025149653E-10</v>
      </c>
      <c r="G80" s="2" t="s">
        <v>76</v>
      </c>
      <c r="H80" s="3" t="s">
        <v>77</v>
      </c>
      <c r="I80" s="16">
        <v>1.0644979279314114E-10</v>
      </c>
    </row>
    <row r="81" spans="1:9" ht="15.6" x14ac:dyDescent="0.3">
      <c r="A81" s="2" t="s">
        <v>78</v>
      </c>
      <c r="B81" s="3" t="s">
        <v>4</v>
      </c>
      <c r="C81" s="16">
        <v>2.2295432260920317E-4</v>
      </c>
      <c r="D81" s="2" t="s">
        <v>78</v>
      </c>
      <c r="E81" s="3" t="s">
        <v>4</v>
      </c>
      <c r="F81" s="16">
        <v>2.5899618458943934E-2</v>
      </c>
      <c r="G81" s="2" t="s">
        <v>78</v>
      </c>
      <c r="H81" s="3" t="s">
        <v>4</v>
      </c>
      <c r="I81" s="16">
        <v>5.1107259197701992E-3</v>
      </c>
    </row>
    <row r="82" spans="1:9" ht="15.6" x14ac:dyDescent="0.3">
      <c r="A82" s="2" t="s">
        <v>79</v>
      </c>
      <c r="B82" s="3" t="s">
        <v>80</v>
      </c>
      <c r="C82" s="16">
        <v>781.85289130602905</v>
      </c>
      <c r="D82" s="2" t="s">
        <v>79</v>
      </c>
      <c r="E82" s="3" t="s">
        <v>80</v>
      </c>
      <c r="F82" s="16">
        <v>974.39537003887358</v>
      </c>
      <c r="G82" s="2" t="s">
        <v>79</v>
      </c>
      <c r="H82" s="3" t="s">
        <v>80</v>
      </c>
      <c r="I82" s="16">
        <v>636.17027412397829</v>
      </c>
    </row>
    <row r="83" spans="1:9" ht="15.6" x14ac:dyDescent="0.3">
      <c r="A83" s="2" t="s">
        <v>81</v>
      </c>
      <c r="B83" s="3" t="s">
        <v>10</v>
      </c>
      <c r="C83" s="16">
        <v>3.869275691788663E-3</v>
      </c>
      <c r="D83" s="2" t="s">
        <v>81</v>
      </c>
      <c r="E83" s="3" t="s">
        <v>10</v>
      </c>
      <c r="F83" s="16">
        <v>5.2585556777929449E-2</v>
      </c>
      <c r="G83" s="2" t="s">
        <v>81</v>
      </c>
      <c r="H83" s="3" t="s">
        <v>10</v>
      </c>
      <c r="I83" s="16">
        <v>2.772521630937055E-2</v>
      </c>
    </row>
    <row r="84" spans="1:9" ht="15.6" x14ac:dyDescent="0.3">
      <c r="A84" s="2" t="s">
        <v>82</v>
      </c>
      <c r="B84" s="3" t="s">
        <v>10</v>
      </c>
      <c r="C84" s="16">
        <v>7.0620339289064556E-4</v>
      </c>
      <c r="D84" s="2" t="s">
        <v>82</v>
      </c>
      <c r="E84" s="3" t="s">
        <v>10</v>
      </c>
      <c r="F84" s="16">
        <v>7.5466007004787502E-3</v>
      </c>
      <c r="G84" s="2" t="s">
        <v>82</v>
      </c>
      <c r="H84" s="3" t="s">
        <v>10</v>
      </c>
      <c r="I84" s="16">
        <v>4.2335695317383551E-3</v>
      </c>
    </row>
    <row r="85" spans="1:9" ht="15.6" x14ac:dyDescent="0.3">
      <c r="A85" s="2" t="s">
        <v>83</v>
      </c>
      <c r="B85" s="3" t="s">
        <v>10</v>
      </c>
      <c r="C85" s="16">
        <v>1.9636479680231377E-2</v>
      </c>
      <c r="D85" s="2" t="s">
        <v>83</v>
      </c>
      <c r="E85" s="3" t="s">
        <v>10</v>
      </c>
      <c r="F85" s="16">
        <v>0.28611649723867577</v>
      </c>
      <c r="G85" s="2" t="s">
        <v>83</v>
      </c>
      <c r="H85" s="3" t="s">
        <v>10</v>
      </c>
      <c r="I85" s="16">
        <v>0.14923779171864265</v>
      </c>
    </row>
    <row r="86" spans="1:9" ht="15.6" x14ac:dyDescent="0.3">
      <c r="A86" s="2" t="s">
        <v>84</v>
      </c>
      <c r="B86" s="3" t="s">
        <v>10</v>
      </c>
      <c r="C86" s="16">
        <v>3.1032614478184923</v>
      </c>
      <c r="D86" s="2" t="s">
        <v>84</v>
      </c>
      <c r="E86" s="3" t="s">
        <v>10</v>
      </c>
      <c r="F86" s="16">
        <v>32.777483156596062</v>
      </c>
      <c r="G86" s="2" t="s">
        <v>84</v>
      </c>
      <c r="H86" s="3" t="s">
        <v>10</v>
      </c>
      <c r="I86" s="16">
        <v>16.864702723738702</v>
      </c>
    </row>
    <row r="87" spans="1:9" ht="15.6" x14ac:dyDescent="0.3">
      <c r="A87" s="2" t="s">
        <v>85</v>
      </c>
      <c r="B87" s="3" t="s">
        <v>10</v>
      </c>
      <c r="C87" s="16">
        <v>4.4012568690088329E-3</v>
      </c>
      <c r="D87" s="2" t="s">
        <v>85</v>
      </c>
      <c r="E87" s="3" t="s">
        <v>10</v>
      </c>
      <c r="F87" s="16">
        <v>6.0107011124901924E-2</v>
      </c>
      <c r="G87" s="2" t="s">
        <v>85</v>
      </c>
      <c r="H87" s="3" t="s">
        <v>10</v>
      </c>
      <c r="I87" s="16">
        <v>3.1268423792520803E-2</v>
      </c>
    </row>
    <row r="88" spans="1:9" ht="15.6" x14ac:dyDescent="0.3">
      <c r="A88" s="2" t="s">
        <v>86</v>
      </c>
      <c r="B88" s="3" t="s">
        <v>10</v>
      </c>
      <c r="C88" s="16">
        <v>1.333363261654975E-3</v>
      </c>
      <c r="D88" s="2" t="s">
        <v>86</v>
      </c>
      <c r="E88" s="3" t="s">
        <v>10</v>
      </c>
      <c r="F88" s="16">
        <v>1.354959475452938E-2</v>
      </c>
      <c r="G88" s="2" t="s">
        <v>86</v>
      </c>
      <c r="H88" s="3" t="s">
        <v>10</v>
      </c>
      <c r="I88" s="16">
        <v>7.1415611386290937E-3</v>
      </c>
    </row>
    <row r="89" spans="1:9" ht="15.6" x14ac:dyDescent="0.3">
      <c r="A89" s="2" t="s">
        <v>87</v>
      </c>
      <c r="B89" s="3" t="s">
        <v>10</v>
      </c>
      <c r="C89" s="16">
        <v>1.9274216208515934E-2</v>
      </c>
      <c r="D89" s="2" t="s">
        <v>87</v>
      </c>
      <c r="E89" s="3" t="s">
        <v>10</v>
      </c>
      <c r="F89" s="16">
        <v>0.26517817037686198</v>
      </c>
      <c r="G89" s="2" t="s">
        <v>87</v>
      </c>
      <c r="H89" s="3" t="s">
        <v>10</v>
      </c>
      <c r="I89" s="16">
        <v>0.13709837466474212</v>
      </c>
    </row>
    <row r="90" spans="1:9" ht="15.6" x14ac:dyDescent="0.3">
      <c r="A90" s="2" t="s">
        <v>88</v>
      </c>
      <c r="B90" s="3" t="s">
        <v>10</v>
      </c>
      <c r="C90" s="16">
        <v>2.6952202806045862</v>
      </c>
      <c r="D90" s="2" t="s">
        <v>88</v>
      </c>
      <c r="E90" s="3" t="s">
        <v>10</v>
      </c>
      <c r="F90" s="16">
        <v>18.79845555104195</v>
      </c>
      <c r="G90" s="2" t="s">
        <v>88</v>
      </c>
      <c r="H90" s="3" t="s">
        <v>10</v>
      </c>
      <c r="I90" s="16">
        <v>9.4745404481997415</v>
      </c>
    </row>
    <row r="91" spans="1:9" ht="15.6" x14ac:dyDescent="0.3">
      <c r="A91" s="2" t="s">
        <v>89</v>
      </c>
      <c r="B91" s="3" t="s">
        <v>90</v>
      </c>
      <c r="C91" s="16">
        <v>1.9278309640277799E-4</v>
      </c>
      <c r="D91" s="2" t="s">
        <v>89</v>
      </c>
      <c r="E91" s="3" t="s">
        <v>90</v>
      </c>
      <c r="F91" s="16">
        <v>6.2372106836253078E-6</v>
      </c>
      <c r="G91" s="2" t="s">
        <v>89</v>
      </c>
      <c r="H91" s="3" t="s">
        <v>90</v>
      </c>
      <c r="I91" s="16">
        <v>3.2068682402532092E-6</v>
      </c>
    </row>
    <row r="92" spans="1:9" ht="15.6" x14ac:dyDescent="0.3">
      <c r="A92" s="2" t="s">
        <v>91</v>
      </c>
      <c r="B92" s="3" t="s">
        <v>92</v>
      </c>
      <c r="C92" s="16">
        <v>1.5136981050923757E-4</v>
      </c>
      <c r="D92" s="2" t="s">
        <v>91</v>
      </c>
      <c r="E92" s="3" t="s">
        <v>92</v>
      </c>
      <c r="F92" s="16">
        <v>8.8701002150785128E-6</v>
      </c>
      <c r="G92" s="2" t="s">
        <v>91</v>
      </c>
      <c r="H92" s="3" t="s">
        <v>92</v>
      </c>
      <c r="I92" s="16">
        <v>8.8908167859634731E-5</v>
      </c>
    </row>
    <row r="93" spans="1:9" ht="15.6" x14ac:dyDescent="0.3">
      <c r="A93" s="2" t="s">
        <v>93</v>
      </c>
      <c r="B93" s="3" t="s">
        <v>92</v>
      </c>
      <c r="C93" s="16">
        <v>1.5588856170146688E-4</v>
      </c>
      <c r="D93" s="2" t="s">
        <v>93</v>
      </c>
      <c r="E93" s="3" t="s">
        <v>92</v>
      </c>
      <c r="F93" s="16">
        <v>5.7951578603982309E-6</v>
      </c>
      <c r="G93" s="2" t="s">
        <v>93</v>
      </c>
      <c r="H93" s="3" t="s">
        <v>92</v>
      </c>
      <c r="I93" s="16">
        <v>2.5334558395333953E-6</v>
      </c>
    </row>
    <row r="94" spans="1:9" ht="15.6" x14ac:dyDescent="0.3">
      <c r="A94" s="2" t="s">
        <v>94</v>
      </c>
      <c r="B94" s="3" t="s">
        <v>90</v>
      </c>
      <c r="C94" s="16">
        <v>9.1354520360386595E-5</v>
      </c>
      <c r="D94" s="2" t="s">
        <v>94</v>
      </c>
      <c r="E94" s="3" t="s">
        <v>90</v>
      </c>
      <c r="F94" s="16">
        <v>4.1081169152712396E-6</v>
      </c>
      <c r="G94" s="2" t="s">
        <v>94</v>
      </c>
      <c r="H94" s="3" t="s">
        <v>90</v>
      </c>
      <c r="I94" s="16">
        <v>3.5695112419912974E-6</v>
      </c>
    </row>
    <row r="95" spans="1:9" ht="15.6" x14ac:dyDescent="0.3">
      <c r="A95" s="2" t="s">
        <v>95</v>
      </c>
      <c r="B95" s="3" t="s">
        <v>90</v>
      </c>
      <c r="C95" s="16">
        <v>1.6836121978995027E-4</v>
      </c>
      <c r="D95" s="2" t="s">
        <v>95</v>
      </c>
      <c r="E95" s="3" t="s">
        <v>90</v>
      </c>
      <c r="F95" s="16">
        <v>5.6021298252220609E-6</v>
      </c>
      <c r="G95" s="2" t="s">
        <v>95</v>
      </c>
      <c r="H95" s="3" t="s">
        <v>90</v>
      </c>
      <c r="I95" s="16">
        <v>3.9535486324233197E-6</v>
      </c>
    </row>
    <row r="96" spans="1:9" ht="15.6" x14ac:dyDescent="0.3">
      <c r="A96" s="2" t="s">
        <v>96</v>
      </c>
      <c r="B96" s="3" t="s">
        <v>97</v>
      </c>
      <c r="C96" s="16">
        <v>2.6299550350521552E-4</v>
      </c>
      <c r="D96" s="2" t="s">
        <v>96</v>
      </c>
      <c r="E96" s="3" t="s">
        <v>97</v>
      </c>
      <c r="F96" s="16">
        <v>4.2587762856960827E-4</v>
      </c>
      <c r="G96" s="2" t="s">
        <v>96</v>
      </c>
      <c r="H96" s="3" t="s">
        <v>97</v>
      </c>
      <c r="I96" s="16">
        <v>1.1737635575058856E-4</v>
      </c>
    </row>
    <row r="97" spans="1:9" ht="15.6" x14ac:dyDescent="0.3">
      <c r="A97" s="2" t="s">
        <v>98</v>
      </c>
      <c r="B97" s="3" t="s">
        <v>24</v>
      </c>
      <c r="C97" s="16">
        <v>4.9490032856925899E-9</v>
      </c>
      <c r="D97" s="2" t="s">
        <v>98</v>
      </c>
      <c r="E97" s="3" t="s">
        <v>24</v>
      </c>
      <c r="F97" s="16">
        <v>1.5879619012923891E-8</v>
      </c>
      <c r="G97" s="2" t="s">
        <v>98</v>
      </c>
      <c r="H97" s="3" t="s">
        <v>24</v>
      </c>
      <c r="I97" s="16">
        <v>2.0998350615773122E-9</v>
      </c>
    </row>
    <row r="98" spans="1:9" ht="15.6" x14ac:dyDescent="0.3">
      <c r="A98" s="2" t="s">
        <v>99</v>
      </c>
      <c r="B98" s="3" t="s">
        <v>24</v>
      </c>
      <c r="C98" s="16">
        <v>4.8739391202659754E-9</v>
      </c>
      <c r="D98" s="2" t="s">
        <v>99</v>
      </c>
      <c r="E98" s="3" t="s">
        <v>24</v>
      </c>
      <c r="F98" s="16">
        <v>1.5704189504168648E-8</v>
      </c>
      <c r="G98" s="2" t="s">
        <v>99</v>
      </c>
      <c r="H98" s="3" t="s">
        <v>24</v>
      </c>
      <c r="I98" s="16">
        <v>2.0252803555160539E-9</v>
      </c>
    </row>
    <row r="99" spans="1:9" ht="15.6" x14ac:dyDescent="0.3">
      <c r="A99" s="2" t="s">
        <v>100</v>
      </c>
      <c r="B99" s="3" t="s">
        <v>24</v>
      </c>
      <c r="C99" s="16">
        <v>4.7871876380529787E-9</v>
      </c>
      <c r="D99" s="2" t="s">
        <v>100</v>
      </c>
      <c r="E99" s="3" t="s">
        <v>24</v>
      </c>
      <c r="F99" s="16">
        <v>1.5561673844466962E-8</v>
      </c>
      <c r="G99" s="2" t="s">
        <v>100</v>
      </c>
      <c r="H99" s="3" t="s">
        <v>24</v>
      </c>
      <c r="I99" s="16">
        <v>1.9662069932115842E-9</v>
      </c>
    </row>
    <row r="100" spans="1:9" ht="15.6" x14ac:dyDescent="0.3">
      <c r="A100" s="2" t="s">
        <v>101</v>
      </c>
      <c r="B100" s="3" t="s">
        <v>24</v>
      </c>
      <c r="C100" s="16">
        <v>4.7570194850243123E-9</v>
      </c>
      <c r="D100" s="2" t="s">
        <v>101</v>
      </c>
      <c r="E100" s="3" t="s">
        <v>24</v>
      </c>
      <c r="F100" s="16">
        <v>1.5569968634135027E-8</v>
      </c>
      <c r="G100" s="2" t="s">
        <v>101</v>
      </c>
      <c r="H100" s="3" t="s">
        <v>24</v>
      </c>
      <c r="I100" s="16">
        <v>1.9336242380985616E-9</v>
      </c>
    </row>
    <row r="101" spans="1:9" ht="15.6" x14ac:dyDescent="0.3">
      <c r="A101" s="2" t="s">
        <v>102</v>
      </c>
      <c r="B101" s="3" t="s">
        <v>24</v>
      </c>
      <c r="C101" s="16">
        <v>4.7170811605157043E-9</v>
      </c>
      <c r="D101" s="2" t="s">
        <v>102</v>
      </c>
      <c r="E101" s="3" t="s">
        <v>24</v>
      </c>
      <c r="F101" s="16">
        <v>1.5454863252654246E-8</v>
      </c>
      <c r="G101" s="2" t="s">
        <v>102</v>
      </c>
      <c r="H101" s="3" t="s">
        <v>24</v>
      </c>
      <c r="I101" s="16">
        <v>1.8918057998932906E-9</v>
      </c>
    </row>
    <row r="102" spans="1:9" ht="15.6" x14ac:dyDescent="0.3">
      <c r="A102" s="2" t="s">
        <v>103</v>
      </c>
      <c r="B102" s="3" t="s">
        <v>24</v>
      </c>
      <c r="C102" s="16">
        <v>4.608605629674538E-9</v>
      </c>
      <c r="D102" s="2" t="s">
        <v>103</v>
      </c>
      <c r="E102" s="3" t="s">
        <v>24</v>
      </c>
      <c r="F102" s="16">
        <v>1.5045271629632502E-8</v>
      </c>
      <c r="G102" s="2" t="s">
        <v>103</v>
      </c>
      <c r="H102" s="3" t="s">
        <v>24</v>
      </c>
      <c r="I102" s="16">
        <v>1.7995951069043409E-9</v>
      </c>
    </row>
    <row r="103" spans="1:9" ht="15.6" x14ac:dyDescent="0.3">
      <c r="A103" s="2" t="s">
        <v>104</v>
      </c>
      <c r="B103" s="3" t="s">
        <v>24</v>
      </c>
      <c r="C103" s="16">
        <v>5.0074096786788222E-9</v>
      </c>
      <c r="D103" s="2" t="s">
        <v>104</v>
      </c>
      <c r="E103" s="3" t="s">
        <v>24</v>
      </c>
      <c r="F103" s="16">
        <v>1.6091105701474245E-8</v>
      </c>
      <c r="G103" s="2" t="s">
        <v>104</v>
      </c>
      <c r="H103" s="3" t="s">
        <v>24</v>
      </c>
      <c r="I103" s="16">
        <v>2.2042604537255947E-9</v>
      </c>
    </row>
    <row r="104" spans="1:9" ht="15.6" x14ac:dyDescent="0.3">
      <c r="A104" s="2" t="s">
        <v>105</v>
      </c>
      <c r="B104" s="3" t="s">
        <v>24</v>
      </c>
      <c r="C104" s="16">
        <v>4.8128890859483306E-9</v>
      </c>
      <c r="D104" s="2" t="s">
        <v>105</v>
      </c>
      <c r="E104" s="3" t="s">
        <v>24</v>
      </c>
      <c r="F104" s="16">
        <v>1.3448639355335987E-8</v>
      </c>
      <c r="G104" s="2" t="s">
        <v>105</v>
      </c>
      <c r="H104" s="3" t="s">
        <v>24</v>
      </c>
      <c r="I104" s="16">
        <v>1.5890375059622711E-9</v>
      </c>
    </row>
    <row r="105" spans="1:9" ht="15.6" x14ac:dyDescent="0.3">
      <c r="A105" s="2" t="s">
        <v>106</v>
      </c>
      <c r="B105" s="3" t="s">
        <v>10</v>
      </c>
      <c r="C105" s="16">
        <v>4.940318933581206E-6</v>
      </c>
      <c r="D105" s="2" t="s">
        <v>106</v>
      </c>
      <c r="E105" s="3" t="s">
        <v>10</v>
      </c>
      <c r="F105" s="16">
        <v>1.318609719937156E-5</v>
      </c>
      <c r="G105" s="2" t="s">
        <v>106</v>
      </c>
      <c r="H105" s="3" t="s">
        <v>10</v>
      </c>
      <c r="I105" s="16">
        <v>1.3014529203121121E-2</v>
      </c>
    </row>
    <row r="106" spans="1:9" ht="15.6" x14ac:dyDescent="0.3">
      <c r="A106" s="2" t="s">
        <v>107</v>
      </c>
      <c r="B106" s="3" t="s">
        <v>10</v>
      </c>
      <c r="C106" s="16">
        <v>4.610491357014082E-6</v>
      </c>
      <c r="D106" s="2" t="s">
        <v>107</v>
      </c>
      <c r="E106" s="3" t="s">
        <v>10</v>
      </c>
      <c r="F106" s="16">
        <v>6.8599852283464244E-6</v>
      </c>
      <c r="G106" s="2" t="s">
        <v>107</v>
      </c>
      <c r="H106" s="3" t="s">
        <v>10</v>
      </c>
      <c r="I106" s="16">
        <v>1.3013060059773133E-2</v>
      </c>
    </row>
    <row r="107" spans="1:9" ht="15.6" x14ac:dyDescent="0.3">
      <c r="A107" s="2" t="s">
        <v>108</v>
      </c>
      <c r="B107" s="3" t="s">
        <v>10</v>
      </c>
      <c r="C107" s="16">
        <v>6.0444704603607474E-6</v>
      </c>
      <c r="D107" s="2" t="s">
        <v>108</v>
      </c>
      <c r="E107" s="3" t="s">
        <v>10</v>
      </c>
      <c r="F107" s="16">
        <v>3.7714469826864911E-5</v>
      </c>
      <c r="G107" s="2" t="s">
        <v>108</v>
      </c>
      <c r="H107" s="3" t="s">
        <v>10</v>
      </c>
      <c r="I107" s="16">
        <v>1.3020043222001187E-2</v>
      </c>
    </row>
    <row r="108" spans="1:9" ht="16.2" thickBot="1" x14ac:dyDescent="0.35">
      <c r="A108" s="4" t="s">
        <v>109</v>
      </c>
      <c r="B108" s="5" t="s">
        <v>10</v>
      </c>
      <c r="C108" s="17">
        <v>1.1051841830652728E-5</v>
      </c>
      <c r="D108" s="4" t="s">
        <v>109</v>
      </c>
      <c r="E108" s="5" t="s">
        <v>10</v>
      </c>
      <c r="F108" s="17">
        <v>1.381187192899753E-4</v>
      </c>
      <c r="G108" s="4" t="s">
        <v>109</v>
      </c>
      <c r="H108" s="5" t="s">
        <v>10</v>
      </c>
      <c r="I108" s="17">
        <v>1.3043777574880334E-2</v>
      </c>
    </row>
  </sheetData>
  <mergeCells count="8">
    <mergeCell ref="J1:L1"/>
    <mergeCell ref="M1:O1"/>
    <mergeCell ref="A57:C57"/>
    <mergeCell ref="D57:F57"/>
    <mergeCell ref="G57:I57"/>
    <mergeCell ref="A1:C1"/>
    <mergeCell ref="D1:F1"/>
    <mergeCell ref="G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3E8D-234A-4D4E-98CF-D0B90BDC51C9}">
  <dimension ref="A1:O53"/>
  <sheetViews>
    <sheetView zoomScale="55" zoomScaleNormal="55" workbookViewId="0">
      <selection activeCell="J29" sqref="J29"/>
    </sheetView>
  </sheetViews>
  <sheetFormatPr defaultRowHeight="14.4" x14ac:dyDescent="0.3"/>
  <cols>
    <col min="1" max="1" width="26.6640625" bestFit="1" customWidth="1"/>
    <col min="2" max="2" width="9.44140625" bestFit="1" customWidth="1"/>
    <col min="3" max="3" width="7.109375" customWidth="1"/>
    <col min="4" max="4" width="26.77734375" customWidth="1"/>
    <col min="5" max="5" width="9.44140625" bestFit="1" customWidth="1"/>
    <col min="6" max="6" width="8.109375" customWidth="1"/>
    <col min="7" max="7" width="26.77734375" bestFit="1" customWidth="1"/>
    <col min="8" max="8" width="9.77734375" customWidth="1"/>
    <col min="9" max="9" width="7" customWidth="1"/>
    <col min="10" max="10" width="26.6640625" bestFit="1" customWidth="1"/>
    <col min="11" max="11" width="9.44140625" bestFit="1" customWidth="1"/>
    <col min="13" max="13" width="26.6640625" bestFit="1" customWidth="1"/>
    <col min="14" max="14" width="9.44140625" bestFit="1" customWidth="1"/>
  </cols>
  <sheetData>
    <row r="1" spans="1:15" ht="16.2" thickBot="1" x14ac:dyDescent="0.35">
      <c r="A1" s="189" t="s">
        <v>35</v>
      </c>
      <c r="B1" s="190"/>
      <c r="C1" s="191"/>
      <c r="D1" s="192" t="s">
        <v>36</v>
      </c>
      <c r="E1" s="193"/>
      <c r="F1" s="194"/>
      <c r="G1" s="192" t="s">
        <v>37</v>
      </c>
      <c r="H1" s="193"/>
      <c r="I1" s="194"/>
      <c r="J1" s="183" t="s">
        <v>38</v>
      </c>
      <c r="K1" s="184"/>
      <c r="L1" s="185"/>
      <c r="M1" s="186" t="s">
        <v>39</v>
      </c>
      <c r="N1" s="187"/>
      <c r="O1" s="188"/>
    </row>
    <row r="2" spans="1:15" x14ac:dyDescent="0.3">
      <c r="A2" s="206" t="s">
        <v>110</v>
      </c>
      <c r="B2" s="207"/>
      <c r="C2" s="208"/>
      <c r="D2" s="206" t="s">
        <v>110</v>
      </c>
      <c r="E2" s="207"/>
      <c r="F2" s="208"/>
      <c r="G2" s="206" t="s">
        <v>110</v>
      </c>
      <c r="H2" s="207"/>
      <c r="I2" s="208"/>
      <c r="J2" s="206" t="s">
        <v>110</v>
      </c>
      <c r="K2" s="207"/>
      <c r="L2" s="208"/>
      <c r="M2" s="206" t="s">
        <v>110</v>
      </c>
      <c r="N2" s="207"/>
      <c r="O2" s="208"/>
    </row>
    <row r="3" spans="1:15" ht="16.2" thickBot="1" x14ac:dyDescent="0.35">
      <c r="A3" s="67" t="s">
        <v>5</v>
      </c>
      <c r="B3" s="68" t="s">
        <v>43</v>
      </c>
      <c r="C3" s="69">
        <f>0.0280908158769787*1000</f>
        <v>28.090815876978699</v>
      </c>
      <c r="D3" s="67" t="s">
        <v>5</v>
      </c>
      <c r="E3" s="68" t="s">
        <v>43</v>
      </c>
      <c r="F3" s="69">
        <f>0.025529716711785*1000</f>
        <v>25.529716711784999</v>
      </c>
      <c r="G3" s="67" t="s">
        <v>5</v>
      </c>
      <c r="H3" s="68" t="s">
        <v>43</v>
      </c>
      <c r="I3" s="69">
        <f>0.0535214224130506*1000</f>
        <v>53.521422413050601</v>
      </c>
      <c r="J3" s="67" t="s">
        <v>5</v>
      </c>
      <c r="K3" s="68" t="s">
        <v>43</v>
      </c>
      <c r="L3" s="69">
        <f>0.022032*1000</f>
        <v>22.032</v>
      </c>
      <c r="M3" s="67" t="s">
        <v>5</v>
      </c>
      <c r="N3" s="68" t="s">
        <v>43</v>
      </c>
      <c r="O3" s="69">
        <f>0.0285724937876913*1000</f>
        <v>28.572493787691297</v>
      </c>
    </row>
    <row r="5" spans="1:15" ht="15" thickBot="1" x14ac:dyDescent="0.35"/>
    <row r="6" spans="1:15" ht="16.2" thickBot="1" x14ac:dyDescent="0.35">
      <c r="A6" s="189" t="s">
        <v>35</v>
      </c>
      <c r="B6" s="190"/>
      <c r="C6" s="191"/>
      <c r="D6" s="192" t="s">
        <v>36</v>
      </c>
      <c r="E6" s="193"/>
      <c r="F6" s="194"/>
      <c r="G6" s="192" t="s">
        <v>37</v>
      </c>
      <c r="H6" s="193"/>
      <c r="I6" s="194"/>
      <c r="J6" s="183" t="s">
        <v>38</v>
      </c>
      <c r="K6" s="184"/>
      <c r="L6" s="185"/>
      <c r="M6" s="186" t="s">
        <v>39</v>
      </c>
      <c r="N6" s="187"/>
      <c r="O6" s="188"/>
    </row>
    <row r="7" spans="1:15" x14ac:dyDescent="0.3">
      <c r="A7" s="206" t="s">
        <v>111</v>
      </c>
      <c r="B7" s="207"/>
      <c r="C7" s="208"/>
      <c r="D7" s="206" t="s">
        <v>111</v>
      </c>
      <c r="E7" s="207"/>
      <c r="F7" s="208"/>
      <c r="G7" s="206" t="s">
        <v>111</v>
      </c>
      <c r="H7" s="207"/>
      <c r="I7" s="208"/>
      <c r="J7" s="206" t="s">
        <v>111</v>
      </c>
      <c r="K7" s="207"/>
      <c r="L7" s="208"/>
      <c r="M7" s="206" t="s">
        <v>111</v>
      </c>
      <c r="N7" s="207"/>
      <c r="O7" s="208"/>
    </row>
    <row r="8" spans="1:15" ht="15.6" x14ac:dyDescent="0.3">
      <c r="A8" s="48" t="s">
        <v>46</v>
      </c>
      <c r="B8" s="45" t="s">
        <v>43</v>
      </c>
      <c r="C8" s="49">
        <f>0.0265375299322887*1000</f>
        <v>26.537529932288699</v>
      </c>
      <c r="D8" s="48" t="s">
        <v>46</v>
      </c>
      <c r="E8" s="45" t="s">
        <v>43</v>
      </c>
      <c r="F8" s="49">
        <f>0.0238261686112878*1000</f>
        <v>23.826168611287798</v>
      </c>
      <c r="G8" s="45" t="s">
        <v>46</v>
      </c>
      <c r="H8" s="45" t="s">
        <v>43</v>
      </c>
      <c r="I8" s="49">
        <f>0.0567226795287126*1000</f>
        <v>56.722679528712597</v>
      </c>
      <c r="J8" s="45" t="s">
        <v>46</v>
      </c>
      <c r="K8" s="45" t="s">
        <v>43</v>
      </c>
      <c r="L8" s="46">
        <f>0.0318309644774891*1000</f>
        <v>31.830964477489101</v>
      </c>
      <c r="M8" s="45" t="s">
        <v>46</v>
      </c>
      <c r="N8" s="45" t="s">
        <v>43</v>
      </c>
      <c r="O8" s="47">
        <f>0.0464667150682018*1000</f>
        <v>46.4667150682018</v>
      </c>
    </row>
    <row r="9" spans="1:15" ht="15.6" x14ac:dyDescent="0.3">
      <c r="A9" s="2" t="s">
        <v>47</v>
      </c>
      <c r="B9" s="3" t="s">
        <v>43</v>
      </c>
      <c r="C9" s="41">
        <f>0.0288184576676279*1000</f>
        <v>28.8184576676279</v>
      </c>
      <c r="D9" s="2" t="s">
        <v>47</v>
      </c>
      <c r="E9" s="3" t="s">
        <v>43</v>
      </c>
      <c r="F9" s="41">
        <f>0.0246271646951187*1000</f>
        <v>24.627164695118697</v>
      </c>
      <c r="G9" s="3" t="s">
        <v>47</v>
      </c>
      <c r="H9" s="3" t="s">
        <v>43</v>
      </c>
      <c r="I9" s="41">
        <f>0.066897831886165*1000</f>
        <v>66.897831886164994</v>
      </c>
      <c r="J9" s="3" t="s">
        <v>47</v>
      </c>
      <c r="K9" s="3" t="s">
        <v>43</v>
      </c>
      <c r="L9" s="35">
        <f>0.0823553885793793*1000</f>
        <v>82.355388579379294</v>
      </c>
      <c r="M9" s="3" t="s">
        <v>47</v>
      </c>
      <c r="N9" s="3" t="s">
        <v>43</v>
      </c>
      <c r="O9" s="36">
        <f>0.0435950681547704*1000</f>
        <v>43.595068154770395</v>
      </c>
    </row>
    <row r="10" spans="1:15" ht="16.2" thickBot="1" x14ac:dyDescent="0.35">
      <c r="A10" s="55" t="s">
        <v>48</v>
      </c>
      <c r="B10" s="5" t="s">
        <v>43</v>
      </c>
      <c r="C10" s="43">
        <f>0.0224956321883132*1000</f>
        <v>22.495632188313198</v>
      </c>
      <c r="D10" s="4" t="s">
        <v>48</v>
      </c>
      <c r="E10" s="5" t="s">
        <v>43</v>
      </c>
      <c r="F10" s="43">
        <f>0.024199815931583*1000</f>
        <v>24.199815931583</v>
      </c>
      <c r="G10" s="5" t="s">
        <v>48</v>
      </c>
      <c r="H10" s="5" t="s">
        <v>43</v>
      </c>
      <c r="I10" s="43">
        <f>0.0466884987585576*1000</f>
        <v>46.6884987585576</v>
      </c>
      <c r="J10" s="5" t="s">
        <v>48</v>
      </c>
      <c r="K10" s="5" t="s">
        <v>43</v>
      </c>
      <c r="L10" s="37">
        <f>0.0129185862217969*1000</f>
        <v>12.9185862217969</v>
      </c>
      <c r="M10" s="5" t="s">
        <v>48</v>
      </c>
      <c r="N10" s="5" t="s">
        <v>43</v>
      </c>
      <c r="O10" s="39">
        <f>0.0464392328920638*1000</f>
        <v>46.439232892063799</v>
      </c>
    </row>
    <row r="12" spans="1:15" ht="15" thickBot="1" x14ac:dyDescent="0.35"/>
    <row r="13" spans="1:15" ht="16.2" thickBot="1" x14ac:dyDescent="0.35">
      <c r="A13" s="189" t="s">
        <v>35</v>
      </c>
      <c r="B13" s="190"/>
      <c r="C13" s="191"/>
      <c r="D13" s="192" t="s">
        <v>36</v>
      </c>
      <c r="E13" s="193"/>
      <c r="F13" s="194"/>
      <c r="G13" s="192" t="s">
        <v>37</v>
      </c>
      <c r="H13" s="193"/>
      <c r="I13" s="194"/>
      <c r="J13" s="183" t="s">
        <v>38</v>
      </c>
      <c r="K13" s="184"/>
      <c r="L13" s="185"/>
      <c r="M13" s="186" t="s">
        <v>39</v>
      </c>
      <c r="N13" s="187"/>
      <c r="O13" s="188"/>
    </row>
    <row r="14" spans="1:15" x14ac:dyDescent="0.3">
      <c r="A14" s="206" t="s">
        <v>112</v>
      </c>
      <c r="B14" s="207"/>
      <c r="C14" s="207"/>
      <c r="D14" s="207" t="s">
        <v>112</v>
      </c>
      <c r="E14" s="207"/>
      <c r="F14" s="207"/>
      <c r="G14" s="207" t="s">
        <v>112</v>
      </c>
      <c r="H14" s="207"/>
      <c r="I14" s="207"/>
      <c r="J14" s="207" t="s">
        <v>112</v>
      </c>
      <c r="K14" s="207"/>
      <c r="L14" s="207"/>
      <c r="M14" s="207" t="s">
        <v>112</v>
      </c>
      <c r="N14" s="207"/>
      <c r="O14" s="208"/>
    </row>
    <row r="15" spans="1:15" ht="15.6" x14ac:dyDescent="0.3">
      <c r="A15" s="56" t="s">
        <v>46</v>
      </c>
      <c r="B15" s="57" t="s">
        <v>43</v>
      </c>
      <c r="C15" s="58">
        <f>0.0281582202242685*1000</f>
        <v>28.158220224268501</v>
      </c>
      <c r="D15" s="56" t="s">
        <v>46</v>
      </c>
      <c r="E15" s="57" t="s">
        <v>43</v>
      </c>
      <c r="F15" s="61">
        <f>0.0209066076775414*1000</f>
        <v>20.906607677541398</v>
      </c>
      <c r="G15" s="57" t="s">
        <v>46</v>
      </c>
      <c r="H15" s="57" t="s">
        <v>43</v>
      </c>
      <c r="I15" s="58">
        <f>0.0536331736551972*1000</f>
        <v>53.633173655197204</v>
      </c>
      <c r="J15" s="56" t="s">
        <v>46</v>
      </c>
      <c r="K15" s="57" t="s">
        <v>43</v>
      </c>
      <c r="L15" s="58">
        <f>0.0372936016999238*1000</f>
        <v>37.293601699923805</v>
      </c>
      <c r="M15" s="56" t="s">
        <v>46</v>
      </c>
      <c r="N15" s="57" t="s">
        <v>43</v>
      </c>
      <c r="O15" s="58">
        <f>0.0275202200268342*1000</f>
        <v>27.520220026834199</v>
      </c>
    </row>
    <row r="16" spans="1:15" ht="15.6" x14ac:dyDescent="0.3">
      <c r="A16" s="59" t="s">
        <v>47</v>
      </c>
      <c r="B16" s="34" t="s">
        <v>43</v>
      </c>
      <c r="C16" s="60">
        <f>0.0304213437055685*1000</f>
        <v>30.4213437055685</v>
      </c>
      <c r="D16" s="59" t="s">
        <v>47</v>
      </c>
      <c r="E16" s="34" t="s">
        <v>43</v>
      </c>
      <c r="F16" s="62">
        <f>0.0217381069846596*1000</f>
        <v>21.738106984659602</v>
      </c>
      <c r="G16" s="34" t="s">
        <v>47</v>
      </c>
      <c r="H16" s="34" t="s">
        <v>43</v>
      </c>
      <c r="I16" s="60">
        <f>0.0577574486749448*1000</f>
        <v>57.757448674944797</v>
      </c>
      <c r="J16" s="59" t="s">
        <v>47</v>
      </c>
      <c r="K16" s="34" t="s">
        <v>43</v>
      </c>
      <c r="L16" s="60">
        <f>0.0878411324113301*1000</f>
        <v>87.841132411330094</v>
      </c>
      <c r="M16" s="59" t="s">
        <v>47</v>
      </c>
      <c r="N16" s="34" t="s">
        <v>43</v>
      </c>
      <c r="O16" s="60">
        <f>0.0248620468640249*1000</f>
        <v>24.862046864024897</v>
      </c>
    </row>
    <row r="17" spans="1:15" ht="16.2" thickBot="1" x14ac:dyDescent="0.35">
      <c r="A17" s="63" t="s">
        <v>48</v>
      </c>
      <c r="B17" s="64" t="s">
        <v>43</v>
      </c>
      <c r="C17" s="65">
        <f>0.0241219386159649*1000</f>
        <v>24.121938615964901</v>
      </c>
      <c r="D17" s="63" t="s">
        <v>48</v>
      </c>
      <c r="E17" s="64" t="s">
        <v>43</v>
      </c>
      <c r="F17" s="66">
        <f>0.0212678561470679*1000</f>
        <v>21.267856147067903</v>
      </c>
      <c r="G17" s="64" t="s">
        <v>48</v>
      </c>
      <c r="H17" s="64" t="s">
        <v>43</v>
      </c>
      <c r="I17" s="65">
        <f>0.0458382271690562*1000</f>
        <v>45.838227169056204</v>
      </c>
      <c r="J17" s="63" t="s">
        <v>48</v>
      </c>
      <c r="K17" s="64" t="s">
        <v>43</v>
      </c>
      <c r="L17" s="65">
        <f>0.0183718503078423*1000</f>
        <v>18.371850307842298</v>
      </c>
      <c r="M17" s="63" t="s">
        <v>48</v>
      </c>
      <c r="N17" s="64" t="s">
        <v>43</v>
      </c>
      <c r="O17" s="65">
        <f>0.0274089101885476*1000</f>
        <v>27.408910188547598</v>
      </c>
    </row>
    <row r="36" spans="1:15" ht="15" thickBot="1" x14ac:dyDescent="0.35"/>
    <row r="37" spans="1:15" ht="16.2" thickBot="1" x14ac:dyDescent="0.35">
      <c r="A37" s="189" t="s">
        <v>40</v>
      </c>
      <c r="B37" s="190"/>
      <c r="C37" s="191"/>
      <c r="D37" s="192" t="s">
        <v>41</v>
      </c>
      <c r="E37" s="193"/>
      <c r="F37" s="193"/>
      <c r="G37" s="183" t="s">
        <v>42</v>
      </c>
      <c r="H37" s="184"/>
      <c r="I37" s="185"/>
      <c r="J37" s="209"/>
      <c r="K37" s="209"/>
      <c r="L37" s="209"/>
      <c r="M37" s="209"/>
      <c r="N37" s="209"/>
      <c r="O37" s="209"/>
    </row>
    <row r="38" spans="1:15" x14ac:dyDescent="0.3">
      <c r="A38" s="206" t="s">
        <v>110</v>
      </c>
      <c r="B38" s="207"/>
      <c r="C38" s="208"/>
      <c r="D38" s="206" t="s">
        <v>110</v>
      </c>
      <c r="E38" s="207"/>
      <c r="F38" s="207"/>
      <c r="G38" s="206" t="s">
        <v>110</v>
      </c>
      <c r="H38" s="207"/>
      <c r="I38" s="208"/>
      <c r="J38" s="210"/>
      <c r="K38" s="210"/>
      <c r="L38" s="210"/>
      <c r="M38" s="210"/>
      <c r="N38" s="210"/>
      <c r="O38" s="210"/>
    </row>
    <row r="39" spans="1:15" ht="16.2" thickBot="1" x14ac:dyDescent="0.35">
      <c r="A39" s="67" t="s">
        <v>5</v>
      </c>
      <c r="B39" s="68" t="s">
        <v>43</v>
      </c>
      <c r="C39" s="69">
        <f>0.0280908158769787*1000</f>
        <v>28.090815876978699</v>
      </c>
      <c r="D39" s="67" t="s">
        <v>5</v>
      </c>
      <c r="E39" s="68" t="s">
        <v>43</v>
      </c>
      <c r="F39" s="70">
        <v>18.399999999999999</v>
      </c>
      <c r="G39" s="67" t="s">
        <v>5</v>
      </c>
      <c r="H39" s="68" t="s">
        <v>43</v>
      </c>
      <c r="I39" s="69">
        <f>0.0138152779001014*1000</f>
        <v>13.8152779001014</v>
      </c>
      <c r="J39" s="57"/>
      <c r="K39" s="57"/>
      <c r="L39" s="61"/>
      <c r="M39" s="57"/>
      <c r="N39" s="57"/>
      <c r="O39" s="61"/>
    </row>
    <row r="41" spans="1:15" ht="15" thickBot="1" x14ac:dyDescent="0.35"/>
    <row r="42" spans="1:15" ht="16.2" thickBot="1" x14ac:dyDescent="0.35">
      <c r="A42" s="189" t="s">
        <v>40</v>
      </c>
      <c r="B42" s="190"/>
      <c r="C42" s="191"/>
      <c r="D42" s="192" t="s">
        <v>41</v>
      </c>
      <c r="E42" s="193"/>
      <c r="F42" s="193"/>
      <c r="G42" s="183" t="s">
        <v>42</v>
      </c>
      <c r="H42" s="184"/>
      <c r="I42" s="185"/>
    </row>
    <row r="43" spans="1:15" x14ac:dyDescent="0.3">
      <c r="A43" s="206" t="s">
        <v>111</v>
      </c>
      <c r="B43" s="207"/>
      <c r="C43" s="208"/>
      <c r="D43" s="206" t="s">
        <v>111</v>
      </c>
      <c r="E43" s="207"/>
      <c r="F43" s="208"/>
      <c r="G43" s="207" t="s">
        <v>111</v>
      </c>
      <c r="H43" s="207"/>
      <c r="I43" s="208"/>
    </row>
    <row r="44" spans="1:15" ht="15.6" x14ac:dyDescent="0.3">
      <c r="A44" s="48" t="s">
        <v>46</v>
      </c>
      <c r="B44" s="45" t="s">
        <v>43</v>
      </c>
      <c r="C44" s="49">
        <f>0.0279886599815938*1000</f>
        <v>27.988659981593798</v>
      </c>
      <c r="D44" s="48" t="s">
        <v>46</v>
      </c>
      <c r="E44" s="45" t="s">
        <v>43</v>
      </c>
      <c r="F44" s="50">
        <f>0.0183920462966437*1000</f>
        <v>18.392046296643702</v>
      </c>
      <c r="G44" s="45" t="s">
        <v>46</v>
      </c>
      <c r="H44" s="45" t="s">
        <v>43</v>
      </c>
      <c r="I44" s="50">
        <f>0.0137801216683835*1000</f>
        <v>13.780121668383501</v>
      </c>
    </row>
    <row r="45" spans="1:15" ht="15.6" x14ac:dyDescent="0.3">
      <c r="A45" s="2" t="s">
        <v>47</v>
      </c>
      <c r="B45" s="3" t="s">
        <v>43</v>
      </c>
      <c r="C45" s="41">
        <f>0.0319374597413986*1000</f>
        <v>31.937459741398598</v>
      </c>
      <c r="D45" s="2" t="s">
        <v>47</v>
      </c>
      <c r="E45" s="3" t="s">
        <v>43</v>
      </c>
      <c r="F45" s="42">
        <f>0.0212107933313921*1000</f>
        <v>21.2107933313921</v>
      </c>
      <c r="G45" s="3" t="s">
        <v>47</v>
      </c>
      <c r="H45" s="3" t="s">
        <v>43</v>
      </c>
      <c r="I45" s="42">
        <f>0.0158571081361335*1000</f>
        <v>15.857108136133499</v>
      </c>
    </row>
    <row r="46" spans="1:15" ht="16.2" thickBot="1" x14ac:dyDescent="0.35">
      <c r="A46" s="4" t="s">
        <v>48</v>
      </c>
      <c r="B46" s="5" t="s">
        <v>43</v>
      </c>
      <c r="C46" s="43">
        <f>0.026367397277486*1000</f>
        <v>26.367397277485999</v>
      </c>
      <c r="D46" s="4" t="s">
        <v>48</v>
      </c>
      <c r="E46" s="5" t="s">
        <v>43</v>
      </c>
      <c r="F46" s="44">
        <f>0.0172894611070245*1000</f>
        <v>17.289461107024501</v>
      </c>
      <c r="G46" s="5" t="s">
        <v>48</v>
      </c>
      <c r="H46" s="5" t="s">
        <v>43</v>
      </c>
      <c r="I46" s="44">
        <f>0.0128968141479346*1000</f>
        <v>12.896814147934601</v>
      </c>
    </row>
    <row r="48" spans="1:15" ht="15" thickBot="1" x14ac:dyDescent="0.35"/>
    <row r="49" spans="1:9" ht="16.2" thickBot="1" x14ac:dyDescent="0.35">
      <c r="A49" s="189" t="s">
        <v>40</v>
      </c>
      <c r="B49" s="190"/>
      <c r="C49" s="191"/>
      <c r="D49" s="192" t="s">
        <v>41</v>
      </c>
      <c r="E49" s="193"/>
      <c r="F49" s="193"/>
      <c r="G49" s="183" t="s">
        <v>42</v>
      </c>
      <c r="H49" s="184"/>
      <c r="I49" s="185"/>
    </row>
    <row r="50" spans="1:9" x14ac:dyDescent="0.3">
      <c r="A50" s="206" t="s">
        <v>112</v>
      </c>
      <c r="B50" s="207"/>
      <c r="C50" s="208"/>
      <c r="D50" s="206" t="s">
        <v>112</v>
      </c>
      <c r="E50" s="207"/>
      <c r="F50" s="208"/>
      <c r="G50" s="207" t="s">
        <v>112</v>
      </c>
      <c r="H50" s="207"/>
      <c r="I50" s="208"/>
    </row>
    <row r="51" spans="1:9" ht="15.6" x14ac:dyDescent="0.3">
      <c r="A51" s="56" t="s">
        <v>46</v>
      </c>
      <c r="B51" s="57" t="s">
        <v>43</v>
      </c>
      <c r="C51" s="58">
        <f>0.0280303835662778*1000</f>
        <v>28.030383566277802</v>
      </c>
      <c r="D51" s="56" t="s">
        <v>46</v>
      </c>
      <c r="E51" s="57" t="s">
        <v>43</v>
      </c>
      <c r="F51" s="58">
        <f>0.0183873935731096*1000</f>
        <v>18.387393573109598</v>
      </c>
      <c r="G51" s="56" t="s">
        <v>46</v>
      </c>
      <c r="H51" s="57" t="s">
        <v>43</v>
      </c>
      <c r="I51" s="58">
        <f>0.013843730376389*1000</f>
        <v>13.843730376389001</v>
      </c>
    </row>
    <row r="52" spans="1:9" ht="15.6" x14ac:dyDescent="0.3">
      <c r="A52" s="59" t="s">
        <v>47</v>
      </c>
      <c r="B52" s="34" t="s">
        <v>43</v>
      </c>
      <c r="C52" s="60">
        <f>0.0319754292753249*1000</f>
        <v>31.975429275324903</v>
      </c>
      <c r="D52" s="59" t="s">
        <v>47</v>
      </c>
      <c r="E52" s="34" t="s">
        <v>43</v>
      </c>
      <c r="F52" s="60">
        <f>0.0212032980323335*1000</f>
        <v>21.2032980323335</v>
      </c>
      <c r="G52" s="59" t="s">
        <v>47</v>
      </c>
      <c r="H52" s="34" t="s">
        <v>43</v>
      </c>
      <c r="I52" s="60">
        <f>0.0159043238025625*1000</f>
        <v>15.9043238025625</v>
      </c>
    </row>
    <row r="53" spans="1:9" ht="16.2" thickBot="1" x14ac:dyDescent="0.35">
      <c r="A53" s="63" t="s">
        <v>48</v>
      </c>
      <c r="B53" s="64" t="s">
        <v>43</v>
      </c>
      <c r="C53" s="65">
        <f>0.0264088027891859*1000</f>
        <v>26.408802789185899</v>
      </c>
      <c r="D53" s="63" t="s">
        <v>48</v>
      </c>
      <c r="E53" s="64" t="s">
        <v>43</v>
      </c>
      <c r="F53" s="65">
        <f>0.017285813310476*1000</f>
        <v>17.285813310475998</v>
      </c>
      <c r="G53" s="63" t="s">
        <v>48</v>
      </c>
      <c r="H53" s="64" t="s">
        <v>43</v>
      </c>
      <c r="I53" s="65">
        <f>0.0129660759098765*1000</f>
        <v>12.966075909876499</v>
      </c>
    </row>
  </sheetData>
  <mergeCells count="52">
    <mergeCell ref="A42:C42"/>
    <mergeCell ref="D42:F42"/>
    <mergeCell ref="G42:I42"/>
    <mergeCell ref="A50:C50"/>
    <mergeCell ref="D50:F50"/>
    <mergeCell ref="G50:I50"/>
    <mergeCell ref="A43:C43"/>
    <mergeCell ref="D43:F43"/>
    <mergeCell ref="G43:I43"/>
    <mergeCell ref="A49:C49"/>
    <mergeCell ref="D49:F49"/>
    <mergeCell ref="G49:I49"/>
    <mergeCell ref="A38:C38"/>
    <mergeCell ref="D38:F38"/>
    <mergeCell ref="G38:I38"/>
    <mergeCell ref="J38:L38"/>
    <mergeCell ref="M38:O38"/>
    <mergeCell ref="J37:L37"/>
    <mergeCell ref="M37:O37"/>
    <mergeCell ref="A14:C14"/>
    <mergeCell ref="D14:F14"/>
    <mergeCell ref="G14:I14"/>
    <mergeCell ref="J14:L14"/>
    <mergeCell ref="M14:O14"/>
    <mergeCell ref="A37:C37"/>
    <mergeCell ref="D37:F37"/>
    <mergeCell ref="G37:I37"/>
    <mergeCell ref="A7:C7"/>
    <mergeCell ref="D7:F7"/>
    <mergeCell ref="G7:I7"/>
    <mergeCell ref="J7:L7"/>
    <mergeCell ref="M7:O7"/>
    <mergeCell ref="A13:C13"/>
    <mergeCell ref="D13:F13"/>
    <mergeCell ref="G13:I13"/>
    <mergeCell ref="J13:L13"/>
    <mergeCell ref="M13:O13"/>
    <mergeCell ref="M1:O1"/>
    <mergeCell ref="M2:O2"/>
    <mergeCell ref="A6:C6"/>
    <mergeCell ref="D6:F6"/>
    <mergeCell ref="G6:I6"/>
    <mergeCell ref="J6:L6"/>
    <mergeCell ref="M6:O6"/>
    <mergeCell ref="A1:C1"/>
    <mergeCell ref="A2:C2"/>
    <mergeCell ref="D1:F1"/>
    <mergeCell ref="G1:I1"/>
    <mergeCell ref="J1:L1"/>
    <mergeCell ref="D2:F2"/>
    <mergeCell ref="G2:I2"/>
    <mergeCell ref="J2:L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A341-ECC4-45C5-9E69-1BF250B31944}">
  <dimension ref="A1:T62"/>
  <sheetViews>
    <sheetView workbookViewId="0">
      <selection activeCell="D22" sqref="D22"/>
    </sheetView>
  </sheetViews>
  <sheetFormatPr defaultRowHeight="14.4" x14ac:dyDescent="0.3"/>
  <cols>
    <col min="1" max="1" width="27.33203125" bestFit="1" customWidth="1"/>
    <col min="2" max="2" width="19.21875" bestFit="1" customWidth="1"/>
    <col min="5" max="5" width="27.33203125" bestFit="1" customWidth="1"/>
    <col min="6" max="6" width="19.21875" bestFit="1" customWidth="1"/>
    <col min="9" max="9" width="17.88671875" bestFit="1" customWidth="1"/>
    <col min="10" max="10" width="19.21875" bestFit="1" customWidth="1"/>
    <col min="13" max="13" width="18.21875" bestFit="1" customWidth="1"/>
    <col min="14" max="14" width="19.21875" bestFit="1" customWidth="1"/>
    <col min="17" max="17" width="18.44140625" bestFit="1" customWidth="1"/>
    <col min="18" max="18" width="19.21875" bestFit="1" customWidth="1"/>
  </cols>
  <sheetData>
    <row r="1" spans="1:20" ht="24" thickBot="1" x14ac:dyDescent="0.5">
      <c r="A1" s="211" t="s">
        <v>44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</row>
    <row r="2" spans="1:20" ht="15.6" x14ac:dyDescent="0.3">
      <c r="A2" s="72" t="s">
        <v>117</v>
      </c>
      <c r="B2" s="213" t="s">
        <v>118</v>
      </c>
      <c r="C2" s="213"/>
      <c r="D2" s="214"/>
      <c r="E2" s="90" t="s">
        <v>131</v>
      </c>
      <c r="F2" s="215" t="s">
        <v>118</v>
      </c>
      <c r="G2" s="215"/>
      <c r="H2" s="216"/>
      <c r="I2" s="90" t="s">
        <v>132</v>
      </c>
      <c r="J2" s="215" t="s">
        <v>118</v>
      </c>
      <c r="K2" s="215"/>
      <c r="L2" s="216"/>
      <c r="M2" s="94" t="s">
        <v>136</v>
      </c>
      <c r="N2" s="217" t="s">
        <v>118</v>
      </c>
      <c r="O2" s="217"/>
      <c r="P2" s="218"/>
      <c r="Q2" s="95" t="s">
        <v>137</v>
      </c>
      <c r="R2" s="220" t="s">
        <v>118</v>
      </c>
      <c r="S2" s="220"/>
      <c r="T2" s="221"/>
    </row>
    <row r="3" spans="1:20" x14ac:dyDescent="0.3">
      <c r="A3" s="73"/>
      <c r="B3" s="74"/>
      <c r="C3" s="74"/>
      <c r="D3" s="75"/>
      <c r="E3" s="73"/>
      <c r="F3" s="74"/>
      <c r="G3" s="74"/>
      <c r="H3" s="75"/>
      <c r="I3" s="73"/>
      <c r="J3" s="74"/>
      <c r="K3" s="74"/>
      <c r="L3" s="75"/>
      <c r="M3" s="73"/>
      <c r="N3" s="74"/>
      <c r="O3" s="74"/>
      <c r="P3" s="75"/>
      <c r="Q3" s="73"/>
      <c r="R3" s="74"/>
      <c r="S3" s="74"/>
      <c r="T3" s="75"/>
    </row>
    <row r="4" spans="1:20" ht="15.6" x14ac:dyDescent="0.3">
      <c r="A4" s="76" t="s">
        <v>119</v>
      </c>
      <c r="B4" s="77">
        <v>0.05</v>
      </c>
      <c r="C4" s="74"/>
      <c r="D4" s="75"/>
      <c r="E4" s="76" t="s">
        <v>119</v>
      </c>
      <c r="F4" s="77">
        <v>0.05</v>
      </c>
      <c r="G4" s="74"/>
      <c r="H4" s="75"/>
      <c r="I4" s="76" t="s">
        <v>119</v>
      </c>
      <c r="J4" s="77">
        <v>0.05</v>
      </c>
      <c r="K4" s="74"/>
      <c r="L4" s="75"/>
      <c r="M4" s="76" t="s">
        <v>119</v>
      </c>
      <c r="N4" s="77">
        <v>0.05</v>
      </c>
      <c r="O4" s="74"/>
      <c r="P4" s="75"/>
      <c r="Q4" s="76" t="s">
        <v>119</v>
      </c>
      <c r="R4" s="77">
        <v>0.05</v>
      </c>
      <c r="S4" s="74"/>
      <c r="T4" s="75"/>
    </row>
    <row r="5" spans="1:20" ht="15.6" x14ac:dyDescent="0.3">
      <c r="A5" s="78" t="s">
        <v>121</v>
      </c>
      <c r="B5" s="79" t="s">
        <v>120</v>
      </c>
      <c r="C5" s="74"/>
      <c r="D5" s="75"/>
      <c r="E5" s="78" t="s">
        <v>121</v>
      </c>
      <c r="F5" s="79" t="s">
        <v>120</v>
      </c>
      <c r="G5" s="74"/>
      <c r="H5" s="75"/>
      <c r="I5" s="78" t="s">
        <v>121</v>
      </c>
      <c r="J5" s="79" t="s">
        <v>120</v>
      </c>
      <c r="K5" s="74"/>
      <c r="L5" s="75"/>
      <c r="M5" s="78" t="s">
        <v>121</v>
      </c>
      <c r="N5" s="79" t="s">
        <v>120</v>
      </c>
      <c r="O5" s="74"/>
      <c r="P5" s="75"/>
      <c r="Q5" s="78" t="s">
        <v>121</v>
      </c>
      <c r="R5" s="79" t="s">
        <v>120</v>
      </c>
      <c r="S5" s="74"/>
      <c r="T5" s="75"/>
    </row>
    <row r="6" spans="1:20" ht="15.6" x14ac:dyDescent="0.3">
      <c r="A6" s="78" t="s">
        <v>126</v>
      </c>
      <c r="B6" s="79" t="s">
        <v>127</v>
      </c>
      <c r="C6" s="80"/>
      <c r="D6" s="75"/>
      <c r="E6" s="78" t="s">
        <v>126</v>
      </c>
      <c r="F6" s="79" t="s">
        <v>127</v>
      </c>
      <c r="G6" s="80"/>
      <c r="H6" s="75"/>
      <c r="I6" s="78" t="s">
        <v>126</v>
      </c>
      <c r="J6" s="79" t="s">
        <v>127</v>
      </c>
      <c r="K6" s="74"/>
      <c r="L6" s="75"/>
      <c r="M6" s="78" t="s">
        <v>126</v>
      </c>
      <c r="N6" s="79" t="s">
        <v>127</v>
      </c>
      <c r="O6" s="74"/>
      <c r="P6" s="75"/>
      <c r="Q6" s="78" t="s">
        <v>126</v>
      </c>
      <c r="R6" s="79" t="s">
        <v>127</v>
      </c>
      <c r="S6" s="74"/>
      <c r="T6" s="75"/>
    </row>
    <row r="7" spans="1:20" ht="15.6" x14ac:dyDescent="0.3">
      <c r="A7" s="73"/>
      <c r="B7" s="74"/>
      <c r="C7" s="81"/>
      <c r="D7" s="82"/>
      <c r="E7" s="73"/>
      <c r="F7" s="74"/>
      <c r="G7" s="74"/>
      <c r="H7" s="75"/>
      <c r="I7" s="73"/>
      <c r="J7" s="74"/>
      <c r="K7" s="74"/>
      <c r="L7" s="75"/>
      <c r="M7" s="73"/>
      <c r="N7" s="74"/>
      <c r="O7" s="74"/>
      <c r="P7" s="75"/>
      <c r="Q7" s="73"/>
      <c r="R7" s="74"/>
      <c r="S7" s="74"/>
      <c r="T7" s="75"/>
    </row>
    <row r="8" spans="1:20" ht="18" x14ac:dyDescent="0.4">
      <c r="A8" s="83" t="s">
        <v>51</v>
      </c>
      <c r="B8" s="84" t="s">
        <v>123</v>
      </c>
      <c r="C8" s="3"/>
      <c r="D8" s="85"/>
      <c r="E8" s="92" t="s">
        <v>51</v>
      </c>
      <c r="F8" s="93" t="s">
        <v>123</v>
      </c>
      <c r="G8" s="74"/>
      <c r="H8" s="75"/>
      <c r="I8" s="92" t="s">
        <v>133</v>
      </c>
      <c r="J8" s="93" t="s">
        <v>123</v>
      </c>
      <c r="K8" s="74"/>
      <c r="L8" s="75"/>
      <c r="M8" s="96" t="s">
        <v>122</v>
      </c>
      <c r="N8" s="97" t="s">
        <v>123</v>
      </c>
      <c r="O8" s="74"/>
      <c r="P8" s="75"/>
      <c r="Q8" s="98" t="s">
        <v>140</v>
      </c>
      <c r="R8" s="99" t="s">
        <v>123</v>
      </c>
      <c r="S8" s="74"/>
      <c r="T8" s="75"/>
    </row>
    <row r="9" spans="1:20" ht="15.6" x14ac:dyDescent="0.3">
      <c r="A9" s="86">
        <v>0.25</v>
      </c>
      <c r="B9" s="3">
        <v>27.2</v>
      </c>
      <c r="C9" s="87"/>
      <c r="D9" s="85"/>
      <c r="E9" s="86">
        <v>0.25</v>
      </c>
      <c r="F9" s="3">
        <v>21</v>
      </c>
      <c r="G9" s="74"/>
      <c r="H9" s="75"/>
      <c r="I9" s="86">
        <v>0.25</v>
      </c>
      <c r="J9" s="3">
        <v>29.1</v>
      </c>
      <c r="K9" s="74"/>
      <c r="L9" s="75"/>
      <c r="M9" s="86">
        <v>0.25</v>
      </c>
      <c r="N9" s="3">
        <v>19.399999999999999</v>
      </c>
      <c r="O9" s="74"/>
      <c r="P9" s="75"/>
      <c r="Q9" s="86">
        <v>0.5</v>
      </c>
      <c r="R9" s="3">
        <v>10</v>
      </c>
      <c r="S9" s="74"/>
      <c r="T9" s="75"/>
    </row>
    <row r="10" spans="1:20" ht="15.6" x14ac:dyDescent="0.3">
      <c r="A10" s="86">
        <v>1</v>
      </c>
      <c r="B10" s="3">
        <v>28.1</v>
      </c>
      <c r="C10" s="87"/>
      <c r="D10" s="85"/>
      <c r="E10" s="86">
        <v>1</v>
      </c>
      <c r="F10" s="3">
        <v>25.8</v>
      </c>
      <c r="G10" s="74"/>
      <c r="H10" s="75"/>
      <c r="I10" s="86">
        <v>1</v>
      </c>
      <c r="J10" s="3">
        <v>53.5</v>
      </c>
      <c r="K10" s="74"/>
      <c r="L10" s="75"/>
      <c r="M10" s="86">
        <v>1</v>
      </c>
      <c r="N10" s="3">
        <v>26.05</v>
      </c>
      <c r="O10" s="74"/>
      <c r="P10" s="75"/>
      <c r="Q10" s="86">
        <v>1</v>
      </c>
      <c r="R10" s="3">
        <v>28.7</v>
      </c>
      <c r="S10" s="74"/>
      <c r="T10" s="75"/>
    </row>
    <row r="11" spans="1:20" ht="15.6" x14ac:dyDescent="0.3">
      <c r="A11" s="86">
        <v>2</v>
      </c>
      <c r="B11" s="3">
        <v>30.5</v>
      </c>
      <c r="C11" s="74"/>
      <c r="D11" s="75"/>
      <c r="E11" s="86">
        <v>2</v>
      </c>
      <c r="F11" s="3">
        <v>32.200000000000003</v>
      </c>
      <c r="G11" s="74"/>
      <c r="H11" s="75"/>
      <c r="I11" s="86">
        <v>2</v>
      </c>
      <c r="J11" s="3">
        <v>90.3</v>
      </c>
      <c r="K11" s="74"/>
      <c r="L11" s="75"/>
      <c r="M11" s="86">
        <v>2</v>
      </c>
      <c r="N11" s="3">
        <v>34.700000000000003</v>
      </c>
      <c r="O11" s="74"/>
      <c r="P11" s="75"/>
      <c r="Q11" s="86">
        <v>2</v>
      </c>
      <c r="R11" s="3">
        <v>65.400000000000006</v>
      </c>
      <c r="S11" s="74"/>
      <c r="T11" s="75"/>
    </row>
    <row r="12" spans="1:20" x14ac:dyDescent="0.3">
      <c r="A12" s="73"/>
      <c r="B12" s="74"/>
      <c r="C12" s="74"/>
      <c r="D12" s="75"/>
      <c r="E12" s="73"/>
      <c r="F12" s="74"/>
      <c r="G12" s="74"/>
      <c r="H12" s="75"/>
      <c r="I12" s="73"/>
      <c r="J12" s="74"/>
      <c r="K12" s="74"/>
      <c r="L12" s="75"/>
      <c r="M12" s="73"/>
      <c r="N12" s="74"/>
      <c r="O12" s="74"/>
      <c r="P12" s="75"/>
      <c r="Q12" s="73"/>
      <c r="R12" s="74"/>
      <c r="S12" s="74"/>
      <c r="T12" s="75"/>
    </row>
    <row r="13" spans="1:20" x14ac:dyDescent="0.3">
      <c r="A13" s="73"/>
      <c r="B13" s="74"/>
      <c r="C13" s="74"/>
      <c r="D13" s="75"/>
      <c r="E13" s="73"/>
      <c r="F13" s="74"/>
      <c r="G13" s="74"/>
      <c r="H13" s="75"/>
      <c r="I13" s="73"/>
      <c r="J13" s="74"/>
      <c r="K13" s="74"/>
      <c r="L13" s="75"/>
      <c r="M13" s="73"/>
      <c r="N13" s="74"/>
      <c r="O13" s="74"/>
      <c r="P13" s="75"/>
      <c r="Q13" s="73"/>
      <c r="R13" s="74"/>
      <c r="S13" s="74"/>
      <c r="T13" s="75"/>
    </row>
    <row r="14" spans="1:20" ht="18" x14ac:dyDescent="0.4">
      <c r="A14" s="83" t="s">
        <v>122</v>
      </c>
      <c r="B14" s="84" t="s">
        <v>123</v>
      </c>
      <c r="C14" s="74"/>
      <c r="D14" s="75"/>
      <c r="E14" s="92" t="s">
        <v>128</v>
      </c>
      <c r="F14" s="93" t="s">
        <v>123</v>
      </c>
      <c r="G14" s="74"/>
      <c r="H14" s="75"/>
      <c r="I14" s="92" t="s">
        <v>134</v>
      </c>
      <c r="J14" s="93" t="s">
        <v>123</v>
      </c>
      <c r="K14" s="74"/>
      <c r="L14" s="75"/>
      <c r="M14" s="96" t="s">
        <v>138</v>
      </c>
      <c r="N14" s="97" t="s">
        <v>123</v>
      </c>
      <c r="O14" s="74"/>
      <c r="P14" s="75"/>
      <c r="Q14" s="98" t="s">
        <v>141</v>
      </c>
      <c r="R14" s="99" t="s">
        <v>123</v>
      </c>
      <c r="S14" s="74"/>
      <c r="T14" s="75"/>
    </row>
    <row r="15" spans="1:20" ht="15.6" x14ac:dyDescent="0.3">
      <c r="A15" s="86">
        <v>0.25</v>
      </c>
      <c r="B15" s="3">
        <v>23.5</v>
      </c>
      <c r="C15" s="74"/>
      <c r="D15" s="75"/>
      <c r="E15" s="86">
        <v>0.25</v>
      </c>
      <c r="F15" s="3">
        <v>23.3</v>
      </c>
      <c r="G15" s="74"/>
      <c r="H15" s="75"/>
      <c r="I15" s="86">
        <v>0.5</v>
      </c>
      <c r="J15" s="3" t="s">
        <v>135</v>
      </c>
      <c r="K15" s="74"/>
      <c r="L15" s="75"/>
      <c r="M15" s="86">
        <v>0.25</v>
      </c>
      <c r="N15" s="3">
        <v>19.600000000000001</v>
      </c>
      <c r="O15" s="74"/>
      <c r="P15" s="75"/>
      <c r="Q15" s="86">
        <v>0.25</v>
      </c>
      <c r="R15" s="3">
        <v>11</v>
      </c>
      <c r="S15" s="74"/>
      <c r="T15" s="75"/>
    </row>
    <row r="16" spans="1:20" ht="15.6" x14ac:dyDescent="0.3">
      <c r="A16" s="86">
        <v>1</v>
      </c>
      <c r="B16" s="3">
        <v>28.1</v>
      </c>
      <c r="C16" s="74"/>
      <c r="D16" s="75"/>
      <c r="E16" s="86">
        <v>1</v>
      </c>
      <c r="F16" s="3">
        <v>25.8</v>
      </c>
      <c r="G16" s="74"/>
      <c r="H16" s="75"/>
      <c r="I16" s="86">
        <v>1</v>
      </c>
      <c r="J16" s="3">
        <v>53.5</v>
      </c>
      <c r="K16" s="74"/>
      <c r="L16" s="75"/>
      <c r="M16" s="86">
        <v>1</v>
      </c>
      <c r="N16" s="3">
        <v>26.05</v>
      </c>
      <c r="O16" s="74"/>
      <c r="P16" s="75"/>
      <c r="Q16" s="86">
        <v>1</v>
      </c>
      <c r="R16" s="3">
        <v>28.7</v>
      </c>
      <c r="S16" s="74"/>
      <c r="T16" s="75"/>
    </row>
    <row r="17" spans="1:20" ht="15.6" x14ac:dyDescent="0.3">
      <c r="A17" s="86">
        <v>2</v>
      </c>
      <c r="B17" s="3">
        <v>35.5</v>
      </c>
      <c r="C17" s="74"/>
      <c r="D17" s="75"/>
      <c r="E17" s="86">
        <v>2</v>
      </c>
      <c r="F17" s="3">
        <v>29.1</v>
      </c>
      <c r="G17" s="74"/>
      <c r="H17" s="75"/>
      <c r="I17" s="86">
        <v>2</v>
      </c>
      <c r="J17" s="3">
        <v>298</v>
      </c>
      <c r="K17" s="74"/>
      <c r="L17" s="75"/>
      <c r="M17" s="86">
        <v>2</v>
      </c>
      <c r="N17" s="3">
        <v>34.4</v>
      </c>
      <c r="O17" s="74"/>
      <c r="P17" s="75"/>
      <c r="Q17" s="86">
        <v>2</v>
      </c>
      <c r="R17" s="3">
        <v>52.4</v>
      </c>
      <c r="S17" s="74"/>
      <c r="T17" s="75"/>
    </row>
    <row r="18" spans="1:20" x14ac:dyDescent="0.3">
      <c r="A18" s="73"/>
      <c r="B18" s="74"/>
      <c r="C18" s="74"/>
      <c r="D18" s="75"/>
      <c r="E18" s="73"/>
      <c r="F18" s="74"/>
      <c r="G18" s="74"/>
      <c r="H18" s="75"/>
      <c r="I18" s="73"/>
      <c r="J18" s="74"/>
      <c r="K18" s="74"/>
      <c r="L18" s="75"/>
      <c r="M18" s="73"/>
      <c r="N18" s="74"/>
      <c r="O18" s="74"/>
      <c r="P18" s="75"/>
      <c r="Q18" s="73"/>
      <c r="R18" s="74"/>
      <c r="S18" s="74"/>
      <c r="T18" s="75"/>
    </row>
    <row r="19" spans="1:20" x14ac:dyDescent="0.3">
      <c r="A19" s="73"/>
      <c r="B19" s="74"/>
      <c r="C19" s="74"/>
      <c r="D19" s="75"/>
      <c r="E19" s="73"/>
      <c r="F19" s="74"/>
      <c r="G19" s="74"/>
      <c r="H19" s="75"/>
      <c r="I19" s="73"/>
      <c r="J19" s="74"/>
      <c r="K19" s="74"/>
      <c r="L19" s="75"/>
      <c r="M19" s="73"/>
      <c r="N19" s="74"/>
      <c r="O19" s="74"/>
      <c r="P19" s="75"/>
      <c r="Q19" s="73"/>
      <c r="R19" s="74"/>
      <c r="S19" s="74"/>
      <c r="T19" s="75"/>
    </row>
    <row r="20" spans="1:20" ht="18" x14ac:dyDescent="0.4">
      <c r="A20" s="83" t="s">
        <v>124</v>
      </c>
      <c r="B20" s="84" t="s">
        <v>123</v>
      </c>
      <c r="C20" s="74"/>
      <c r="D20" s="75"/>
      <c r="E20" s="92" t="s">
        <v>129</v>
      </c>
      <c r="F20" s="93" t="s">
        <v>123</v>
      </c>
      <c r="G20" s="74"/>
      <c r="H20" s="75"/>
      <c r="I20" s="73"/>
      <c r="J20" s="74"/>
      <c r="K20" s="74"/>
      <c r="L20" s="75"/>
      <c r="M20" s="96" t="s">
        <v>139</v>
      </c>
      <c r="N20" s="97" t="s">
        <v>123</v>
      </c>
      <c r="O20" s="74"/>
      <c r="P20" s="75"/>
      <c r="Q20" s="98" t="s">
        <v>142</v>
      </c>
      <c r="R20" s="99" t="s">
        <v>123</v>
      </c>
      <c r="S20" s="74"/>
      <c r="T20" s="75"/>
    </row>
    <row r="21" spans="1:20" ht="15.6" x14ac:dyDescent="0.3">
      <c r="A21" s="86">
        <v>0.25</v>
      </c>
      <c r="B21" s="3">
        <v>26.9</v>
      </c>
      <c r="C21" s="74"/>
      <c r="D21" s="75"/>
      <c r="E21" s="86">
        <v>0.25</v>
      </c>
      <c r="F21" s="3">
        <v>24.4</v>
      </c>
      <c r="G21" s="74"/>
      <c r="H21" s="75"/>
      <c r="I21" s="73"/>
      <c r="J21" s="74"/>
      <c r="K21" s="74"/>
      <c r="L21" s="75"/>
      <c r="M21" s="86">
        <v>0.25</v>
      </c>
      <c r="N21" s="3">
        <v>24.1</v>
      </c>
      <c r="O21" s="74"/>
      <c r="P21" s="75"/>
      <c r="Q21" s="86">
        <v>0.25</v>
      </c>
      <c r="R21" s="3">
        <v>12.2</v>
      </c>
      <c r="S21" s="74"/>
      <c r="T21" s="75"/>
    </row>
    <row r="22" spans="1:20" ht="15.6" x14ac:dyDescent="0.3">
      <c r="A22" s="86">
        <v>1</v>
      </c>
      <c r="B22" s="3">
        <v>28.1</v>
      </c>
      <c r="C22" s="74"/>
      <c r="D22" s="75"/>
      <c r="E22" s="86">
        <v>1</v>
      </c>
      <c r="F22" s="3">
        <v>25.8</v>
      </c>
      <c r="G22" s="74"/>
      <c r="H22" s="75"/>
      <c r="I22" s="73"/>
      <c r="J22" s="74"/>
      <c r="K22" s="74"/>
      <c r="L22" s="75"/>
      <c r="M22" s="86">
        <v>1</v>
      </c>
      <c r="N22" s="3">
        <v>26.05</v>
      </c>
      <c r="O22" s="74"/>
      <c r="P22" s="75"/>
      <c r="Q22" s="86">
        <v>1</v>
      </c>
      <c r="R22" s="3">
        <v>28.7</v>
      </c>
      <c r="S22" s="74"/>
      <c r="T22" s="75"/>
    </row>
    <row r="23" spans="1:20" ht="15.6" x14ac:dyDescent="0.3">
      <c r="A23" s="86">
        <v>2</v>
      </c>
      <c r="B23" s="3">
        <v>31</v>
      </c>
      <c r="C23" s="74"/>
      <c r="D23" s="75"/>
      <c r="E23" s="86">
        <v>2</v>
      </c>
      <c r="F23" s="3">
        <v>27.7</v>
      </c>
      <c r="G23" s="74"/>
      <c r="H23" s="75"/>
      <c r="I23" s="73"/>
      <c r="J23" s="74"/>
      <c r="K23" s="74"/>
      <c r="L23" s="75"/>
      <c r="M23" s="86">
        <v>2</v>
      </c>
      <c r="N23" s="3">
        <v>28.5</v>
      </c>
      <c r="O23" s="74"/>
      <c r="P23" s="75"/>
      <c r="Q23" s="86">
        <v>2</v>
      </c>
      <c r="R23" s="3">
        <v>50.7</v>
      </c>
      <c r="S23" s="74"/>
      <c r="T23" s="75"/>
    </row>
    <row r="24" spans="1:20" x14ac:dyDescent="0.3">
      <c r="A24" s="73"/>
      <c r="B24" s="74"/>
      <c r="C24" s="74"/>
      <c r="D24" s="75"/>
      <c r="E24" s="73"/>
      <c r="F24" s="74"/>
      <c r="G24" s="74"/>
      <c r="H24" s="75"/>
      <c r="I24" s="73"/>
      <c r="J24" s="74"/>
      <c r="K24" s="74"/>
      <c r="L24" s="75"/>
      <c r="M24" s="73"/>
      <c r="N24" s="74"/>
      <c r="O24" s="74"/>
      <c r="P24" s="75"/>
      <c r="Q24" s="73"/>
      <c r="R24" s="74"/>
      <c r="S24" s="74"/>
      <c r="T24" s="75"/>
    </row>
    <row r="25" spans="1:20" x14ac:dyDescent="0.3">
      <c r="A25" s="73"/>
      <c r="B25" s="74"/>
      <c r="C25" s="74"/>
      <c r="D25" s="75"/>
      <c r="E25" s="73"/>
      <c r="F25" s="74"/>
      <c r="G25" s="74"/>
      <c r="H25" s="75"/>
      <c r="I25" s="73"/>
      <c r="J25" s="74"/>
      <c r="K25" s="74"/>
      <c r="L25" s="75"/>
      <c r="M25" s="73"/>
      <c r="N25" s="74"/>
      <c r="O25" s="74"/>
      <c r="P25" s="75"/>
      <c r="Q25" s="73"/>
      <c r="R25" s="74"/>
      <c r="S25" s="74"/>
      <c r="T25" s="75"/>
    </row>
    <row r="26" spans="1:20" ht="18" x14ac:dyDescent="0.4">
      <c r="A26" s="83" t="s">
        <v>125</v>
      </c>
      <c r="B26" s="84" t="s">
        <v>123</v>
      </c>
      <c r="C26" s="74"/>
      <c r="D26" s="75"/>
      <c r="E26" s="92" t="s">
        <v>130</v>
      </c>
      <c r="F26" s="93" t="s">
        <v>123</v>
      </c>
      <c r="G26" s="74"/>
      <c r="H26" s="75"/>
      <c r="I26" s="73"/>
      <c r="J26" s="74"/>
      <c r="K26" s="74"/>
      <c r="L26" s="75"/>
      <c r="M26" s="96" t="s">
        <v>140</v>
      </c>
      <c r="N26" s="97" t="s">
        <v>123</v>
      </c>
      <c r="O26" s="74"/>
      <c r="P26" s="75"/>
      <c r="Q26" s="98" t="s">
        <v>159</v>
      </c>
      <c r="R26" s="99" t="s">
        <v>123</v>
      </c>
      <c r="S26" s="74"/>
      <c r="T26" s="75"/>
    </row>
    <row r="27" spans="1:20" ht="15.6" x14ac:dyDescent="0.3">
      <c r="A27" s="86">
        <v>0.25</v>
      </c>
      <c r="B27" s="3">
        <v>23.6</v>
      </c>
      <c r="C27" s="74"/>
      <c r="D27" s="75"/>
      <c r="E27" s="86">
        <v>0.25</v>
      </c>
      <c r="F27" s="3">
        <v>25.6</v>
      </c>
      <c r="G27" s="74"/>
      <c r="H27" s="75"/>
      <c r="I27" s="73"/>
      <c r="J27" s="74"/>
      <c r="K27" s="74"/>
      <c r="L27" s="75"/>
      <c r="M27" s="86">
        <v>0.25</v>
      </c>
      <c r="N27" s="3">
        <v>24.7</v>
      </c>
      <c r="O27" s="74"/>
      <c r="P27" s="75"/>
      <c r="Q27" s="86">
        <v>0.25</v>
      </c>
      <c r="R27" s="3">
        <v>18.7</v>
      </c>
      <c r="S27" s="74"/>
      <c r="T27" s="75"/>
    </row>
    <row r="28" spans="1:20" ht="15.6" x14ac:dyDescent="0.3">
      <c r="A28" s="86">
        <v>1</v>
      </c>
      <c r="B28" s="3">
        <v>28.1</v>
      </c>
      <c r="C28" s="74"/>
      <c r="D28" s="75"/>
      <c r="E28" s="86">
        <v>1</v>
      </c>
      <c r="F28" s="3">
        <v>25.8</v>
      </c>
      <c r="G28" s="74"/>
      <c r="H28" s="75"/>
      <c r="I28" s="73"/>
      <c r="J28" s="74"/>
      <c r="K28" s="74"/>
      <c r="L28" s="75"/>
      <c r="M28" s="86">
        <v>1</v>
      </c>
      <c r="N28" s="3">
        <v>26.05</v>
      </c>
      <c r="O28" s="74"/>
      <c r="P28" s="75"/>
      <c r="Q28" s="86">
        <v>1</v>
      </c>
      <c r="R28" s="3">
        <v>28.7</v>
      </c>
      <c r="S28" s="74"/>
      <c r="T28" s="75"/>
    </row>
    <row r="29" spans="1:20" ht="15.6" x14ac:dyDescent="0.3">
      <c r="A29" s="86">
        <v>2</v>
      </c>
      <c r="B29" s="3">
        <v>35.4</v>
      </c>
      <c r="C29" s="74"/>
      <c r="D29" s="75"/>
      <c r="E29" s="86">
        <v>2</v>
      </c>
      <c r="F29" s="3">
        <v>26</v>
      </c>
      <c r="G29" s="74"/>
      <c r="H29" s="75"/>
      <c r="I29" s="73"/>
      <c r="J29" s="74"/>
      <c r="K29" s="74"/>
      <c r="L29" s="75"/>
      <c r="M29" s="86">
        <v>2</v>
      </c>
      <c r="N29" s="3">
        <v>27.8</v>
      </c>
      <c r="O29" s="74"/>
      <c r="P29" s="75"/>
      <c r="Q29" s="86">
        <v>2</v>
      </c>
      <c r="R29" s="3">
        <v>41.9</v>
      </c>
      <c r="S29" s="74"/>
      <c r="T29" s="75"/>
    </row>
    <row r="30" spans="1:20" x14ac:dyDescent="0.3">
      <c r="A30" s="73"/>
      <c r="B30" s="74"/>
      <c r="C30" s="74"/>
      <c r="D30" s="75"/>
      <c r="E30" s="73"/>
      <c r="F30" s="74"/>
      <c r="G30" s="74"/>
      <c r="H30" s="75"/>
      <c r="I30" s="73"/>
      <c r="J30" s="74"/>
      <c r="K30" s="74"/>
      <c r="L30" s="75"/>
      <c r="M30" s="73"/>
      <c r="N30" s="74"/>
      <c r="O30" s="74"/>
      <c r="P30" s="75"/>
      <c r="Q30" s="73"/>
      <c r="R30" s="74"/>
      <c r="S30" s="74"/>
      <c r="T30" s="75"/>
    </row>
    <row r="31" spans="1:20" ht="15" thickBot="1" x14ac:dyDescent="0.35">
      <c r="A31" s="91"/>
      <c r="B31" s="88"/>
      <c r="C31" s="88"/>
      <c r="D31" s="89"/>
      <c r="E31" s="91"/>
      <c r="F31" s="88"/>
      <c r="G31" s="88"/>
      <c r="H31" s="89"/>
      <c r="I31" s="91"/>
      <c r="J31" s="88"/>
      <c r="K31" s="88"/>
      <c r="L31" s="89"/>
      <c r="M31" s="91"/>
      <c r="N31" s="88"/>
      <c r="O31" s="88"/>
      <c r="P31" s="89"/>
      <c r="Q31" s="91"/>
      <c r="R31" s="88"/>
      <c r="S31" s="88"/>
      <c r="T31" s="89"/>
    </row>
    <row r="32" spans="1:20" ht="24" thickBot="1" x14ac:dyDescent="0.5">
      <c r="A32" s="219" t="s">
        <v>50</v>
      </c>
      <c r="B32" s="219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100"/>
      <c r="N32" s="100"/>
      <c r="O32" s="100"/>
      <c r="P32" s="100"/>
      <c r="Q32" s="100"/>
      <c r="R32" s="100"/>
      <c r="S32" s="100"/>
      <c r="T32" s="100"/>
    </row>
    <row r="33" spans="1:12" ht="15.6" x14ac:dyDescent="0.3">
      <c r="A33" s="72" t="s">
        <v>117</v>
      </c>
      <c r="B33" s="213" t="s">
        <v>118</v>
      </c>
      <c r="C33" s="213"/>
      <c r="D33" s="214"/>
      <c r="E33" s="90" t="s">
        <v>145</v>
      </c>
      <c r="F33" s="215" t="s">
        <v>118</v>
      </c>
      <c r="G33" s="215"/>
      <c r="H33" s="216"/>
      <c r="I33" s="94" t="s">
        <v>136</v>
      </c>
      <c r="J33" s="217" t="s">
        <v>118</v>
      </c>
      <c r="K33" s="217"/>
      <c r="L33" s="218"/>
    </row>
    <row r="34" spans="1:12" x14ac:dyDescent="0.3">
      <c r="A34" s="73"/>
      <c r="B34" s="74"/>
      <c r="C34" s="74"/>
      <c r="D34" s="75"/>
      <c r="E34" s="73"/>
      <c r="F34" s="74"/>
      <c r="G34" s="74"/>
      <c r="H34" s="75"/>
      <c r="I34" s="73"/>
      <c r="J34" s="74"/>
      <c r="K34" s="74"/>
      <c r="L34" s="75"/>
    </row>
    <row r="35" spans="1:12" ht="15.6" x14ac:dyDescent="0.3">
      <c r="A35" s="76" t="s">
        <v>119</v>
      </c>
      <c r="B35" s="77">
        <v>0.05</v>
      </c>
      <c r="C35" s="74"/>
      <c r="D35" s="75"/>
      <c r="E35" s="76" t="s">
        <v>119</v>
      </c>
      <c r="F35" s="77">
        <v>0.05</v>
      </c>
      <c r="G35" s="74"/>
      <c r="H35" s="75"/>
      <c r="I35" s="76" t="s">
        <v>119</v>
      </c>
      <c r="J35" s="77">
        <v>0.05</v>
      </c>
      <c r="K35" s="74"/>
      <c r="L35" s="75"/>
    </row>
    <row r="36" spans="1:12" ht="15.6" x14ac:dyDescent="0.3">
      <c r="A36" s="78" t="s">
        <v>121</v>
      </c>
      <c r="B36" s="79" t="s">
        <v>120</v>
      </c>
      <c r="C36" s="74"/>
      <c r="D36" s="75"/>
      <c r="E36" s="78" t="s">
        <v>121</v>
      </c>
      <c r="F36" s="79" t="s">
        <v>120</v>
      </c>
      <c r="G36" s="74"/>
      <c r="H36" s="75"/>
      <c r="I36" s="78" t="s">
        <v>121</v>
      </c>
      <c r="J36" s="79" t="s">
        <v>120</v>
      </c>
      <c r="K36" s="74"/>
      <c r="L36" s="75"/>
    </row>
    <row r="37" spans="1:12" ht="15.6" x14ac:dyDescent="0.3">
      <c r="A37" s="78" t="s">
        <v>126</v>
      </c>
      <c r="B37" s="79" t="s">
        <v>127</v>
      </c>
      <c r="C37" s="80"/>
      <c r="D37" s="75"/>
      <c r="E37" s="78" t="s">
        <v>126</v>
      </c>
      <c r="F37" s="79" t="s">
        <v>127</v>
      </c>
      <c r="G37" s="80"/>
      <c r="H37" s="75"/>
      <c r="I37" s="78" t="s">
        <v>126</v>
      </c>
      <c r="J37" s="79" t="s">
        <v>127</v>
      </c>
      <c r="K37" s="74"/>
      <c r="L37" s="75"/>
    </row>
    <row r="38" spans="1:12" ht="15.6" x14ac:dyDescent="0.3">
      <c r="A38" s="73"/>
      <c r="B38" s="74"/>
      <c r="C38" s="81"/>
      <c r="D38" s="82"/>
      <c r="E38" s="73"/>
      <c r="F38" s="74"/>
      <c r="G38" s="74"/>
      <c r="H38" s="75"/>
      <c r="I38" s="73"/>
      <c r="J38" s="74"/>
      <c r="K38" s="74"/>
      <c r="L38" s="75"/>
    </row>
    <row r="39" spans="1:12" ht="18" x14ac:dyDescent="0.4">
      <c r="A39" s="83" t="s">
        <v>140</v>
      </c>
      <c r="B39" s="84" t="s">
        <v>123</v>
      </c>
      <c r="C39" s="3"/>
      <c r="D39" s="85"/>
      <c r="E39" s="92" t="s">
        <v>143</v>
      </c>
      <c r="F39" s="93" t="s">
        <v>123</v>
      </c>
      <c r="G39" s="74"/>
      <c r="H39" s="75"/>
      <c r="I39" s="96" t="s">
        <v>150</v>
      </c>
      <c r="J39" s="97" t="s">
        <v>123</v>
      </c>
      <c r="K39" s="74"/>
      <c r="L39" s="75"/>
    </row>
    <row r="40" spans="1:12" ht="15.6" x14ac:dyDescent="0.3">
      <c r="A40" s="86">
        <v>0.25</v>
      </c>
      <c r="B40" s="3">
        <v>16.5</v>
      </c>
      <c r="C40" s="87"/>
      <c r="D40" s="85"/>
      <c r="E40" s="86">
        <v>0.25</v>
      </c>
      <c r="F40" s="3">
        <v>9.8000000000000007</v>
      </c>
      <c r="G40" s="74"/>
      <c r="H40" s="75"/>
      <c r="I40" s="86">
        <v>0.25</v>
      </c>
      <c r="J40" s="3">
        <v>10.7</v>
      </c>
      <c r="K40" s="74"/>
      <c r="L40" s="75"/>
    </row>
    <row r="41" spans="1:12" ht="15.6" x14ac:dyDescent="0.3">
      <c r="A41" s="86">
        <v>1</v>
      </c>
      <c r="B41" s="3">
        <v>27.8</v>
      </c>
      <c r="C41" s="87"/>
      <c r="D41" s="85"/>
      <c r="E41" s="86">
        <v>1</v>
      </c>
      <c r="F41" s="3">
        <v>18.399999999999999</v>
      </c>
      <c r="G41" s="74"/>
      <c r="H41" s="75"/>
      <c r="I41" s="86">
        <v>1</v>
      </c>
      <c r="J41" s="3">
        <v>13.8</v>
      </c>
      <c r="K41" s="74"/>
      <c r="L41" s="75"/>
    </row>
    <row r="42" spans="1:12" ht="15.6" x14ac:dyDescent="0.3">
      <c r="A42" s="86">
        <v>2</v>
      </c>
      <c r="B42" s="3">
        <v>42.9</v>
      </c>
      <c r="C42" s="74"/>
      <c r="D42" s="75"/>
      <c r="E42" s="86">
        <v>2</v>
      </c>
      <c r="F42" s="3">
        <v>29.8</v>
      </c>
      <c r="G42" s="74"/>
      <c r="H42" s="75"/>
      <c r="I42" s="86">
        <v>2</v>
      </c>
      <c r="J42" s="3">
        <v>17.8</v>
      </c>
      <c r="K42" s="74"/>
      <c r="L42" s="75"/>
    </row>
    <row r="43" spans="1:12" x14ac:dyDescent="0.3">
      <c r="A43" s="73"/>
      <c r="B43" s="74"/>
      <c r="C43" s="74"/>
      <c r="D43" s="75"/>
      <c r="E43" s="73"/>
      <c r="F43" s="74"/>
      <c r="G43" s="74"/>
      <c r="H43" s="75"/>
      <c r="I43" s="73"/>
      <c r="J43" s="74"/>
      <c r="K43" s="74"/>
      <c r="L43" s="75"/>
    </row>
    <row r="44" spans="1:12" x14ac:dyDescent="0.3">
      <c r="A44" s="73"/>
      <c r="B44" s="74"/>
      <c r="C44" s="74"/>
      <c r="D44" s="75"/>
      <c r="E44" s="73"/>
      <c r="F44" s="74"/>
      <c r="G44" s="74"/>
      <c r="H44" s="75"/>
      <c r="I44" s="73"/>
      <c r="J44" s="74"/>
      <c r="K44" s="74"/>
      <c r="L44" s="75"/>
    </row>
    <row r="45" spans="1:12" ht="18" x14ac:dyDescent="0.4">
      <c r="A45" s="83" t="s">
        <v>147</v>
      </c>
      <c r="B45" s="84" t="s">
        <v>123</v>
      </c>
      <c r="C45" s="74"/>
      <c r="D45" s="75"/>
      <c r="E45" s="92" t="s">
        <v>144</v>
      </c>
      <c r="F45" s="93" t="s">
        <v>123</v>
      </c>
      <c r="G45" s="74"/>
      <c r="H45" s="75"/>
      <c r="I45" s="96" t="s">
        <v>140</v>
      </c>
      <c r="J45" s="97" t="s">
        <v>123</v>
      </c>
      <c r="K45" s="74"/>
      <c r="L45" s="75"/>
    </row>
    <row r="46" spans="1:12" ht="15.6" x14ac:dyDescent="0.3">
      <c r="A46" s="86">
        <v>0.25</v>
      </c>
      <c r="B46" s="3">
        <v>24.9</v>
      </c>
      <c r="C46" s="74"/>
      <c r="D46" s="75"/>
      <c r="E46" s="86">
        <v>0.25</v>
      </c>
      <c r="F46" s="3">
        <v>13.3</v>
      </c>
      <c r="G46" s="74"/>
      <c r="H46" s="75"/>
      <c r="I46" s="86">
        <v>0.25</v>
      </c>
      <c r="J46" s="3">
        <v>13.6</v>
      </c>
      <c r="K46" s="74"/>
      <c r="L46" s="75"/>
    </row>
    <row r="47" spans="1:12" ht="15.6" x14ac:dyDescent="0.3">
      <c r="A47" s="86">
        <v>1</v>
      </c>
      <c r="B47" s="3">
        <v>27.8</v>
      </c>
      <c r="C47" s="74"/>
      <c r="D47" s="75"/>
      <c r="E47" s="86">
        <v>1</v>
      </c>
      <c r="F47" s="3">
        <v>18.399999999999999</v>
      </c>
      <c r="G47" s="74"/>
      <c r="H47" s="75"/>
      <c r="I47" s="86">
        <v>1</v>
      </c>
      <c r="J47" s="3">
        <v>13.8</v>
      </c>
      <c r="K47" s="74"/>
      <c r="L47" s="75"/>
    </row>
    <row r="48" spans="1:12" ht="15.6" x14ac:dyDescent="0.3">
      <c r="A48" s="86">
        <v>2</v>
      </c>
      <c r="B48" s="3">
        <v>31.8</v>
      </c>
      <c r="C48" s="74"/>
      <c r="D48" s="75"/>
      <c r="E48" s="86">
        <v>2</v>
      </c>
      <c r="F48" s="3">
        <v>25.1</v>
      </c>
      <c r="G48" s="74"/>
      <c r="H48" s="75"/>
      <c r="I48" s="86">
        <v>2</v>
      </c>
      <c r="J48" s="3">
        <v>13.9</v>
      </c>
      <c r="K48" s="74"/>
      <c r="L48" s="75"/>
    </row>
    <row r="49" spans="1:12" x14ac:dyDescent="0.3">
      <c r="A49" s="73"/>
      <c r="B49" s="74"/>
      <c r="C49" s="74"/>
      <c r="D49" s="75"/>
      <c r="E49" s="73"/>
      <c r="F49" s="74"/>
      <c r="G49" s="74"/>
      <c r="H49" s="75"/>
      <c r="I49" s="73"/>
      <c r="J49" s="74"/>
      <c r="K49" s="74"/>
      <c r="L49" s="75"/>
    </row>
    <row r="50" spans="1:12" x14ac:dyDescent="0.3">
      <c r="A50" s="73"/>
      <c r="B50" s="74"/>
      <c r="C50" s="74"/>
      <c r="D50" s="75"/>
      <c r="E50" s="73"/>
      <c r="F50" s="74"/>
      <c r="G50" s="74"/>
      <c r="H50" s="75"/>
      <c r="I50" s="73"/>
      <c r="J50" s="74"/>
      <c r="K50" s="74"/>
      <c r="L50" s="75"/>
    </row>
    <row r="51" spans="1:12" ht="18" x14ac:dyDescent="0.4">
      <c r="A51" s="83" t="s">
        <v>148</v>
      </c>
      <c r="B51" s="84" t="s">
        <v>123</v>
      </c>
      <c r="C51" s="74"/>
      <c r="D51" s="75"/>
      <c r="E51" s="92" t="s">
        <v>146</v>
      </c>
      <c r="F51" s="93" t="s">
        <v>123</v>
      </c>
      <c r="G51" s="74"/>
      <c r="H51" s="75"/>
      <c r="I51" s="96" t="s">
        <v>149</v>
      </c>
      <c r="J51" s="97" t="s">
        <v>123</v>
      </c>
      <c r="K51" s="74"/>
      <c r="L51" s="75"/>
    </row>
    <row r="52" spans="1:12" ht="15.6" x14ac:dyDescent="0.3">
      <c r="A52" s="86">
        <v>0.25</v>
      </c>
      <c r="B52" s="3">
        <v>25.9</v>
      </c>
      <c r="C52" s="74"/>
      <c r="D52" s="75"/>
      <c r="E52" s="86">
        <v>0.25</v>
      </c>
      <c r="F52" s="3">
        <v>16.3</v>
      </c>
      <c r="G52" s="74"/>
      <c r="H52" s="75"/>
      <c r="I52" s="86">
        <v>0.25</v>
      </c>
      <c r="J52" s="3">
        <v>12.4</v>
      </c>
      <c r="K52" s="74"/>
      <c r="L52" s="75"/>
    </row>
    <row r="53" spans="1:12" ht="15.6" x14ac:dyDescent="0.3">
      <c r="A53" s="86">
        <v>1</v>
      </c>
      <c r="B53" s="3">
        <v>27.8</v>
      </c>
      <c r="C53" s="74"/>
      <c r="D53" s="75"/>
      <c r="E53" s="86">
        <v>1</v>
      </c>
      <c r="F53" s="3">
        <v>18.399999999999999</v>
      </c>
      <c r="G53" s="74"/>
      <c r="H53" s="75"/>
      <c r="I53" s="86">
        <v>1</v>
      </c>
      <c r="J53" s="3">
        <v>13.8</v>
      </c>
      <c r="K53" s="74"/>
      <c r="L53" s="75"/>
    </row>
    <row r="54" spans="1:12" ht="15.6" x14ac:dyDescent="0.3">
      <c r="A54" s="86">
        <v>2</v>
      </c>
      <c r="B54" s="3">
        <v>30.5</v>
      </c>
      <c r="C54" s="74"/>
      <c r="D54" s="75"/>
      <c r="E54" s="86">
        <v>2</v>
      </c>
      <c r="F54" s="3">
        <v>21.1</v>
      </c>
      <c r="G54" s="74"/>
      <c r="H54" s="75"/>
      <c r="I54" s="86">
        <v>2</v>
      </c>
      <c r="J54" s="3">
        <v>15.6</v>
      </c>
      <c r="K54" s="74"/>
      <c r="L54" s="75"/>
    </row>
    <row r="55" spans="1:12" x14ac:dyDescent="0.3">
      <c r="A55" s="73"/>
      <c r="B55" s="74"/>
      <c r="C55" s="74"/>
      <c r="D55" s="75"/>
      <c r="E55" s="73"/>
      <c r="F55" s="74"/>
      <c r="G55" s="74"/>
      <c r="H55" s="75"/>
      <c r="I55" s="73"/>
      <c r="J55" s="74"/>
      <c r="K55" s="74"/>
      <c r="L55" s="75"/>
    </row>
    <row r="56" spans="1:12" x14ac:dyDescent="0.3">
      <c r="A56" s="73"/>
      <c r="B56" s="74"/>
      <c r="C56" s="74"/>
      <c r="D56" s="75"/>
      <c r="E56" s="73"/>
      <c r="F56" s="74"/>
      <c r="G56" s="74"/>
      <c r="H56" s="75"/>
      <c r="I56" s="73"/>
      <c r="J56" s="74"/>
      <c r="K56" s="74"/>
      <c r="L56" s="75"/>
    </row>
    <row r="57" spans="1:12" ht="18" x14ac:dyDescent="0.4">
      <c r="A57" s="83" t="s">
        <v>149</v>
      </c>
      <c r="B57" s="84" t="s">
        <v>123</v>
      </c>
      <c r="C57" s="74"/>
      <c r="D57" s="75"/>
      <c r="E57" s="92" t="s">
        <v>140</v>
      </c>
      <c r="F57" s="93" t="s">
        <v>123</v>
      </c>
      <c r="G57" s="74"/>
      <c r="H57" s="75"/>
      <c r="I57" s="96" t="s">
        <v>151</v>
      </c>
      <c r="J57" s="97" t="s">
        <v>123</v>
      </c>
      <c r="K57" s="74"/>
      <c r="L57" s="75"/>
    </row>
    <row r="58" spans="1:12" ht="15.6" x14ac:dyDescent="0.3">
      <c r="A58" s="86">
        <v>0.25</v>
      </c>
      <c r="B58" s="3">
        <v>26</v>
      </c>
      <c r="C58" s="74"/>
      <c r="D58" s="75"/>
      <c r="E58" s="86">
        <v>0.25</v>
      </c>
      <c r="F58" s="3">
        <v>17.5</v>
      </c>
      <c r="G58" s="74"/>
      <c r="H58" s="75"/>
      <c r="I58" s="86">
        <v>0.25</v>
      </c>
      <c r="J58" s="3">
        <v>11.4</v>
      </c>
      <c r="K58" s="74"/>
      <c r="L58" s="75"/>
    </row>
    <row r="59" spans="1:12" ht="15.6" x14ac:dyDescent="0.3">
      <c r="A59" s="86">
        <v>1</v>
      </c>
      <c r="B59" s="3">
        <v>27.8</v>
      </c>
      <c r="C59" s="74"/>
      <c r="D59" s="75"/>
      <c r="E59" s="86">
        <v>1</v>
      </c>
      <c r="F59" s="3">
        <v>18.399999999999999</v>
      </c>
      <c r="G59" s="74"/>
      <c r="H59" s="75"/>
      <c r="I59" s="86">
        <v>1</v>
      </c>
      <c r="J59" s="3">
        <v>13.8</v>
      </c>
      <c r="K59" s="74"/>
      <c r="L59" s="75"/>
    </row>
    <row r="60" spans="1:12" ht="15.6" x14ac:dyDescent="0.3">
      <c r="A60" s="86">
        <v>2</v>
      </c>
      <c r="B60" s="3">
        <v>30.3</v>
      </c>
      <c r="C60" s="74"/>
      <c r="D60" s="75"/>
      <c r="E60" s="86">
        <v>2</v>
      </c>
      <c r="F60" s="3">
        <v>19.600000000000001</v>
      </c>
      <c r="G60" s="74"/>
      <c r="H60" s="75"/>
      <c r="I60" s="86">
        <v>2</v>
      </c>
      <c r="J60" s="3">
        <v>17.399999999999999</v>
      </c>
      <c r="K60" s="74"/>
      <c r="L60" s="75"/>
    </row>
    <row r="61" spans="1:12" x14ac:dyDescent="0.3">
      <c r="A61" s="73"/>
      <c r="B61" s="74"/>
      <c r="C61" s="74"/>
      <c r="D61" s="75"/>
      <c r="E61" s="73"/>
      <c r="F61" s="74"/>
      <c r="G61" s="74"/>
      <c r="H61" s="75"/>
      <c r="I61" s="73"/>
      <c r="J61" s="74"/>
      <c r="K61" s="74"/>
      <c r="L61" s="75"/>
    </row>
    <row r="62" spans="1:12" ht="15" thickBot="1" x14ac:dyDescent="0.35">
      <c r="A62" s="91"/>
      <c r="B62" s="88"/>
      <c r="C62" s="88"/>
      <c r="D62" s="89"/>
      <c r="E62" s="91"/>
      <c r="F62" s="88"/>
      <c r="G62" s="88"/>
      <c r="H62" s="89"/>
      <c r="I62" s="91"/>
      <c r="J62" s="88"/>
      <c r="K62" s="88"/>
      <c r="L62" s="89"/>
    </row>
  </sheetData>
  <mergeCells count="10">
    <mergeCell ref="A1:T1"/>
    <mergeCell ref="B33:D33"/>
    <mergeCell ref="F33:H33"/>
    <mergeCell ref="J33:L33"/>
    <mergeCell ref="A32:L32"/>
    <mergeCell ref="B2:D2"/>
    <mergeCell ref="F2:H2"/>
    <mergeCell ref="J2:L2"/>
    <mergeCell ref="N2:P2"/>
    <mergeCell ref="R2:T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E230-F9EF-4846-86DA-856FF652DCD1}">
  <dimension ref="A1:Q55"/>
  <sheetViews>
    <sheetView topLeftCell="A12" workbookViewId="0">
      <selection activeCell="B35" sqref="B35:D38"/>
    </sheetView>
  </sheetViews>
  <sheetFormatPr defaultRowHeight="14.4" x14ac:dyDescent="0.3"/>
  <cols>
    <col min="1" max="1" width="19.21875" bestFit="1" customWidth="1"/>
    <col min="14" max="14" width="23.5546875" bestFit="1" customWidth="1"/>
  </cols>
  <sheetData>
    <row r="1" spans="1:17" ht="21" x14ac:dyDescent="0.4">
      <c r="A1" s="222" t="s">
        <v>44</v>
      </c>
      <c r="B1" s="222"/>
      <c r="C1" s="222"/>
      <c r="D1" s="222"/>
      <c r="N1" s="223" t="s">
        <v>50</v>
      </c>
      <c r="O1" s="223"/>
      <c r="P1" s="223"/>
      <c r="Q1" s="223"/>
    </row>
    <row r="3" spans="1:17" ht="15.6" x14ac:dyDescent="0.3">
      <c r="A3" s="105" t="s">
        <v>152</v>
      </c>
      <c r="B3" s="106"/>
      <c r="C3" s="106"/>
      <c r="D3" s="104"/>
      <c r="N3" s="103" t="s">
        <v>117</v>
      </c>
      <c r="O3" s="104"/>
      <c r="P3" s="104"/>
      <c r="Q3" s="104"/>
    </row>
    <row r="4" spans="1:17" x14ac:dyDescent="0.3">
      <c r="A4" s="106"/>
      <c r="B4" s="106" t="s">
        <v>153</v>
      </c>
      <c r="C4" s="106" t="s">
        <v>158</v>
      </c>
      <c r="D4" s="106" t="s">
        <v>154</v>
      </c>
      <c r="N4" s="104"/>
      <c r="O4" s="106" t="s">
        <v>153</v>
      </c>
      <c r="P4" s="106" t="s">
        <v>158</v>
      </c>
      <c r="Q4" s="106" t="s">
        <v>154</v>
      </c>
    </row>
    <row r="5" spans="1:17" ht="15.6" x14ac:dyDescent="0.3">
      <c r="A5" s="106" t="s">
        <v>51</v>
      </c>
      <c r="B5" s="106">
        <v>21.6</v>
      </c>
      <c r="C5" s="106">
        <v>22.1</v>
      </c>
      <c r="D5" s="106">
        <v>22.6</v>
      </c>
      <c r="N5" s="104" t="s">
        <v>51</v>
      </c>
      <c r="O5" s="108">
        <v>16.5</v>
      </c>
      <c r="P5" s="108">
        <v>27.8</v>
      </c>
      <c r="Q5" s="108">
        <v>42.9</v>
      </c>
    </row>
    <row r="6" spans="1:17" ht="15.6" x14ac:dyDescent="0.3">
      <c r="A6" s="106" t="s">
        <v>155</v>
      </c>
      <c r="B6" s="106">
        <v>16.899999999999999</v>
      </c>
      <c r="C6" s="106">
        <v>22.1</v>
      </c>
      <c r="D6" s="106">
        <v>28.9</v>
      </c>
      <c r="N6" s="104" t="s">
        <v>160</v>
      </c>
      <c r="O6" s="108">
        <v>24.9</v>
      </c>
      <c r="P6" s="108">
        <v>27.8</v>
      </c>
      <c r="Q6" s="108">
        <v>31.8</v>
      </c>
    </row>
    <row r="7" spans="1:17" ht="15.6" x14ac:dyDescent="0.3">
      <c r="A7" s="106" t="s">
        <v>156</v>
      </c>
      <c r="B7" s="106">
        <v>20.3</v>
      </c>
      <c r="C7" s="106">
        <v>22.1</v>
      </c>
      <c r="D7" s="106">
        <v>24.4</v>
      </c>
      <c r="N7" s="104" t="s">
        <v>161</v>
      </c>
      <c r="O7" s="108">
        <v>25.9</v>
      </c>
      <c r="P7" s="108">
        <v>27.8</v>
      </c>
      <c r="Q7" s="108">
        <v>30.5</v>
      </c>
    </row>
    <row r="8" spans="1:17" ht="15.6" x14ac:dyDescent="0.3">
      <c r="A8" s="106" t="s">
        <v>157</v>
      </c>
      <c r="B8" s="106">
        <v>21.5</v>
      </c>
      <c r="C8" s="106">
        <v>22.1</v>
      </c>
      <c r="D8" s="106">
        <v>22.7</v>
      </c>
      <c r="N8" s="104" t="s">
        <v>162</v>
      </c>
      <c r="O8" s="108">
        <v>26</v>
      </c>
      <c r="P8" s="108">
        <v>27.8</v>
      </c>
      <c r="Q8" s="108">
        <v>30.3</v>
      </c>
    </row>
    <row r="9" spans="1:17" x14ac:dyDescent="0.3">
      <c r="A9" s="104"/>
      <c r="B9" s="104"/>
      <c r="C9" s="104"/>
      <c r="D9" s="104"/>
    </row>
    <row r="10" spans="1:17" x14ac:dyDescent="0.3">
      <c r="A10" s="106"/>
      <c r="B10" s="104"/>
      <c r="C10" s="106"/>
      <c r="D10" s="104"/>
    </row>
    <row r="11" spans="1:17" x14ac:dyDescent="0.3">
      <c r="A11" s="106"/>
      <c r="B11" s="106"/>
      <c r="C11" s="106"/>
      <c r="D11" s="104"/>
    </row>
    <row r="12" spans="1:17" x14ac:dyDescent="0.3">
      <c r="A12" s="106"/>
      <c r="B12" s="106"/>
      <c r="C12" s="106"/>
      <c r="D12" s="104"/>
    </row>
    <row r="13" spans="1:17" x14ac:dyDescent="0.3">
      <c r="A13" s="106"/>
      <c r="B13" s="106"/>
      <c r="C13" s="106"/>
      <c r="D13" s="104"/>
    </row>
    <row r="14" spans="1:17" x14ac:dyDescent="0.3">
      <c r="A14" s="106"/>
      <c r="B14" s="106"/>
      <c r="C14" s="106"/>
      <c r="D14" s="104"/>
    </row>
    <row r="20" spans="1:17" x14ac:dyDescent="0.3">
      <c r="A20" s="103" t="s">
        <v>145</v>
      </c>
      <c r="N20" s="103" t="s">
        <v>145</v>
      </c>
      <c r="O20" s="104"/>
      <c r="P20" s="104"/>
      <c r="Q20" s="104"/>
    </row>
    <row r="21" spans="1:17" x14ac:dyDescent="0.3">
      <c r="A21" s="104"/>
      <c r="B21" s="101" t="s">
        <v>153</v>
      </c>
      <c r="C21" s="101" t="s">
        <v>158</v>
      </c>
      <c r="D21" s="101" t="s">
        <v>154</v>
      </c>
      <c r="N21" s="104"/>
      <c r="O21" s="106" t="s">
        <v>153</v>
      </c>
      <c r="P21" s="106" t="s">
        <v>158</v>
      </c>
      <c r="Q21" s="106" t="s">
        <v>154</v>
      </c>
    </row>
    <row r="22" spans="1:17" ht="15.6" x14ac:dyDescent="0.3">
      <c r="A22" s="104" t="s">
        <v>51</v>
      </c>
      <c r="B22">
        <v>21</v>
      </c>
      <c r="C22">
        <v>25.8</v>
      </c>
      <c r="D22">
        <v>32.200000000000003</v>
      </c>
      <c r="N22" s="104" t="s">
        <v>163</v>
      </c>
      <c r="O22" s="108">
        <v>9.8000000000000007</v>
      </c>
      <c r="P22" s="108">
        <v>18.399999999999999</v>
      </c>
      <c r="Q22" s="108">
        <v>29.8</v>
      </c>
    </row>
    <row r="23" spans="1:17" ht="15.6" x14ac:dyDescent="0.3">
      <c r="A23" s="104" t="s">
        <v>128</v>
      </c>
      <c r="B23">
        <v>23.3</v>
      </c>
      <c r="C23">
        <v>25.8</v>
      </c>
      <c r="D23">
        <v>29.1</v>
      </c>
      <c r="N23" s="104" t="s">
        <v>164</v>
      </c>
      <c r="O23" s="108">
        <v>13.3</v>
      </c>
      <c r="P23" s="108">
        <v>18.399999999999999</v>
      </c>
      <c r="Q23" s="108">
        <v>25.1</v>
      </c>
    </row>
    <row r="24" spans="1:17" ht="15.6" x14ac:dyDescent="0.3">
      <c r="A24" s="104" t="s">
        <v>129</v>
      </c>
      <c r="B24">
        <v>24.4</v>
      </c>
      <c r="C24">
        <v>25.8</v>
      </c>
      <c r="D24">
        <v>27.7</v>
      </c>
      <c r="N24" s="104" t="s">
        <v>165</v>
      </c>
      <c r="O24" s="108">
        <v>16.3</v>
      </c>
      <c r="P24" s="108">
        <v>18.399999999999999</v>
      </c>
      <c r="Q24" s="108">
        <v>21.1</v>
      </c>
    </row>
    <row r="25" spans="1:17" ht="15.6" x14ac:dyDescent="0.3">
      <c r="A25" s="104" t="s">
        <v>130</v>
      </c>
      <c r="B25">
        <v>25.6</v>
      </c>
      <c r="C25">
        <v>25.8</v>
      </c>
      <c r="D25">
        <v>26</v>
      </c>
      <c r="N25" s="104" t="s">
        <v>51</v>
      </c>
      <c r="O25" s="108">
        <v>17.5</v>
      </c>
      <c r="P25" s="108">
        <v>18.399999999999999</v>
      </c>
      <c r="Q25" s="108">
        <v>19.600000000000001</v>
      </c>
    </row>
    <row r="26" spans="1:17" x14ac:dyDescent="0.3">
      <c r="A26" s="104"/>
    </row>
    <row r="27" spans="1:17" x14ac:dyDescent="0.3">
      <c r="A27" s="104"/>
    </row>
    <row r="28" spans="1:17" x14ac:dyDescent="0.3">
      <c r="A28" s="104"/>
    </row>
    <row r="29" spans="1:17" x14ac:dyDescent="0.3">
      <c r="A29" s="104"/>
    </row>
    <row r="30" spans="1:17" x14ac:dyDescent="0.3">
      <c r="A30" s="104"/>
    </row>
    <row r="31" spans="1:17" x14ac:dyDescent="0.3">
      <c r="A31" s="104"/>
    </row>
    <row r="32" spans="1:17" x14ac:dyDescent="0.3">
      <c r="A32" s="104"/>
    </row>
    <row r="33" spans="1:17" x14ac:dyDescent="0.3">
      <c r="A33" s="103" t="s">
        <v>136</v>
      </c>
      <c r="N33" s="102" t="s">
        <v>136</v>
      </c>
    </row>
    <row r="34" spans="1:17" x14ac:dyDescent="0.3">
      <c r="A34" s="103"/>
      <c r="B34" s="101" t="s">
        <v>153</v>
      </c>
      <c r="C34" s="101" t="s">
        <v>158</v>
      </c>
      <c r="D34" s="101" t="s">
        <v>154</v>
      </c>
      <c r="N34" s="104"/>
      <c r="O34" s="106" t="s">
        <v>153</v>
      </c>
      <c r="P34" s="106" t="s">
        <v>158</v>
      </c>
      <c r="Q34" s="106" t="s">
        <v>154</v>
      </c>
    </row>
    <row r="35" spans="1:17" ht="15.6" x14ac:dyDescent="0.3">
      <c r="A35" s="104" t="s">
        <v>122</v>
      </c>
      <c r="B35" s="41">
        <f>C35*0.74</f>
        <v>11.47</v>
      </c>
      <c r="C35" s="41">
        <v>15.5</v>
      </c>
      <c r="D35" s="41">
        <f>C35*1.33</f>
        <v>20.615000000000002</v>
      </c>
      <c r="N35" s="104" t="s">
        <v>150</v>
      </c>
      <c r="O35" s="108">
        <v>10.7</v>
      </c>
      <c r="P35" s="108">
        <v>13.8</v>
      </c>
      <c r="Q35" s="108">
        <v>17.8</v>
      </c>
    </row>
    <row r="36" spans="1:17" ht="15.6" x14ac:dyDescent="0.3">
      <c r="A36" s="104" t="s">
        <v>128</v>
      </c>
      <c r="B36" s="41">
        <f>0.75*C36</f>
        <v>11.625</v>
      </c>
      <c r="C36" s="41">
        <v>15.5</v>
      </c>
      <c r="D36" s="41">
        <f>1.31*C36</f>
        <v>20.305</v>
      </c>
      <c r="E36" s="74"/>
      <c r="N36" s="104" t="s">
        <v>51</v>
      </c>
      <c r="O36" s="108">
        <v>13.6</v>
      </c>
      <c r="P36" s="108">
        <v>13.8</v>
      </c>
      <c r="Q36" s="108">
        <v>13.9</v>
      </c>
    </row>
    <row r="37" spans="1:17" ht="15.6" x14ac:dyDescent="0.3">
      <c r="A37" s="104" t="s">
        <v>156</v>
      </c>
      <c r="B37" s="41">
        <f>0.923*C37</f>
        <v>14.3065</v>
      </c>
      <c r="C37" s="41">
        <v>15.5</v>
      </c>
      <c r="D37" s="41">
        <f>1.092*C37</f>
        <v>16.926000000000002</v>
      </c>
      <c r="N37" s="104" t="s">
        <v>162</v>
      </c>
      <c r="O37" s="108">
        <v>12.4</v>
      </c>
      <c r="P37" s="108">
        <v>13.8</v>
      </c>
      <c r="Q37" s="108">
        <v>15.6</v>
      </c>
    </row>
    <row r="38" spans="1:17" ht="15.6" x14ac:dyDescent="0.3">
      <c r="A38" s="104" t="s">
        <v>51</v>
      </c>
      <c r="B38" s="41">
        <f>0.93*C38</f>
        <v>14.415000000000001</v>
      </c>
      <c r="C38" s="41">
        <v>15.5</v>
      </c>
      <c r="D38" s="41">
        <f>1.091*C38</f>
        <v>16.910499999999999</v>
      </c>
      <c r="N38" s="109" t="s">
        <v>166</v>
      </c>
      <c r="O38" s="110">
        <v>11.4</v>
      </c>
      <c r="P38" s="110">
        <v>13.8</v>
      </c>
      <c r="Q38" s="110">
        <v>17.399999999999999</v>
      </c>
    </row>
    <row r="40" spans="1:17" ht="15.6" x14ac:dyDescent="0.3">
      <c r="C40" s="34"/>
    </row>
    <row r="50" spans="1:4" x14ac:dyDescent="0.3">
      <c r="A50" s="103" t="s">
        <v>137</v>
      </c>
      <c r="B50" s="104"/>
      <c r="C50" s="104"/>
      <c r="D50" s="104"/>
    </row>
    <row r="51" spans="1:4" x14ac:dyDescent="0.3">
      <c r="A51" s="104"/>
      <c r="B51" s="106" t="s">
        <v>153</v>
      </c>
      <c r="C51" s="106" t="s">
        <v>158</v>
      </c>
      <c r="D51" s="106" t="s">
        <v>154</v>
      </c>
    </row>
    <row r="52" spans="1:4" ht="15.6" x14ac:dyDescent="0.3">
      <c r="A52" s="107" t="s">
        <v>51</v>
      </c>
      <c r="B52" s="108">
        <v>10</v>
      </c>
      <c r="C52" s="108">
        <v>28.7</v>
      </c>
      <c r="D52" s="108">
        <v>65.400000000000006</v>
      </c>
    </row>
    <row r="53" spans="1:4" ht="15.6" x14ac:dyDescent="0.3">
      <c r="A53" s="107" t="s">
        <v>156</v>
      </c>
      <c r="B53" s="108">
        <v>11</v>
      </c>
      <c r="C53" s="108">
        <v>28.7</v>
      </c>
      <c r="D53" s="108">
        <v>52.4</v>
      </c>
    </row>
    <row r="54" spans="1:4" ht="15.6" x14ac:dyDescent="0.3">
      <c r="A54" s="107" t="s">
        <v>142</v>
      </c>
      <c r="B54" s="108">
        <v>12.2</v>
      </c>
      <c r="C54" s="108">
        <v>28.7</v>
      </c>
      <c r="D54" s="108">
        <v>50.7</v>
      </c>
    </row>
    <row r="55" spans="1:4" ht="15.6" x14ac:dyDescent="0.3">
      <c r="A55" s="107" t="s">
        <v>159</v>
      </c>
      <c r="B55" s="108">
        <v>18.7</v>
      </c>
      <c r="C55" s="108">
        <v>28.7</v>
      </c>
      <c r="D55" s="108">
        <v>41.9</v>
      </c>
    </row>
  </sheetData>
  <mergeCells count="2">
    <mergeCell ref="A1:D1"/>
    <mergeCell ref="N1:Q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4A39-6CF2-4A31-AC70-B54402217A64}">
  <dimension ref="A1:F45"/>
  <sheetViews>
    <sheetView workbookViewId="0">
      <selection activeCell="X14" sqref="X14"/>
    </sheetView>
  </sheetViews>
  <sheetFormatPr defaultRowHeight="14.4" x14ac:dyDescent="0.3"/>
  <cols>
    <col min="1" max="1" width="44.88671875" bestFit="1" customWidth="1"/>
    <col min="3" max="3" width="7.88671875" bestFit="1" customWidth="1"/>
  </cols>
  <sheetData>
    <row r="1" spans="1:6" ht="21" x14ac:dyDescent="0.4">
      <c r="A1" s="112" t="s">
        <v>170</v>
      </c>
    </row>
    <row r="2" spans="1:6" ht="16.2" thickBot="1" x14ac:dyDescent="0.35">
      <c r="A2" s="114" t="s">
        <v>172</v>
      </c>
      <c r="B2" s="224" t="s">
        <v>171</v>
      </c>
      <c r="C2" s="224"/>
      <c r="D2" s="224"/>
      <c r="E2" s="224"/>
      <c r="F2" s="224"/>
    </row>
    <row r="3" spans="1:6" ht="16.2" thickBot="1" x14ac:dyDescent="0.35">
      <c r="A3" s="48" t="s">
        <v>0</v>
      </c>
      <c r="B3" s="114" t="s">
        <v>173</v>
      </c>
      <c r="C3" s="114" t="s">
        <v>174</v>
      </c>
      <c r="D3" s="114" t="s">
        <v>175</v>
      </c>
      <c r="E3" s="114" t="s">
        <v>176</v>
      </c>
      <c r="F3" s="114" t="s">
        <v>177</v>
      </c>
    </row>
    <row r="4" spans="1:6" ht="15.6" x14ac:dyDescent="0.3">
      <c r="A4" s="2" t="s">
        <v>217</v>
      </c>
      <c r="B4" s="111">
        <f>('RecipeMidpoint(H)'!C3/'RecipeMidpoint(H)'!$I$3)*100</f>
        <v>7.1175361151309717</v>
      </c>
      <c r="C4" s="111">
        <f>('RecipeMidpoint(H)'!F3/'RecipeMidpoint(H)'!$I$3)*100</f>
        <v>0.28844742497568082</v>
      </c>
      <c r="D4" s="111">
        <f>('RecipeMidpoint(H)'!I3/'RecipeMidpoint(H)'!$I$3)*100</f>
        <v>100</v>
      </c>
      <c r="E4" s="111">
        <f>('RecipeMidpoint(H)'!L3/'RecipeMidpoint(H)'!$I$3)*100</f>
        <v>0.50104375556868774</v>
      </c>
      <c r="F4" s="111">
        <f>('RecipeMidpoint(H)'!O3/'RecipeMidpoint(H)'!$I$3)*100</f>
        <v>9.0930163047650741</v>
      </c>
    </row>
    <row r="5" spans="1:6" ht="15.6" x14ac:dyDescent="0.3">
      <c r="A5" s="8" t="s">
        <v>218</v>
      </c>
      <c r="B5" s="111">
        <f>('RecipeMidpoint(H)'!C4/'RecipeMidpoint(H)'!$I$4)*100</f>
        <v>41.291877165452846</v>
      </c>
      <c r="C5" s="111">
        <f>('RecipeMidpoint(H)'!F4/'RecipeMidpoint(H)'!$I$4)*100</f>
        <v>47.699996675648634</v>
      </c>
      <c r="D5" s="111">
        <f>('RecipeMidpoint(H)'!I4/'RecipeMidpoint(H)'!$I$4)*100</f>
        <v>100</v>
      </c>
      <c r="E5" s="111">
        <f>('RecipeMidpoint(H)'!L4/'RecipeMidpoint(H)'!$I$4)*100</f>
        <v>29.89457170349527</v>
      </c>
      <c r="F5" s="111">
        <f>('RecipeMidpoint(H)'!O4/'RecipeMidpoint(H)'!$I$4)*100</f>
        <v>53.385154017738166</v>
      </c>
    </row>
    <row r="6" spans="1:6" ht="15.6" x14ac:dyDescent="0.3">
      <c r="A6" s="2" t="s">
        <v>219</v>
      </c>
      <c r="B6" s="111">
        <f>('RecipeMidpoint(H)'!C5/'RecipeMidpoint(H)'!$O$5)*100</f>
        <v>37.763473465139029</v>
      </c>
      <c r="C6" s="111">
        <f>('RecipeMidpoint(H)'!F5/'RecipeMidpoint(H)'!$O$5)*100</f>
        <v>17.196700420430002</v>
      </c>
      <c r="D6" s="111">
        <f>('RecipeMidpoint(H)'!I5/'RecipeMidpoint(H)'!$O$5)*100</f>
        <v>66.738422319873138</v>
      </c>
      <c r="E6" s="111">
        <f>('RecipeMidpoint(H)'!L5/'RecipeMidpoint(H)'!$O$5)*100</f>
        <v>26.473377218966142</v>
      </c>
      <c r="F6" s="111">
        <f>('RecipeMidpoint(H)'!O5/'RecipeMidpoint(H)'!$O$5)*100</f>
        <v>100</v>
      </c>
    </row>
    <row r="7" spans="1:6" ht="15.6" x14ac:dyDescent="0.3">
      <c r="A7" s="2" t="s">
        <v>220</v>
      </c>
      <c r="B7" s="111">
        <f>('RecipeMidpoint(H)'!C6/'RecipeMidpoint(H)'!$O$6)*100</f>
        <v>38.192969022267533</v>
      </c>
      <c r="C7" s="111">
        <f>('RecipeMidpoint(H)'!F6/'RecipeMidpoint(H)'!$O$6)*100</f>
        <v>21.114995839514702</v>
      </c>
      <c r="D7" s="111">
        <f>('RecipeMidpoint(H)'!I6/'RecipeMidpoint(H)'!$O$6)*100</f>
        <v>51.628467623259276</v>
      </c>
      <c r="E7" s="111">
        <f>('RecipeMidpoint(H)'!L6/'RecipeMidpoint(H)'!$O$6)*100</f>
        <v>38.700564971751405</v>
      </c>
      <c r="F7" s="111">
        <f>('RecipeMidpoint(H)'!O6/'RecipeMidpoint(H)'!$O$6)*100</f>
        <v>100</v>
      </c>
    </row>
    <row r="8" spans="1:6" ht="15.6" x14ac:dyDescent="0.3">
      <c r="A8" s="2" t="s">
        <v>221</v>
      </c>
      <c r="B8" s="111">
        <f>('RecipeMidpoint(H)'!C7/'RecipeMidpoint(H)'!$F$7)*100</f>
        <v>20.011042521925759</v>
      </c>
      <c r="C8" s="111">
        <f>('RecipeMidpoint(H)'!F7/'RecipeMidpoint(H)'!$F$7)*100</f>
        <v>100</v>
      </c>
      <c r="D8" s="111">
        <f>('RecipeMidpoint(H)'!I7/'RecipeMidpoint(H)'!$F$7)*100</f>
        <v>16.754678619354753</v>
      </c>
      <c r="E8" s="111">
        <f>('RecipeMidpoint(H)'!L7/'RecipeMidpoint(H)'!$F$7)*100</f>
        <v>2.1114026050218384</v>
      </c>
      <c r="F8" s="111">
        <f>('RecipeMidpoint(H)'!O7/'RecipeMidpoint(H)'!$F$7)*100</f>
        <v>58.920548617850734</v>
      </c>
    </row>
    <row r="9" spans="1:6" ht="15.6" x14ac:dyDescent="0.3">
      <c r="A9" s="2" t="s">
        <v>222</v>
      </c>
      <c r="B9" s="111">
        <f>('RecipeMidpoint(H)'!C8/'RecipeMidpoint(H)'!$L$8)*100</f>
        <v>2.683307078472978</v>
      </c>
      <c r="C9" s="111">
        <f>('RecipeMidpoint(H)'!F8/'RecipeMidpoint(H)'!$L$8)*100</f>
        <v>1.1064741201256718</v>
      </c>
      <c r="D9" s="111">
        <f>('RecipeMidpoint(H)'!I8/'RecipeMidpoint(H)'!$L$8)*100</f>
        <v>0.12282193215024449</v>
      </c>
      <c r="E9" s="111">
        <f>('RecipeMidpoint(H)'!L8/'RecipeMidpoint(H)'!$L$8)*100</f>
        <v>100</v>
      </c>
      <c r="F9" s="111">
        <f>('RecipeMidpoint(H)'!O8/'RecipeMidpoint(H)'!$L$8)*100</f>
        <v>14.386123450447943</v>
      </c>
    </row>
    <row r="10" spans="1:6" ht="15.6" x14ac:dyDescent="0.3">
      <c r="A10" s="2" t="s">
        <v>223</v>
      </c>
      <c r="B10" s="111">
        <f>('RecipeMidpoint(H)'!C9/'RecipeMidpoint(H)'!$O$9)*100</f>
        <v>32.381115621614541</v>
      </c>
      <c r="C10" s="111">
        <f>('RecipeMidpoint(H)'!F9/'RecipeMidpoint(H)'!$O$9)*100</f>
        <v>8.0550539199652853</v>
      </c>
      <c r="D10" s="111">
        <f>('RecipeMidpoint(H)'!I9/'RecipeMidpoint(H)'!$O$9)*100</f>
        <v>28.158855374708207</v>
      </c>
      <c r="E10" s="111">
        <f>('RecipeMidpoint(H)'!L9/'RecipeMidpoint(H)'!$O$9)*100</f>
        <v>6.7957272223152758</v>
      </c>
      <c r="F10" s="111">
        <f>('RecipeMidpoint(H)'!O9/'RecipeMidpoint(H)'!$O$9)*100</f>
        <v>100</v>
      </c>
    </row>
    <row r="11" spans="1:6" ht="15.6" x14ac:dyDescent="0.3">
      <c r="A11" s="2" t="s">
        <v>224</v>
      </c>
      <c r="B11" s="111">
        <f>('RecipeMidpoint(H)'!C10/'RecipeMidpoint(H)'!$L$10)*100</f>
        <v>5.5620719799089686</v>
      </c>
      <c r="C11" s="111">
        <f>('RecipeMidpoint(H)'!F10/'RecipeMidpoint(H)'!$L$10)*100</f>
        <v>3.6240466045265207</v>
      </c>
      <c r="D11" s="111">
        <f>('RecipeMidpoint(H)'!I10/'RecipeMidpoint(H)'!$L$10)*100</f>
        <v>3.0666147195138467</v>
      </c>
      <c r="E11" s="111">
        <f>('RecipeMidpoint(H)'!L10/'RecipeMidpoint(H)'!$L$10)*100</f>
        <v>100</v>
      </c>
      <c r="F11" s="111">
        <f>('RecipeMidpoint(H)'!O10/'RecipeMidpoint(H)'!$L$10)*100</f>
        <v>17.960943465523087</v>
      </c>
    </row>
    <row r="12" spans="1:6" ht="15.6" x14ac:dyDescent="0.3">
      <c r="A12" s="2" t="s">
        <v>231</v>
      </c>
      <c r="B12" s="111">
        <f>('RecipeMidpoint(H)'!C11/'RecipeMidpoint(H)'!$L$11)*100</f>
        <v>24.321531019088756</v>
      </c>
      <c r="C12" s="111">
        <f>('RecipeMidpoint(H)'!F11/'RecipeMidpoint(H)'!$L$11)*100</f>
        <v>0.97833422626994426</v>
      </c>
      <c r="D12" s="111">
        <f>('RecipeMidpoint(H)'!I11/'RecipeMidpoint(H)'!$L$11)*100</f>
        <v>0.42795281413876174</v>
      </c>
      <c r="E12" s="111">
        <f>('RecipeMidpoint(H)'!L11/'RecipeMidpoint(H)'!$L$11)*100</f>
        <v>100</v>
      </c>
      <c r="F12" s="111">
        <f>('RecipeMidpoint(H)'!O11/'RecipeMidpoint(H)'!$L$11)*100</f>
        <v>0.88098403629603905</v>
      </c>
    </row>
    <row r="13" spans="1:6" ht="15.6" x14ac:dyDescent="0.3">
      <c r="A13" s="2" t="s">
        <v>230</v>
      </c>
      <c r="B13" s="111">
        <f>('RecipeMidpoint(H)'!C12/'RecipeMidpoint(H)'!$O$12)*100</f>
        <v>25.798239134215123</v>
      </c>
      <c r="C13" s="111">
        <f>('RecipeMidpoint(H)'!F12/'RecipeMidpoint(H)'!$O$12)*100</f>
        <v>7.4352517125509134</v>
      </c>
      <c r="D13" s="111">
        <f>('RecipeMidpoint(H)'!I12/'RecipeMidpoint(H)'!$O$12)*100</f>
        <v>20.470357637280266</v>
      </c>
      <c r="E13" s="111">
        <f>('RecipeMidpoint(H)'!L12/'RecipeMidpoint(H)'!$O$12)*100</f>
        <v>16.882159007973787</v>
      </c>
      <c r="F13" s="111">
        <f>('RecipeMidpoint(H)'!O12/'RecipeMidpoint(H)'!$O$12)*100</f>
        <v>100</v>
      </c>
    </row>
    <row r="14" spans="1:6" ht="15.6" x14ac:dyDescent="0.3">
      <c r="A14" s="2" t="s">
        <v>229</v>
      </c>
      <c r="B14" s="111">
        <f>('RecipeMidpoint(H)'!C13/'RecipeMidpoint(H)'!$L$13)*100</f>
        <v>95.125599075317808</v>
      </c>
      <c r="C14" s="111">
        <f>('RecipeMidpoint(H)'!F13/'RecipeMidpoint(H)'!$L$13)*100</f>
        <v>16.822801031860383</v>
      </c>
      <c r="D14" s="111">
        <f>('RecipeMidpoint(H)'!I13/'RecipeMidpoint(H)'!$L$13)*100</f>
        <v>86.971400786904624</v>
      </c>
      <c r="E14" s="111">
        <f>('RecipeMidpoint(H)'!L13/'RecipeMidpoint(H)'!$L$13)*100</f>
        <v>100</v>
      </c>
      <c r="F14" s="111">
        <v>100</v>
      </c>
    </row>
    <row r="15" spans="1:6" ht="15.6" x14ac:dyDescent="0.3">
      <c r="A15" s="2" t="s">
        <v>228</v>
      </c>
      <c r="B15" s="111">
        <f>('RecipeMidpoint(H)'!C14/'RecipeMidpoint(H)'!$O$14)*100</f>
        <v>39.479192416870575</v>
      </c>
      <c r="C15" s="111">
        <f>('RecipeMidpoint(H)'!F14/'RecipeMidpoint(H)'!$O$14)*100</f>
        <v>51.044370695601991</v>
      </c>
      <c r="D15" s="111">
        <f>('RecipeMidpoint(H)'!I14/'RecipeMidpoint(H)'!$O$14)*100</f>
        <v>69.055388910963273</v>
      </c>
      <c r="E15" s="111">
        <f>('RecipeMidpoint(H)'!L14/'RecipeMidpoint(H)'!$O$14)*100</f>
        <v>23.274803648082248</v>
      </c>
      <c r="F15" s="111">
        <f>('RecipeMidpoint(H)'!O14/'RecipeMidpoint(H)'!$O$14)*100</f>
        <v>100</v>
      </c>
    </row>
    <row r="16" spans="1:6" ht="15.6" x14ac:dyDescent="0.3">
      <c r="A16" s="2" t="s">
        <v>227</v>
      </c>
      <c r="B16" s="111">
        <f>('RecipeMidpoint(H)'!C15/'RecipeMidpoint(H)'!$L$15)*100</f>
        <v>7.709939013489933</v>
      </c>
      <c r="C16" s="111">
        <f>('RecipeMidpoint(H)'!F15/'RecipeMidpoint(H)'!$L$15)*100</f>
        <v>0.35107996075115866</v>
      </c>
      <c r="D16" s="111">
        <f>('RecipeMidpoint(H)'!I15/'RecipeMidpoint(H)'!$L$15)*100</f>
        <v>0.1401814540859215</v>
      </c>
      <c r="E16" s="111">
        <f>('RecipeMidpoint(H)'!L15/'RecipeMidpoint(H)'!$L$15)*100</f>
        <v>100</v>
      </c>
      <c r="F16" s="111">
        <f>('RecipeMidpoint(H)'!O15/'RecipeMidpoint(H)'!$L$15)*100</f>
        <v>2.0238193686454617</v>
      </c>
    </row>
    <row r="17" spans="1:6" ht="15.6" x14ac:dyDescent="0.3">
      <c r="A17" s="2" t="s">
        <v>226</v>
      </c>
      <c r="B17" s="111">
        <f>('RecipeMidpoint(H)'!C16/'RecipeMidpoint(H)'!$L$16)*100</f>
        <v>26.111289989339824</v>
      </c>
      <c r="C17" s="111">
        <f>('RecipeMidpoint(H)'!F16/'RecipeMidpoint(H)'!$L$16)*100</f>
        <v>1.5306970380564924</v>
      </c>
      <c r="D17" s="111">
        <f>('RecipeMidpoint(H)'!I16/'RecipeMidpoint(H)'!$L$16)*100</f>
        <v>0.14896630813291417</v>
      </c>
      <c r="E17" s="111">
        <v>100</v>
      </c>
      <c r="F17" s="111">
        <f>('RecipeMidpoint(H)'!O16/'RecipeMidpoint(H)'!$L$16)*100</f>
        <v>1.3000270382391246</v>
      </c>
    </row>
    <row r="18" spans="1:6" ht="15.6" x14ac:dyDescent="0.3">
      <c r="A18" s="2" t="s">
        <v>225</v>
      </c>
      <c r="B18" s="111">
        <f>('RecipeMidpoint(H)'!C17/'RecipeMidpoint(H)'!$L$17)*100</f>
        <v>22.244035976903696</v>
      </c>
      <c r="C18" s="111">
        <f>('RecipeMidpoint(H)'!F17/'RecipeMidpoint(H)'!$L$17)*100</f>
        <v>1.2402915590080934</v>
      </c>
      <c r="D18" s="111">
        <f>('RecipeMidpoint(H)'!I17/'RecipeMidpoint(H)'!$L$17)*100</f>
        <v>0.62586912733706324</v>
      </c>
      <c r="E18" s="111">
        <f>('RecipeMidpoint(H)'!L17/'RecipeMidpoint(H)'!$L$17)*100</f>
        <v>100</v>
      </c>
      <c r="F18" s="111">
        <f>('RecipeMidpoint(H)'!O17/'RecipeMidpoint(H)'!$L$17)*100</f>
        <v>0.60489174728619421</v>
      </c>
    </row>
    <row r="19" spans="1:6" ht="15.6" x14ac:dyDescent="0.3">
      <c r="A19" s="2" t="s">
        <v>232</v>
      </c>
      <c r="B19" s="111">
        <f>('RecipeMidpoint(H)'!C18/'RecipeMidpoint(H)'!$O$18)*100</f>
        <v>0.59667555505402248</v>
      </c>
      <c r="C19" s="111">
        <f>('RecipeMidpoint(H)'!F18/'RecipeMidpoint(H)'!$O$18)*100</f>
        <v>5.1914859425767179E-2</v>
      </c>
      <c r="D19" s="111">
        <f>('RecipeMidpoint(H)'!I18/'RecipeMidpoint(H)'!$O$18)*100</f>
        <v>0.89788072244060524</v>
      </c>
      <c r="E19" s="111">
        <f>('RecipeMidpoint(H)'!L18/'RecipeMidpoint(H)'!$O$18)*100</f>
        <v>15.554623389369777</v>
      </c>
      <c r="F19" s="111">
        <v>100</v>
      </c>
    </row>
    <row r="20" spans="1:6" ht="15.6" x14ac:dyDescent="0.3">
      <c r="A20" s="2" t="s">
        <v>233</v>
      </c>
      <c r="B20" s="111">
        <f>('RecipeMidpoint(H)'!C19/'RecipeMidpoint(H)'!$O$19)*100</f>
        <v>71.322921065383994</v>
      </c>
      <c r="C20" s="111">
        <f>('RecipeMidpoint(H)'!F19/'RecipeMidpoint(H)'!$O$19)*100</f>
        <v>17.418518286867478</v>
      </c>
      <c r="D20" s="111">
        <f>('RecipeMidpoint(H)'!I19/'RecipeMidpoint(H)'!$O$19)*100</f>
        <v>52.958070968545165</v>
      </c>
      <c r="E20" s="111">
        <f>('RecipeMidpoint(H)'!L19/'RecipeMidpoint(H)'!$O$19)*100</f>
        <v>10.301012952308559</v>
      </c>
      <c r="F20" s="111">
        <v>100</v>
      </c>
    </row>
    <row r="21" spans="1:6" ht="16.2" thickBot="1" x14ac:dyDescent="0.35">
      <c r="A21" s="4" t="s">
        <v>234</v>
      </c>
      <c r="B21" s="111">
        <f>('RecipeMidpoint(H)'!C20/'RecipeMidpoint(H)'!$O$20)*100</f>
        <v>1.4508442743444014</v>
      </c>
      <c r="C21" s="111">
        <f>('RecipeMidpoint(H)'!F20/'RecipeMidpoint(H)'!$O$20)*100</f>
        <v>8.6848625555218106E-2</v>
      </c>
      <c r="D21" s="111">
        <f>('RecipeMidpoint(H)'!I20/'RecipeMidpoint(H)'!$O$20)*100</f>
        <v>1.0114022915562064</v>
      </c>
      <c r="E21" s="111">
        <f>('RecipeMidpoint(H)'!L20/'RecipeMidpoint(H)'!$O$20)*100</f>
        <v>5.5595855380821391</v>
      </c>
      <c r="F21" s="111">
        <v>100</v>
      </c>
    </row>
    <row r="26" spans="1:6" ht="16.2" thickBot="1" x14ac:dyDescent="0.35">
      <c r="A26" s="115" t="s">
        <v>195</v>
      </c>
      <c r="B26" s="224" t="s">
        <v>171</v>
      </c>
      <c r="C26" s="224"/>
      <c r="D26" s="224"/>
      <c r="E26" s="117"/>
      <c r="F26" s="117"/>
    </row>
    <row r="27" spans="1:6" ht="15.6" x14ac:dyDescent="0.3">
      <c r="A27" s="48" t="s">
        <v>0</v>
      </c>
      <c r="B27" s="116" t="s">
        <v>196</v>
      </c>
      <c r="C27" s="116" t="s">
        <v>173</v>
      </c>
      <c r="D27" s="116" t="s">
        <v>176</v>
      </c>
      <c r="E27" s="118"/>
      <c r="F27" s="118"/>
    </row>
    <row r="28" spans="1:6" ht="15.6" x14ac:dyDescent="0.3">
      <c r="A28" s="2" t="s">
        <v>217</v>
      </c>
      <c r="B28" s="119">
        <f>('RecipeMidpoint(H)'!F25)/('RecipeMidpoint(H)'!C25)*100</f>
        <v>0.99488616260337459</v>
      </c>
      <c r="C28" s="119">
        <f>('RecipeMidpoint(H)'!C25)/('RecipeMidpoint(H)'!C25)*100</f>
        <v>100</v>
      </c>
      <c r="D28" s="119">
        <f>('RecipeMidpoint(H)'!I25)/('RecipeMidpoint(H)'!C25)*100</f>
        <v>12.558001410744094</v>
      </c>
    </row>
    <row r="29" spans="1:6" ht="15.6" x14ac:dyDescent="0.3">
      <c r="A29" s="8" t="s">
        <v>218</v>
      </c>
      <c r="B29" s="119">
        <f>('RecipeMidpoint(H)'!F26)/('RecipeMidpoint(H)'!C26)*100</f>
        <v>65.880331601214266</v>
      </c>
      <c r="C29" s="119">
        <f>('RecipeMidpoint(H)'!C26)/('RecipeMidpoint(H)'!C26)*100</f>
        <v>100</v>
      </c>
      <c r="D29" s="119">
        <f>('RecipeMidpoint(H)'!I26)/('RecipeMidpoint(H)'!C26)*100</f>
        <v>49.551030788316517</v>
      </c>
    </row>
    <row r="30" spans="1:6" ht="15.6" x14ac:dyDescent="0.3">
      <c r="A30" s="2" t="s">
        <v>219</v>
      </c>
      <c r="B30" s="119">
        <f>('RecipeMidpoint(H)'!F27)/('RecipeMidpoint(H)'!C27)*100</f>
        <v>62.818780835516527</v>
      </c>
      <c r="C30" s="119">
        <f>('RecipeMidpoint(H)'!C27)/('RecipeMidpoint(H)'!C27)*100</f>
        <v>100</v>
      </c>
      <c r="D30" s="119">
        <f>('RecipeMidpoint(H)'!I27)/('RecipeMidpoint(H)'!C27)*100</f>
        <v>25.185663405953456</v>
      </c>
    </row>
    <row r="31" spans="1:6" ht="15.6" x14ac:dyDescent="0.3">
      <c r="A31" s="2" t="s">
        <v>220</v>
      </c>
      <c r="B31" s="119">
        <f>('RecipeMidpoint(H)'!F28)/('RecipeMidpoint(H)'!I28)*100</f>
        <v>0.14167645688759808</v>
      </c>
      <c r="C31" s="119">
        <f>('RecipeMidpoint(H)'!C28)/('RecipeMidpoint(H)'!I28)*100</f>
        <v>0.4278823321303234</v>
      </c>
      <c r="D31" s="119">
        <f>('RecipeMidpoint(H)'!I28)/('RecipeMidpoint(H)'!I28)*100</f>
        <v>100</v>
      </c>
    </row>
    <row r="32" spans="1:6" ht="15.6" x14ac:dyDescent="0.3">
      <c r="A32" s="2" t="s">
        <v>221</v>
      </c>
      <c r="B32" s="119">
        <f>('RecipeMidpoint(H)'!F29)/('RecipeMidpoint(H)'!I29)*100</f>
        <v>7.95921699740718E-2</v>
      </c>
      <c r="C32" s="119">
        <f>('RecipeMidpoint(H)'!C29)/('RecipeMidpoint(H)'!I29)*100</f>
        <v>0.41960583869818968</v>
      </c>
      <c r="D32" s="119">
        <f>('RecipeMidpoint(H)'!I29)/('RecipeMidpoint(H)'!I29)*100</f>
        <v>100</v>
      </c>
    </row>
    <row r="33" spans="1:4" ht="15.6" x14ac:dyDescent="0.3">
      <c r="A33" s="2" t="s">
        <v>222</v>
      </c>
      <c r="B33" s="119">
        <f>('RecipeMidpoint(H)'!F30)/('RecipeMidpoint(H)'!C30)*100</f>
        <v>16.177885183002953</v>
      </c>
      <c r="C33" s="119">
        <f>('RecipeMidpoint(H)'!C30)/('RecipeMidpoint(H)'!C30)*100</f>
        <v>100</v>
      </c>
      <c r="D33" s="119">
        <f>('RecipeMidpoint(H)'!I30)/('RecipeMidpoint(H)'!C30)*100</f>
        <v>42.557977922182289</v>
      </c>
    </row>
    <row r="34" spans="1:4" ht="15.6" x14ac:dyDescent="0.3">
      <c r="A34" s="2" t="s">
        <v>223</v>
      </c>
      <c r="B34" s="119">
        <f>('RecipeMidpoint(H)'!F31)/('RecipeMidpoint(H)'!C31)*100</f>
        <v>3.0890101355890462</v>
      </c>
      <c r="C34" s="119">
        <f>('RecipeMidpoint(H)'!C31)/('RecipeMidpoint(H)'!C31)*100</f>
        <v>100</v>
      </c>
      <c r="D34" s="119">
        <f>('RecipeMidpoint(H)'!I31)/('RecipeMidpoint(H)'!C31)*100</f>
        <v>28.96222677333018</v>
      </c>
    </row>
    <row r="35" spans="1:4" ht="15.6" x14ac:dyDescent="0.3">
      <c r="A35" s="2" t="s">
        <v>224</v>
      </c>
      <c r="B35" s="119">
        <f>('RecipeMidpoint(H)'!F32)/('RecipeMidpoint(H)'!I32)*100</f>
        <v>0.23285840931841156</v>
      </c>
      <c r="C35" s="119">
        <f>('RecipeMidpoint(H)'!C32)/('RecipeMidpoint(H)'!I32)*100</f>
        <v>5.8288692981062313</v>
      </c>
      <c r="D35" s="119">
        <f>('RecipeMidpoint(H)'!I32)/('RecipeMidpoint(H)'!I32)*100</f>
        <v>100</v>
      </c>
    </row>
    <row r="36" spans="1:4" ht="15.6" x14ac:dyDescent="0.3">
      <c r="A36" s="2" t="s">
        <v>231</v>
      </c>
      <c r="B36" s="119">
        <f>('RecipeMidpoint(H)'!F33)/('RecipeMidpoint(H)'!I33)*100</f>
        <v>0.52873563629408227</v>
      </c>
      <c r="C36" s="119">
        <f>('RecipeMidpoint(H)'!C33)/('RecipeMidpoint(H)'!I33)*100</f>
        <v>2.1153713824510185</v>
      </c>
      <c r="D36" s="119">
        <f>('RecipeMidpoint(H)'!I33)/('RecipeMidpoint(H)'!I33)*100</f>
        <v>100</v>
      </c>
    </row>
    <row r="37" spans="1:4" ht="15.6" x14ac:dyDescent="0.3">
      <c r="A37" s="2" t="s">
        <v>230</v>
      </c>
      <c r="B37" s="119">
        <f>('RecipeMidpoint(H)'!F34)/('RecipeMidpoint(H)'!C34)*100</f>
        <v>3.8463279291733583</v>
      </c>
      <c r="C37" s="119">
        <f>('RecipeMidpoint(H)'!C34)/('RecipeMidpoint(H)'!C34)*100</f>
        <v>100</v>
      </c>
      <c r="D37" s="119">
        <f>('RecipeMidpoint(H)'!I34)/('RecipeMidpoint(H)'!C34)*100</f>
        <v>32.049144850614859</v>
      </c>
    </row>
    <row r="38" spans="1:4" ht="15.6" x14ac:dyDescent="0.3">
      <c r="A38" s="2" t="s">
        <v>229</v>
      </c>
      <c r="B38" s="119">
        <f>('RecipeMidpoint(H)'!F35)/('RecipeMidpoint(H)'!C35)*100</f>
        <v>36.145909460184591</v>
      </c>
      <c r="C38" s="119">
        <f>('RecipeMidpoint(H)'!C35)/('RecipeMidpoint(H)'!C35)*100</f>
        <v>100</v>
      </c>
      <c r="D38" s="119">
        <f>('RecipeMidpoint(H)'!I35)/('RecipeMidpoint(H)'!C35)*100</f>
        <v>77.642330891921802</v>
      </c>
    </row>
    <row r="39" spans="1:4" ht="15.6" x14ac:dyDescent="0.3">
      <c r="A39" s="2" t="s">
        <v>228</v>
      </c>
      <c r="B39" s="119">
        <f>('RecipeMidpoint(H)'!F36)/('RecipeMidpoint(H)'!C36)*100</f>
        <v>35.950876193610505</v>
      </c>
      <c r="C39" s="119">
        <f>('RecipeMidpoint(H)'!C36)/('RecipeMidpoint(H)'!C36)*100</f>
        <v>100</v>
      </c>
      <c r="D39" s="119">
        <f>('RecipeMidpoint(H)'!I36)/('RecipeMidpoint(H)'!C36)*100</f>
        <v>11.749790586360181</v>
      </c>
    </row>
    <row r="40" spans="1:4" ht="15.6" x14ac:dyDescent="0.3">
      <c r="A40" s="2" t="s">
        <v>227</v>
      </c>
      <c r="B40" s="119">
        <f>('RecipeMidpoint(H)'!F37)/('RecipeMidpoint(H)'!I37)*100</f>
        <v>2.2865914725135781</v>
      </c>
      <c r="C40" s="119">
        <f>('RecipeMidpoint(H)'!C37)/('RecipeMidpoint(H)'!I37)*100</f>
        <v>14.133654869328719</v>
      </c>
      <c r="D40" s="119">
        <f>('RecipeMidpoint(H)'!I37)/('RecipeMidpoint(H)'!I37)*100</f>
        <v>100</v>
      </c>
    </row>
    <row r="41" spans="1:4" ht="15.6" x14ac:dyDescent="0.3">
      <c r="A41" s="2" t="s">
        <v>226</v>
      </c>
      <c r="B41" s="119">
        <f>('RecipeMidpoint(H)'!F38)/('RecipeMidpoint(H)'!F38)*100</f>
        <v>100</v>
      </c>
      <c r="C41" s="119">
        <f>('RecipeMidpoint(H)'!C38)/('RecipeMidpoint(H)'!F38)*100</f>
        <v>65.09089603553619</v>
      </c>
      <c r="D41" s="119">
        <f>('RecipeMidpoint(H)'!I38)/('RecipeMidpoint(H)'!F38)*100</f>
        <v>68.558517224882465</v>
      </c>
    </row>
    <row r="42" spans="1:4" ht="15.6" x14ac:dyDescent="0.3">
      <c r="A42" s="2" t="s">
        <v>225</v>
      </c>
      <c r="B42" s="111">
        <f>('RecipeMidpoint(H)'!F39)/('RecipeMidpoint(H)'!I39)*100</f>
        <v>2.5752814284080152</v>
      </c>
      <c r="C42" s="111">
        <f>('RecipeMidpoint(H)'!C39)/('RecipeMidpoint(H)'!I39)*100</f>
        <v>9.4136819757385428</v>
      </c>
      <c r="D42" s="111">
        <f>('RecipeMidpoint(H)'!I39)/('RecipeMidpoint(H)'!I39)*100</f>
        <v>100</v>
      </c>
    </row>
    <row r="43" spans="1:4" ht="15.6" x14ac:dyDescent="0.3">
      <c r="A43" s="2" t="s">
        <v>232</v>
      </c>
      <c r="B43" s="111">
        <f>('RecipeMidpoint(H)'!F40)/('RecipeMidpoint(H)'!I40)*100</f>
        <v>0.29281403062118916</v>
      </c>
      <c r="C43" s="111">
        <f>('RecipeMidpoint(H)'!C40)/('RecipeMidpoint(H)'!I40)*100</f>
        <v>0.44604550563232076</v>
      </c>
      <c r="D43" s="111">
        <f>('RecipeMidpoint(H)'!I40)/('RecipeMidpoint(H)'!I40)*100</f>
        <v>100</v>
      </c>
    </row>
    <row r="44" spans="1:4" ht="15.6" x14ac:dyDescent="0.3">
      <c r="A44" s="2" t="s">
        <v>233</v>
      </c>
      <c r="B44" s="111">
        <f>('RecipeMidpoint(H)'!F41)/('RecipeMidpoint(H)'!I41)*100</f>
        <v>4.7208882687184932</v>
      </c>
      <c r="C44" s="111">
        <f>('RecipeMidpoint(H)'!C41)/('RecipeMidpoint(H)'!C41)*100</f>
        <v>100</v>
      </c>
      <c r="D44" s="111">
        <f>('RecipeMidpoint(H)'!I41)/('RecipeMidpoint(H)'!C41)*100</f>
        <v>19.525514190785266</v>
      </c>
    </row>
    <row r="45" spans="1:4" ht="16.2" thickBot="1" x14ac:dyDescent="0.35">
      <c r="A45" s="4" t="s">
        <v>234</v>
      </c>
      <c r="B45" s="111">
        <f>('RecipeMidpoint(H)'!F42)/('RecipeMidpoint(H)'!C42)*100</f>
        <v>2.4634415139777639</v>
      </c>
      <c r="C45" s="111">
        <f>('RecipeMidpoint(H)'!C42)/('RecipeMidpoint(H)'!C42)*100</f>
        <v>100</v>
      </c>
      <c r="D45" s="111">
        <f>('RecipeMidpoint(H)'!I42)/('RecipeMidpoint(H)'!C42)*100</f>
        <v>88.359021932401475</v>
      </c>
    </row>
  </sheetData>
  <mergeCells count="2">
    <mergeCell ref="B2:F2"/>
    <mergeCell ref="B26:D2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RecipeMidpoint(H)</vt:lpstr>
      <vt:lpstr>Impacts_systems</vt:lpstr>
      <vt:lpstr>IPCC 2007</vt:lpstr>
      <vt:lpstr>CML</vt:lpstr>
      <vt:lpstr>Comparison</vt:lpstr>
      <vt:lpstr>Monte Carlo Simulation</vt:lpstr>
      <vt:lpstr>Plots_sensitivity_analysis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Canabarro</dc:creator>
  <cp:lastModifiedBy>Nicholas Canabarro</cp:lastModifiedBy>
  <cp:lastPrinted>2021-08-25T19:30:53Z</cp:lastPrinted>
  <dcterms:created xsi:type="dcterms:W3CDTF">2021-08-13T17:25:09Z</dcterms:created>
  <dcterms:modified xsi:type="dcterms:W3CDTF">2022-05-25T17:04:53Z</dcterms:modified>
</cp:coreProperties>
</file>