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_autoit\WinProMoney1.0\Excel\"/>
    </mc:Choice>
  </mc:AlternateContent>
  <xr:revisionPtr revIDLastSave="0" documentId="13_ncr:1_{9D9A85F5-3F20-4593-83D8-370A67933DE8}" xr6:coauthVersionLast="47" xr6:coauthVersionMax="47" xr10:uidLastSave="{00000000-0000-0000-0000-000000000000}"/>
  <bookViews>
    <workbookView xWindow="3030" yWindow="3255" windowWidth="21750" windowHeight="10800" tabRatio="661" xr2:uid="{00000000-000D-0000-FFFF-FFFF00000000}"/>
  </bookViews>
  <sheets>
    <sheet name="Sheet2" sheetId="2" r:id="rId1"/>
    <sheet name="wdoz20" sheetId="3" r:id="rId2"/>
    <sheet name="wdog21" sheetId="4" r:id="rId3"/>
    <sheet name="wdoh21" sheetId="5" r:id="rId4"/>
    <sheet name="wdom21" sheetId="6" r:id="rId5"/>
    <sheet name="wdon21" sheetId="8" r:id="rId6"/>
    <sheet name="wdoq21" sheetId="10" r:id="rId7"/>
  </sheets>
  <calcPr calcId="191029"/>
</workbook>
</file>

<file path=xl/calcChain.xml><?xml version="1.0" encoding="utf-8"?>
<calcChain xmlns="http://schemas.openxmlformats.org/spreadsheetml/2006/main">
  <c r="C66" i="4" l="1"/>
  <c r="E66" i="4"/>
  <c r="G66" i="4"/>
  <c r="I66" i="4"/>
  <c r="K66" i="4"/>
  <c r="M66" i="4"/>
  <c r="O66" i="4"/>
  <c r="Q66" i="4"/>
  <c r="S66" i="4"/>
  <c r="U66" i="4"/>
  <c r="W66" i="4"/>
  <c r="Y66" i="4"/>
  <c r="AA66" i="4"/>
  <c r="AC66" i="4"/>
  <c r="AE66" i="4"/>
  <c r="AG66" i="4"/>
  <c r="AI66" i="4"/>
  <c r="AK66" i="4"/>
  <c r="AM66" i="4"/>
  <c r="AO66" i="4"/>
  <c r="AQ66" i="4"/>
  <c r="AS66" i="4"/>
  <c r="AU66" i="4"/>
  <c r="AW66" i="4"/>
  <c r="AY66" i="4"/>
  <c r="BA66" i="4"/>
  <c r="BC66" i="4"/>
  <c r="BE66" i="4"/>
  <c r="BG66" i="4"/>
  <c r="BI66" i="4"/>
  <c r="BK66" i="4"/>
  <c r="BM66" i="4"/>
  <c r="BO66" i="4"/>
  <c r="BQ66" i="4"/>
  <c r="BS66" i="4"/>
  <c r="BU66" i="4"/>
  <c r="BW66" i="4"/>
  <c r="BY66" i="4"/>
  <c r="CA66" i="4"/>
  <c r="CC66" i="4"/>
  <c r="CE66" i="4"/>
  <c r="CG66" i="4"/>
  <c r="CI66" i="4"/>
  <c r="CK66" i="4"/>
  <c r="CM66" i="4"/>
  <c r="CO66" i="4"/>
  <c r="CQ66" i="4"/>
  <c r="CS66" i="4"/>
  <c r="CU66" i="4"/>
  <c r="CW66" i="4"/>
  <c r="CY66" i="4"/>
  <c r="DA66" i="4"/>
  <c r="DC66" i="4"/>
  <c r="DE66" i="4"/>
  <c r="DG66" i="4"/>
  <c r="DI66" i="4"/>
  <c r="DK66" i="4"/>
  <c r="DL120" i="4"/>
  <c r="DK120" i="4"/>
  <c r="DJ120" i="4"/>
  <c r="DI120" i="4"/>
  <c r="DH120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DL108" i="4"/>
  <c r="DK108" i="4"/>
  <c r="DJ108" i="4"/>
  <c r="DI108" i="4"/>
  <c r="DH108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DL66" i="4"/>
  <c r="DJ66" i="4"/>
  <c r="DH66" i="4"/>
  <c r="DF66" i="4"/>
  <c r="DD66" i="4"/>
  <c r="DB66" i="4"/>
  <c r="CZ66" i="4"/>
  <c r="CX66" i="4"/>
  <c r="CV66" i="4"/>
  <c r="CT66" i="4"/>
  <c r="CR66" i="4"/>
  <c r="CP66" i="4"/>
  <c r="CN66" i="4"/>
  <c r="CL66" i="4"/>
  <c r="CJ66" i="4"/>
  <c r="CH66" i="4"/>
  <c r="CF66" i="4"/>
  <c r="CD66" i="4"/>
  <c r="CB66" i="4"/>
  <c r="BZ66" i="4"/>
  <c r="BX66" i="4"/>
  <c r="BV66" i="4"/>
  <c r="BT66" i="4"/>
  <c r="BR66" i="4"/>
  <c r="BP66" i="4"/>
  <c r="BN66" i="4"/>
  <c r="BL66" i="4"/>
  <c r="BJ66" i="4"/>
  <c r="BH66" i="4"/>
  <c r="BF66" i="4"/>
  <c r="BD66" i="4"/>
  <c r="BB66" i="4"/>
  <c r="AZ66" i="4"/>
  <c r="AX66" i="4"/>
  <c r="AV66" i="4"/>
  <c r="AT66" i="4"/>
  <c r="AR66" i="4"/>
  <c r="AP66" i="4"/>
  <c r="AN66" i="4"/>
  <c r="AL66" i="4"/>
  <c r="AJ66" i="4"/>
  <c r="AH66" i="4"/>
  <c r="AF66" i="4"/>
  <c r="AD66" i="4"/>
  <c r="AB66" i="4"/>
  <c r="Z66" i="4"/>
  <c r="X66" i="4"/>
  <c r="V66" i="4"/>
  <c r="T66" i="4"/>
  <c r="R66" i="4"/>
  <c r="P66" i="4"/>
  <c r="N66" i="4"/>
  <c r="L66" i="4"/>
  <c r="J66" i="4"/>
  <c r="H66" i="4"/>
  <c r="F66" i="4"/>
  <c r="D66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6" i="4"/>
  <c r="C6" i="4"/>
  <c r="A4" i="2"/>
  <c r="F4" i="2" l="1"/>
  <c r="C929" i="2"/>
  <c r="D336" i="2"/>
  <c r="A178" i="2"/>
  <c r="C445" i="2"/>
  <c r="B649" i="2"/>
  <c r="C230" i="2"/>
  <c r="A647" i="2"/>
  <c r="D477" i="2"/>
  <c r="A726" i="2"/>
  <c r="B502" i="2"/>
  <c r="C793" i="2"/>
  <c r="A401" i="2"/>
  <c r="D135" i="2"/>
  <c r="B971" i="2"/>
  <c r="B148" i="2"/>
  <c r="D782" i="2"/>
  <c r="C585" i="2"/>
  <c r="D159" i="2"/>
  <c r="A347" i="2"/>
  <c r="A882" i="2"/>
  <c r="D563" i="2"/>
  <c r="A500" i="2"/>
  <c r="B134" i="2"/>
  <c r="A968" i="2"/>
  <c r="C241" i="2"/>
  <c r="C493" i="2"/>
  <c r="D1002" i="2"/>
  <c r="D728" i="2"/>
  <c r="B991" i="2"/>
  <c r="B274" i="2"/>
  <c r="D830" i="2"/>
  <c r="D359" i="2"/>
  <c r="D302" i="2"/>
  <c r="B355" i="2"/>
  <c r="B497" i="2"/>
  <c r="A1001" i="2"/>
  <c r="B592" i="2"/>
  <c r="C238" i="2"/>
  <c r="D341" i="2"/>
  <c r="D177" i="2"/>
  <c r="C191" i="2"/>
  <c r="C278" i="2"/>
  <c r="C356" i="2"/>
  <c r="B107" i="2"/>
  <c r="D498" i="2"/>
  <c r="B962" i="2"/>
  <c r="B194" i="2"/>
  <c r="D367" i="2"/>
  <c r="A397" i="2"/>
  <c r="C290" i="2"/>
  <c r="D660" i="2"/>
  <c r="A513" i="2"/>
  <c r="D743" i="2"/>
  <c r="B628" i="2"/>
  <c r="D548" i="2"/>
  <c r="A975" i="2"/>
  <c r="C258" i="2"/>
  <c r="D944" i="2"/>
  <c r="A527" i="2"/>
  <c r="C836" i="2"/>
  <c r="A251" i="2"/>
  <c r="B248" i="2"/>
  <c r="B114" i="2"/>
  <c r="B367" i="2"/>
  <c r="A836" i="2"/>
  <c r="D881" i="2"/>
  <c r="A884" i="2"/>
  <c r="A724" i="2"/>
  <c r="D826" i="2"/>
  <c r="D976" i="2"/>
  <c r="B410" i="2"/>
  <c r="D475" i="2"/>
  <c r="C709" i="2"/>
  <c r="B352" i="2"/>
  <c r="C492" i="2"/>
  <c r="C228" i="2"/>
  <c r="A569" i="2"/>
  <c r="B794" i="2"/>
  <c r="D708" i="2"/>
  <c r="D497" i="2"/>
  <c r="A291" i="2"/>
  <c r="D645" i="2"/>
  <c r="C124" i="2"/>
  <c r="C105" i="2"/>
  <c r="A746" i="2"/>
  <c r="D463" i="2"/>
  <c r="A729" i="2"/>
  <c r="D828" i="2"/>
  <c r="C957" i="2"/>
  <c r="D603" i="2"/>
  <c r="A969" i="2"/>
  <c r="B905" i="2"/>
  <c r="D277" i="2"/>
  <c r="B251" i="2"/>
  <c r="C802" i="2"/>
  <c r="D640" i="2"/>
  <c r="B161" i="2"/>
  <c r="B936" i="2"/>
  <c r="A830" i="2"/>
  <c r="A117" i="2"/>
  <c r="A891" i="2"/>
  <c r="A256" i="2"/>
  <c r="B318" i="2"/>
  <c r="A259" i="2"/>
  <c r="C565" i="2"/>
  <c r="B254" i="2"/>
  <c r="B312" i="2"/>
  <c r="B891" i="2"/>
  <c r="A521" i="2"/>
  <c r="C415" i="2"/>
  <c r="A247" i="2"/>
  <c r="C133" i="2"/>
  <c r="C704" i="2"/>
  <c r="B250" i="2"/>
  <c r="D325" i="2"/>
  <c r="B294" i="2"/>
  <c r="A540" i="2"/>
  <c r="B753" i="2"/>
  <c r="C848" i="2"/>
  <c r="A587" i="2"/>
  <c r="C387" i="2"/>
  <c r="D396" i="2"/>
  <c r="A652" i="2"/>
  <c r="B348" i="2"/>
  <c r="A429" i="2"/>
  <c r="A420" i="2"/>
  <c r="D524" i="2"/>
  <c r="A497" i="2"/>
  <c r="C754" i="2"/>
  <c r="D199" i="2"/>
  <c r="D121" i="2"/>
  <c r="A707" i="2"/>
  <c r="A532" i="2"/>
  <c r="D753" i="2"/>
  <c r="B293" i="2"/>
  <c r="C388" i="2"/>
  <c r="B587" i="2"/>
  <c r="C808" i="2"/>
  <c r="B302" i="2"/>
  <c r="A697" i="2"/>
  <c r="C899" i="2"/>
  <c r="D447" i="2"/>
  <c r="D982" i="2"/>
  <c r="B598" i="2"/>
  <c r="C382" i="2"/>
  <c r="B876" i="2"/>
  <c r="B470" i="2"/>
  <c r="A612" i="2"/>
  <c r="B572" i="2"/>
  <c r="A900" i="2"/>
  <c r="A322" i="2"/>
  <c r="B523" i="2"/>
  <c r="C142" i="2"/>
  <c r="A936" i="2"/>
  <c r="D480" i="2"/>
  <c r="A122" i="2"/>
  <c r="B278" i="2"/>
  <c r="B571" i="2"/>
  <c r="A914" i="2"/>
  <c r="C568" i="2"/>
  <c r="A965" i="2"/>
  <c r="B325" i="2"/>
  <c r="B673" i="2"/>
  <c r="B957" i="2"/>
  <c r="B622" i="2"/>
  <c r="D825" i="2"/>
  <c r="D903" i="2"/>
  <c r="A875" i="2"/>
  <c r="B685" i="2"/>
  <c r="C834" i="2"/>
  <c r="A351" i="2"/>
  <c r="B693" i="2"/>
  <c r="A206" i="2"/>
  <c r="A674" i="2"/>
  <c r="C756" i="2"/>
  <c r="D841" i="2"/>
  <c r="D568" i="2"/>
  <c r="A825" i="2"/>
  <c r="A705" i="2"/>
  <c r="C574" i="2"/>
  <c r="B409" i="2"/>
  <c r="A375" i="2"/>
  <c r="C161" i="2"/>
  <c r="A334" i="2"/>
  <c r="B236" i="2"/>
  <c r="A994" i="2"/>
  <c r="A606" i="2"/>
  <c r="B725" i="2"/>
  <c r="B558" i="2"/>
  <c r="B191" i="2"/>
  <c r="A279" i="2"/>
  <c r="A586" i="2"/>
  <c r="B844" i="2"/>
  <c r="D420" i="2"/>
  <c r="B721" i="2"/>
  <c r="D920" i="2"/>
  <c r="D334" i="2"/>
  <c r="C186" i="2"/>
  <c r="D138" i="2"/>
  <c r="D236" i="2"/>
  <c r="C857" i="2"/>
  <c r="B331" i="2"/>
  <c r="D441" i="2"/>
  <c r="B680" i="2"/>
  <c r="B300" i="2"/>
  <c r="D139" i="2"/>
  <c r="D844" i="2"/>
  <c r="D618" i="2"/>
  <c r="B146" i="2"/>
  <c r="C616" i="2"/>
  <c r="D703" i="2"/>
  <c r="A214" i="2"/>
  <c r="A977" i="2"/>
  <c r="D182" i="2"/>
  <c r="B204" i="2"/>
  <c r="C773" i="2"/>
  <c r="B135" i="2"/>
  <c r="D142" i="2"/>
  <c r="C480" i="2"/>
  <c r="D106" i="2"/>
  <c r="B276" i="2"/>
  <c r="A228" i="2"/>
  <c r="A380" i="2"/>
  <c r="B982" i="2"/>
  <c r="B200" i="2"/>
  <c r="B483" i="2"/>
  <c r="D471" i="2"/>
  <c r="D455" i="2"/>
  <c r="D461" i="2"/>
  <c r="A227" i="2"/>
  <c r="C647" i="2"/>
  <c r="C657" i="2"/>
  <c r="A349" i="2"/>
  <c r="D991" i="2"/>
  <c r="C698" i="2"/>
  <c r="D759" i="2"/>
  <c r="C1001" i="2"/>
  <c r="C143" i="2"/>
  <c r="D615" i="2"/>
  <c r="B167" i="2"/>
  <c r="D633" i="2"/>
  <c r="D911" i="2"/>
  <c r="D732" i="2"/>
  <c r="A415" i="2"/>
  <c r="B975" i="2"/>
  <c r="D543" i="2"/>
  <c r="C176" i="2"/>
  <c r="C399" i="2"/>
  <c r="C744" i="2"/>
  <c r="C378" i="2"/>
  <c r="B238" i="2"/>
  <c r="C921" i="2"/>
  <c r="D997" i="2"/>
  <c r="C764" i="2"/>
  <c r="C123" i="2"/>
  <c r="C906" i="2"/>
  <c r="B914" i="2"/>
  <c r="D291" i="2"/>
  <c r="D638" i="2"/>
  <c r="C323" i="2"/>
  <c r="B677" i="2"/>
  <c r="B562" i="2"/>
  <c r="A632" i="2"/>
  <c r="D785" i="2"/>
  <c r="A579" i="2"/>
  <c r="D449" i="2"/>
  <c r="C441" i="2"/>
  <c r="C626" i="2"/>
  <c r="A889" i="2"/>
  <c r="C794" i="2"/>
  <c r="A484" i="2"/>
  <c r="C819" i="2"/>
  <c r="A951" i="2"/>
  <c r="C137" i="2"/>
  <c r="A753" i="2"/>
  <c r="D424" i="2"/>
  <c r="B197" i="2"/>
  <c r="D694" i="2"/>
  <c r="D702" i="2"/>
  <c r="A154" i="2"/>
  <c r="C425" i="2"/>
  <c r="D723" i="2"/>
  <c r="A253" i="2"/>
  <c r="D124" i="2"/>
  <c r="D999" i="2"/>
  <c r="A440" i="2"/>
  <c r="A336" i="2"/>
  <c r="B682" i="2"/>
  <c r="A487" i="2"/>
  <c r="B599" i="2"/>
  <c r="D696" i="2"/>
  <c r="D796" i="2"/>
  <c r="B388" i="2"/>
  <c r="D383" i="2"/>
  <c r="B603" i="2"/>
  <c r="A352" i="2"/>
  <c r="A411" i="2"/>
  <c r="A756" i="2"/>
  <c r="C863" i="2"/>
  <c r="D583" i="2"/>
  <c r="C664" i="2"/>
  <c r="D832" i="2"/>
  <c r="A148" i="2"/>
  <c r="D295" i="2"/>
  <c r="B462" i="2"/>
  <c r="A138" i="2"/>
  <c r="B718" i="2"/>
  <c r="C518" i="2"/>
  <c r="C669" i="2"/>
  <c r="D680" i="2"/>
  <c r="D876" i="2"/>
  <c r="B246" i="2"/>
  <c r="C870" i="2"/>
  <c r="D240" i="2"/>
  <c r="A754" i="2"/>
  <c r="B995" i="2"/>
  <c r="A678" i="2"/>
  <c r="C328" i="2"/>
  <c r="A769" i="2"/>
  <c r="A668" i="2"/>
  <c r="D632" i="2"/>
  <c r="B252" i="2"/>
  <c r="D296" i="2"/>
  <c r="D418" i="2"/>
  <c r="C383" i="2"/>
  <c r="A131" i="2"/>
  <c r="C476" i="2"/>
  <c r="D435" i="2"/>
  <c r="A599" i="2"/>
  <c r="D518" i="2"/>
  <c r="B856" i="2"/>
  <c r="C668" i="2"/>
  <c r="D580" i="2"/>
  <c r="A925" i="2"/>
  <c r="D774" i="2"/>
  <c r="C973" i="2"/>
  <c r="D771" i="2"/>
  <c r="B722" i="2"/>
  <c r="C922" i="2"/>
  <c r="B422" i="2"/>
  <c r="B823" i="2"/>
  <c r="D604" i="2"/>
  <c r="A676" i="2"/>
  <c r="A180" i="2"/>
  <c r="C939" i="2"/>
  <c r="D265" i="2"/>
  <c r="B314" i="2"/>
  <c r="A223" i="2"/>
  <c r="B475" i="2"/>
  <c r="A820" i="2"/>
  <c r="D871" i="2"/>
  <c r="C730" i="2"/>
  <c r="D938" i="2"/>
  <c r="C472" i="2"/>
  <c r="A964" i="2"/>
  <c r="A371" i="2"/>
  <c r="B230" i="2"/>
  <c r="B359" i="2"/>
  <c r="B950" i="2"/>
  <c r="D288" i="2"/>
  <c r="B634" i="2"/>
  <c r="A389" i="2"/>
  <c r="D573" i="2"/>
  <c r="C556" i="2"/>
  <c r="B257" i="2"/>
  <c r="B940" i="2"/>
  <c r="C938" i="2"/>
  <c r="B702" i="2"/>
  <c r="B769" i="2"/>
  <c r="C617" i="2"/>
  <c r="A285" i="2"/>
  <c r="D465" i="2"/>
  <c r="D652" i="2"/>
  <c r="B550" i="2"/>
  <c r="B522" i="2"/>
  <c r="A316" i="2"/>
  <c r="A392" i="2"/>
  <c r="D775" i="2"/>
  <c r="A834" i="2"/>
  <c r="B981" i="2"/>
  <c r="B810" i="2"/>
  <c r="D299" i="2"/>
  <c r="C770" i="2"/>
  <c r="A551" i="2"/>
  <c r="D566" i="2"/>
  <c r="B411" i="2"/>
  <c r="C234" i="2"/>
  <c r="D321" i="2"/>
  <c r="B623" i="2"/>
  <c r="D592" i="2"/>
  <c r="D531" i="2"/>
  <c r="A772" i="2"/>
  <c r="C106" i="2"/>
  <c r="D129" i="2"/>
  <c r="A570" i="2"/>
  <c r="A959" i="2"/>
  <c r="D790" i="2"/>
  <c r="A496" i="2"/>
  <c r="D343" i="2"/>
  <c r="D701" i="2"/>
  <c r="A855" i="2"/>
  <c r="C353" i="2"/>
  <c r="C775" i="2"/>
  <c r="D269" i="2"/>
  <c r="C914" i="2"/>
  <c r="B192" i="2"/>
  <c r="B697" i="2"/>
  <c r="D216" i="2"/>
  <c r="B518" i="2"/>
  <c r="A196" i="2"/>
  <c r="C148" i="2"/>
  <c r="D629" i="2"/>
  <c r="B343" i="2"/>
  <c r="B464" i="2"/>
  <c r="B929" i="2"/>
  <c r="C552" i="2"/>
  <c r="B431" i="2"/>
  <c r="B986" i="2"/>
  <c r="D149" i="2"/>
  <c r="D425" i="2"/>
  <c r="A794" i="2"/>
  <c r="C941" i="2"/>
  <c r="A529" i="2"/>
  <c r="D925" i="2"/>
  <c r="C321" i="2"/>
  <c r="B465" i="2"/>
  <c r="D593" i="2"/>
  <c r="D201" i="2"/>
  <c r="C805" i="2"/>
  <c r="D853" i="2"/>
  <c r="A562" i="2"/>
  <c r="B888" i="2"/>
  <c r="A542" i="2"/>
  <c r="D218" i="2"/>
  <c r="C149" i="2"/>
  <c r="D326" i="2"/>
  <c r="A149" i="2"/>
  <c r="B125" i="2"/>
  <c r="B131" i="2"/>
  <c r="B324" i="2"/>
  <c r="B267" i="2"/>
  <c r="C302" i="2"/>
  <c r="B978" i="2"/>
  <c r="A177" i="2"/>
  <c r="B190" i="2"/>
  <c r="D377" i="2"/>
  <c r="D458" i="2"/>
  <c r="B870" i="2"/>
  <c r="D993" i="2"/>
  <c r="D235" i="2"/>
  <c r="A422" i="2"/>
  <c r="B181" i="2"/>
  <c r="A813" i="2"/>
  <c r="B397" i="2"/>
  <c r="D670" i="2"/>
  <c r="A730" i="2"/>
  <c r="C900" i="2"/>
  <c r="B993" i="2"/>
  <c r="B691" i="2"/>
  <c r="D512" i="2"/>
  <c r="B890" i="2"/>
  <c r="D959" i="2"/>
  <c r="A133" i="2"/>
  <c r="D410" i="2"/>
  <c r="C348" i="2"/>
  <c r="C637" i="2"/>
  <c r="D725" i="2"/>
  <c r="B121" i="2"/>
  <c r="B138" i="2"/>
  <c r="D342" i="2"/>
  <c r="B256" i="2"/>
  <c r="B874" i="2"/>
  <c r="C132" i="2"/>
  <c r="C254" i="2"/>
  <c r="A448" i="2"/>
  <c r="D597" i="2"/>
  <c r="D251" i="2"/>
  <c r="A972" i="2"/>
  <c r="D320" i="2"/>
  <c r="C727" i="2"/>
  <c r="C595" i="2"/>
  <c r="C1002" i="2"/>
  <c r="C420" i="2"/>
  <c r="A629" i="2"/>
  <c r="C489" i="2"/>
  <c r="C514" i="2"/>
  <c r="B158" i="2"/>
  <c r="B299" i="2"/>
  <c r="B751" i="2"/>
  <c r="A974" i="2"/>
  <c r="D479" i="2"/>
  <c r="B543" i="2"/>
  <c r="D322" i="2"/>
  <c r="C788" i="2"/>
  <c r="B332" i="2"/>
  <c r="A329" i="2"/>
  <c r="D311" i="2"/>
  <c r="B412" i="2"/>
  <c r="D866" i="2"/>
  <c r="D956" i="2"/>
  <c r="A871" i="2"/>
  <c r="C762" i="2"/>
  <c r="A211" i="2"/>
  <c r="C486" i="2"/>
  <c r="B378" i="2"/>
  <c r="A950" i="2"/>
  <c r="B670" i="2"/>
  <c r="B947" i="2"/>
  <c r="A818" i="2"/>
  <c r="C746" i="2"/>
  <c r="C852" i="2"/>
  <c r="D535" i="2"/>
  <c r="D906" i="2"/>
  <c r="D607" i="2"/>
  <c r="D547" i="2"/>
  <c r="A992" i="2"/>
  <c r="D947" i="2"/>
  <c r="A252" i="2"/>
  <c r="D437" i="2"/>
  <c r="C368" i="2"/>
  <c r="C540" i="2"/>
  <c r="D371" i="2"/>
  <c r="C447" i="2"/>
  <c r="D113" i="2"/>
  <c r="D586" i="2"/>
  <c r="C177" i="2"/>
  <c r="A811" i="2"/>
  <c r="A702" i="2"/>
  <c r="A675" i="2"/>
  <c r="B424" i="2"/>
  <c r="C180" i="2"/>
  <c r="B419" i="2"/>
  <c r="A663" i="2"/>
  <c r="D726" i="2"/>
  <c r="C535" i="2"/>
  <c r="B659" i="2"/>
  <c r="C488" i="2"/>
  <c r="C207" i="2"/>
  <c r="B426" i="2"/>
  <c r="C307" i="2"/>
  <c r="C294" i="2"/>
  <c r="D901" i="2"/>
  <c r="C713" i="2"/>
  <c r="D734" i="2"/>
  <c r="A278" i="2"/>
  <c r="A727" i="2"/>
  <c r="C707" i="2"/>
  <c r="B122" i="2"/>
  <c r="C630" i="2"/>
  <c r="D185" i="2"/>
  <c r="B809" i="2"/>
  <c r="A640" i="2"/>
  <c r="A181" i="2"/>
  <c r="A641" i="2"/>
  <c r="B150" i="2"/>
  <c r="D814" i="2"/>
  <c r="D729" i="2"/>
  <c r="B780" i="2"/>
  <c r="D495" i="2"/>
  <c r="A408" i="2"/>
  <c r="A692" i="2"/>
  <c r="C154" i="2"/>
  <c r="A909" i="2"/>
  <c r="D802" i="2"/>
  <c r="A288" i="2"/>
  <c r="B604" i="2"/>
  <c r="C736" i="2"/>
  <c r="D977" i="2"/>
  <c r="B738" i="2"/>
  <c r="A717" i="2"/>
  <c r="B541" i="2"/>
  <c r="A273" i="2"/>
  <c r="C600" i="2"/>
  <c r="D730" i="2"/>
  <c r="B453" i="2"/>
  <c r="A672" i="2"/>
  <c r="C522" i="2"/>
  <c r="B288" i="2"/>
  <c r="B577" i="2"/>
  <c r="C189" i="2"/>
  <c r="D136" i="2"/>
  <c r="D112" i="2"/>
  <c r="C400" i="2"/>
  <c r="B927" i="2"/>
  <c r="D229" i="2"/>
  <c r="B969" i="2"/>
  <c r="D770" i="2"/>
  <c r="B319" i="2"/>
  <c r="A776" i="2"/>
  <c r="D305" i="2"/>
  <c r="A953" i="2"/>
  <c r="A547" i="2"/>
  <c r="A748" i="2"/>
  <c r="C157" i="2"/>
  <c r="C475" i="2"/>
  <c r="A198" i="2"/>
  <c r="D690" i="2"/>
  <c r="C845" i="2"/>
  <c r="B512" i="2"/>
  <c r="B361" i="2"/>
  <c r="A901" i="2"/>
  <c r="B398" i="2"/>
  <c r="C169" i="2"/>
  <c r="C414" i="2"/>
  <c r="A461" i="2"/>
  <c r="A121" i="2"/>
  <c r="B730" i="2"/>
  <c r="B372" i="2"/>
  <c r="A171" i="2"/>
  <c r="B900" i="2"/>
  <c r="C538" i="2"/>
  <c r="A741" i="2"/>
  <c r="C346" i="2"/>
  <c r="A897" i="2"/>
  <c r="A771" i="2"/>
  <c r="D751" i="2"/>
  <c r="B961" i="2"/>
  <c r="A507" i="2"/>
  <c r="D596" i="2"/>
  <c r="A602" i="2"/>
  <c r="B719" i="2"/>
  <c r="B859" i="2"/>
  <c r="C703" i="2"/>
  <c r="C624" i="2"/>
  <c r="B226" i="2"/>
  <c r="A491" i="2"/>
  <c r="B545" i="2"/>
  <c r="C345" i="2"/>
  <c r="B196" i="2"/>
  <c r="C757" i="2"/>
  <c r="A867" i="2"/>
  <c r="D166" i="2"/>
  <c r="B168" i="2"/>
  <c r="C379" i="2"/>
  <c r="C381" i="2"/>
  <c r="C213" i="2"/>
  <c r="A515" i="2"/>
  <c r="A559" i="2"/>
  <c r="A157" i="2"/>
  <c r="C708" i="2"/>
  <c r="C632" i="2"/>
  <c r="A572" i="2"/>
  <c r="C796" i="2"/>
  <c r="D803" i="2"/>
  <c r="A447" i="2"/>
  <c r="B945" i="2"/>
  <c r="D324" i="2"/>
  <c r="D487" i="2"/>
  <c r="A856" i="2"/>
  <c r="C327" i="2"/>
  <c r="B918" i="2"/>
  <c r="C974" i="2"/>
  <c r="D242" i="2"/>
  <c r="B696" i="2"/>
  <c r="B711" i="2"/>
  <c r="D968" i="2"/>
  <c r="D314" i="2"/>
  <c r="D602" i="2"/>
  <c r="A350" i="2"/>
  <c r="B551" i="2"/>
  <c r="D360" i="2"/>
  <c r="A544" i="2"/>
  <c r="D248" i="2"/>
  <c r="B144" i="2"/>
  <c r="B684" i="2"/>
  <c r="C859" i="2"/>
  <c r="D933" i="2"/>
  <c r="C751" i="2"/>
  <c r="D249" i="2"/>
  <c r="A219" i="2"/>
  <c r="C653" i="2"/>
  <c r="C940" i="2"/>
  <c r="B589" i="2"/>
  <c r="C280" i="2"/>
  <c r="D395" i="2"/>
  <c r="C172" i="2"/>
  <c r="C200" i="2"/>
  <c r="D957" i="2"/>
  <c r="C983" i="2"/>
  <c r="D722" i="2"/>
  <c r="B724" i="2"/>
  <c r="C627" i="2"/>
  <c r="C825" i="2"/>
  <c r="D879" i="2"/>
  <c r="B354" i="2"/>
  <c r="C494" i="2"/>
  <c r="C450" i="2"/>
  <c r="C766" i="2"/>
  <c r="C247" i="2"/>
  <c r="A648" i="2"/>
  <c r="B432" i="2"/>
  <c r="A657" i="2"/>
  <c r="A518" i="2"/>
  <c r="B658" i="2"/>
  <c r="A265" i="2"/>
  <c r="B830" i="2"/>
  <c r="D375" i="2"/>
  <c r="A437" i="2"/>
  <c r="A300" i="2"/>
  <c r="A313" i="2"/>
  <c r="B849" i="2"/>
  <c r="B727" i="2"/>
  <c r="A114" i="2"/>
  <c r="B883" i="2"/>
  <c r="B322" i="2"/>
  <c r="B596" i="2"/>
  <c r="B552" i="2"/>
  <c r="C889" i="2"/>
  <c r="C253" i="2"/>
  <c r="B198" i="2"/>
  <c r="C216" i="2"/>
  <c r="A220" i="2"/>
  <c r="B444" i="2"/>
  <c r="D193" i="2"/>
  <c r="D174" i="2"/>
  <c r="B700" i="2"/>
  <c r="B667" i="2"/>
  <c r="A637" i="2"/>
  <c r="D546" i="2"/>
  <c r="D510" i="2"/>
  <c r="B663" i="2"/>
  <c r="B309" i="2"/>
  <c r="D160" i="2"/>
  <c r="B566" i="2"/>
  <c r="A200" i="2"/>
  <c r="C705" i="2"/>
  <c r="D520" i="2"/>
  <c r="C891" i="2"/>
  <c r="D431" i="2"/>
  <c r="D398" i="2"/>
  <c r="B922" i="2"/>
  <c r="C351" i="2"/>
  <c r="C837" i="2"/>
  <c r="B798" i="2"/>
  <c r="D805" i="2"/>
  <c r="B344" i="2"/>
  <c r="B709" i="2"/>
  <c r="A700" i="2"/>
  <c r="C515" i="2"/>
  <c r="B211" i="2"/>
  <c r="A533" i="2"/>
  <c r="A847" i="2"/>
  <c r="B262" i="2"/>
  <c r="B358" i="2"/>
  <c r="A156" i="2"/>
  <c r="A661" i="2"/>
  <c r="C604" i="2"/>
  <c r="A614" i="2"/>
  <c r="C316" i="2"/>
  <c r="C562" i="2"/>
  <c r="B505" i="2"/>
  <c r="D847" i="2"/>
  <c r="D345" i="2"/>
  <c r="C937" i="2"/>
  <c r="B576" i="2"/>
  <c r="C355" i="2"/>
  <c r="B736" i="2"/>
  <c r="D923" i="2"/>
  <c r="C912" i="2"/>
  <c r="A997" i="2"/>
  <c r="D364" i="2"/>
  <c r="C292" i="2"/>
  <c r="C771" i="2"/>
  <c r="C470" i="2"/>
  <c r="B387" i="2"/>
  <c r="C245" i="2"/>
  <c r="B854" i="2"/>
  <c r="D878" i="2"/>
  <c r="C454" i="2"/>
  <c r="C196" i="2"/>
  <c r="B286" i="2"/>
  <c r="B820" i="2"/>
  <c r="A185" i="2"/>
  <c r="B381" i="2"/>
  <c r="B151" i="2"/>
  <c r="B824" i="2"/>
  <c r="B564" i="2"/>
  <c r="D421" i="2"/>
  <c r="A305" i="2"/>
  <c r="B501" i="2"/>
  <c r="D922" i="2"/>
  <c r="A105" i="2"/>
  <c r="D960" i="2"/>
  <c r="A589" i="2"/>
  <c r="D860" i="2"/>
  <c r="A140" i="2"/>
  <c r="C268" i="2"/>
  <c r="B617" i="2"/>
  <c r="C820" i="2"/>
  <c r="D691" i="2"/>
  <c r="D587" i="2"/>
  <c r="B595" i="2"/>
  <c r="B789" i="2"/>
  <c r="A1000" i="2"/>
  <c r="C692" i="2"/>
  <c r="C490" i="2"/>
  <c r="B234" i="2"/>
  <c r="B607" i="2"/>
  <c r="D290" i="2"/>
  <c r="D918" i="2"/>
  <c r="A526" i="2"/>
  <c r="A590" i="2"/>
  <c r="D380" i="2"/>
  <c r="C824" i="2"/>
  <c r="A538" i="2"/>
  <c r="B640" i="2"/>
  <c r="A463" i="2"/>
  <c r="D990" i="2"/>
  <c r="C694" i="2"/>
  <c r="D985" i="2"/>
  <c r="A758" i="2"/>
  <c r="C305" i="2"/>
  <c r="B580" i="2"/>
  <c r="D591" i="2"/>
  <c r="B990" i="2"/>
  <c r="C277" i="2"/>
  <c r="C437" i="2"/>
  <c r="C438" i="2"/>
  <c r="C661" i="2"/>
  <c r="B222" i="2"/>
  <c r="C276" i="2"/>
  <c r="A831" i="2"/>
  <c r="A698" i="2"/>
  <c r="A800" i="2"/>
  <c r="C111" i="2"/>
  <c r="B266" i="2"/>
  <c r="D914" i="2"/>
  <c r="B804" i="2"/>
  <c r="D669" i="2"/>
  <c r="B145" i="2"/>
  <c r="A627" i="2"/>
  <c r="C726" i="2"/>
  <c r="A381" i="2"/>
  <c r="A343" i="2"/>
  <c r="D837" i="2"/>
  <c r="D513" i="2"/>
  <c r="A765" i="2"/>
  <c r="B624" i="2"/>
  <c r="D635" i="2"/>
  <c r="A779" i="2"/>
  <c r="C144" i="2"/>
  <c r="B154" i="2"/>
  <c r="D515" i="2"/>
  <c r="A906" i="2"/>
  <c r="A418" i="2"/>
  <c r="A808" i="2"/>
  <c r="D211" i="2"/>
  <c r="B972" i="2"/>
  <c r="A582" i="2"/>
  <c r="B959" i="2"/>
  <c r="B741" i="2"/>
  <c r="B265" i="2"/>
  <c r="D585" i="2"/>
  <c r="A505" i="2"/>
  <c r="D267" i="2"/>
  <c r="D564" i="2"/>
  <c r="A399" i="2"/>
  <c r="C194" i="2"/>
  <c r="D560" i="2"/>
  <c r="A673" i="2"/>
  <c r="A263" i="2"/>
  <c r="B894" i="2"/>
  <c r="A151" i="2"/>
  <c r="A295" i="2"/>
  <c r="D872" i="2"/>
  <c r="D157" i="2"/>
  <c r="A982" i="2"/>
  <c r="D643" i="2"/>
  <c r="C625" i="2"/>
  <c r="B875" i="2"/>
  <c r="C312" i="2"/>
  <c r="C545" i="2"/>
  <c r="B584" i="2"/>
  <c r="A501" i="2"/>
  <c r="D509" i="2"/>
  <c r="A945" i="2"/>
  <c r="C279" i="2"/>
  <c r="B124" i="2"/>
  <c r="D657" i="2"/>
  <c r="C962" i="2"/>
  <c r="A893" i="2"/>
  <c r="A498" i="2"/>
  <c r="A517" i="2"/>
  <c r="C948" i="2"/>
  <c r="A199" i="2"/>
  <c r="A601" i="2"/>
  <c r="C360" i="2"/>
  <c r="C581" i="2"/>
  <c r="D784" i="2"/>
  <c r="D609" i="2"/>
  <c r="A721" i="2"/>
  <c r="D867" i="2"/>
  <c r="B608" i="2"/>
  <c r="B737" i="2"/>
  <c r="D488" i="2"/>
  <c r="B679" i="2"/>
  <c r="B203" i="2"/>
  <c r="A393" i="2"/>
  <c r="D390" i="2"/>
  <c r="A952" i="2"/>
  <c r="D921" i="2"/>
  <c r="B210" i="2"/>
  <c r="D579" i="2"/>
  <c r="A973" i="2"/>
  <c r="A479" i="2"/>
  <c r="B704" i="2"/>
  <c r="B925" i="2"/>
  <c r="A786" i="2"/>
  <c r="A301" i="2"/>
  <c r="D278" i="2"/>
  <c r="B461" i="2"/>
  <c r="A883" i="2"/>
  <c r="A139" i="2"/>
  <c r="A620" i="2"/>
  <c r="A930" i="2"/>
  <c r="D589" i="2"/>
  <c r="A549" i="2"/>
  <c r="B773" i="2"/>
  <c r="D630" i="2"/>
  <c r="A319" i="2"/>
  <c r="C798" i="2"/>
  <c r="A289" i="2"/>
  <c r="B973" i="2"/>
  <c r="B839" i="2"/>
  <c r="D942" i="2"/>
  <c r="D286" i="2"/>
  <c r="C339" i="2"/>
  <c r="D628" i="2"/>
  <c r="C622" i="2"/>
  <c r="A979" i="2"/>
  <c r="C110" i="2"/>
  <c r="C667" i="2"/>
  <c r="A303" i="2"/>
  <c r="A485" i="2"/>
  <c r="C343" i="2"/>
  <c r="C619" i="2"/>
  <c r="B708" i="2"/>
  <c r="A425" i="2"/>
  <c r="C274" i="2"/>
  <c r="B379" i="2"/>
  <c r="A298" i="2"/>
  <c r="D744" i="2"/>
  <c r="A659" i="2"/>
  <c r="A115" i="2"/>
  <c r="C468" i="2"/>
  <c r="B281" i="2"/>
  <c r="D213" i="2"/>
  <c r="C763" i="2"/>
  <c r="D275" i="2"/>
  <c r="C185" i="2"/>
  <c r="A860" i="2"/>
  <c r="B843" i="2"/>
  <c r="A387" i="2"/>
  <c r="A853" i="2"/>
  <c r="A876" i="2"/>
  <c r="A184" i="2"/>
  <c r="B838" i="2"/>
  <c r="A188" i="2"/>
  <c r="D233" i="2"/>
  <c r="D446" i="2"/>
  <c r="D538" i="2"/>
  <c r="C910" i="2"/>
  <c r="B164" i="2"/>
  <c r="B796" i="2"/>
  <c r="B233" i="2"/>
  <c r="D653" i="2"/>
  <c r="D858" i="2"/>
  <c r="D221" i="2"/>
  <c r="A625" i="2"/>
  <c r="D340" i="2"/>
  <c r="B612" i="2"/>
  <c r="C610" i="2"/>
  <c r="A275" i="2"/>
  <c r="D263" i="2"/>
  <c r="B504" i="2"/>
  <c r="B239" i="2"/>
  <c r="A135" i="2"/>
  <c r="A113" i="2"/>
  <c r="D668" i="2"/>
  <c r="B638" i="2"/>
  <c r="B225" i="2"/>
  <c r="B441" i="2"/>
  <c r="A896" i="2"/>
  <c r="D187" i="2"/>
  <c r="C389" i="2"/>
  <c r="B112" i="2"/>
  <c r="A556" i="2"/>
  <c r="C750" i="2"/>
  <c r="A584" i="2"/>
  <c r="D303" i="2"/>
  <c r="C781" i="2"/>
  <c r="D958" i="2"/>
  <c r="C411" i="2"/>
  <c r="A510" i="2"/>
  <c r="D838" i="2"/>
  <c r="B594" i="2"/>
  <c r="A815" i="2"/>
  <c r="B399" i="2"/>
  <c r="D153" i="2"/>
  <c r="B575" i="2"/>
  <c r="A646" i="2"/>
  <c r="B880" i="2"/>
  <c r="A666" i="2"/>
  <c r="A152" i="2"/>
  <c r="C980" i="2"/>
  <c r="B694" i="2"/>
  <c r="D553" i="2"/>
  <c r="D780" i="2"/>
  <c r="A539" i="2"/>
  <c r="D800" i="2"/>
  <c r="C851" i="2"/>
  <c r="A120" i="2"/>
  <c r="B485" i="2"/>
  <c r="C695" i="2"/>
  <c r="A503" i="2"/>
  <c r="B242" i="2"/>
  <c r="A852" i="2"/>
  <c r="C215" i="2"/>
  <c r="D662" i="2"/>
  <c r="B795" i="2"/>
  <c r="A814" i="2"/>
  <c r="A452" i="2"/>
  <c r="A195" i="2"/>
  <c r="A164" i="2"/>
  <c r="C655" i="2"/>
  <c r="C539" i="2"/>
  <c r="C787" i="2"/>
  <c r="B752" i="2"/>
  <c r="D677" i="2"/>
  <c r="D214" i="2"/>
  <c r="D791" i="2"/>
  <c r="D817" i="2"/>
  <c r="C482" i="2"/>
  <c r="B848" i="2"/>
  <c r="B662" i="2"/>
  <c r="C286" i="2"/>
  <c r="B206" i="2"/>
  <c r="A609" i="2"/>
  <c r="B714" i="2"/>
  <c r="D148" i="2"/>
  <c r="A186" i="2"/>
  <c r="A167" i="2"/>
  <c r="C792" i="2"/>
  <c r="B797" i="2"/>
  <c r="B926" i="2"/>
  <c r="C553" i="2"/>
  <c r="C656" i="2"/>
  <c r="D415" i="2"/>
  <c r="D416" i="2"/>
  <c r="D258" i="2"/>
  <c r="D219" i="2"/>
  <c r="C849" i="2"/>
  <c r="A956" i="2"/>
  <c r="B999" i="2"/>
  <c r="B296" i="2"/>
  <c r="A342" i="2"/>
  <c r="C199" i="2"/>
  <c r="A176" i="2"/>
  <c r="B489" i="2"/>
  <c r="A713" i="2"/>
  <c r="B886" i="2"/>
  <c r="B878" i="2"/>
  <c r="D807" i="2"/>
  <c r="A158" i="2"/>
  <c r="B484" i="2"/>
  <c r="C439" i="2"/>
  <c r="A837" i="2"/>
  <c r="C363" i="2"/>
  <c r="A817" i="2"/>
  <c r="A655" i="2"/>
  <c r="A506" i="2"/>
  <c r="A751" i="2"/>
  <c r="B123" i="2"/>
  <c r="B701" i="2"/>
  <c r="B133" i="2"/>
  <c r="C430" i="2"/>
  <c r="D352" i="2"/>
  <c r="D125" i="2"/>
  <c r="D658" i="2"/>
  <c r="D417" i="2"/>
  <c r="C971" i="2"/>
  <c r="C693" i="2"/>
  <c r="B987" i="2"/>
  <c r="A107" i="2"/>
  <c r="A759" i="2"/>
  <c r="A508" i="2"/>
  <c r="D839" i="2"/>
  <c r="C894" i="2"/>
  <c r="B946" i="2"/>
  <c r="C474" i="2"/>
  <c r="C673" i="2"/>
  <c r="A874" i="2"/>
  <c r="C994" i="2"/>
  <c r="C329" i="2"/>
  <c r="D693" i="2"/>
  <c r="C752" i="2"/>
  <c r="B356" i="2"/>
  <c r="B127" i="2"/>
  <c r="B911" i="2"/>
  <c r="C308" i="2"/>
  <c r="D626" i="2"/>
  <c r="D223" i="2"/>
  <c r="B520" i="2"/>
  <c r="D373" i="2"/>
  <c r="B137" i="2"/>
  <c r="A961" i="2"/>
  <c r="C377" i="2"/>
  <c r="D230" i="2"/>
  <c r="D893" i="2"/>
  <c r="C440" i="2"/>
  <c r="D502" i="2"/>
  <c r="A565" i="2"/>
  <c r="D659" i="2"/>
  <c r="B733" i="2"/>
  <c r="A174" i="2"/>
  <c r="C644" i="2"/>
  <c r="A636" i="2"/>
  <c r="C173" i="2"/>
  <c r="C208" i="2"/>
  <c r="B786" i="2"/>
  <c r="D116" i="2"/>
  <c r="C733" i="2"/>
  <c r="C395" i="2"/>
  <c r="C675" i="2"/>
  <c r="C260" i="2"/>
  <c r="C740" i="2"/>
  <c r="C243" i="2"/>
  <c r="B542" i="2"/>
  <c r="C431" i="2"/>
  <c r="D981" i="2"/>
  <c r="A733" i="2"/>
  <c r="B405" i="2"/>
  <c r="C264" i="2"/>
  <c r="B428" i="2"/>
  <c r="D562" i="2"/>
  <c r="B873" i="2"/>
  <c r="C943" i="2"/>
  <c r="D323" i="2"/>
  <c r="A283" i="2"/>
  <c r="A888" i="2"/>
  <c r="A941" i="2"/>
  <c r="A842" i="2"/>
  <c r="B347" i="2"/>
  <c r="C732" i="2"/>
  <c r="A946" i="2"/>
  <c r="A664" i="2"/>
  <c r="D647" i="2"/>
  <c r="B778" i="2"/>
  <c r="D854" i="2"/>
  <c r="D519" i="2"/>
  <c r="D678" i="2"/>
  <c r="D868" i="2"/>
  <c r="B816" i="2"/>
  <c r="B901" i="2"/>
  <c r="B377" i="2"/>
  <c r="D709" i="2"/>
  <c r="C965" i="2"/>
  <c r="C147" i="2"/>
  <c r="C443" i="2"/>
  <c r="B313" i="2"/>
  <c r="B335" i="2"/>
  <c r="D537" i="2"/>
  <c r="B407" i="2"/>
  <c r="B416" i="2"/>
  <c r="A292" i="2"/>
  <c r="A846" i="2"/>
  <c r="A550" i="2"/>
  <c r="D639" i="2"/>
  <c r="D384" i="2"/>
  <c r="D339" i="2"/>
  <c r="B757" i="2"/>
  <c r="D845" i="2"/>
  <c r="A681" i="2"/>
  <c r="B615" i="2"/>
  <c r="B386" i="2"/>
  <c r="B841" i="2"/>
  <c r="B482" i="2"/>
  <c r="B832" i="2"/>
  <c r="B1000" i="2"/>
  <c r="C700" i="2"/>
  <c r="D831" i="2"/>
  <c r="A304" i="2"/>
  <c r="A306" i="2"/>
  <c r="B291" i="2"/>
  <c r="A734" i="2"/>
  <c r="C958" i="2"/>
  <c r="A805" i="2"/>
  <c r="C284" i="2"/>
  <c r="D255" i="2"/>
  <c r="C350" i="2"/>
  <c r="D298" i="2"/>
  <c r="C265" i="2"/>
  <c r="B120" i="2"/>
  <c r="C954" i="2"/>
  <c r="D594" i="2"/>
  <c r="B912" i="2"/>
  <c r="C229" i="2"/>
  <c r="D496" i="2"/>
  <c r="D539" i="2"/>
  <c r="B664" i="2"/>
  <c r="A859" i="2"/>
  <c r="A755" i="2"/>
  <c r="A142" i="2"/>
  <c r="D372" i="2"/>
  <c r="D387" i="2"/>
  <c r="B360" i="2"/>
  <c r="C687" i="2"/>
  <c r="B787" i="2"/>
  <c r="B363" i="2"/>
  <c r="A394" i="2"/>
  <c r="B247" i="2"/>
  <c r="D315" i="2"/>
  <c r="C875" i="2"/>
  <c r="D530" i="2"/>
  <c r="B933" i="2"/>
  <c r="C422" i="2"/>
  <c r="A341" i="2"/>
  <c r="A348" i="2"/>
  <c r="B469" i="2"/>
  <c r="A665" i="2"/>
  <c r="B259" i="2"/>
  <c r="B109" i="2"/>
  <c r="C259" i="2"/>
  <c r="A191" i="2"/>
  <c r="B994" i="2"/>
  <c r="C984" i="2"/>
  <c r="C367" i="2"/>
  <c r="A395" i="2"/>
  <c r="B129" i="2"/>
  <c r="C579" i="2"/>
  <c r="C371" i="2"/>
  <c r="D905" i="2"/>
  <c r="C633" i="2"/>
  <c r="A471" i="2"/>
  <c r="A337" i="2"/>
  <c r="D572" i="2"/>
  <c r="C893" i="2"/>
  <c r="B495" i="2"/>
  <c r="C184" i="2"/>
  <c r="A528" i="2"/>
  <c r="A940" i="2"/>
  <c r="D654" i="2"/>
  <c r="D979" i="2"/>
  <c r="C358" i="2"/>
  <c r="D649" i="2"/>
  <c r="B970" i="2"/>
  <c r="B806" i="2"/>
  <c r="B104" i="2"/>
  <c r="B557" i="2"/>
  <c r="C649" i="2"/>
  <c r="B790" i="2"/>
  <c r="A446" i="2"/>
  <c r="B582" i="2"/>
  <c r="B471" i="2"/>
  <c r="A947" i="2"/>
  <c r="D212" i="2"/>
  <c r="D140" i="2"/>
  <c r="D408" i="2"/>
  <c r="D523" i="2"/>
  <c r="C146" i="2"/>
  <c r="C402" i="2"/>
  <c r="D225" i="2"/>
  <c r="B546" i="2"/>
  <c r="B948" i="2"/>
  <c r="D599" i="2"/>
  <c r="B255" i="2"/>
  <c r="D457" i="2"/>
  <c r="A271" i="2"/>
  <c r="D859" i="2"/>
  <c r="B833" i="2"/>
  <c r="A281" i="2"/>
  <c r="C193" i="2"/>
  <c r="D767" i="2"/>
  <c r="B846" i="2"/>
  <c r="C995" i="2"/>
  <c r="A495" i="2"/>
  <c r="A742" i="2"/>
  <c r="D721" i="2"/>
  <c r="D413" i="2"/>
  <c r="C531" i="2"/>
  <c r="A703" i="2"/>
  <c r="B480" i="2"/>
  <c r="D720" i="2"/>
  <c r="B690" i="2"/>
  <c r="D332" i="2"/>
  <c r="A926" i="2"/>
  <c r="C811" i="2"/>
  <c r="A610" i="2"/>
  <c r="C688" i="2"/>
  <c r="A483" i="2"/>
  <c r="D442" i="2"/>
  <c r="B872" i="2"/>
  <c r="B661" i="2"/>
  <c r="B478" i="2"/>
  <c r="A777" i="2"/>
  <c r="D575" i="2"/>
  <c r="D862" i="2"/>
  <c r="D747" i="2"/>
  <c r="A246" i="2"/>
  <c r="C252" i="2"/>
  <c r="C814" i="2"/>
  <c r="A807" i="2"/>
  <c r="D569" i="2"/>
  <c r="D756" i="2"/>
  <c r="D768" i="2"/>
  <c r="B717" i="2"/>
  <c r="D700" i="2"/>
  <c r="A108" i="2"/>
  <c r="B365" i="2"/>
  <c r="A406" i="2"/>
  <c r="C369" i="2"/>
  <c r="A175" i="2"/>
  <c r="B1003" i="2"/>
  <c r="A660" i="2"/>
  <c r="A417" i="2"/>
  <c r="B342" i="2"/>
  <c r="B647" i="2"/>
  <c r="B775" i="2"/>
  <c r="A453" i="2"/>
  <c r="B119" i="2"/>
  <c r="D544" i="2"/>
  <c r="D368" i="2"/>
  <c r="C699" i="2"/>
  <c r="C483" i="2"/>
  <c r="C178" i="2"/>
  <c r="A318" i="2"/>
  <c r="B436" i="2"/>
  <c r="D869" i="2"/>
  <c r="A208" i="2"/>
  <c r="C416" i="2"/>
  <c r="C955" i="2"/>
  <c r="A360" i="2"/>
  <c r="B270" i="2"/>
  <c r="C636" i="2"/>
  <c r="A218" i="2"/>
  <c r="D195" i="2"/>
  <c r="B437" i="2"/>
  <c r="A816" i="2"/>
  <c r="A862" i="2"/>
  <c r="B965" i="2"/>
  <c r="C391" i="2"/>
  <c r="C666" i="2"/>
  <c r="C448" i="2"/>
  <c r="C582" i="2"/>
  <c r="B764" i="2"/>
  <c r="C620" i="2"/>
  <c r="B536" i="2"/>
  <c r="B500" i="2"/>
  <c r="B616" i="2"/>
  <c r="A806" i="2"/>
  <c r="A519" i="2"/>
  <c r="B116" i="2"/>
  <c r="C349" i="2"/>
  <c r="A373" i="2"/>
  <c r="A124" i="2"/>
  <c r="D739" i="2"/>
  <c r="C145" i="2"/>
  <c r="B906" i="2"/>
  <c r="B777" i="2"/>
  <c r="C209" i="2"/>
  <c r="B774" i="2"/>
  <c r="C246" i="2"/>
  <c r="A312" i="2"/>
  <c r="C332" i="2"/>
  <c r="D778" i="2"/>
  <c r="C113" i="2"/>
  <c r="D887" i="2"/>
  <c r="B445" i="2"/>
  <c r="D750" i="2"/>
  <c r="B600" i="2"/>
  <c r="D492" i="2"/>
  <c r="C769" i="2"/>
  <c r="B788" i="2"/>
  <c r="D936" i="2"/>
  <c r="B568" i="2"/>
  <c r="C761" i="2"/>
  <c r="A357" i="2"/>
  <c r="C114" i="2"/>
  <c r="A880" i="2"/>
  <c r="B350" i="2"/>
  <c r="A788" i="2"/>
  <c r="B173" i="2"/>
  <c r="C485" i="2"/>
  <c r="C828" i="2"/>
  <c r="A340" i="2"/>
  <c r="C608" i="2"/>
  <c r="B474" i="2"/>
  <c r="D760" i="2"/>
  <c r="C807" i="2"/>
  <c r="A402" i="2"/>
  <c r="B364" i="2"/>
  <c r="B496" i="2"/>
  <c r="D704" i="2"/>
  <c r="C541" i="2"/>
  <c r="D995" i="2"/>
  <c r="B268" i="2"/>
  <c r="B681" i="2"/>
  <c r="B455" i="2"/>
  <c r="B463" i="2"/>
  <c r="A857" i="2"/>
  <c r="B713" i="2"/>
  <c r="A631" i="2"/>
  <c r="A315" i="2"/>
  <c r="D427" i="2"/>
  <c r="C320" i="2"/>
  <c r="A735" i="2"/>
  <c r="D147" i="2"/>
  <c r="D222" i="2"/>
  <c r="D381" i="2"/>
  <c r="C772" i="2"/>
  <c r="A494" i="2"/>
  <c r="B770" i="2"/>
  <c r="A238" i="2"/>
  <c r="D545" i="2"/>
  <c r="A899" i="2"/>
  <c r="C127" i="2"/>
  <c r="C890" i="2"/>
  <c r="A310" i="2"/>
  <c r="A277" i="2"/>
  <c r="D130" i="2"/>
  <c r="A368" i="2"/>
  <c r="B586" i="2"/>
  <c r="C295" i="2"/>
  <c r="B747" i="2"/>
  <c r="C932" i="2"/>
  <c r="D840" i="2"/>
  <c r="B556" i="2"/>
  <c r="D133" i="2"/>
  <c r="A512" i="2"/>
  <c r="B513" i="2"/>
  <c r="D648" i="2"/>
  <c r="D940" i="2"/>
  <c r="D634" i="2"/>
  <c r="D150" i="2"/>
  <c r="A388" i="2"/>
  <c r="B726" i="2"/>
  <c r="C758" i="2"/>
  <c r="A872" i="2"/>
  <c r="C735" i="2"/>
  <c r="D284" i="2"/>
  <c r="D462" i="2"/>
  <c r="B476" i="2"/>
  <c r="B637" i="2"/>
  <c r="C599" i="2"/>
  <c r="C201" i="2"/>
  <c r="D707" i="2"/>
  <c r="C451" i="2"/>
  <c r="B855" i="2"/>
  <c r="A262" i="2"/>
  <c r="D967" i="2"/>
  <c r="B666" i="2"/>
  <c r="B152" i="2"/>
  <c r="C685" i="2"/>
  <c r="C205" i="2"/>
  <c r="B526" i="2"/>
  <c r="C737" i="2"/>
  <c r="A356" i="2"/>
  <c r="A878" i="2"/>
  <c r="B749" i="2"/>
  <c r="B583" i="2"/>
  <c r="C499" i="2"/>
  <c r="D167" i="2"/>
  <c r="A168" i="2"/>
  <c r="A204" i="2"/>
  <c r="A143" i="2"/>
  <c r="D894" i="2"/>
  <c r="A720" i="2"/>
  <c r="D486" i="2"/>
  <c r="C947" i="2"/>
  <c r="A207" i="2"/>
  <c r="D557" i="2"/>
  <c r="A293" i="2"/>
  <c r="B311" i="2"/>
  <c r="B287" i="2"/>
  <c r="A593" i="2"/>
  <c r="A840" i="2"/>
  <c r="C594" i="2"/>
  <c r="C112" i="2"/>
  <c r="A747" i="2"/>
  <c r="C341" i="2"/>
  <c r="D745" i="2"/>
  <c r="B214" i="2"/>
  <c r="B748" i="2"/>
  <c r="C838" i="2"/>
  <c r="D953" i="2"/>
  <c r="A983" i="2"/>
  <c r="B143" i="2"/>
  <c r="D319" i="2"/>
  <c r="B921" i="2"/>
  <c r="C413" i="2"/>
  <c r="D439" i="2"/>
  <c r="B446" i="2"/>
  <c r="C536" i="2"/>
  <c r="C405" i="2"/>
  <c r="D489" i="2"/>
  <c r="B955" i="2"/>
  <c r="B805" i="2"/>
  <c r="B182" i="2"/>
  <c r="D686" i="2"/>
  <c r="A236" i="2"/>
  <c r="D304" i="2"/>
  <c r="B290" i="2"/>
  <c r="D467" i="2"/>
  <c r="D710" i="2"/>
  <c r="A996" i="2"/>
  <c r="D228" i="2"/>
  <c r="D576" i="2"/>
  <c r="C250" i="2"/>
  <c r="C542" i="2"/>
  <c r="A781" i="2"/>
  <c r="A624" i="2"/>
  <c r="C530" i="2"/>
  <c r="A948" i="2"/>
  <c r="C162" i="2"/>
  <c r="C810" i="2"/>
  <c r="D508" i="2"/>
  <c r="D376" i="2"/>
  <c r="A407" i="2"/>
  <c r="B110" i="2"/>
  <c r="C421" i="2"/>
  <c r="C609" i="2"/>
  <c r="D777" i="2"/>
  <c r="B130" i="2"/>
  <c r="A405" i="2"/>
  <c r="A651" i="2"/>
  <c r="D162" i="2"/>
  <c r="A628" i="2"/>
  <c r="C821" i="2"/>
  <c r="C319" i="2"/>
  <c r="A695" i="2"/>
  <c r="D514" i="2"/>
  <c r="D622" i="2"/>
  <c r="D349" i="2"/>
  <c r="A578" i="2"/>
  <c r="A165" i="2"/>
  <c r="B783" i="2"/>
  <c r="D855" i="2"/>
  <c r="C289" i="2"/>
  <c r="B534" i="2"/>
  <c r="C175" i="2"/>
  <c r="A932" i="2"/>
  <c r="D146" i="2"/>
  <c r="D656" i="2"/>
  <c r="C806" i="2"/>
  <c r="D409" i="2"/>
  <c r="B427" i="2"/>
  <c r="C491" i="2"/>
  <c r="C109" i="2"/>
  <c r="A832" i="2"/>
  <c r="D400" i="2"/>
  <c r="D276" i="2"/>
  <c r="B732" i="2"/>
  <c r="D115" i="2"/>
  <c r="B141" i="2"/>
  <c r="D274" i="2"/>
  <c r="A854" i="2"/>
  <c r="B943" i="2"/>
  <c r="C844" i="2"/>
  <c r="D306" i="2"/>
  <c r="D285" i="2"/>
  <c r="D765" i="2"/>
  <c r="A450" i="2"/>
  <c r="D617" i="2"/>
  <c r="C854" i="2"/>
  <c r="A286" i="2"/>
  <c r="D984" i="2"/>
  <c r="D857" i="2"/>
  <c r="B744" i="2"/>
  <c r="A686" i="2"/>
  <c r="B980" i="2"/>
  <c r="C567" i="2"/>
  <c r="B160" i="2"/>
  <c r="A332" i="2"/>
  <c r="D505" i="2"/>
  <c r="D444" i="2"/>
  <c r="D582" i="2"/>
  <c r="B826" i="2"/>
  <c r="C314" i="2"/>
  <c r="D550" i="2"/>
  <c r="D612" i="2"/>
  <c r="B126" i="2"/>
  <c r="A774" i="2"/>
  <c r="D907" i="2"/>
  <c r="C529" i="2"/>
  <c r="A136" i="2"/>
  <c r="D898" i="2"/>
  <c r="D361" i="2"/>
  <c r="D757" i="2"/>
  <c r="A376" i="2"/>
  <c r="B931" i="2"/>
  <c r="D436" i="2"/>
  <c r="C833" i="2"/>
  <c r="D391" i="2"/>
  <c r="A638" i="2"/>
  <c r="D556" i="2"/>
  <c r="D478" i="2"/>
  <c r="B382" i="2"/>
  <c r="A323" i="2"/>
  <c r="B1001" i="2"/>
  <c r="C638" i="2"/>
  <c r="B739" i="2"/>
  <c r="D470" i="2"/>
  <c r="A787" i="2"/>
  <c r="A155" i="2"/>
  <c r="B984" i="2"/>
  <c r="C776" i="2"/>
  <c r="D687" i="2"/>
  <c r="D823" i="2"/>
  <c r="C269" i="2"/>
  <c r="B156" i="2"/>
  <c r="B384" i="2"/>
  <c r="B851" i="2"/>
  <c r="D813" i="2"/>
  <c r="C456" i="2"/>
  <c r="D843" i="2"/>
  <c r="A642" i="2"/>
  <c r="D525" i="2"/>
  <c r="D190" i="2"/>
  <c r="D419" i="2"/>
  <c r="C427" i="2"/>
  <c r="A409" i="2"/>
  <c r="B892" i="2"/>
  <c r="C915" i="2"/>
  <c r="B221" i="2"/>
  <c r="A712" i="2"/>
  <c r="A488" i="2"/>
  <c r="C464" i="2"/>
  <c r="B284" i="2"/>
  <c r="B451" i="2"/>
  <c r="B244" i="2"/>
  <c r="B292" i="2"/>
  <c r="A580" i="2"/>
  <c r="A892" i="2"/>
  <c r="C593" i="2"/>
  <c r="A843" i="2"/>
  <c r="B165" i="2"/>
  <c r="B258" i="2"/>
  <c r="B720" i="2"/>
  <c r="B272" i="2"/>
  <c r="A116" i="2"/>
  <c r="C874" i="2"/>
  <c r="B213" i="2"/>
  <c r="A202" i="2"/>
  <c r="C423" i="2"/>
  <c r="C244" i="2"/>
  <c r="C393" i="2"/>
  <c r="C800" i="2"/>
  <c r="C946" i="2"/>
  <c r="B193" i="2"/>
  <c r="B231" i="2"/>
  <c r="C315" i="2"/>
  <c r="D606" i="2"/>
  <c r="D328" i="2"/>
  <c r="A261" i="2"/>
  <c r="D294" i="2"/>
  <c r="B625" i="2"/>
  <c r="C786" i="2"/>
  <c r="A162" i="2"/>
  <c r="B734" i="2"/>
  <c r="D532" i="2"/>
  <c r="B118" i="2"/>
  <c r="A435" i="2"/>
  <c r="A571" i="2"/>
  <c r="C206" i="2"/>
  <c r="D399" i="2"/>
  <c r="D644" i="2"/>
  <c r="C646" i="2"/>
  <c r="C964" i="2"/>
  <c r="B655" i="2"/>
  <c r="C120" i="2"/>
  <c r="C510" i="2"/>
  <c r="A980" i="2"/>
  <c r="C163" i="2"/>
  <c r="C498" i="2"/>
  <c r="C115" i="2"/>
  <c r="D974" i="2"/>
  <c r="D863" i="2"/>
  <c r="C424" i="2"/>
  <c r="B811" i="2"/>
  <c r="C682" i="2"/>
  <c r="A474" i="2"/>
  <c r="A985" i="2"/>
  <c r="A441" i="2"/>
  <c r="B275" i="2"/>
  <c r="C261" i="2"/>
  <c r="C412" i="2"/>
  <c r="A604" i="2"/>
  <c r="A439" i="2"/>
  <c r="A917" i="2"/>
  <c r="C842" i="2"/>
  <c r="B353" i="2"/>
  <c r="A558" i="2"/>
  <c r="A398" i="2"/>
  <c r="A242" i="2"/>
  <c r="B340" i="2"/>
  <c r="C850" i="2"/>
  <c r="D752" i="2"/>
  <c r="D438" i="2"/>
  <c r="D165" i="2"/>
  <c r="C473" i="2"/>
  <c r="A838" i="2"/>
  <c r="A706" i="2"/>
  <c r="A849" i="2"/>
  <c r="A738" i="2"/>
  <c r="B404" i="2"/>
  <c r="D972" i="2"/>
  <c r="C309" i="2"/>
  <c r="A795" i="2"/>
  <c r="D206" i="2"/>
  <c r="D119" i="2"/>
  <c r="B755" i="2"/>
  <c r="D501" i="2"/>
  <c r="C138" i="2"/>
  <c r="A863" i="2"/>
  <c r="A212" i="2"/>
  <c r="C557" i="2"/>
  <c r="A276" i="2"/>
  <c r="B414" i="2"/>
  <c r="D772" i="2"/>
  <c r="A605" i="2"/>
  <c r="B493" i="2"/>
  <c r="A714" i="2"/>
  <c r="B393" i="2"/>
  <c r="D386" i="2"/>
  <c r="A778" i="2"/>
  <c r="A689" i="2"/>
  <c r="C394" i="2"/>
  <c r="D795" i="2"/>
  <c r="A146" i="2"/>
  <c r="C364" i="2"/>
  <c r="D246" i="2"/>
  <c r="A458" i="2"/>
  <c r="D851" i="2"/>
  <c r="D300" i="2"/>
  <c r="B754" i="2"/>
  <c r="A364" i="2"/>
  <c r="A653" i="2"/>
  <c r="B492" i="2"/>
  <c r="C714" i="2"/>
  <c r="D554" i="2"/>
  <c r="A708" i="2"/>
  <c r="C237" i="2"/>
  <c r="A929" i="2"/>
  <c r="B345" i="2"/>
  <c r="D268" i="2"/>
  <c r="D731" i="2"/>
  <c r="D220" i="2"/>
  <c r="D456" i="2"/>
  <c r="C596" i="2"/>
  <c r="B298" i="2"/>
  <c r="A385" i="2"/>
  <c r="C151" i="2"/>
  <c r="D517" i="2"/>
  <c r="D705" i="2"/>
  <c r="D208" i="2"/>
  <c r="D749" i="2"/>
  <c r="B357" i="2"/>
  <c r="A359" i="2"/>
  <c r="C631" i="2"/>
  <c r="A372" i="2"/>
  <c r="D385" i="2"/>
  <c r="B932" i="2"/>
  <c r="D884" i="2"/>
  <c r="D882" i="2"/>
  <c r="A725" i="2"/>
  <c r="D351" i="2"/>
  <c r="B327" i="2"/>
  <c r="B865" i="2"/>
  <c r="B373" i="2"/>
  <c r="D273" i="2"/>
  <c r="B1002" i="2"/>
  <c r="C780" i="2"/>
  <c r="D521" i="2"/>
  <c r="A682" i="2"/>
  <c r="D445" i="2"/>
  <c r="C924" i="2"/>
  <c r="D555" i="2"/>
  <c r="B837" i="2"/>
  <c r="D443" i="2"/>
  <c r="D672" i="2"/>
  <c r="A201" i="2"/>
  <c r="C615" i="2"/>
  <c r="C325" i="2"/>
  <c r="B591" i="2"/>
  <c r="A915" i="2"/>
  <c r="A957" i="2"/>
  <c r="C869" i="2"/>
  <c r="C883" i="2"/>
  <c r="C724" i="2"/>
  <c r="C731" i="2"/>
  <c r="C905" i="2"/>
  <c r="C917" i="2"/>
  <c r="B459" i="2"/>
  <c r="D789" i="2"/>
  <c r="C925" i="2"/>
  <c r="A887" i="2"/>
  <c r="C969" i="2"/>
  <c r="B423" i="2"/>
  <c r="C587" i="2"/>
  <c r="A616" i="2"/>
  <c r="A182" i="2"/>
  <c r="A603" i="2"/>
  <c r="C660" i="2"/>
  <c r="C463" i="2"/>
  <c r="B301" i="2"/>
  <c r="A523" i="2"/>
  <c r="D836" i="2"/>
  <c r="C880" i="2"/>
  <c r="D661" i="2"/>
  <c r="B438" i="2"/>
  <c r="C301" i="2"/>
  <c r="D773" i="2"/>
  <c r="D992" i="2"/>
  <c r="C128" i="2"/>
  <c r="B328" i="2"/>
  <c r="A819" i="2"/>
  <c r="A943" i="2"/>
  <c r="C839" i="2"/>
  <c r="A715" i="2"/>
  <c r="D127" i="2"/>
  <c r="B619" i="2"/>
  <c r="A480" i="2"/>
  <c r="A555" i="2"/>
  <c r="C256" i="2"/>
  <c r="C749" i="2"/>
  <c r="D781" i="2"/>
  <c r="B533" i="2"/>
  <c r="C166" i="2"/>
  <c r="B467" i="2"/>
  <c r="C877" i="2"/>
  <c r="D541" i="2"/>
  <c r="D590" i="2"/>
  <c r="D621" i="2"/>
  <c r="D128" i="2"/>
  <c r="A824" i="2"/>
  <c r="C221" i="2"/>
  <c r="A106" i="2"/>
  <c r="D346" i="2"/>
  <c r="A916" i="2"/>
  <c r="A414" i="2"/>
  <c r="B157" i="2"/>
  <c r="D865" i="2"/>
  <c r="D964" i="2"/>
  <c r="A354" i="2"/>
  <c r="B868" i="2"/>
  <c r="B351" i="2"/>
  <c r="C878" i="2"/>
  <c r="C222" i="2"/>
  <c r="A799" i="2"/>
  <c r="B781" i="2"/>
  <c r="C897" i="2"/>
  <c r="C911" i="2"/>
  <c r="D737" i="2"/>
  <c r="D624" i="2"/>
  <c r="D549" i="2"/>
  <c r="A931" i="2"/>
  <c r="D232" i="2"/>
  <c r="B897" i="2"/>
  <c r="D684" i="2"/>
  <c r="C523" i="2"/>
  <c r="D272" i="2"/>
  <c r="C158" i="2"/>
  <c r="C119" i="2"/>
  <c r="D870" i="2"/>
  <c r="D490" i="2"/>
  <c r="C826" i="2"/>
  <c r="A564" i="2"/>
  <c r="B966" i="2"/>
  <c r="C654" i="2"/>
  <c r="D468" i="2"/>
  <c r="A823" i="2"/>
  <c r="C779" i="2"/>
  <c r="D683" i="2"/>
  <c r="D1003" i="2"/>
  <c r="C670" i="2"/>
  <c r="D184" i="2"/>
  <c r="C719" i="2"/>
  <c r="A913" i="2"/>
  <c r="C634" i="2"/>
  <c r="B394" i="2"/>
  <c r="C419" i="2"/>
  <c r="C566" i="2"/>
  <c r="A502" i="2"/>
  <c r="A237" i="2"/>
  <c r="D117" i="2"/>
  <c r="B779" i="2"/>
  <c r="C417" i="2"/>
  <c r="C876" i="2"/>
  <c r="B597" i="2"/>
  <c r="B421" i="2"/>
  <c r="B976" i="2"/>
  <c r="C478" i="2"/>
  <c r="C686" i="2"/>
  <c r="B554" i="2"/>
  <c r="B979" i="2"/>
  <c r="D766" i="2"/>
  <c r="A231" i="2"/>
  <c r="A296" i="2"/>
  <c r="A478" i="2"/>
  <c r="C525" i="2"/>
  <c r="B605" i="2"/>
  <c r="A809" i="2"/>
  <c r="C299" i="2"/>
  <c r="B641" i="2"/>
  <c r="C721" i="2"/>
  <c r="D761" i="2"/>
  <c r="D614" i="2"/>
  <c r="C342" i="2"/>
  <c r="B537" i="2"/>
  <c r="C449" i="2"/>
  <c r="C895" i="2"/>
  <c r="C203" i="2"/>
  <c r="A869" i="2"/>
  <c r="D337" i="2"/>
  <c r="A475" i="2"/>
  <c r="D358" i="2"/>
  <c r="B425" i="2"/>
  <c r="A169" i="2"/>
  <c r="D601" i="2"/>
  <c r="D736" i="2"/>
  <c r="D969" i="2"/>
  <c r="C406" i="2"/>
  <c r="D173" i="2"/>
  <c r="D915" i="2"/>
  <c r="C822" i="2"/>
  <c r="B771" i="2"/>
  <c r="A763" i="2"/>
  <c r="D205" i="2"/>
  <c r="C887" i="2"/>
  <c r="C282" i="2"/>
  <c r="A966" i="2"/>
  <c r="A125" i="2"/>
  <c r="D264" i="2"/>
  <c r="B142" i="2"/>
  <c r="B155" i="2"/>
  <c r="B632" i="2"/>
  <c r="C997" i="2"/>
  <c r="C909" i="2"/>
  <c r="B177" i="2"/>
  <c r="C992" i="2"/>
  <c r="A134" i="2"/>
  <c r="B430" i="2"/>
  <c r="C588" i="2"/>
  <c r="B791" i="2"/>
  <c r="D973" i="2"/>
  <c r="A740" i="2"/>
  <c r="C125" i="2"/>
  <c r="B877" i="2"/>
  <c r="B861" i="2"/>
  <c r="B800" i="2"/>
  <c r="A600" i="2"/>
  <c r="D877" i="2"/>
  <c r="C722" i="2"/>
  <c r="A669" i="2"/>
  <c r="D794" i="2"/>
  <c r="D434" i="2"/>
  <c r="C326" i="2"/>
  <c r="D350" i="2"/>
  <c r="A803" i="2"/>
  <c r="B989" i="2"/>
  <c r="A970" i="2"/>
  <c r="D344" i="2"/>
  <c r="D824" i="2"/>
  <c r="B801" i="2"/>
  <c r="D161" i="2"/>
  <c r="D850" i="2"/>
  <c r="C785" i="2"/>
  <c r="A268" i="2"/>
  <c r="A419" i="2"/>
  <c r="C398" i="2"/>
  <c r="A927" i="2"/>
  <c r="C287" i="2"/>
  <c r="C232" i="2"/>
  <c r="C511" i="2"/>
  <c r="B671" i="2"/>
  <c r="B305" i="2"/>
  <c r="C765" i="2"/>
  <c r="A119" i="2"/>
  <c r="A833" i="2"/>
  <c r="C672" i="2"/>
  <c r="C864" i="2"/>
  <c r="A563" i="2"/>
  <c r="A671" i="2"/>
  <c r="D107" i="2"/>
  <c r="B159" i="2"/>
  <c r="B815" i="2"/>
  <c r="D849" i="2"/>
  <c r="A344" i="2"/>
  <c r="D642" i="2"/>
  <c r="A626" i="2"/>
  <c r="A988" i="2"/>
  <c r="B306" i="2"/>
  <c r="C696" i="2"/>
  <c r="C240" i="2"/>
  <c r="B539" i="2"/>
  <c r="D503" i="2"/>
  <c r="C477" i="2"/>
  <c r="B997" i="2"/>
  <c r="C818" i="2"/>
  <c r="C623" i="2"/>
  <c r="D994" i="2"/>
  <c r="B540" i="2"/>
  <c r="B176" i="2"/>
  <c r="B519" i="2"/>
  <c r="D401" i="2"/>
  <c r="D935" i="2"/>
  <c r="C520" i="2"/>
  <c r="A226" i="2"/>
  <c r="D527" i="2"/>
  <c r="A770" i="2"/>
  <c r="A622" i="2"/>
  <c r="A588" i="2"/>
  <c r="A739" i="2"/>
  <c r="C362" i="2"/>
  <c r="D641" i="2"/>
  <c r="B899" i="2"/>
  <c r="C164" i="2"/>
  <c r="B341" i="2"/>
  <c r="B111" i="2"/>
  <c r="C881" i="2"/>
  <c r="A339" i="2"/>
  <c r="A573" i="2"/>
  <c r="B510" i="2"/>
  <c r="C578" i="2"/>
  <c r="C683" i="2"/>
  <c r="D464" i="2"/>
  <c r="C795" i="2"/>
  <c r="D481" i="2"/>
  <c r="A895" i="2"/>
  <c r="C446" i="2"/>
  <c r="D625" i="2"/>
  <c r="C968" i="2"/>
  <c r="D204" i="2"/>
  <c r="B745" i="2"/>
  <c r="C676" i="2"/>
  <c r="A254" i="2"/>
  <c r="D363" i="2"/>
  <c r="D937" i="2"/>
  <c r="C401" i="2"/>
  <c r="B964" i="2"/>
  <c r="B304" i="2"/>
  <c r="B481" i="2"/>
  <c r="C303" i="2"/>
  <c r="D577" i="2"/>
  <c r="B349" i="2"/>
  <c r="D631" i="2"/>
  <c r="C283" i="2"/>
  <c r="D559" i="2"/>
  <c r="A1003" i="2"/>
  <c r="B643" i="2"/>
  <c r="C697" i="2"/>
  <c r="A924" i="2"/>
  <c r="B499" i="2"/>
  <c r="C684" i="2"/>
  <c r="D266" i="2"/>
  <c r="D695" i="2"/>
  <c r="C324" i="2"/>
  <c r="D913" i="2"/>
  <c r="B626" i="2"/>
  <c r="C370" i="2"/>
  <c r="A554" i="2"/>
  <c r="C242" i="2"/>
  <c r="A173" i="2"/>
  <c r="C920" i="2"/>
  <c r="C433" i="2"/>
  <c r="D256" i="2"/>
  <c r="D154" i="2"/>
  <c r="B527" i="2"/>
  <c r="A723" i="2"/>
  <c r="C760" i="2"/>
  <c r="D713" i="2"/>
  <c r="B765" i="2"/>
  <c r="D476" i="2"/>
  <c r="D912" i="2"/>
  <c r="B985" i="2"/>
  <c r="B199" i="2"/>
  <c r="A861" i="2"/>
  <c r="C361" i="2"/>
  <c r="C181" i="2"/>
  <c r="C998" i="2"/>
  <c r="B887" i="2"/>
  <c r="D134" i="2"/>
  <c r="A978" i="2"/>
  <c r="C408" i="2"/>
  <c r="C272" i="2"/>
  <c r="D333" i="2"/>
  <c r="A904" i="2"/>
  <c r="A873" i="2"/>
  <c r="B847" i="2"/>
  <c r="C532" i="2"/>
  <c r="A317" i="2"/>
  <c r="A905" i="2"/>
  <c r="D636" i="2"/>
  <c r="A531" i="2"/>
  <c r="D297" i="2"/>
  <c r="D673" i="2"/>
  <c r="C577" i="2"/>
  <c r="A877" i="2"/>
  <c r="B884" i="2"/>
  <c r="D674" i="2"/>
  <c r="B740" i="2"/>
  <c r="C190" i="2"/>
  <c r="C866" i="2"/>
  <c r="B866" i="2"/>
  <c r="C614" i="2"/>
  <c r="D716" i="2"/>
  <c r="A826" i="2"/>
  <c r="C778" i="2"/>
  <c r="D176" i="2"/>
  <c r="D755" i="2"/>
  <c r="A670" i="2"/>
  <c r="D247" i="2"/>
  <c r="C561" i="2"/>
  <c r="A325" i="2"/>
  <c r="A346" i="2"/>
  <c r="A949" i="2"/>
  <c r="C888" i="2"/>
  <c r="A465" i="2"/>
  <c r="A955" i="2"/>
  <c r="C202" i="2"/>
  <c r="C643" i="2"/>
  <c r="D241" i="2"/>
  <c r="B639" i="2"/>
  <c r="C481" i="2"/>
  <c r="A768" i="2"/>
  <c r="A911" i="2"/>
  <c r="B174" i="2"/>
  <c r="D526" i="2"/>
  <c r="C547" i="2"/>
  <c r="A370" i="2"/>
  <c r="D620" i="2"/>
  <c r="D584" i="2"/>
  <c r="A885" i="2"/>
  <c r="D821" i="2"/>
  <c r="C211" i="2"/>
  <c r="D171" i="2"/>
  <c r="C225" i="2"/>
  <c r="A699" i="2"/>
  <c r="A845" i="2"/>
  <c r="D623" i="2"/>
  <c r="D605" i="2"/>
  <c r="D516" i="2"/>
  <c r="C331" i="2"/>
  <c r="C993" i="2"/>
  <c r="B772" i="2"/>
  <c r="D916" i="2"/>
  <c r="C136" i="2"/>
  <c r="A430" i="2"/>
  <c r="C816" i="2"/>
  <c r="C927" i="2"/>
  <c r="A989" i="2"/>
  <c r="C220" i="2"/>
  <c r="A722" i="2"/>
  <c r="D460" i="2"/>
  <c r="B260" i="2"/>
  <c r="A654" i="2"/>
  <c r="C212" i="2"/>
  <c r="A426" i="2"/>
  <c r="C598" i="2"/>
  <c r="C989" i="2"/>
  <c r="B188" i="2"/>
  <c r="B362" i="2"/>
  <c r="A421" i="2"/>
  <c r="C155" i="2"/>
  <c r="A986" i="2"/>
  <c r="A132" i="2"/>
  <c r="D801" i="2"/>
  <c r="C554" i="2"/>
  <c r="C564" i="2"/>
  <c r="D875" i="2"/>
  <c r="C291" i="2"/>
  <c r="C589" i="2"/>
  <c r="B917" i="2"/>
  <c r="D896" i="2"/>
  <c r="B277" i="2"/>
  <c r="D712" i="2"/>
  <c r="D809" i="2"/>
  <c r="C573" i="2"/>
  <c r="A159" i="2"/>
  <c r="B439" i="2"/>
  <c r="C827" i="2"/>
  <c r="B323" i="2"/>
  <c r="B988" i="2"/>
  <c r="C512" i="2"/>
  <c r="D718" i="2"/>
  <c r="C584" i="2"/>
  <c r="A782" i="2"/>
  <c r="C913" i="2"/>
  <c r="C233" i="2"/>
  <c r="A245" i="2"/>
  <c r="C843" i="2"/>
  <c r="A848" i="2"/>
  <c r="B385" i="2"/>
  <c r="B449" i="2"/>
  <c r="B879" i="2"/>
  <c r="D806" i="2"/>
  <c r="C981" i="2"/>
  <c r="B803" i="2"/>
  <c r="A258" i="2"/>
  <c r="B902" i="2"/>
  <c r="A598" i="2"/>
  <c r="B935" i="2"/>
  <c r="C597" i="2"/>
  <c r="D733" i="2"/>
  <c r="D432" i="2"/>
  <c r="C663" i="2"/>
  <c r="B179" i="2"/>
  <c r="C126" i="2"/>
  <c r="B237" i="2"/>
  <c r="D110" i="2"/>
  <c r="D610" i="2"/>
  <c r="D946" i="2"/>
  <c r="A183" i="2"/>
  <c r="C404" i="2"/>
  <c r="C933" i="2"/>
  <c r="B631" i="2"/>
  <c r="D293" i="2"/>
  <c r="A147" i="2"/>
  <c r="D283" i="2"/>
  <c r="B498" i="2"/>
  <c r="C677" i="2"/>
  <c r="B821" i="2"/>
  <c r="A716" i="2"/>
  <c r="C192" i="2"/>
  <c r="C380" i="2"/>
  <c r="D600" i="2"/>
  <c r="C461" i="2"/>
  <c r="C188" i="2"/>
  <c r="B420" i="2"/>
  <c r="B909" i="2"/>
  <c r="C755" i="2"/>
  <c r="D676" i="2"/>
  <c r="B593" i="2"/>
  <c r="A922" i="2"/>
  <c r="C759" i="2"/>
  <c r="B630" i="2"/>
  <c r="B555" i="2"/>
  <c r="D611" i="2"/>
  <c r="A192" i="2"/>
  <c r="C521" i="2"/>
  <c r="C996" i="2"/>
  <c r="D397" i="2"/>
  <c r="B977" i="2"/>
  <c r="D783" i="2"/>
  <c r="A597" i="2"/>
  <c r="B447" i="2"/>
  <c r="D473" i="2"/>
  <c r="C641" i="2"/>
  <c r="D682" i="2"/>
  <c r="B882" i="2"/>
  <c r="D281" i="2"/>
  <c r="B907" i="2"/>
  <c r="B106" i="2"/>
  <c r="C898" i="2"/>
  <c r="B530" i="2"/>
  <c r="D370" i="2"/>
  <c r="D717" i="2"/>
  <c r="B784" i="2"/>
  <c r="B923" i="2"/>
  <c r="A353" i="2"/>
  <c r="A172" i="2"/>
  <c r="A161" i="2"/>
  <c r="A548" i="2"/>
  <c r="C767" i="2"/>
  <c r="B448" i="2"/>
  <c r="D941" i="2"/>
  <c r="A362" i="2"/>
  <c r="A230" i="2"/>
  <c r="A821" i="2"/>
  <c r="A607" i="2"/>
  <c r="C317" i="2"/>
  <c r="A737" i="2"/>
  <c r="A890" i="2"/>
  <c r="C436" i="2"/>
  <c r="A150" i="2"/>
  <c r="C961" i="2"/>
  <c r="C271" i="2"/>
  <c r="C928" i="2"/>
  <c r="C217" i="2"/>
  <c r="A249" i="2"/>
  <c r="A744" i="2"/>
  <c r="A868" i="2"/>
  <c r="C376" i="2"/>
  <c r="C210" i="2"/>
  <c r="B403" i="2"/>
  <c r="A935" i="2"/>
  <c r="D402" i="2"/>
  <c r="A662" i="2"/>
  <c r="D144" i="2"/>
  <c r="B548" i="2"/>
  <c r="D950" i="2"/>
  <c r="B645" i="2"/>
  <c r="A933" i="2"/>
  <c r="B644" i="2"/>
  <c r="A785" i="2"/>
  <c r="C831" i="2"/>
  <c r="A903" i="2"/>
  <c r="C104" i="2"/>
  <c r="A701" i="2"/>
  <c r="C396" i="2"/>
  <c r="C919" i="2"/>
  <c r="B336" i="2"/>
  <c r="C559" i="2"/>
  <c r="C972" i="2"/>
  <c r="B396" i="2"/>
  <c r="B930" i="2"/>
  <c r="B169" i="2"/>
  <c r="A683" i="2"/>
  <c r="A910" i="2"/>
  <c r="C944" i="2"/>
  <c r="D724" i="2"/>
  <c r="B915" i="2"/>
  <c r="D482" i="2"/>
  <c r="A928" i="2"/>
  <c r="A944" i="2"/>
  <c r="D382" i="2"/>
  <c r="B842" i="2"/>
  <c r="B140" i="2"/>
  <c r="D491" i="2"/>
  <c r="C550" i="2"/>
  <c r="B889" i="2"/>
  <c r="C365" i="2"/>
  <c r="B333" i="2"/>
  <c r="A886" i="2"/>
  <c r="C519" i="2"/>
  <c r="C642" i="2"/>
  <c r="D178" i="2"/>
  <c r="B509" i="2"/>
  <c r="B928" i="2"/>
  <c r="B525" i="2"/>
  <c r="D522" i="2"/>
  <c r="C918" i="2"/>
  <c r="C501" i="2"/>
  <c r="D943" i="2"/>
  <c r="D986" i="2"/>
  <c r="C725" i="2"/>
  <c r="C496" i="2"/>
  <c r="B228" i="2"/>
  <c r="D485" i="2"/>
  <c r="A710" i="2"/>
  <c r="A460" i="2"/>
  <c r="C534" i="2"/>
  <c r="B395" i="2"/>
  <c r="D735" i="2"/>
  <c r="C195" i="2"/>
  <c r="A493" i="2"/>
  <c r="B871" i="2"/>
  <c r="C753" i="2"/>
  <c r="A489" i="2"/>
  <c r="A635" i="2"/>
  <c r="A796" i="2"/>
  <c r="C555" i="2"/>
  <c r="D804" i="2"/>
  <c r="A307" i="2"/>
  <c r="B579" i="2"/>
  <c r="D754" i="2"/>
  <c r="C934" i="2"/>
  <c r="C982" i="2"/>
  <c r="D930" i="2"/>
  <c r="A658" i="2"/>
  <c r="D699" i="2"/>
  <c r="C741" i="2"/>
  <c r="D742" i="2"/>
  <c r="B609" i="2"/>
  <c r="C701" i="2"/>
  <c r="B621" i="2"/>
  <c r="B189" i="2"/>
  <c r="A574" i="2"/>
  <c r="D975" i="2"/>
  <c r="D261" i="2"/>
  <c r="C160" i="2"/>
  <c r="B337" i="2"/>
  <c r="B528" i="2"/>
  <c r="B508" i="2"/>
  <c r="B559" i="2"/>
  <c r="D254" i="2"/>
  <c r="B402" i="2"/>
  <c r="C662" i="2"/>
  <c r="C131" i="2"/>
  <c r="A326" i="2"/>
  <c r="C572" i="2"/>
  <c r="A264" i="2"/>
  <c r="A920" i="2"/>
  <c r="C803" i="2"/>
  <c r="C139" i="2"/>
  <c r="D666" i="2"/>
  <c r="C170" i="2"/>
  <c r="A403" i="2"/>
  <c r="C281" i="2"/>
  <c r="D711" i="2"/>
  <c r="C1000" i="2"/>
  <c r="B723" i="2"/>
  <c r="A775" i="2"/>
  <c r="C680" i="2"/>
  <c r="D810" i="2"/>
  <c r="B799" i="2"/>
  <c r="C607" i="2"/>
  <c r="A294" i="2"/>
  <c r="B253" i="2"/>
  <c r="D883" i="2"/>
  <c r="B674" i="2"/>
  <c r="C548" i="2"/>
  <c r="A358" i="2"/>
  <c r="A224" i="2"/>
  <c r="C513" i="2"/>
  <c r="A243" i="2"/>
  <c r="B490" i="2"/>
  <c r="B648" i="2"/>
  <c r="B885" i="2"/>
  <c r="C509" i="2"/>
  <c r="D450" i="2"/>
  <c r="B303" i="2"/>
  <c r="C297" i="2"/>
  <c r="D902" i="2"/>
  <c r="B219" i="2"/>
  <c r="B574" i="2"/>
  <c r="B678" i="2"/>
  <c r="C817" i="2"/>
  <c r="D787" i="2"/>
  <c r="B273" i="2"/>
  <c r="A314" i="2"/>
  <c r="C318" i="2"/>
  <c r="B310" i="2"/>
  <c r="C182" i="2"/>
  <c r="A522" i="2"/>
  <c r="A822" i="2"/>
  <c r="C789" i="2"/>
  <c r="C266" i="2"/>
  <c r="D689" i="2"/>
  <c r="D493" i="2"/>
  <c r="A128" i="2"/>
  <c r="B954" i="2"/>
  <c r="C150" i="2"/>
  <c r="A976" i="2"/>
  <c r="C671" i="2"/>
  <c r="D191" i="2"/>
  <c r="D374" i="2"/>
  <c r="A810" i="2"/>
  <c r="A552" i="2"/>
  <c r="A449" i="2"/>
  <c r="A732" i="2"/>
  <c r="B369" i="2"/>
  <c r="C645" i="2"/>
  <c r="A757" i="2"/>
  <c r="D846" i="2"/>
  <c r="A438" i="2"/>
  <c r="A798" i="2"/>
  <c r="C882" i="2"/>
  <c r="B585" i="2"/>
  <c r="D224" i="2"/>
  <c r="D379" i="2"/>
  <c r="B415" i="2"/>
  <c r="A166" i="2"/>
  <c r="D250" i="2"/>
  <c r="D811" i="2"/>
  <c r="C444" i="2"/>
  <c r="A423" i="2"/>
  <c r="A324" i="2"/>
  <c r="A338" i="2"/>
  <c r="A993" i="2"/>
  <c r="C130" i="2"/>
  <c r="D988" i="2"/>
  <c r="B836" i="2"/>
  <c r="C223" i="2"/>
  <c r="C951" i="2"/>
  <c r="A190" i="2"/>
  <c r="A455" i="2"/>
  <c r="A691" i="2"/>
  <c r="B567" i="2"/>
  <c r="D393" i="2"/>
  <c r="C386" i="2"/>
  <c r="A561" i="2"/>
  <c r="C359" i="2"/>
  <c r="C743" i="2"/>
  <c r="A643" i="2"/>
  <c r="B531" i="2"/>
  <c r="A194" i="2"/>
  <c r="A250" i="2"/>
  <c r="A244" i="2"/>
  <c r="D565" i="2"/>
  <c r="C856" i="2"/>
  <c r="A520" i="2"/>
  <c r="B939" i="2"/>
  <c r="B460" i="2"/>
  <c r="B610" i="2"/>
  <c r="A330" i="2"/>
  <c r="D675" i="2"/>
  <c r="D952" i="2"/>
  <c r="C384" i="2"/>
  <c r="B581" i="2"/>
  <c r="C956" i="2"/>
  <c r="A541" i="2"/>
  <c r="A773" i="2"/>
  <c r="B762" i="2"/>
  <c r="D430" i="2"/>
  <c r="C466" i="2"/>
  <c r="D552" i="2"/>
  <c r="C715" i="2"/>
  <c r="D861" i="2"/>
  <c r="A308" i="2"/>
  <c r="D928" i="2"/>
  <c r="C107" i="2"/>
  <c r="C801" i="2"/>
  <c r="C768" i="2"/>
  <c r="A591" i="2"/>
  <c r="C333" i="2"/>
  <c r="C745" i="2"/>
  <c r="A546" i="2"/>
  <c r="A990" i="2"/>
  <c r="C174" i="2"/>
  <c r="A469" i="2"/>
  <c r="C457" i="2"/>
  <c r="D131" i="2"/>
  <c r="A451" i="2"/>
  <c r="C183" i="2"/>
  <c r="C296" i="2"/>
  <c r="C903" i="2"/>
  <c r="D829" i="2"/>
  <c r="B315" i="2"/>
  <c r="A534" i="2"/>
  <c r="A991" i="2"/>
  <c r="A696" i="2"/>
  <c r="B521" i="2"/>
  <c r="C116" i="2"/>
  <c r="B563" i="2"/>
  <c r="C738" i="2"/>
  <c r="D433" i="2"/>
  <c r="A363" i="2"/>
  <c r="D818" i="2"/>
  <c r="D197" i="2"/>
  <c r="B338" i="2"/>
  <c r="B321" i="2"/>
  <c r="C129" i="2"/>
  <c r="B672" i="2"/>
  <c r="B807" i="2"/>
  <c r="A581" i="2"/>
  <c r="B831" i="2"/>
  <c r="C861" i="2"/>
  <c r="B479" i="2"/>
  <c r="D779" i="2"/>
  <c r="A216" i="2"/>
  <c r="B241" i="2"/>
  <c r="B553" i="2"/>
  <c r="B735" i="2"/>
  <c r="A762" i="2"/>
  <c r="C197" i="2"/>
  <c r="D170" i="2"/>
  <c r="D289" i="2"/>
  <c r="C879" i="2"/>
  <c r="A229" i="2"/>
  <c r="D329" i="2"/>
  <c r="C334" i="2"/>
  <c r="A545" i="2"/>
  <c r="B767" i="2"/>
  <c r="B283" i="2"/>
  <c r="A481" i="2"/>
  <c r="A530" i="2"/>
  <c r="B538" i="2"/>
  <c r="A432" i="2"/>
  <c r="A851" i="2"/>
  <c r="A685" i="2"/>
  <c r="A260" i="2"/>
  <c r="B517" i="2"/>
  <c r="C975" i="2"/>
  <c r="B472" i="2"/>
  <c r="A377" i="2"/>
  <c r="B620" i="2"/>
  <c r="D793" i="2"/>
  <c r="B920" i="2"/>
  <c r="C841" i="2"/>
  <c r="D927" i="2"/>
  <c r="B613" i="2"/>
  <c r="B867" i="2"/>
  <c r="B742" i="2"/>
  <c r="A240" i="2"/>
  <c r="A812" i="2"/>
  <c r="A918" i="2"/>
  <c r="A745" i="2"/>
  <c r="D192" i="2"/>
  <c r="B308" i="2"/>
  <c r="A792" i="2"/>
  <c r="C288" i="2"/>
  <c r="D406" i="2"/>
  <c r="D189" i="2"/>
  <c r="C729" i="2"/>
  <c r="A179" i="2"/>
  <c r="D528" i="2"/>
  <c r="D423" i="2"/>
  <c r="D895" i="2"/>
  <c r="B919" i="2"/>
  <c r="C613" i="2"/>
  <c r="A413" i="2"/>
  <c r="A679" i="2"/>
  <c r="C505" i="2"/>
  <c r="B220" i="2"/>
  <c r="A827" i="2"/>
  <c r="B400" i="2"/>
  <c r="C390" i="2"/>
  <c r="A445" i="2"/>
  <c r="C374" i="2"/>
  <c r="A595" i="2"/>
  <c r="C629" i="2"/>
  <c r="B406" i="2"/>
  <c r="A731" i="2"/>
  <c r="B998" i="2"/>
  <c r="B869" i="2"/>
  <c r="B715" i="2"/>
  <c r="A841" i="2"/>
  <c r="A241" i="2"/>
  <c r="C152" i="2"/>
  <c r="A921" i="2"/>
  <c r="A718" i="2"/>
  <c r="B898" i="2"/>
  <c r="C659" i="2"/>
  <c r="A379" i="2"/>
  <c r="A963" i="2"/>
  <c r="D955" i="2"/>
  <c r="C873" i="2"/>
  <c r="C847" i="2"/>
  <c r="D706" i="2"/>
  <c r="D904" i="2"/>
  <c r="D719" i="2"/>
  <c r="C959" i="2"/>
  <c r="D507" i="2"/>
  <c r="A345" i="2"/>
  <c r="D355" i="2"/>
  <c r="B968" i="2"/>
  <c r="C218" i="2"/>
  <c r="B570" i="2"/>
  <c r="D945" i="2"/>
  <c r="B785" i="2"/>
  <c r="C815" i="2"/>
  <c r="D309" i="2"/>
  <c r="B829" i="2"/>
  <c r="B687" i="2"/>
  <c r="B339" i="2"/>
  <c r="D567" i="2"/>
  <c r="D270" i="2"/>
  <c r="D511" i="2"/>
  <c r="A919" i="2"/>
  <c r="C860" i="2"/>
  <c r="A536" i="2"/>
  <c r="B326" i="2"/>
  <c r="B401" i="2"/>
  <c r="B212" i="2"/>
  <c r="B857" i="2"/>
  <c r="D440" i="2"/>
  <c r="D758" i="2"/>
  <c r="A907" i="2"/>
  <c r="D966" i="2"/>
  <c r="D996" i="2"/>
  <c r="B330" i="2"/>
  <c r="B569" i="2"/>
  <c r="C204" i="2"/>
  <c r="A680" i="2"/>
  <c r="B417" i="2"/>
  <c r="B320" i="2"/>
  <c r="D469" i="2"/>
  <c r="D366" i="2"/>
  <c r="C635" i="2"/>
  <c r="C748" i="2"/>
  <c r="C122" i="2"/>
  <c r="D917" i="2"/>
  <c r="A835" i="2"/>
  <c r="D181" i="2"/>
  <c r="A858" i="2"/>
  <c r="A998" i="2"/>
  <c r="A462" i="2"/>
  <c r="A160" i="2"/>
  <c r="C231" i="2"/>
  <c r="C855" i="2"/>
  <c r="C904" i="2"/>
  <c r="D279" i="2"/>
  <c r="B549" i="2"/>
  <c r="A760" i="2"/>
  <c r="A537" i="2"/>
  <c r="B834" i="2"/>
  <c r="C352" i="2"/>
  <c r="A396" i="2"/>
  <c r="C603" i="2"/>
  <c r="D815" i="2"/>
  <c r="B683" i="2"/>
  <c r="B105" i="2"/>
  <c r="B149" i="2"/>
  <c r="C797" i="2"/>
  <c r="B814" i="2"/>
  <c r="D931" i="2"/>
  <c r="B218" i="2"/>
  <c r="D318" i="2"/>
  <c r="B942" i="2"/>
  <c r="C330" i="2"/>
  <c r="A585" i="2"/>
  <c r="D257" i="2"/>
  <c r="A232" i="2"/>
  <c r="C285" i="2"/>
  <c r="B864" i="2"/>
  <c r="D237" i="2"/>
  <c r="D961" i="2"/>
  <c r="B759" i="2"/>
  <c r="D637" i="2"/>
  <c r="B782" i="2"/>
  <c r="B731" i="2"/>
  <c r="C495" i="2"/>
  <c r="D551" i="2"/>
  <c r="A543" i="2"/>
  <c r="B128" i="2"/>
  <c r="C953" i="2"/>
  <c r="B967" i="2"/>
  <c r="B172" i="2"/>
  <c r="B271" i="2"/>
  <c r="C471" i="2"/>
  <c r="A619" i="2"/>
  <c r="D651" i="2"/>
  <c r="D448" i="2"/>
  <c r="A866" i="2"/>
  <c r="A127" i="2"/>
  <c r="D692" i="2"/>
  <c r="B279" i="2"/>
  <c r="A416" i="2"/>
  <c r="C967" i="2"/>
  <c r="B224" i="2"/>
  <c r="D909" i="2"/>
  <c r="D335" i="2"/>
  <c r="D748" i="2"/>
  <c r="D948" i="2"/>
  <c r="D619" i="2"/>
  <c r="D574" i="2"/>
  <c r="A789" i="2"/>
  <c r="B443" i="2"/>
  <c r="C774" i="2"/>
  <c r="A436" i="2"/>
  <c r="B729" i="2"/>
  <c r="B195" i="2"/>
  <c r="C885" i="2"/>
  <c r="B506" i="2"/>
  <c r="D848" i="2"/>
  <c r="C226" i="2"/>
  <c r="C517" i="2"/>
  <c r="B850" i="2"/>
  <c r="A205" i="2"/>
  <c r="A611" i="2"/>
  <c r="A472" i="2"/>
  <c r="C275" i="2"/>
  <c r="C658" i="2"/>
  <c r="B454" i="2"/>
  <c r="D667" i="2"/>
  <c r="D536" i="2"/>
  <c r="D196" i="2"/>
  <c r="B408" i="2"/>
  <c r="A382" i="2"/>
  <c r="D534" i="2"/>
  <c r="D897" i="2"/>
  <c r="A210" i="2"/>
  <c r="B413" i="2"/>
  <c r="C338" i="2"/>
  <c r="C872" i="2"/>
  <c r="B840" i="2"/>
  <c r="B763" i="2"/>
  <c r="C429" i="2"/>
  <c r="A163" i="2"/>
  <c r="C868" i="2"/>
  <c r="D459" i="2"/>
  <c r="D210" i="2"/>
  <c r="D307" i="2"/>
  <c r="A577" i="2"/>
  <c r="B561" i="2"/>
  <c r="D951" i="2"/>
  <c r="D646" i="2"/>
  <c r="C484" i="2"/>
  <c r="D378" i="2"/>
  <c r="B707" i="2"/>
  <c r="B938" i="2"/>
  <c r="B547" i="2"/>
  <c r="A490" i="2"/>
  <c r="A801" i="2"/>
  <c r="D451" i="2"/>
  <c r="D833" i="2"/>
  <c r="B611" i="2"/>
  <c r="B860" i="2"/>
  <c r="B380" i="2"/>
  <c r="B285" i="2"/>
  <c r="B746" i="2"/>
  <c r="B477" i="2"/>
  <c r="A137" i="2"/>
  <c r="C467" i="2"/>
  <c r="A239" i="2"/>
  <c r="D105" i="2"/>
  <c r="B636" i="2"/>
  <c r="B983" i="2"/>
  <c r="B956" i="2"/>
  <c r="B825" i="2"/>
  <c r="B289" i="2"/>
  <c r="D971" i="2"/>
  <c r="D245" i="2"/>
  <c r="B668" i="2"/>
  <c r="A942" i="2"/>
  <c r="B642" i="2"/>
  <c r="C978" i="2"/>
  <c r="B813" i="2"/>
  <c r="D533" i="2"/>
  <c r="D179" i="2"/>
  <c r="B949" i="2"/>
  <c r="B827" i="2"/>
  <c r="D504" i="2"/>
  <c r="C372" i="2"/>
  <c r="B695" i="2"/>
  <c r="C442" i="2"/>
  <c r="C251" i="2"/>
  <c r="A473" i="2"/>
  <c r="C298" i="2"/>
  <c r="A499" i="2"/>
  <c r="B992" i="2"/>
  <c r="A378" i="2"/>
  <c r="D466" i="2"/>
  <c r="A299" i="2"/>
  <c r="C628" i="2"/>
  <c r="C403" i="2"/>
  <c r="D120" i="2"/>
  <c r="B953" i="2"/>
  <c r="B650" i="2"/>
  <c r="B375" i="2"/>
  <c r="D740" i="2"/>
  <c r="A971" i="2"/>
  <c r="B370" i="2"/>
  <c r="D163" i="2"/>
  <c r="A939" i="2"/>
  <c r="B937" i="2"/>
  <c r="B822" i="2"/>
  <c r="C935" i="2"/>
  <c r="C986" i="2"/>
  <c r="B170" i="2"/>
  <c r="C507" i="2"/>
  <c r="B675" i="2"/>
  <c r="B264" i="2"/>
  <c r="C257" i="2"/>
  <c r="A333" i="2"/>
  <c r="D874" i="2"/>
  <c r="A386" i="2"/>
  <c r="D939" i="2"/>
  <c r="A424" i="2"/>
  <c r="B750" i="2"/>
  <c r="C586" i="2"/>
  <c r="C689" i="2"/>
  <c r="A694" i="2"/>
  <c r="B895" i="2"/>
  <c r="A783" i="2"/>
  <c r="C639" i="2"/>
  <c r="A623" i="2"/>
  <c r="B728" i="2"/>
  <c r="A467" i="2"/>
  <c r="C153" i="2"/>
  <c r="B457" i="2"/>
  <c r="B269" i="2"/>
  <c r="C563" i="2"/>
  <c r="D411" i="2"/>
  <c r="D412" i="2"/>
  <c r="C580" i="2"/>
  <c r="C543" i="2"/>
  <c r="C453" i="2"/>
  <c r="C892" i="2"/>
  <c r="C560" i="2"/>
  <c r="C718" i="2"/>
  <c r="D880" i="2"/>
  <c r="A274" i="2"/>
  <c r="C606" i="2"/>
  <c r="C304" i="2"/>
  <c r="A486" i="2"/>
  <c r="B656" i="2"/>
  <c r="C987" i="2"/>
  <c r="B208" i="2"/>
  <c r="B688" i="2"/>
  <c r="C862" i="2"/>
  <c r="D118" i="2"/>
  <c r="D598" i="2"/>
  <c r="C804" i="2"/>
  <c r="C273" i="2"/>
  <c r="A750" i="2"/>
  <c r="B698" i="2"/>
  <c r="C337" i="2"/>
  <c r="B366" i="2"/>
  <c r="C618" i="2"/>
  <c r="C479" i="2"/>
  <c r="B618" i="2"/>
  <c r="A987" i="2"/>
  <c r="A644" i="2"/>
  <c r="C716" i="2"/>
  <c r="D581" i="2"/>
  <c r="B295" i="2"/>
  <c r="C742" i="2"/>
  <c r="A780" i="2"/>
  <c r="D998" i="2"/>
  <c r="A412" i="2"/>
  <c r="D888" i="2"/>
  <c r="D929" i="2"/>
  <c r="B916" i="2"/>
  <c r="A553" i="2"/>
  <c r="B223" i="2"/>
  <c r="D681" i="2"/>
  <c r="C858" i="2"/>
  <c r="A567" i="2"/>
  <c r="A592" i="2"/>
  <c r="B511" i="2"/>
  <c r="A736" i="2"/>
  <c r="D156" i="2"/>
  <c r="C392" i="2"/>
  <c r="D347" i="2"/>
  <c r="A187" i="2"/>
  <c r="B450" i="2"/>
  <c r="B440" i="2"/>
  <c r="C853" i="2"/>
  <c r="C165" i="2"/>
  <c r="A427" i="2"/>
  <c r="D111" i="2"/>
  <c r="D842" i="2"/>
  <c r="D145" i="2"/>
  <c r="A233" i="2"/>
  <c r="D746" i="2"/>
  <c r="B368" i="2"/>
  <c r="C373" i="2"/>
  <c r="D200" i="2"/>
  <c r="D542" i="2"/>
  <c r="B516" i="2"/>
  <c r="B488" i="2"/>
  <c r="D499" i="2"/>
  <c r="C526" i="2"/>
  <c r="B862" i="2"/>
  <c r="A912" i="2"/>
  <c r="B614" i="2"/>
  <c r="A984" i="2"/>
  <c r="A428" i="2"/>
  <c r="C896" i="2"/>
  <c r="D202" i="2"/>
  <c r="B910" i="2"/>
  <c r="B944" i="2"/>
  <c r="C140" i="2"/>
  <c r="A123" i="2"/>
  <c r="C835" i="2"/>
  <c r="C459" i="2"/>
  <c r="A213" i="2"/>
  <c r="B629" i="2"/>
  <c r="C591" i="2"/>
  <c r="A535" i="2"/>
  <c r="D280" i="2"/>
  <c r="C460" i="2"/>
  <c r="B651" i="2"/>
  <c r="D816" i="2"/>
  <c r="B653" i="2"/>
  <c r="A442" i="2"/>
  <c r="D962" i="2"/>
  <c r="D215" i="2"/>
  <c r="B913" i="2"/>
  <c r="D243" i="2"/>
  <c r="D348" i="2"/>
  <c r="D924" i="2"/>
  <c r="D714" i="2"/>
  <c r="D172" i="2"/>
  <c r="D122" i="2"/>
  <c r="C923" i="2"/>
  <c r="D655" i="2"/>
  <c r="B627" i="2"/>
  <c r="D852" i="2"/>
  <c r="B178" i="2"/>
  <c r="D792" i="2"/>
  <c r="D788" i="2"/>
  <c r="D834" i="2"/>
  <c r="A366" i="2"/>
  <c r="B452" i="2"/>
  <c r="D426" i="2"/>
  <c r="A374" i="2"/>
  <c r="D663" i="2"/>
  <c r="C813" i="2"/>
  <c r="D369" i="2"/>
  <c r="B573" i="2"/>
  <c r="B209" i="2"/>
  <c r="C171" i="2"/>
  <c r="A667" i="2"/>
  <c r="A743" i="2"/>
  <c r="D578" i="2"/>
  <c r="D989" i="2"/>
  <c r="A302" i="2"/>
  <c r="D126" i="2"/>
  <c r="D403" i="2"/>
  <c r="A630" i="2"/>
  <c r="D919" i="2"/>
  <c r="C886" i="2"/>
  <c r="A649" i="2"/>
  <c r="D327" i="2"/>
  <c r="C134" i="2"/>
  <c r="B235" i="2"/>
  <c r="A410" i="2"/>
  <c r="B963" i="2"/>
  <c r="D769" i="2"/>
  <c r="C570" i="2"/>
  <c r="B187" i="2"/>
  <c r="C907" i="2"/>
  <c r="B793" i="2"/>
  <c r="D259" i="2"/>
  <c r="A650" i="2"/>
  <c r="D330" i="2"/>
  <c r="D394" i="2"/>
  <c r="C602" i="2"/>
  <c r="A621" i="2"/>
  <c r="D428" i="2"/>
  <c r="B893" i="2"/>
  <c r="D389" i="2"/>
  <c r="B434" i="2"/>
  <c r="B240" i="2"/>
  <c r="C546" i="2"/>
  <c r="A981" i="2"/>
  <c r="B243" i="2"/>
  <c r="C426" i="2"/>
  <c r="C651" i="2"/>
  <c r="D558" i="2"/>
  <c r="B282" i="2"/>
  <c r="C503" i="2"/>
  <c r="C990" i="2"/>
  <c r="C728" i="2"/>
  <c r="C300" i="2"/>
  <c r="C527" i="2"/>
  <c r="A864" i="2"/>
  <c r="C711" i="2"/>
  <c r="B383" i="2"/>
  <c r="B468" i="2"/>
  <c r="C706" i="2"/>
  <c r="C790" i="2"/>
  <c r="B606" i="2"/>
  <c r="C108" i="2"/>
  <c r="B766" i="2"/>
  <c r="B458" i="2"/>
  <c r="C611" i="2"/>
  <c r="C500" i="2"/>
  <c r="D715" i="2"/>
  <c r="D741" i="2"/>
  <c r="B903" i="2"/>
  <c r="D616" i="2"/>
  <c r="D786" i="2"/>
  <c r="D685" i="2"/>
  <c r="B202" i="2"/>
  <c r="B565" i="2"/>
  <c r="D899" i="2"/>
  <c r="B456" i="2"/>
  <c r="C931" i="2"/>
  <c r="D827" i="2"/>
  <c r="D234" i="2"/>
  <c r="A282" i="2"/>
  <c r="C865" i="2"/>
  <c r="C354" i="2"/>
  <c r="C435" i="2"/>
  <c r="D301" i="2"/>
  <c r="A492" i="2"/>
  <c r="D198" i="2"/>
  <c r="B818" i="2"/>
  <c r="C691" i="2"/>
  <c r="D453" i="2"/>
  <c r="B776" i="2"/>
  <c r="C487" i="2"/>
  <c r="B652" i="2"/>
  <c r="B201" i="2"/>
  <c r="B712" i="2"/>
  <c r="A962" i="2"/>
  <c r="B261" i="2"/>
  <c r="A761" i="2"/>
  <c r="C976" i="2"/>
  <c r="D123" i="2"/>
  <c r="B812" i="2"/>
  <c r="D891" i="2"/>
  <c r="B689" i="2"/>
  <c r="D353" i="2"/>
  <c r="A568" i="2"/>
  <c r="C977" i="2"/>
  <c r="B108" i="2"/>
  <c r="B743" i="2"/>
  <c r="C179" i="2"/>
  <c r="B205" i="2"/>
  <c r="A130" i="2"/>
  <c r="D764" i="2"/>
  <c r="C783" i="2"/>
  <c r="D799" i="2"/>
  <c r="D571" i="2"/>
  <c r="C409" i="2"/>
  <c r="C397" i="2"/>
  <c r="B280" i="2"/>
  <c r="B132" i="2"/>
  <c r="D227" i="2"/>
  <c r="B487" i="2"/>
  <c r="B657" i="2"/>
  <c r="A141" i="2"/>
  <c r="D238" i="2"/>
  <c r="B535" i="2"/>
  <c r="C121" i="2"/>
  <c r="A129" i="2"/>
  <c r="B941" i="2"/>
  <c r="C823" i="2"/>
  <c r="A516" i="2"/>
  <c r="B706" i="2"/>
  <c r="D697" i="2"/>
  <c r="A444" i="2"/>
  <c r="D207" i="2"/>
  <c r="C945" i="2"/>
  <c r="C219" i="2"/>
  <c r="A557" i="2"/>
  <c r="A189" i="2"/>
  <c r="D963" i="2"/>
  <c r="C336" i="2"/>
  <c r="C674" i="2"/>
  <c r="C601" i="2"/>
  <c r="D650" i="2"/>
  <c r="C551" i="2"/>
  <c r="A367" i="2"/>
  <c r="A454" i="2"/>
  <c r="C167" i="2"/>
  <c r="B217" i="2"/>
  <c r="D203" i="2"/>
  <c r="B433" i="2"/>
  <c r="A634" i="2"/>
  <c r="D954" i="2"/>
  <c r="D798" i="2"/>
  <c r="A118" i="2"/>
  <c r="A594" i="2"/>
  <c r="A477" i="2"/>
  <c r="C846" i="2"/>
  <c r="C524" i="2"/>
  <c r="A749" i="2"/>
  <c r="C650" i="2"/>
  <c r="D239" i="2"/>
  <c r="C504" i="2"/>
  <c r="B391" i="2"/>
  <c r="C720" i="2"/>
  <c r="D155" i="2"/>
  <c r="C812" i="2"/>
  <c r="A222" i="2"/>
  <c r="D292" i="2"/>
  <c r="B297" i="2"/>
  <c r="A433" i="2"/>
  <c r="A203" i="2"/>
  <c r="C702" i="2"/>
  <c r="C502" i="2"/>
  <c r="B215" i="2"/>
  <c r="A234" i="2"/>
  <c r="C999" i="2"/>
  <c r="C590" i="2"/>
  <c r="A309" i="2"/>
  <c r="A361" i="2"/>
  <c r="B646" i="2"/>
  <c r="D310" i="2"/>
  <c r="C991" i="2"/>
  <c r="B952" i="2"/>
  <c r="B166" i="2"/>
  <c r="A902" i="2"/>
  <c r="B845" i="2"/>
  <c r="A688" i="2"/>
  <c r="D287" i="2"/>
  <c r="C710" i="2"/>
  <c r="B117" i="2"/>
  <c r="B316" i="2"/>
  <c r="C159" i="2"/>
  <c r="D949" i="2"/>
  <c r="A617" i="2"/>
  <c r="B514" i="2"/>
  <c r="D864" i="2"/>
  <c r="D405" i="2"/>
  <c r="A217" i="2"/>
  <c r="A879" i="2"/>
  <c r="B186" i="2"/>
  <c r="C198" i="2"/>
  <c r="A272" i="2"/>
  <c r="A865" i="2"/>
  <c r="B858" i="2"/>
  <c r="D889" i="2"/>
  <c r="D671" i="2"/>
  <c r="C583" i="2"/>
  <c r="D252" i="2"/>
  <c r="A476" i="2"/>
  <c r="B227" i="2"/>
  <c r="B376" i="2"/>
  <c r="A355" i="2"/>
  <c r="A434" i="2"/>
  <c r="D143" i="2"/>
  <c r="C558" i="2"/>
  <c r="C239" i="2"/>
  <c r="D317" i="2"/>
  <c r="C840" i="2"/>
  <c r="B532" i="2"/>
  <c r="A400" i="2"/>
  <c r="C537" i="2"/>
  <c r="D856" i="2"/>
  <c r="D561" i="2"/>
  <c r="C936" i="2"/>
  <c r="A321" i="2"/>
  <c r="D141" i="2"/>
  <c r="C322" i="2"/>
  <c r="A280" i="2"/>
  <c r="C717" i="2"/>
  <c r="A468" i="2"/>
  <c r="D331" i="2"/>
  <c r="D978" i="2"/>
  <c r="B792" i="2"/>
  <c r="B716" i="2"/>
  <c r="C884" i="2"/>
  <c r="D892" i="2"/>
  <c r="B924" i="2"/>
  <c r="D244" i="2"/>
  <c r="C516" i="2"/>
  <c r="D890" i="2"/>
  <c r="A145" i="2"/>
  <c r="C576" i="2"/>
  <c r="A967" i="2"/>
  <c r="D137" i="2"/>
  <c r="A870" i="2"/>
  <c r="C782" i="2"/>
  <c r="A197" i="2"/>
  <c r="D271" i="2"/>
  <c r="A404" i="2"/>
  <c r="D231" i="2"/>
  <c r="C117" i="2"/>
  <c r="B507" i="2"/>
  <c r="B808" i="2"/>
  <c r="D388" i="2"/>
  <c r="A509" i="2"/>
  <c r="C621" i="2"/>
  <c r="B578" i="2"/>
  <c r="D932" i="2"/>
  <c r="D886" i="2"/>
  <c r="D429" i="2"/>
  <c r="A566" i="2"/>
  <c r="C829" i="2"/>
  <c r="D970" i="2"/>
  <c r="A112" i="2"/>
  <c r="A560" i="2"/>
  <c r="D540" i="2"/>
  <c r="C575" i="2"/>
  <c r="D665" i="2"/>
  <c r="C168" i="2"/>
  <c r="A937" i="2"/>
  <c r="D357" i="2"/>
  <c r="C963" i="2"/>
  <c r="D312" i="2"/>
  <c r="C135" i="2"/>
  <c r="C544" i="2"/>
  <c r="A684" i="2"/>
  <c r="C428" i="2"/>
  <c r="C784" i="2"/>
  <c r="A390" i="2"/>
  <c r="C712" i="2"/>
  <c r="B908" i="2"/>
  <c r="D797" i="2"/>
  <c r="A790" i="2"/>
  <c r="B710" i="2"/>
  <c r="B346" i="2"/>
  <c r="C678" i="2"/>
  <c r="D422" i="2"/>
  <c r="B390" i="2"/>
  <c r="C952" i="2"/>
  <c r="D152" i="2"/>
  <c r="C335" i="2"/>
  <c r="B934" i="2"/>
  <c r="B676" i="2"/>
  <c r="C248" i="2"/>
  <c r="A257" i="2"/>
  <c r="B418" i="2"/>
  <c r="D812" i="2"/>
  <c r="C652" i="2"/>
  <c r="A656" i="2"/>
  <c r="B665" i="2"/>
  <c r="A331" i="2"/>
  <c r="D1001" i="2"/>
  <c r="A764" i="2"/>
  <c r="B699" i="2"/>
  <c r="D452" i="2"/>
  <c r="D282" i="2"/>
  <c r="B669" i="2"/>
  <c r="C830" i="2"/>
  <c r="A311" i="2"/>
  <c r="C293" i="2"/>
  <c r="B113" i="2"/>
  <c r="C970" i="2"/>
  <c r="A456" i="2"/>
  <c r="B245" i="2"/>
  <c r="D175" i="2"/>
  <c r="C497" i="2"/>
  <c r="D613" i="2"/>
  <c r="B560" i="2"/>
  <c r="C809" i="2"/>
  <c r="C960" i="2"/>
  <c r="C418" i="2"/>
  <c r="C966" i="2"/>
  <c r="A802" i="2"/>
  <c r="B163" i="2"/>
  <c r="B515" i="2"/>
  <c r="D819" i="2"/>
  <c r="C366" i="2"/>
  <c r="D313" i="2"/>
  <c r="A608" i="2"/>
  <c r="A894" i="2"/>
  <c r="A690" i="2"/>
  <c r="B817" i="2"/>
  <c r="C871" i="2"/>
  <c r="A144" i="2"/>
  <c r="C926" i="2"/>
  <c r="D500" i="2"/>
  <c r="A327" i="2"/>
  <c r="C410" i="2"/>
  <c r="D762" i="2"/>
  <c r="A881" i="2"/>
  <c r="B171" i="2"/>
  <c r="A596" i="2"/>
  <c r="D262" i="2"/>
  <c r="C214" i="2"/>
  <c r="C432" i="2"/>
  <c r="A287" i="2"/>
  <c r="C340" i="2"/>
  <c r="A719" i="2"/>
  <c r="D570" i="2"/>
  <c r="C235" i="2"/>
  <c r="D209" i="2"/>
  <c r="B951" i="2"/>
  <c r="A391" i="2"/>
  <c r="A111" i="2"/>
  <c r="A709" i="2"/>
  <c r="C118" i="2"/>
  <c r="A383" i="2"/>
  <c r="C506" i="2"/>
  <c r="D132" i="2"/>
  <c r="C665" i="2"/>
  <c r="D164" i="2"/>
  <c r="D965" i="2"/>
  <c r="A193" i="2"/>
  <c r="A850" i="2"/>
  <c r="D108" i="2"/>
  <c r="B153" i="2"/>
  <c r="D926" i="2"/>
  <c r="B180" i="2"/>
  <c r="C988" i="2"/>
  <c r="C832" i="2"/>
  <c r="A365" i="2"/>
  <c r="C791" i="2"/>
  <c r="D987" i="2"/>
  <c r="D688" i="2"/>
  <c r="B544" i="2"/>
  <c r="D588" i="2"/>
  <c r="B184" i="2"/>
  <c r="B162" i="2"/>
  <c r="A704" i="2"/>
  <c r="D983" i="2"/>
  <c r="C902" i="2"/>
  <c r="B760" i="2"/>
  <c r="A618" i="2"/>
  <c r="C723" i="2"/>
  <c r="D217" i="2"/>
  <c r="B601" i="2"/>
  <c r="A898" i="2"/>
  <c r="C942" i="2"/>
  <c r="A266" i="2"/>
  <c r="C267" i="2"/>
  <c r="A335" i="2"/>
  <c r="B524" i="2"/>
  <c r="A466" i="2"/>
  <c r="D114" i="2"/>
  <c r="B139" i="2"/>
  <c r="B590" i="2"/>
  <c r="D168" i="2"/>
  <c r="B175" i="2"/>
  <c r="C465" i="2"/>
  <c r="A828" i="2"/>
  <c r="B896" i="2"/>
  <c r="C508" i="2"/>
  <c r="C434" i="2"/>
  <c r="C313" i="2"/>
  <c r="D627" i="2"/>
  <c r="C249" i="2"/>
  <c r="B819" i="2"/>
  <c r="C385" i="2"/>
  <c r="B185" i="2"/>
  <c r="D338" i="2"/>
  <c r="B853" i="2"/>
  <c r="D188" i="2"/>
  <c r="A960" i="2"/>
  <c r="A290" i="2"/>
  <c r="D727" i="2"/>
  <c r="D494" i="2"/>
  <c r="A269" i="2"/>
  <c r="A908" i="2"/>
  <c r="A839" i="2"/>
  <c r="C612" i="2"/>
  <c r="B466" i="2"/>
  <c r="A633" i="2"/>
  <c r="C949" i="2"/>
  <c r="B494" i="2"/>
  <c r="D169" i="2"/>
  <c r="A464" i="2"/>
  <c r="A797" i="2"/>
  <c r="C407" i="2"/>
  <c r="C255" i="2"/>
  <c r="C648" i="2"/>
  <c r="D253" i="2"/>
  <c r="C455" i="2"/>
  <c r="A613" i="2"/>
  <c r="A829" i="2"/>
  <c r="A995" i="2"/>
  <c r="B473" i="2"/>
  <c r="B307" i="2"/>
  <c r="B881" i="2"/>
  <c r="A369" i="2"/>
  <c r="B635" i="2"/>
  <c r="C679" i="2"/>
  <c r="C605" i="2"/>
  <c r="B442" i="2"/>
  <c r="A267" i="2"/>
  <c r="C985" i="2"/>
  <c r="D414" i="2"/>
  <c r="B660" i="2"/>
  <c r="D835" i="2"/>
  <c r="B115" i="2"/>
  <c r="A514" i="2"/>
  <c r="C469" i="2"/>
  <c r="C1003" i="2"/>
  <c r="C310" i="2"/>
  <c r="D776" i="2"/>
  <c r="C375" i="2"/>
  <c r="C747" i="2"/>
  <c r="D180" i="2"/>
  <c r="D109" i="2"/>
  <c r="A215" i="2"/>
  <c r="B996" i="2"/>
  <c r="C549" i="2"/>
  <c r="C901" i="2"/>
  <c r="C930" i="2"/>
  <c r="B435" i="2"/>
  <c r="D934" i="2"/>
  <c r="D529" i="2"/>
  <c r="C734" i="2"/>
  <c r="C236" i="2"/>
  <c r="D885" i="2"/>
  <c r="D407" i="2"/>
  <c r="D820" i="2"/>
  <c r="C799" i="2"/>
  <c r="B633" i="2"/>
  <c r="D980" i="2"/>
  <c r="D104" i="2"/>
  <c r="D362" i="2"/>
  <c r="D454" i="2"/>
  <c r="A225" i="2"/>
  <c r="A255" i="2"/>
  <c r="D679" i="2"/>
  <c r="A482" i="2"/>
  <c r="A752" i="2"/>
  <c r="B835" i="2"/>
  <c r="D698" i="2"/>
  <c r="A511" i="2"/>
  <c r="C262" i="2"/>
  <c r="B654" i="2"/>
  <c r="D404" i="2"/>
  <c r="A728" i="2"/>
  <c r="D365" i="2"/>
  <c r="B329" i="2"/>
  <c r="C950" i="2"/>
  <c r="B491" i="2"/>
  <c r="B147" i="2"/>
  <c r="A153" i="2"/>
  <c r="C141" i="2"/>
  <c r="D194" i="2"/>
  <c r="C528" i="2"/>
  <c r="D183" i="2"/>
  <c r="A923" i="2"/>
  <c r="D354" i="2"/>
  <c r="A384" i="2"/>
  <c r="A687" i="2"/>
  <c r="D260" i="2"/>
  <c r="A270" i="2"/>
  <c r="A767" i="2"/>
  <c r="B503" i="2"/>
  <c r="D316" i="2"/>
  <c r="D900" i="2"/>
  <c r="B802" i="2"/>
  <c r="B317" i="2"/>
  <c r="B852" i="2"/>
  <c r="A844" i="2"/>
  <c r="C263" i="2"/>
  <c r="C569" i="2"/>
  <c r="A248" i="2"/>
  <c r="A693" i="2"/>
  <c r="A110" i="2"/>
  <c r="B229" i="2"/>
  <c r="A235" i="2"/>
  <c r="C306" i="2"/>
  <c r="A999" i="2"/>
  <c r="D608" i="2"/>
  <c r="A470" i="2"/>
  <c r="A328" i="2"/>
  <c r="A677" i="2"/>
  <c r="A525" i="2"/>
  <c r="B828" i="2"/>
  <c r="A431" i="2"/>
  <c r="D506" i="2"/>
  <c r="B758" i="2"/>
  <c r="C571" i="2"/>
  <c r="A104" i="2"/>
  <c r="A784" i="2"/>
  <c r="A793" i="2"/>
  <c r="A170" i="2"/>
  <c r="B136" i="2"/>
  <c r="B756" i="2"/>
  <c r="C867" i="2"/>
  <c r="C640" i="2"/>
  <c r="D472" i="2"/>
  <c r="A459" i="2"/>
  <c r="D763" i="2"/>
  <c r="C227" i="2"/>
  <c r="D356" i="2"/>
  <c r="A284" i="2"/>
  <c r="B904" i="2"/>
  <c r="C344" i="2"/>
  <c r="C458" i="2"/>
  <c r="A639" i="2"/>
  <c r="C270" i="2"/>
  <c r="B249" i="2"/>
  <c r="C979" i="2"/>
  <c r="B761" i="2"/>
  <c r="C777" i="2"/>
  <c r="A209" i="2"/>
  <c r="A711" i="2"/>
  <c r="D186" i="2"/>
  <c r="C916" i="2"/>
  <c r="B486" i="2"/>
  <c r="C681" i="2"/>
  <c r="D873" i="2"/>
  <c r="D910" i="2"/>
  <c r="D908" i="2"/>
  <c r="D738" i="2"/>
  <c r="A443" i="2"/>
  <c r="D226" i="2"/>
  <c r="A524" i="2"/>
  <c r="A766" i="2"/>
  <c r="A804" i="2"/>
  <c r="C311" i="2"/>
  <c r="C533" i="2"/>
  <c r="A575" i="2"/>
  <c r="C739" i="2"/>
  <c r="C224" i="2"/>
  <c r="A297" i="2"/>
  <c r="B974" i="2"/>
  <c r="A615" i="2"/>
  <c r="A958" i="2"/>
  <c r="B686" i="2"/>
  <c r="A938" i="2"/>
  <c r="B216" i="2"/>
  <c r="B263" i="2"/>
  <c r="D595" i="2"/>
  <c r="D392" i="2"/>
  <c r="A1002" i="2"/>
  <c r="B183" i="2"/>
  <c r="B703" i="2"/>
  <c r="A504" i="2"/>
  <c r="B207" i="2"/>
  <c r="C592" i="2"/>
  <c r="B429" i="2"/>
  <c r="A320" i="2"/>
  <c r="A934" i="2"/>
  <c r="A583" i="2"/>
  <c r="C187" i="2"/>
  <c r="D308" i="2"/>
  <c r="D664" i="2"/>
  <c r="B692" i="2"/>
  <c r="D1000" i="2"/>
  <c r="B232" i="2"/>
  <c r="A457" i="2"/>
  <c r="A645" i="2"/>
  <c r="B705" i="2"/>
  <c r="C908" i="2"/>
  <c r="A954" i="2"/>
  <c r="A791" i="2"/>
  <c r="D808" i="2"/>
  <c r="C452" i="2"/>
  <c r="A109" i="2"/>
  <c r="A126" i="2"/>
  <c r="B958" i="2"/>
  <c r="B960" i="2"/>
  <c r="D822" i="2"/>
  <c r="B389" i="2"/>
  <c r="B392" i="2"/>
  <c r="B602" i="2"/>
  <c r="C347" i="2"/>
  <c r="C462" i="2"/>
  <c r="C357" i="2"/>
  <c r="B863" i="2"/>
  <c r="A576" i="2"/>
  <c r="B334" i="2"/>
  <c r="C690" i="2"/>
  <c r="B588" i="2"/>
  <c r="D151" i="2"/>
  <c r="D484" i="2"/>
  <c r="B529" i="2"/>
  <c r="D474" i="2"/>
  <c r="D483" i="2"/>
  <c r="B768" i="2"/>
  <c r="B374" i="2"/>
  <c r="D158" i="2"/>
  <c r="A221" i="2"/>
  <c r="C156" i="2"/>
  <c r="B371" i="2"/>
  <c r="B53" i="2"/>
  <c r="C55" i="2"/>
  <c r="A66" i="2"/>
  <c r="C44" i="2"/>
  <c r="D18" i="2"/>
  <c r="D80" i="2"/>
  <c r="C93" i="2"/>
  <c r="C64" i="2"/>
  <c r="C9" i="2"/>
  <c r="B67" i="2"/>
  <c r="B70" i="2"/>
  <c r="C16" i="2"/>
  <c r="C84" i="2"/>
  <c r="A65" i="2"/>
  <c r="A82" i="2"/>
  <c r="A16" i="2"/>
  <c r="B54" i="2"/>
  <c r="D94" i="2"/>
  <c r="A92" i="2"/>
  <c r="A3" i="2"/>
  <c r="C26" i="2"/>
  <c r="D101" i="2"/>
  <c r="A23" i="2"/>
  <c r="B84" i="2"/>
  <c r="B102" i="2"/>
  <c r="C21" i="2"/>
  <c r="D59" i="2"/>
  <c r="C102" i="2"/>
  <c r="A68" i="2"/>
  <c r="D68" i="2"/>
  <c r="A99" i="2"/>
  <c r="B46" i="2"/>
  <c r="B83" i="2"/>
  <c r="A93" i="2"/>
  <c r="A100" i="2"/>
  <c r="A7" i="2"/>
  <c r="C29" i="2"/>
  <c r="B40" i="2"/>
  <c r="D65" i="2"/>
  <c r="B60" i="2"/>
  <c r="C68" i="2"/>
  <c r="B30" i="2"/>
  <c r="D22" i="2"/>
  <c r="B10" i="2"/>
  <c r="A96" i="2"/>
  <c r="A62" i="2"/>
  <c r="C73" i="2"/>
  <c r="C23" i="2"/>
  <c r="D71" i="2"/>
  <c r="A57" i="2"/>
  <c r="A19" i="2"/>
  <c r="C58" i="2"/>
  <c r="D69" i="2"/>
  <c r="C5" i="2"/>
  <c r="B13" i="2"/>
  <c r="C50" i="2"/>
  <c r="D32" i="2"/>
  <c r="D36" i="2"/>
  <c r="D31" i="2"/>
  <c r="A69" i="2"/>
  <c r="D70" i="2"/>
  <c r="A60" i="2"/>
  <c r="A22" i="2"/>
  <c r="C78" i="2"/>
  <c r="C6" i="2"/>
  <c r="D30" i="2"/>
  <c r="B5" i="2"/>
  <c r="D58" i="2"/>
  <c r="B47" i="2"/>
  <c r="B42" i="2"/>
  <c r="C59" i="2"/>
  <c r="D49" i="2"/>
  <c r="B23" i="2"/>
  <c r="B88" i="2"/>
  <c r="C91" i="2"/>
  <c r="B52" i="2"/>
  <c r="C40" i="2"/>
  <c r="D54" i="2"/>
  <c r="D29" i="2"/>
  <c r="C77" i="2"/>
  <c r="D90" i="2"/>
  <c r="D13" i="2"/>
  <c r="C92" i="2"/>
  <c r="B36" i="2"/>
  <c r="D74" i="2"/>
  <c r="D73" i="2"/>
  <c r="B29" i="2"/>
  <c r="C32" i="2"/>
  <c r="C66" i="2"/>
  <c r="D76" i="2"/>
  <c r="B91" i="2"/>
  <c r="B26" i="2"/>
  <c r="C76" i="2"/>
  <c r="B95" i="2"/>
  <c r="C7" i="2"/>
  <c r="A36" i="2"/>
  <c r="C38" i="2"/>
  <c r="C12" i="2"/>
  <c r="D83" i="2"/>
  <c r="B68" i="2"/>
  <c r="A48" i="2"/>
  <c r="C103" i="2"/>
  <c r="B57" i="2"/>
  <c r="D53" i="2"/>
  <c r="C37" i="2"/>
  <c r="B48" i="2"/>
  <c r="B19" i="2"/>
  <c r="A75" i="2"/>
  <c r="B17" i="2"/>
  <c r="A44" i="2"/>
  <c r="D98" i="2"/>
  <c r="C89" i="2"/>
  <c r="B99" i="2"/>
  <c r="C60" i="2"/>
  <c r="C42" i="2"/>
  <c r="C97" i="2"/>
  <c r="C54" i="2"/>
  <c r="D37" i="2"/>
  <c r="C71" i="2"/>
  <c r="A37" i="2"/>
  <c r="D97" i="2"/>
  <c r="A31" i="2"/>
  <c r="A53" i="2"/>
  <c r="B15" i="2"/>
  <c r="B3" i="2"/>
  <c r="A17" i="2"/>
  <c r="A79" i="2"/>
  <c r="D84" i="2"/>
  <c r="C30" i="2"/>
  <c r="C39" i="2"/>
  <c r="C86" i="2"/>
  <c r="B64" i="2"/>
  <c r="C98" i="2"/>
  <c r="A51" i="2"/>
  <c r="A101" i="2"/>
  <c r="C48" i="2"/>
  <c r="B80" i="2"/>
  <c r="B7" i="2"/>
  <c r="D26" i="2"/>
  <c r="B32" i="2"/>
  <c r="B51" i="2"/>
  <c r="A50" i="2"/>
  <c r="B86" i="2"/>
  <c r="D33" i="2"/>
  <c r="D15" i="2"/>
  <c r="D10" i="2"/>
  <c r="A61" i="2"/>
  <c r="D40" i="2"/>
  <c r="A49" i="2"/>
  <c r="C41" i="2"/>
  <c r="B78" i="2"/>
  <c r="B97" i="2"/>
  <c r="B90" i="2"/>
  <c r="C11" i="2"/>
  <c r="B4" i="2"/>
  <c r="B45" i="2"/>
  <c r="C61" i="2"/>
  <c r="B56" i="2"/>
  <c r="D52" i="2"/>
  <c r="B18" i="2"/>
  <c r="C15" i="2"/>
  <c r="C96" i="2"/>
  <c r="B12" i="2"/>
  <c r="A56" i="2"/>
  <c r="C67" i="2"/>
  <c r="D57" i="2"/>
  <c r="A102" i="2"/>
  <c r="A1" i="2"/>
  <c r="D23" i="2"/>
  <c r="F1" i="2"/>
  <c r="B73" i="2"/>
  <c r="C34" i="2"/>
  <c r="A97" i="2"/>
  <c r="A91" i="2"/>
  <c r="C17" i="2"/>
  <c r="C57" i="2"/>
  <c r="D63" i="2"/>
  <c r="B49" i="2"/>
  <c r="B93" i="2"/>
  <c r="A86" i="2"/>
  <c r="A52" i="2"/>
  <c r="A59" i="2"/>
  <c r="C25" i="2"/>
  <c r="D47" i="2"/>
  <c r="C31" i="2"/>
  <c r="A32" i="2"/>
  <c r="D46" i="2"/>
  <c r="D3" i="2"/>
  <c r="B85" i="2"/>
  <c r="A5" i="2"/>
  <c r="A18" i="2"/>
  <c r="A35" i="2"/>
  <c r="B25" i="2"/>
  <c r="C75" i="2"/>
  <c r="B21" i="2"/>
  <c r="B16" i="2"/>
  <c r="B92" i="2"/>
  <c r="B33" i="2"/>
  <c r="B24" i="2"/>
  <c r="C69" i="2"/>
  <c r="B81" i="2"/>
  <c r="C52" i="2"/>
  <c r="A103" i="2"/>
  <c r="B62" i="2"/>
  <c r="A98" i="2"/>
  <c r="D6" i="2"/>
  <c r="A63" i="2"/>
  <c r="D100" i="2"/>
  <c r="A64" i="2"/>
  <c r="B65" i="2"/>
  <c r="A74" i="2"/>
  <c r="C13" i="2"/>
  <c r="A30" i="2"/>
  <c r="C3" i="2"/>
  <c r="D34" i="2"/>
  <c r="D44" i="2"/>
  <c r="D88" i="2"/>
  <c r="C36" i="2"/>
  <c r="A70" i="2"/>
  <c r="C65" i="2"/>
  <c r="A25" i="2"/>
  <c r="C100" i="2"/>
  <c r="A89" i="2"/>
  <c r="A46" i="2"/>
  <c r="B103" i="2"/>
  <c r="B9" i="2"/>
  <c r="B98" i="2"/>
  <c r="B96" i="2"/>
  <c r="B27" i="2"/>
  <c r="B59" i="2"/>
  <c r="B101" i="2"/>
  <c r="B34" i="2"/>
  <c r="A6" i="2"/>
  <c r="B50" i="2"/>
  <c r="C43" i="2"/>
  <c r="A29" i="2"/>
  <c r="B35" i="2"/>
  <c r="B28" i="2"/>
  <c r="D56" i="2"/>
  <c r="B8" i="2"/>
  <c r="B37" i="2"/>
  <c r="A71" i="2"/>
  <c r="D48" i="2"/>
  <c r="D42" i="2"/>
  <c r="C51" i="2"/>
  <c r="D77" i="2"/>
  <c r="C24" i="2"/>
  <c r="D8" i="2"/>
  <c r="D41" i="2"/>
  <c r="S1" i="2"/>
  <c r="A33" i="2"/>
  <c r="C53" i="2"/>
  <c r="A73" i="2"/>
  <c r="C72" i="2"/>
  <c r="C33" i="2"/>
  <c r="A14" i="2"/>
  <c r="D78" i="2"/>
  <c r="A40" i="2"/>
  <c r="C88" i="2"/>
  <c r="B79" i="2"/>
  <c r="D96" i="2"/>
  <c r="D62" i="2"/>
  <c r="B76" i="2"/>
  <c r="A38" i="2"/>
  <c r="A77" i="2"/>
  <c r="B100" i="2"/>
  <c r="A76" i="2"/>
  <c r="A55" i="2"/>
  <c r="D28" i="2"/>
  <c r="D14" i="2"/>
  <c r="D89" i="2"/>
  <c r="D9" i="2"/>
  <c r="B38" i="2"/>
  <c r="D79" i="2"/>
  <c r="B82" i="2"/>
  <c r="A81" i="2"/>
  <c r="D61" i="2"/>
  <c r="A87" i="2"/>
  <c r="A24" i="2"/>
  <c r="A10" i="2"/>
  <c r="C35" i="2"/>
  <c r="D67" i="2"/>
  <c r="A27" i="2"/>
  <c r="A9" i="2"/>
  <c r="B44" i="2"/>
  <c r="D72" i="2"/>
  <c r="C27" i="2"/>
  <c r="A8" i="2"/>
  <c r="A58" i="2"/>
  <c r="A12" i="2"/>
  <c r="D85" i="2"/>
  <c r="C8" i="2"/>
  <c r="A85" i="2"/>
  <c r="D39" i="2"/>
  <c r="C90" i="2"/>
  <c r="D81" i="2"/>
  <c r="D60" i="2"/>
  <c r="B61" i="2"/>
  <c r="B43" i="2"/>
  <c r="D4" i="2"/>
  <c r="B22" i="2"/>
  <c r="A11" i="2"/>
  <c r="C49" i="2"/>
  <c r="D55" i="2"/>
  <c r="C70" i="2"/>
  <c r="D66" i="2"/>
  <c r="C56" i="2"/>
  <c r="A21" i="2"/>
  <c r="D27" i="2"/>
  <c r="D102" i="2"/>
  <c r="C74" i="2"/>
  <c r="C82" i="2"/>
  <c r="A88" i="2"/>
  <c r="C99" i="2"/>
  <c r="C46" i="2"/>
  <c r="A94" i="2"/>
  <c r="A95" i="2"/>
  <c r="D35" i="2"/>
  <c r="D91" i="2"/>
  <c r="A45" i="2"/>
  <c r="B11" i="2"/>
  <c r="A43" i="2"/>
  <c r="B75" i="2"/>
  <c r="B14" i="2"/>
  <c r="D64" i="2"/>
  <c r="D21" i="2"/>
  <c r="A67" i="2"/>
  <c r="C45" i="2"/>
  <c r="B66" i="2"/>
  <c r="C10" i="2"/>
  <c r="C80" i="2"/>
  <c r="D93" i="2"/>
  <c r="B58" i="2"/>
  <c r="B89" i="2"/>
  <c r="D38" i="2"/>
  <c r="B94" i="2"/>
  <c r="D7" i="2"/>
  <c r="A13" i="2"/>
  <c r="D19" i="2"/>
  <c r="C95" i="2"/>
  <c r="C22" i="2"/>
  <c r="D11" i="2"/>
  <c r="A28" i="2"/>
  <c r="C18" i="2"/>
  <c r="D43" i="2"/>
  <c r="D95" i="2"/>
  <c r="A84" i="2"/>
  <c r="C62" i="2"/>
  <c r="A26" i="2"/>
  <c r="A34" i="2"/>
  <c r="B55" i="2"/>
  <c r="C87" i="2"/>
  <c r="D103" i="2"/>
  <c r="C81" i="2"/>
  <c r="D25" i="2"/>
  <c r="C63" i="2"/>
  <c r="B87" i="2"/>
  <c r="C94" i="2"/>
  <c r="C79" i="2"/>
  <c r="C28" i="2"/>
  <c r="A80" i="2"/>
  <c r="N1" i="2"/>
  <c r="D87" i="2"/>
  <c r="C19" i="2"/>
  <c r="D12" i="2"/>
  <c r="D5" i="2"/>
  <c r="B74" i="2"/>
  <c r="C101" i="2"/>
  <c r="D51" i="2"/>
  <c r="D45" i="2"/>
  <c r="A78" i="2"/>
  <c r="A83" i="2"/>
  <c r="D75" i="2"/>
  <c r="A90" i="2"/>
  <c r="A39" i="2"/>
  <c r="D92" i="2"/>
  <c r="C14" i="2"/>
  <c r="A15" i="2"/>
  <c r="D86" i="2"/>
  <c r="B6" i="2"/>
  <c r="D17" i="2"/>
  <c r="B69" i="2"/>
  <c r="B41" i="2"/>
  <c r="B71" i="2"/>
  <c r="B39" i="2"/>
  <c r="A72" i="2"/>
  <c r="A47" i="2"/>
  <c r="B77" i="2"/>
  <c r="A54" i="2"/>
  <c r="C85" i="2"/>
  <c r="B31" i="2"/>
  <c r="A41" i="2"/>
  <c r="B63" i="2"/>
  <c r="D16" i="2"/>
  <c r="C47" i="2"/>
  <c r="D50" i="2"/>
  <c r="C83" i="2"/>
  <c r="D99" i="2"/>
  <c r="C4" i="2"/>
  <c r="D24" i="2"/>
  <c r="D82" i="2"/>
  <c r="B72" i="2"/>
  <c r="A42" i="2"/>
  <c r="F67" i="2" l="1"/>
  <c r="F42" i="2"/>
  <c r="I21" i="2"/>
  <c r="I45" i="2"/>
  <c r="G72" i="2"/>
  <c r="I64" i="2"/>
  <c r="F27" i="2"/>
  <c r="I51" i="2"/>
  <c r="I67" i="2"/>
  <c r="H35" i="2"/>
  <c r="G14" i="2"/>
  <c r="F10" i="2"/>
  <c r="G75" i="2"/>
  <c r="I82" i="2"/>
  <c r="F43" i="2"/>
  <c r="F24" i="2"/>
  <c r="F87" i="2"/>
  <c r="I61" i="2"/>
  <c r="I24" i="2"/>
  <c r="G11" i="2"/>
  <c r="H4" i="2"/>
  <c r="F81" i="2"/>
  <c r="G82" i="2"/>
  <c r="H101" i="2"/>
  <c r="I99" i="2"/>
  <c r="F45" i="2"/>
  <c r="I79" i="2"/>
  <c r="G74" i="2"/>
  <c r="H83" i="2"/>
  <c r="G38" i="2"/>
  <c r="I9" i="2"/>
  <c r="I89" i="2"/>
  <c r="I91" i="2"/>
  <c r="I35" i="2"/>
  <c r="I5" i="2"/>
  <c r="I14" i="2"/>
  <c r="I50" i="2"/>
  <c r="I12" i="2"/>
  <c r="H19" i="2"/>
  <c r="I28" i="2"/>
  <c r="H47" i="2"/>
  <c r="I87" i="2"/>
  <c r="F55" i="2"/>
  <c r="I16" i="2"/>
  <c r="F76" i="2"/>
  <c r="F95" i="2"/>
  <c r="F94" i="2"/>
  <c r="H46" i="2"/>
  <c r="H99" i="2"/>
  <c r="F88" i="2"/>
  <c r="G100" i="2"/>
  <c r="G63" i="2"/>
  <c r="F80" i="2"/>
  <c r="H82" i="2"/>
  <c r="F41" i="2"/>
  <c r="F77" i="2"/>
  <c r="H28" i="2"/>
  <c r="H74" i="2"/>
  <c r="I102" i="2"/>
  <c r="F38" i="2"/>
  <c r="H79" i="2"/>
  <c r="G76" i="2"/>
  <c r="I27" i="2"/>
  <c r="H94" i="2"/>
  <c r="I62" i="2"/>
  <c r="G31" i="2"/>
  <c r="G87" i="2"/>
  <c r="H85" i="2"/>
  <c r="I96" i="2"/>
  <c r="H63" i="2"/>
  <c r="G79" i="2"/>
  <c r="F54" i="2"/>
  <c r="I25" i="2"/>
  <c r="F21" i="2"/>
  <c r="H81" i="2"/>
  <c r="H56" i="2"/>
  <c r="I103" i="2"/>
  <c r="H87" i="2"/>
  <c r="G55" i="2"/>
  <c r="I66" i="2"/>
  <c r="H88" i="2"/>
  <c r="G77" i="2"/>
  <c r="H70" i="2"/>
  <c r="F40" i="2"/>
  <c r="I55" i="2"/>
  <c r="F47" i="2"/>
  <c r="I78" i="2"/>
  <c r="F34" i="2"/>
  <c r="F72" i="2"/>
  <c r="F26" i="2"/>
  <c r="G39" i="2"/>
  <c r="F14" i="2"/>
  <c r="G71" i="2"/>
  <c r="H33" i="2"/>
  <c r="G41" i="2"/>
  <c r="G69" i="2"/>
  <c r="H72" i="2"/>
  <c r="H49" i="2"/>
  <c r="F11" i="2"/>
  <c r="F73" i="2"/>
  <c r="G22" i="2"/>
  <c r="H53" i="2"/>
  <c r="I4" i="2"/>
  <c r="H62" i="2"/>
  <c r="F33" i="2"/>
  <c r="F84" i="2"/>
  <c r="I17" i="2"/>
  <c r="I95" i="2"/>
  <c r="G43" i="2"/>
  <c r="I43" i="2"/>
  <c r="I41" i="2"/>
  <c r="G61" i="2"/>
  <c r="H18" i="2"/>
  <c r="I60" i="2"/>
  <c r="I81" i="2"/>
  <c r="H90" i="2"/>
  <c r="I39" i="2"/>
  <c r="G6" i="2"/>
  <c r="I8" i="2"/>
  <c r="H24" i="2"/>
  <c r="F28" i="2"/>
  <c r="I11" i="2"/>
  <c r="H22" i="2"/>
  <c r="I86" i="2"/>
  <c r="F85" i="2"/>
  <c r="H95" i="2"/>
  <c r="I77" i="2"/>
  <c r="I19" i="2"/>
  <c r="H8" i="2"/>
  <c r="H51" i="2"/>
  <c r="I42" i="2"/>
  <c r="I48" i="2"/>
  <c r="F71" i="2"/>
  <c r="I85" i="2"/>
  <c r="F13" i="2"/>
  <c r="I7" i="2"/>
  <c r="G94" i="2"/>
  <c r="F12" i="2"/>
  <c r="I38" i="2"/>
  <c r="F58" i="2"/>
  <c r="G37" i="2"/>
  <c r="G89" i="2"/>
  <c r="F15" i="2"/>
  <c r="H14" i="2"/>
  <c r="G58" i="2"/>
  <c r="I93" i="2"/>
  <c r="G8" i="2"/>
  <c r="I56" i="2"/>
  <c r="G28" i="2"/>
  <c r="F8" i="2"/>
  <c r="G35" i="2"/>
  <c r="I92" i="2"/>
  <c r="H80" i="2"/>
  <c r="H10" i="2"/>
  <c r="F29" i="2"/>
  <c r="F39" i="2"/>
  <c r="G66" i="2"/>
  <c r="H43" i="2"/>
  <c r="H27" i="2"/>
  <c r="F90" i="2"/>
  <c r="H45" i="2"/>
  <c r="I72" i="2"/>
  <c r="I75" i="2"/>
  <c r="F83" i="2"/>
  <c r="F78" i="2"/>
  <c r="G44" i="2"/>
  <c r="F9" i="2"/>
  <c r="G99" i="2"/>
  <c r="H17" i="2"/>
  <c r="H89" i="2"/>
  <c r="F91" i="2"/>
  <c r="F97" i="2"/>
  <c r="H5" i="2"/>
  <c r="I69" i="2"/>
  <c r="G50" i="2"/>
  <c r="H58" i="2"/>
  <c r="F19" i="2"/>
  <c r="H34" i="2"/>
  <c r="I98" i="2"/>
  <c r="F57" i="2"/>
  <c r="F6" i="2"/>
  <c r="G73" i="2"/>
  <c r="F44" i="2"/>
  <c r="I23" i="2"/>
  <c r="G17" i="2"/>
  <c r="I71" i="2"/>
  <c r="F75" i="2"/>
  <c r="G34" i="2"/>
  <c r="G19" i="2"/>
  <c r="F102" i="2"/>
  <c r="G48" i="2"/>
  <c r="G101" i="2"/>
  <c r="H23" i="2"/>
  <c r="H73" i="2"/>
  <c r="I57" i="2"/>
  <c r="H37" i="2"/>
  <c r="F62" i="2"/>
  <c r="F96" i="2"/>
  <c r="I53" i="2"/>
  <c r="G57" i="2"/>
  <c r="G10" i="2"/>
  <c r="I22" i="2"/>
  <c r="H103" i="2"/>
  <c r="F48" i="2"/>
  <c r="H67" i="2"/>
  <c r="G30" i="2"/>
  <c r="H68" i="2"/>
  <c r="G59" i="2"/>
  <c r="F56" i="2"/>
  <c r="G60" i="2"/>
  <c r="G68" i="2"/>
  <c r="I83" i="2"/>
  <c r="G12" i="2"/>
  <c r="H12" i="2"/>
  <c r="H38" i="2"/>
  <c r="G27" i="2"/>
  <c r="G96" i="2"/>
  <c r="G98" i="2"/>
  <c r="I65" i="2"/>
  <c r="G40" i="2"/>
  <c r="H96" i="2"/>
  <c r="G9" i="2"/>
  <c r="H29" i="2"/>
  <c r="F36" i="2"/>
  <c r="H7" i="2"/>
  <c r="G103" i="2"/>
  <c r="F46" i="2"/>
  <c r="F7" i="2"/>
  <c r="H15" i="2"/>
  <c r="F100" i="2"/>
  <c r="F93" i="2"/>
  <c r="F89" i="2"/>
  <c r="G83" i="2"/>
  <c r="H100" i="2"/>
  <c r="G46" i="2"/>
  <c r="F99" i="2"/>
  <c r="G95" i="2"/>
  <c r="F25" i="2"/>
  <c r="H76" i="2"/>
  <c r="G18" i="2"/>
  <c r="I52" i="2"/>
  <c r="H65" i="2"/>
  <c r="I68" i="2"/>
  <c r="F68" i="2"/>
  <c r="G56" i="2"/>
  <c r="G26" i="2"/>
  <c r="H61" i="2"/>
  <c r="G45" i="2"/>
  <c r="G4" i="2"/>
  <c r="K4" i="2" s="1"/>
  <c r="H102" i="2"/>
  <c r="G91" i="2"/>
  <c r="H11" i="2"/>
  <c r="F70" i="2"/>
  <c r="I59" i="2"/>
  <c r="I76" i="2"/>
  <c r="H66" i="2"/>
  <c r="H36" i="2"/>
  <c r="H32" i="2"/>
  <c r="G29" i="2"/>
  <c r="G90" i="2"/>
  <c r="G97" i="2"/>
  <c r="G78" i="2"/>
  <c r="H41" i="2"/>
  <c r="F49" i="2"/>
  <c r="I88" i="2"/>
  <c r="I44" i="2"/>
  <c r="I73" i="2"/>
  <c r="H21" i="2"/>
  <c r="I34" i="2"/>
  <c r="I74" i="2"/>
  <c r="G36" i="2"/>
  <c r="H92" i="2"/>
  <c r="I13" i="2"/>
  <c r="G102" i="2"/>
  <c r="I90" i="2"/>
  <c r="G84" i="2"/>
  <c r="H3" i="2"/>
  <c r="F23" i="2"/>
  <c r="I40" i="2"/>
  <c r="F61" i="2"/>
  <c r="F30" i="2"/>
  <c r="H13" i="2"/>
  <c r="H77" i="2"/>
  <c r="F74" i="2"/>
  <c r="G65" i="2"/>
  <c r="I29" i="2"/>
  <c r="I101" i="2"/>
  <c r="H26" i="2"/>
  <c r="F3" i="2"/>
  <c r="F92" i="2"/>
  <c r="I10" i="2"/>
  <c r="I54" i="2"/>
  <c r="F64" i="2"/>
  <c r="I100" i="2"/>
  <c r="I15" i="2"/>
  <c r="F63" i="2"/>
  <c r="H40" i="2"/>
  <c r="G52" i="2"/>
  <c r="I6" i="2"/>
  <c r="H91" i="2"/>
  <c r="G88" i="2"/>
  <c r="G23" i="2"/>
  <c r="I94" i="2"/>
  <c r="F98" i="2"/>
  <c r="G62" i="2"/>
  <c r="I49" i="2"/>
  <c r="I33" i="2"/>
  <c r="F103" i="2"/>
  <c r="G86" i="2"/>
  <c r="H52" i="2"/>
  <c r="G54" i="2"/>
  <c r="F50" i="2"/>
  <c r="G51" i="2"/>
  <c r="F16" i="2"/>
  <c r="G32" i="2"/>
  <c r="G81" i="2"/>
  <c r="H59" i="2"/>
  <c r="I26" i="2"/>
  <c r="G42" i="2"/>
  <c r="H69" i="2"/>
  <c r="G7" i="2"/>
  <c r="G47" i="2"/>
  <c r="F82" i="2"/>
  <c r="G80" i="2"/>
  <c r="G24" i="2"/>
  <c r="G33" i="2"/>
  <c r="F65" i="2"/>
  <c r="G92" i="2"/>
  <c r="H48" i="2"/>
  <c r="I58" i="2"/>
  <c r="H84" i="2"/>
  <c r="G16" i="2"/>
  <c r="G21" i="2"/>
  <c r="F101" i="2"/>
  <c r="F51" i="2"/>
  <c r="H16" i="2"/>
  <c r="G5" i="2"/>
  <c r="H75" i="2"/>
  <c r="H98" i="2"/>
  <c r="G25" i="2"/>
  <c r="I30" i="2"/>
  <c r="G64" i="2"/>
  <c r="G70" i="2"/>
  <c r="H86" i="2"/>
  <c r="F35" i="2"/>
  <c r="H39" i="2"/>
  <c r="G67" i="2"/>
  <c r="H6" i="2"/>
  <c r="F18" i="2"/>
  <c r="H30" i="2"/>
  <c r="H78" i="2"/>
  <c r="F5" i="2"/>
  <c r="F22" i="2"/>
  <c r="H9" i="2"/>
  <c r="G85" i="2"/>
  <c r="I3" i="2"/>
  <c r="F60" i="2"/>
  <c r="I70" i="2"/>
  <c r="H64" i="2"/>
  <c r="I84" i="2"/>
  <c r="H93" i="2"/>
  <c r="F79" i="2"/>
  <c r="F17" i="2"/>
  <c r="I80" i="2"/>
  <c r="I46" i="2"/>
  <c r="F69" i="2"/>
  <c r="F32" i="2"/>
  <c r="H31" i="2"/>
  <c r="I31" i="2"/>
  <c r="I18" i="2"/>
  <c r="I47" i="2"/>
  <c r="H25" i="2"/>
  <c r="H44" i="2"/>
  <c r="I36" i="2"/>
  <c r="F59" i="2"/>
  <c r="F52" i="2"/>
  <c r="G3" i="2"/>
  <c r="F86" i="2"/>
  <c r="G15" i="2"/>
  <c r="I32" i="2"/>
  <c r="F53" i="2"/>
  <c r="F31" i="2"/>
  <c r="I97" i="2"/>
  <c r="F66" i="2"/>
  <c r="F37" i="2"/>
  <c r="H50" i="2"/>
  <c r="G93" i="2"/>
  <c r="H71" i="2"/>
  <c r="G49" i="2"/>
  <c r="I63" i="2"/>
  <c r="I37" i="2"/>
  <c r="H57" i="2"/>
  <c r="H55" i="2"/>
  <c r="G13" i="2"/>
  <c r="H54" i="2"/>
  <c r="H97" i="2"/>
  <c r="H42" i="2"/>
  <c r="G53" i="2"/>
  <c r="H60" i="2"/>
  <c r="L3" i="2" l="1"/>
  <c r="N3" i="2"/>
  <c r="S3" i="2" s="1"/>
  <c r="L18" i="2"/>
  <c r="K79" i="2"/>
  <c r="K35" i="2"/>
  <c r="K66" i="2"/>
  <c r="L90" i="2"/>
  <c r="L73" i="2"/>
  <c r="K52" i="2"/>
  <c r="K37" i="2"/>
  <c r="K65" i="2"/>
  <c r="K32" i="2"/>
  <c r="K89" i="2"/>
  <c r="K22" i="2"/>
  <c r="L81" i="2"/>
  <c r="L94" i="2"/>
  <c r="L15" i="2"/>
  <c r="L85" i="2"/>
  <c r="K30" i="2"/>
  <c r="K50" i="2"/>
  <c r="L101" i="2"/>
  <c r="K72" i="2"/>
  <c r="L63" i="2"/>
  <c r="K31" i="2"/>
  <c r="K69" i="2"/>
  <c r="K17" i="2"/>
  <c r="L83" i="2"/>
  <c r="K75" i="2"/>
  <c r="K82" i="2"/>
  <c r="K100" i="2"/>
  <c r="L46" i="2"/>
  <c r="L47" i="2"/>
  <c r="K63" i="2"/>
  <c r="K61" i="2"/>
  <c r="L37" i="2"/>
  <c r="K59" i="2"/>
  <c r="L80" i="2"/>
  <c r="K60" i="2"/>
  <c r="L33" i="2"/>
  <c r="L74" i="2"/>
  <c r="K39" i="2"/>
  <c r="L56" i="2"/>
  <c r="L70" i="2"/>
  <c r="L34" i="2"/>
  <c r="L88" i="2"/>
  <c r="K101" i="2"/>
  <c r="K6" i="2"/>
  <c r="L72" i="2"/>
  <c r="L13" i="2"/>
  <c r="L68" i="2"/>
  <c r="L22" i="2"/>
  <c r="L4" i="2"/>
  <c r="L84" i="2"/>
  <c r="K18" i="2"/>
  <c r="L49" i="2"/>
  <c r="L6" i="2"/>
  <c r="K92" i="2"/>
  <c r="L29" i="2"/>
  <c r="K74" i="2"/>
  <c r="K70" i="2"/>
  <c r="L65" i="2"/>
  <c r="K56" i="2"/>
  <c r="L53" i="2"/>
  <c r="K44" i="2"/>
  <c r="K8" i="2"/>
  <c r="K71" i="2"/>
  <c r="L41" i="2"/>
  <c r="K14" i="2"/>
  <c r="K38" i="2"/>
  <c r="L87" i="2"/>
  <c r="L79" i="2"/>
  <c r="K87" i="2"/>
  <c r="L82" i="2"/>
  <c r="L51" i="2"/>
  <c r="L31" i="2"/>
  <c r="L26" i="2"/>
  <c r="L40" i="2"/>
  <c r="L98" i="2"/>
  <c r="K91" i="2"/>
  <c r="K41" i="2"/>
  <c r="K55" i="2"/>
  <c r="K53" i="2"/>
  <c r="K5" i="2"/>
  <c r="K98" i="2"/>
  <c r="L100" i="2"/>
  <c r="K7" i="2"/>
  <c r="K11" i="2"/>
  <c r="K34" i="2"/>
  <c r="L97" i="2"/>
  <c r="L30" i="2"/>
  <c r="K23" i="2"/>
  <c r="L32" i="2"/>
  <c r="K86" i="2"/>
  <c r="L36" i="2"/>
  <c r="L58" i="2"/>
  <c r="K103" i="2"/>
  <c r="K64" i="2"/>
  <c r="L10" i="2"/>
  <c r="L44" i="2"/>
  <c r="L76" i="2"/>
  <c r="L59" i="2"/>
  <c r="K68" i="2"/>
  <c r="L52" i="2"/>
  <c r="K99" i="2"/>
  <c r="K46" i="2"/>
  <c r="L23" i="2"/>
  <c r="K57" i="2"/>
  <c r="L93" i="2"/>
  <c r="K12" i="2"/>
  <c r="L19" i="2"/>
  <c r="L11" i="2"/>
  <c r="L8" i="2"/>
  <c r="L60" i="2"/>
  <c r="L95" i="2"/>
  <c r="L17" i="2"/>
  <c r="K84" i="2"/>
  <c r="L78" i="2"/>
  <c r="L62" i="2"/>
  <c r="K88" i="2"/>
  <c r="K95" i="2"/>
  <c r="L28" i="2"/>
  <c r="L50" i="2"/>
  <c r="L35" i="2"/>
  <c r="L99" i="2"/>
  <c r="K24" i="2"/>
  <c r="L64" i="2"/>
  <c r="K49" i="2"/>
  <c r="K25" i="2"/>
  <c r="K93" i="2"/>
  <c r="K83" i="2"/>
  <c r="K29" i="2"/>
  <c r="K15" i="2"/>
  <c r="K13" i="2"/>
  <c r="K85" i="2"/>
  <c r="K28" i="2"/>
  <c r="L103" i="2"/>
  <c r="K21" i="2"/>
  <c r="K54" i="2"/>
  <c r="K80" i="2"/>
  <c r="L16" i="2"/>
  <c r="L91" i="2"/>
  <c r="L9" i="2"/>
  <c r="L24" i="2"/>
  <c r="K43" i="2"/>
  <c r="K42" i="2"/>
  <c r="K3" i="2"/>
  <c r="K48" i="2"/>
  <c r="K102" i="2"/>
  <c r="L71" i="2"/>
  <c r="K97" i="2"/>
  <c r="L75" i="2"/>
  <c r="K90" i="2"/>
  <c r="L92" i="2"/>
  <c r="K58" i="2"/>
  <c r="L77" i="2"/>
  <c r="L86" i="2"/>
  <c r="L39" i="2"/>
  <c r="L43" i="2"/>
  <c r="K73" i="2"/>
  <c r="K26" i="2"/>
  <c r="K47" i="2"/>
  <c r="L66" i="2"/>
  <c r="L25" i="2"/>
  <c r="L96" i="2"/>
  <c r="L27" i="2"/>
  <c r="L102" i="2"/>
  <c r="K94" i="2"/>
  <c r="L14" i="2"/>
  <c r="K45" i="2"/>
  <c r="K81" i="2"/>
  <c r="L61" i="2"/>
  <c r="K10" i="2"/>
  <c r="K67" i="2"/>
  <c r="L54" i="2"/>
  <c r="Q3" i="2"/>
  <c r="V3" i="2" s="1"/>
  <c r="K51" i="2"/>
  <c r="K16" i="2"/>
  <c r="K36" i="2"/>
  <c r="K96" i="2"/>
  <c r="K62" i="2"/>
  <c r="L57" i="2"/>
  <c r="K19" i="2"/>
  <c r="L69" i="2"/>
  <c r="K9" i="2"/>
  <c r="K78" i="2"/>
  <c r="L38" i="2"/>
  <c r="L7" i="2"/>
  <c r="L48" i="2"/>
  <c r="L42" i="2"/>
  <c r="K33" i="2"/>
  <c r="L55" i="2"/>
  <c r="K40" i="2"/>
  <c r="K77" i="2"/>
  <c r="K76" i="2"/>
  <c r="L12" i="2"/>
  <c r="L5" i="2"/>
  <c r="L89" i="2"/>
  <c r="L67" i="2"/>
  <c r="K27" i="2"/>
  <c r="L45" i="2"/>
  <c r="L21" i="2"/>
  <c r="P3" i="2" l="1"/>
  <c r="U3" i="2" s="1"/>
  <c r="O3" i="2"/>
  <c r="T3" i="2" s="1"/>
</calcChain>
</file>

<file path=xl/sharedStrings.xml><?xml version="1.0" encoding="utf-8"?>
<sst xmlns="http://schemas.openxmlformats.org/spreadsheetml/2006/main" count="1019" uniqueCount="14">
  <si>
    <t>Qtde</t>
  </si>
  <si>
    <t>Compra</t>
  </si>
  <si>
    <t>Venda</t>
  </si>
  <si>
    <t>MEDIANA</t>
  </si>
  <si>
    <t>WDOZ20</t>
  </si>
  <si>
    <t>DATA</t>
  </si>
  <si>
    <t>MAX</t>
  </si>
  <si>
    <t>MIN</t>
  </si>
  <si>
    <t>TOTAL</t>
  </si>
  <si>
    <t>MEDBID</t>
  </si>
  <si>
    <t>MEDASK</t>
  </si>
  <si>
    <t>VALOR</t>
  </si>
  <si>
    <t>-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</si>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</sst>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/mm/yy;@"/>
    <numFmt numFmtId="166" formatCode="h:mm;@"/>
  </numFmts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6" fontId="3" fillId="3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3" fillId="5" borderId="5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5" borderId="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s">
        <v>Ferramenta Inválida</v>
        <stp/>
        <stp>BOOK0</stp>
        <stp>VOC</stp>
        <stp>1</stp>
        <tr r="A4" s="2"/>
      </tp>
      <tp t="s">
        <v>Ferramenta Inválida</v>
        <stp/>
        <stp>BOOK0</stp>
        <stp>VOC</stp>
        <stp>0</stp>
        <tr r="A3" s="2"/>
      </tp>
      <tp t="s">
        <v>Ferramenta Inválida</v>
        <stp/>
        <stp>BOOK0</stp>
        <stp>VOC</stp>
        <stp>3</stp>
        <tr r="A6" s="2"/>
      </tp>
      <tp t="s">
        <v>Ferramenta Inválida</v>
        <stp/>
        <stp>BOOK0</stp>
        <stp>VOC</stp>
        <stp>2</stp>
        <tr r="A5" s="2"/>
      </tp>
      <tp t="s">
        <v>Ferramenta Inválida</v>
        <stp/>
        <stp>BOOK0</stp>
        <stp>VOC</stp>
        <stp>5</stp>
        <tr r="A8" s="2"/>
      </tp>
      <tp t="s">
        <v>Ferramenta Inválida</v>
        <stp/>
        <stp>BOOK0</stp>
        <stp>VOC</stp>
        <stp>4</stp>
        <tr r="A7" s="2"/>
      </tp>
      <tp t="s">
        <v>Ferramenta Inválida</v>
        <stp/>
        <stp>BOOK0</stp>
        <stp>VOC</stp>
        <stp>7</stp>
        <tr r="A10" s="2"/>
      </tp>
      <tp t="s">
        <v>Ferramenta Inválida</v>
        <stp/>
        <stp>BOOK0</stp>
        <stp>VOC</stp>
        <stp>6</stp>
        <tr r="A9" s="2"/>
      </tp>
      <tp t="s">
        <v>Ferramenta Inválida</v>
        <stp/>
        <stp>BOOK0</stp>
        <stp>VOC</stp>
        <stp>9</stp>
        <tr r="A12" s="2"/>
      </tp>
      <tp t="s">
        <v>Ferramenta Inválida</v>
        <stp/>
        <stp>BOOK0</stp>
        <stp>VOC</stp>
        <stp>8</stp>
        <tr r="A11" s="2"/>
      </tp>
      <tp t="s">
        <v>Ferramenta Inválida</v>
        <stp/>
        <stp>BOOK0</stp>
        <stp>OVD</stp>
        <stp>8</stp>
        <tr r="C11" s="2"/>
      </tp>
      <tp t="s">
        <v>Ferramenta Inválida</v>
        <stp/>
        <stp>BOOK0</stp>
        <stp>OVD</stp>
        <stp>9</stp>
        <tr r="C12" s="2"/>
      </tp>
      <tp t="s">
        <v>Ferramenta Inválida</v>
        <stp/>
        <stp>BOOK0</stp>
        <stp>OVD</stp>
        <stp>0</stp>
        <tr r="C3" s="2"/>
      </tp>
      <tp t="s">
        <v>Ferramenta Inválida</v>
        <stp/>
        <stp>BOOK0</stp>
        <stp>OVD</stp>
        <stp>1</stp>
        <tr r="C4" s="2"/>
      </tp>
      <tp t="s">
        <v>Ferramenta Inválida</v>
        <stp/>
        <stp>BOOK0</stp>
        <stp>OVD</stp>
        <stp>2</stp>
        <tr r="C5" s="2"/>
      </tp>
      <tp t="s">
        <v>Ferramenta Inválida</v>
        <stp/>
        <stp>BOOK0</stp>
        <stp>OVD</stp>
        <stp>3</stp>
        <tr r="C6" s="2"/>
      </tp>
      <tp t="s">
        <v>Ferramenta Inválida</v>
        <stp/>
        <stp>BOOK0</stp>
        <stp>OVD</stp>
        <stp>4</stp>
        <tr r="C7" s="2"/>
      </tp>
      <tp t="s">
        <v>Ferramenta Inválida</v>
        <stp/>
        <stp>BOOK0</stp>
        <stp>OVD</stp>
        <stp>5</stp>
        <tr r="C8" s="2"/>
      </tp>
      <tp t="s">
        <v>Ferramenta Inválida</v>
        <stp/>
        <stp>BOOK0</stp>
        <stp>OVD</stp>
        <stp>6</stp>
        <tr r="C9" s="2"/>
      </tp>
      <tp t="s">
        <v>Ferramenta Inválida</v>
        <stp/>
        <stp>BOOK0</stp>
        <stp>OVD</stp>
        <stp>7</stp>
        <tr r="C10" s="2"/>
      </tp>
      <tp t="s">
        <v>Ferramenta Inválida</v>
        <stp/>
        <stp>BOOK0</stp>
        <stp>OCP</stp>
        <stp>8</stp>
        <tr r="B11" s="2"/>
      </tp>
      <tp t="s">
        <v>Ferramenta Inválida</v>
        <stp/>
        <stp>BOOK0</stp>
        <stp>OCP</stp>
        <stp>9</stp>
        <tr r="B12" s="2"/>
      </tp>
      <tp t="s">
        <v>Ferramenta Inválida</v>
        <stp/>
        <stp>BOOK0</stp>
        <stp>OCP</stp>
        <stp>0</stp>
        <tr r="B3" s="2"/>
      </tp>
      <tp t="s">
        <v>Ferramenta Inválida</v>
        <stp/>
        <stp>BOOK0</stp>
        <stp>OCP</stp>
        <stp>1</stp>
        <tr r="B4" s="2"/>
      </tp>
      <tp t="s">
        <v>Ferramenta Inválida</v>
        <stp/>
        <stp>BOOK0</stp>
        <stp>OCP</stp>
        <stp>2</stp>
        <tr r="B5" s="2"/>
      </tp>
      <tp t="s">
        <v>Ferramenta Inválida</v>
        <stp/>
        <stp>BOOK0</stp>
        <stp>OCP</stp>
        <stp>3</stp>
        <tr r="B6" s="2"/>
      </tp>
      <tp t="s">
        <v>Ferramenta Inválida</v>
        <stp/>
        <stp>BOOK0</stp>
        <stp>OCP</stp>
        <stp>4</stp>
        <tr r="B7" s="2"/>
      </tp>
      <tp t="s">
        <v>Ferramenta Inválida</v>
        <stp/>
        <stp>BOOK0</stp>
        <stp>OCP</stp>
        <stp>5</stp>
        <tr r="B8" s="2"/>
      </tp>
      <tp t="s">
        <v>Ferramenta Inválida</v>
        <stp/>
        <stp>BOOK0</stp>
        <stp>OCP</stp>
        <stp>6</stp>
        <tr r="B9" s="2"/>
      </tp>
      <tp t="s">
        <v>Ferramenta Inválida</v>
        <stp/>
        <stp>BOOK0</stp>
        <stp>OCP</stp>
        <stp>7</stp>
        <tr r="B10" s="2"/>
      </tp>
      <tp t="s">
        <v>Ferramenta Inválida</v>
        <stp/>
        <stp>BOOK0</stp>
        <stp>VOV</stp>
        <stp>1</stp>
        <tr r="D4" s="2"/>
      </tp>
      <tp t="s">
        <v>Ferramenta Inválida</v>
        <stp/>
        <stp>BOOK0</stp>
        <stp>VOV</stp>
        <stp>0</stp>
        <tr r="D3" s="2"/>
      </tp>
      <tp t="s">
        <v>Ferramenta Inválida</v>
        <stp/>
        <stp>BOOK0</stp>
        <stp>VOV</stp>
        <stp>3</stp>
        <tr r="D6" s="2"/>
      </tp>
      <tp t="s">
        <v>Ferramenta Inválida</v>
        <stp/>
        <stp>BOOK0</stp>
        <stp>VOV</stp>
        <stp>2</stp>
        <tr r="D5" s="2"/>
      </tp>
      <tp t="s">
        <v>Ferramenta Inválida</v>
        <stp/>
        <stp>BOOK0</stp>
        <stp>VOV</stp>
        <stp>5</stp>
        <tr r="D8" s="2"/>
      </tp>
      <tp t="s">
        <v>Ferramenta Inválida</v>
        <stp/>
        <stp>BOOK0</stp>
        <stp>VOV</stp>
        <stp>4</stp>
        <tr r="D7" s="2"/>
      </tp>
      <tp t="s">
        <v>Ferramenta Inválida</v>
        <stp/>
        <stp>BOOK0</stp>
        <stp>VOV</stp>
        <stp>7</stp>
        <tr r="D10" s="2"/>
      </tp>
      <tp t="s">
        <v>Ferramenta Inválida</v>
        <stp/>
        <stp>BOOK0</stp>
        <stp>VOV</stp>
        <stp>6</stp>
        <tr r="D9" s="2"/>
      </tp>
      <tp t="s">
        <v>Ferramenta Inválida</v>
        <stp/>
        <stp>BOOK0</stp>
        <stp>VOV</stp>
        <stp>9</stp>
        <tr r="D12" s="2"/>
      </tp>
      <tp t="s">
        <v>Ferramenta Inválida</v>
        <stp/>
        <stp>BOOK0</stp>
        <stp>VOV</stp>
        <stp>8</stp>
        <tr r="D11" s="2"/>
      </tp>
      <tp t="s">
        <v>Ferramenta Inválida</v>
        <stp/>
        <stp>BOOK0</stp>
        <stp>INFO</stp>
        <stp>ATV</stp>
        <tr r="N1" s="2"/>
        <tr r="S1" s="2"/>
        <tr r="F1" s="2"/>
        <tr r="A1" s="2"/>
      </tp>
      <tp t="s">
        <v>Ferramenta Inválida</v>
        <stp/>
        <stp>BOOK0</stp>
        <stp>VOC</stp>
        <stp>11</stp>
        <tr r="A14" s="2"/>
      </tp>
      <tp t="s">
        <v>Ferramenta Inválida</v>
        <stp/>
        <stp>BOOK0</stp>
        <stp>VOV</stp>
        <stp>11</stp>
        <tr r="D14" s="2"/>
      </tp>
      <tp t="s">
        <v>Ferramenta Inválida</v>
        <stp/>
        <stp>BOOK0</stp>
        <stp>VOC</stp>
        <stp>10</stp>
        <tr r="A13" s="2"/>
      </tp>
      <tp t="s">
        <v>Ferramenta Inválida</v>
        <stp/>
        <stp>BOOK0</stp>
        <stp>VOV</stp>
        <stp>10</stp>
        <tr r="D13" s="2"/>
      </tp>
      <tp t="s">
        <v>Ferramenta Inválida</v>
        <stp/>
        <stp>BOOK0</stp>
        <stp>VOC</stp>
        <stp>13</stp>
        <tr r="A16" s="2"/>
      </tp>
      <tp t="s">
        <v>Ferramenta Inválida</v>
        <stp/>
        <stp>BOOK0</stp>
        <stp>VOV</stp>
        <stp>13</stp>
        <tr r="D16" s="2"/>
      </tp>
      <tp t="s">
        <v>Ferramenta Inválida</v>
        <stp/>
        <stp>BOOK0</stp>
        <stp>VOC</stp>
        <stp>12</stp>
        <tr r="A15" s="2"/>
      </tp>
      <tp t="s">
        <v>Ferramenta Inválida</v>
        <stp/>
        <stp>BOOK0</stp>
        <stp>VOV</stp>
        <stp>12</stp>
        <tr r="D15" s="2"/>
      </tp>
      <tp t="s">
        <v>Ferramenta Inválida</v>
        <stp/>
        <stp>BOOK0</stp>
        <stp>VOC</stp>
        <stp>15</stp>
        <tr r="A18" s="2"/>
      </tp>
      <tp t="s">
        <v>Ferramenta Inválida</v>
        <stp/>
        <stp>BOOK0</stp>
        <stp>VOV</stp>
        <stp>15</stp>
        <tr r="D18" s="2"/>
      </tp>
      <tp t="s">
        <v>Ferramenta Inválida</v>
        <stp/>
        <stp>BOOK0</stp>
        <stp>VOC</stp>
        <stp>14</stp>
        <tr r="A17" s="2"/>
      </tp>
      <tp t="s">
        <v>Ferramenta Inválida</v>
        <stp/>
        <stp>BOOK0</stp>
        <stp>VOV</stp>
        <stp>14</stp>
        <tr r="D17" s="2"/>
      </tp>
      <tp t="s">
        <v>Ferramenta Inválida</v>
        <stp/>
        <stp>BOOK0</stp>
        <stp>VOC</stp>
        <stp>17</stp>
        <tr r="A21" s="2"/>
      </tp>
      <tp t="s">
        <v>Ferramenta Inválida</v>
        <stp/>
        <stp>BOOK0</stp>
        <stp>VOV</stp>
        <stp>17</stp>
        <tr r="D21" s="2"/>
      </tp>
      <tp t="s">
        <v>Ferramenta Inválida</v>
        <stp/>
        <stp>BOOK0</stp>
        <stp>VOC</stp>
        <stp>16</stp>
        <tr r="A19" s="2"/>
      </tp>
      <tp t="s">
        <v>Ferramenta Inválida</v>
        <stp/>
        <stp>BOOK0</stp>
        <stp>VOV</stp>
        <stp>16</stp>
        <tr r="D19" s="2"/>
      </tp>
      <tp t="s">
        <v>Ferramenta Inválida</v>
        <stp/>
        <stp>BOOK0</stp>
        <stp>VOC</stp>
        <stp>19</stp>
        <tr r="A23" s="2"/>
      </tp>
      <tp t="s">
        <v>Ferramenta Inválida</v>
        <stp/>
        <stp>BOOK0</stp>
        <stp>VOV</stp>
        <stp>19</stp>
        <tr r="D23" s="2"/>
      </tp>
      <tp t="s">
        <v>Ferramenta Inválida</v>
        <stp/>
        <stp>BOOK0</stp>
        <stp>VOC</stp>
        <stp>18</stp>
        <tr r="A22" s="2"/>
      </tp>
      <tp t="s">
        <v>Ferramenta Inválida</v>
        <stp/>
        <stp>BOOK0</stp>
        <stp>VOV</stp>
        <stp>18</stp>
        <tr r="D22" s="2"/>
      </tp>
      <tp t="s">
        <v>Ferramenta Inválida</v>
        <stp/>
        <stp>BOOK0</stp>
        <stp>VOC</stp>
        <stp>31</stp>
        <tr r="A35" s="2"/>
      </tp>
      <tp t="s">
        <v>Ferramenta Inválida</v>
        <stp/>
        <stp>BOOK0</stp>
        <stp>VOV</stp>
        <stp>31</stp>
        <tr r="D35" s="2"/>
      </tp>
      <tp t="s">
        <v>Ferramenta Inválida</v>
        <stp/>
        <stp>BOOK0</stp>
        <stp>VOC</stp>
        <stp>30</stp>
        <tr r="A34" s="2"/>
      </tp>
      <tp t="s">
        <v>Ferramenta Inválida</v>
        <stp/>
        <stp>BOOK0</stp>
        <stp>VOV</stp>
        <stp>30</stp>
        <tr r="D34" s="2"/>
      </tp>
      <tp t="s">
        <v>Ferramenta Inválida</v>
        <stp/>
        <stp>BOOK0</stp>
        <stp>VOC</stp>
        <stp>33</stp>
        <tr r="A37" s="2"/>
      </tp>
      <tp t="s">
        <v>Ferramenta Inválida</v>
        <stp/>
        <stp>BOOK0</stp>
        <stp>VOV</stp>
        <stp>33</stp>
        <tr r="D37" s="2"/>
      </tp>
      <tp t="s">
        <v>Ferramenta Inválida</v>
        <stp/>
        <stp>BOOK0</stp>
        <stp>VOC</stp>
        <stp>32</stp>
        <tr r="A36" s="2"/>
      </tp>
      <tp t="s">
        <v>Ferramenta Inválida</v>
        <stp/>
        <stp>BOOK0</stp>
        <stp>VOV</stp>
        <stp>32</stp>
        <tr r="D36" s="2"/>
      </tp>
      <tp t="s">
        <v>Ferramenta Inválida</v>
        <stp/>
        <stp>BOOK0</stp>
        <stp>VOC</stp>
        <stp>35</stp>
        <tr r="A39" s="2"/>
      </tp>
      <tp t="s">
        <v>Ferramenta Inválida</v>
        <stp/>
        <stp>BOOK0</stp>
        <stp>VOV</stp>
        <stp>35</stp>
        <tr r="D39" s="2"/>
      </tp>
      <tp t="s">
        <v>Ferramenta Inválida</v>
        <stp/>
        <stp>BOOK0</stp>
        <stp>VOC</stp>
        <stp>34</stp>
        <tr r="A38" s="2"/>
      </tp>
      <tp t="s">
        <v>Ferramenta Inválida</v>
        <stp/>
        <stp>BOOK0</stp>
        <stp>VOV</stp>
        <stp>34</stp>
        <tr r="D38" s="2"/>
      </tp>
      <tp t="s">
        <v>Ferramenta Inválida</v>
        <stp/>
        <stp>BOOK0</stp>
        <stp>VOC</stp>
        <stp>37</stp>
        <tr r="A41" s="2"/>
      </tp>
      <tp t="s">
        <v>Ferramenta Inválida</v>
        <stp/>
        <stp>BOOK0</stp>
        <stp>VOV</stp>
        <stp>37</stp>
        <tr r="D41" s="2"/>
      </tp>
      <tp t="s">
        <v>Ferramenta Inválida</v>
        <stp/>
        <stp>BOOK0</stp>
        <stp>VOC</stp>
        <stp>36</stp>
        <tr r="A40" s="2"/>
      </tp>
      <tp t="s">
        <v>Ferramenta Inválida</v>
        <stp/>
        <stp>BOOK0</stp>
        <stp>VOV</stp>
        <stp>36</stp>
        <tr r="D40" s="2"/>
      </tp>
      <tp t="s">
        <v>Ferramenta Inválida</v>
        <stp/>
        <stp>BOOK0</stp>
        <stp>VOC</stp>
        <stp>39</stp>
        <tr r="A43" s="2"/>
      </tp>
      <tp t="s">
        <v>Ferramenta Inválida</v>
        <stp/>
        <stp>BOOK0</stp>
        <stp>VOV</stp>
        <stp>39</stp>
        <tr r="D43" s="2"/>
      </tp>
      <tp t="s">
        <v>Ferramenta Inválida</v>
        <stp/>
        <stp>BOOK0</stp>
        <stp>VOC</stp>
        <stp>38</stp>
        <tr r="A42" s="2"/>
      </tp>
      <tp t="s">
        <v>Ferramenta Inválida</v>
        <stp/>
        <stp>BOOK0</stp>
        <stp>VOV</stp>
        <stp>38</stp>
        <tr r="D42" s="2"/>
      </tp>
      <tp t="s">
        <v>Ferramenta Inválida</v>
        <stp/>
        <stp>BOOK0</stp>
        <stp>VOC</stp>
        <stp>21</stp>
        <tr r="A25" s="2"/>
      </tp>
      <tp t="s">
        <v>Ferramenta Inválida</v>
        <stp/>
        <stp>BOOK0</stp>
        <stp>VOV</stp>
        <stp>21</stp>
        <tr r="D25" s="2"/>
      </tp>
      <tp t="s">
        <v>Ferramenta Inválida</v>
        <stp/>
        <stp>BOOK0</stp>
        <stp>VOC</stp>
        <stp>20</stp>
        <tr r="A24" s="2"/>
      </tp>
      <tp t="s">
        <v>Ferramenta Inválida</v>
        <stp/>
        <stp>BOOK0</stp>
        <stp>VOV</stp>
        <stp>20</stp>
        <tr r="D24" s="2"/>
      </tp>
      <tp t="s">
        <v>Ferramenta Inválida</v>
        <stp/>
        <stp>BOOK0</stp>
        <stp>VOC</stp>
        <stp>23</stp>
        <tr r="A27" s="2"/>
      </tp>
      <tp t="s">
        <v>Ferramenta Inválida</v>
        <stp/>
        <stp>BOOK0</stp>
        <stp>VOV</stp>
        <stp>23</stp>
        <tr r="D27" s="2"/>
      </tp>
      <tp t="s">
        <v>Ferramenta Inválida</v>
        <stp/>
        <stp>BOOK0</stp>
        <stp>VOC</stp>
        <stp>22</stp>
        <tr r="A26" s="2"/>
      </tp>
      <tp t="s">
        <v>Ferramenta Inválida</v>
        <stp/>
        <stp>BOOK0</stp>
        <stp>VOV</stp>
        <stp>22</stp>
        <tr r="D26" s="2"/>
      </tp>
      <tp t="s">
        <v>Ferramenta Inválida</v>
        <stp/>
        <stp>BOOK0</stp>
        <stp>VOC</stp>
        <stp>25</stp>
        <tr r="A29" s="2"/>
      </tp>
      <tp t="s">
        <v>Ferramenta Inválida</v>
        <stp/>
        <stp>BOOK0</stp>
        <stp>VOV</stp>
        <stp>25</stp>
        <tr r="D29" s="2"/>
      </tp>
      <tp t="s">
        <v>Ferramenta Inválida</v>
        <stp/>
        <stp>BOOK0</stp>
        <stp>VOC</stp>
        <stp>24</stp>
        <tr r="A28" s="2"/>
      </tp>
      <tp t="s">
        <v>Ferramenta Inválida</v>
        <stp/>
        <stp>BOOK0</stp>
        <stp>VOV</stp>
        <stp>24</stp>
        <tr r="D28" s="2"/>
      </tp>
      <tp t="s">
        <v>Ferramenta Inválida</v>
        <stp/>
        <stp>BOOK0</stp>
        <stp>VOC</stp>
        <stp>27</stp>
        <tr r="A31" s="2"/>
      </tp>
      <tp t="s">
        <v>Ferramenta Inválida</v>
        <stp/>
        <stp>BOOK0</stp>
        <stp>VOV</stp>
        <stp>27</stp>
        <tr r="D31" s="2"/>
      </tp>
      <tp t="s">
        <v>Ferramenta Inválida</v>
        <stp/>
        <stp>BOOK0</stp>
        <stp>VOC</stp>
        <stp>26</stp>
        <tr r="A30" s="2"/>
      </tp>
      <tp t="s">
        <v>Ferramenta Inválida</v>
        <stp/>
        <stp>BOOK0</stp>
        <stp>VOV</stp>
        <stp>26</stp>
        <tr r="D30" s="2"/>
      </tp>
      <tp t="s">
        <v>Ferramenta Inválida</v>
        <stp/>
        <stp>BOOK0</stp>
        <stp>VOC</stp>
        <stp>29</stp>
        <tr r="A33" s="2"/>
      </tp>
      <tp t="s">
        <v>Ferramenta Inválida</v>
        <stp/>
        <stp>BOOK0</stp>
        <stp>VOV</stp>
        <stp>29</stp>
        <tr r="D33" s="2"/>
      </tp>
      <tp t="s">
        <v>Ferramenta Inválida</v>
        <stp/>
        <stp>BOOK0</stp>
        <stp>VOC</stp>
        <stp>28</stp>
        <tr r="A32" s="2"/>
      </tp>
      <tp t="s">
        <v>Ferramenta Inválida</v>
        <stp/>
        <stp>BOOK0</stp>
        <stp>VOV</stp>
        <stp>28</stp>
        <tr r="D32" s="2"/>
      </tp>
      <tp t="s">
        <v>Ferramenta Inválida</v>
        <stp/>
        <stp>BOOK0</stp>
        <stp>VOC</stp>
        <stp>51</stp>
        <tr r="A55" s="2"/>
      </tp>
      <tp t="s">
        <v>Ferramenta Inválida</v>
        <stp/>
        <stp>BOOK0</stp>
        <stp>VOV</stp>
        <stp>51</stp>
        <tr r="D55" s="2"/>
      </tp>
      <tp t="s">
        <v>Ferramenta Inválida</v>
        <stp/>
        <stp>BOOK0</stp>
        <stp>VOC</stp>
        <stp>50</stp>
        <tr r="A54" s="2"/>
      </tp>
      <tp t="s">
        <v>Ferramenta Inválida</v>
        <stp/>
        <stp>BOOK0</stp>
        <stp>VOV</stp>
        <stp>50</stp>
        <tr r="D54" s="2"/>
      </tp>
      <tp t="s">
        <v>Ferramenta Inválida</v>
        <stp/>
        <stp>BOOK0</stp>
        <stp>VOC</stp>
        <stp>53</stp>
        <tr r="A57" s="2"/>
      </tp>
      <tp t="s">
        <v>Ferramenta Inválida</v>
        <stp/>
        <stp>BOOK0</stp>
        <stp>VOV</stp>
        <stp>53</stp>
        <tr r="D57" s="2"/>
      </tp>
      <tp t="s">
        <v>Ferramenta Inválida</v>
        <stp/>
        <stp>BOOK0</stp>
        <stp>VOC</stp>
        <stp>52</stp>
        <tr r="A56" s="2"/>
      </tp>
      <tp t="s">
        <v>Ferramenta Inválida</v>
        <stp/>
        <stp>BOOK0</stp>
        <stp>VOV</stp>
        <stp>52</stp>
        <tr r="D56" s="2"/>
      </tp>
      <tp t="s">
        <v>Ferramenta Inválida</v>
        <stp/>
        <stp>BOOK0</stp>
        <stp>VOC</stp>
        <stp>55</stp>
        <tr r="A59" s="2"/>
      </tp>
      <tp t="s">
        <v>Ferramenta Inválida</v>
        <stp/>
        <stp>BOOK0</stp>
        <stp>VOV</stp>
        <stp>55</stp>
        <tr r="D59" s="2"/>
      </tp>
      <tp t="s">
        <v>Ferramenta Inválida</v>
        <stp/>
        <stp>BOOK0</stp>
        <stp>VOC</stp>
        <stp>54</stp>
        <tr r="A58" s="2"/>
      </tp>
      <tp t="s">
        <v>Ferramenta Inválida</v>
        <stp/>
        <stp>BOOK0</stp>
        <stp>VOV</stp>
        <stp>54</stp>
        <tr r="D58" s="2"/>
      </tp>
      <tp t="s">
        <v>Ferramenta Inválida</v>
        <stp/>
        <stp>BOOK0</stp>
        <stp>VOC</stp>
        <stp>57</stp>
        <tr r="A61" s="2"/>
      </tp>
      <tp t="s">
        <v>Ferramenta Inválida</v>
        <stp/>
        <stp>BOOK0</stp>
        <stp>VOV</stp>
        <stp>57</stp>
        <tr r="D61" s="2"/>
      </tp>
      <tp t="s">
        <v>Ferramenta Inválida</v>
        <stp/>
        <stp>BOOK0</stp>
        <stp>VOC</stp>
        <stp>56</stp>
        <tr r="A60" s="2"/>
      </tp>
      <tp t="s">
        <v>Ferramenta Inválida</v>
        <stp/>
        <stp>BOOK0</stp>
        <stp>VOV</stp>
        <stp>56</stp>
        <tr r="D60" s="2"/>
      </tp>
      <tp t="s">
        <v>Ferramenta Inválida</v>
        <stp/>
        <stp>BOOK0</stp>
        <stp>VOC</stp>
        <stp>59</stp>
        <tr r="A63" s="2"/>
      </tp>
      <tp t="s">
        <v>Ferramenta Inválida</v>
        <stp/>
        <stp>BOOK0</stp>
        <stp>VOV</stp>
        <stp>59</stp>
        <tr r="D63" s="2"/>
      </tp>
      <tp t="s">
        <v>Ferramenta Inválida</v>
        <stp/>
        <stp>BOOK0</stp>
        <stp>VOC</stp>
        <stp>58</stp>
        <tr r="A62" s="2"/>
      </tp>
      <tp t="s">
        <v>Ferramenta Inválida</v>
        <stp/>
        <stp>BOOK0</stp>
        <stp>VOV</stp>
        <stp>58</stp>
        <tr r="D62" s="2"/>
      </tp>
      <tp t="s">
        <v>Ferramenta Inválida</v>
        <stp/>
        <stp>BOOK0</stp>
        <stp>VOC</stp>
        <stp>41</stp>
        <tr r="A45" s="2"/>
      </tp>
      <tp t="s">
        <v>Ferramenta Inválida</v>
        <stp/>
        <stp>BOOK0</stp>
        <stp>VOV</stp>
        <stp>41</stp>
        <tr r="D45" s="2"/>
      </tp>
      <tp t="s">
        <v>Ferramenta Inválida</v>
        <stp/>
        <stp>BOOK0</stp>
        <stp>VOC</stp>
        <stp>40</stp>
        <tr r="A44" s="2"/>
      </tp>
      <tp t="s">
        <v>Ferramenta Inválida</v>
        <stp/>
        <stp>BOOK0</stp>
        <stp>VOV</stp>
        <stp>40</stp>
        <tr r="D44" s="2"/>
      </tp>
      <tp t="s">
        <v>Ferramenta Inválida</v>
        <stp/>
        <stp>BOOK0</stp>
        <stp>VOC</stp>
        <stp>43</stp>
        <tr r="A47" s="2"/>
      </tp>
      <tp t="s">
        <v>Ferramenta Inválida</v>
        <stp/>
        <stp>BOOK0</stp>
        <stp>VOV</stp>
        <stp>43</stp>
        <tr r="D47" s="2"/>
      </tp>
      <tp t="s">
        <v>Ferramenta Inválida</v>
        <stp/>
        <stp>BOOK0</stp>
        <stp>VOC</stp>
        <stp>42</stp>
        <tr r="A46" s="2"/>
      </tp>
      <tp t="s">
        <v>Ferramenta Inválida</v>
        <stp/>
        <stp>BOOK0</stp>
        <stp>VOV</stp>
        <stp>42</stp>
        <tr r="D46" s="2"/>
      </tp>
      <tp t="s">
        <v>Ferramenta Inválida</v>
        <stp/>
        <stp>BOOK0</stp>
        <stp>VOC</stp>
        <stp>45</stp>
        <tr r="A49" s="2"/>
      </tp>
      <tp t="s">
        <v>Ferramenta Inválida</v>
        <stp/>
        <stp>BOOK0</stp>
        <stp>VOV</stp>
        <stp>45</stp>
        <tr r="D49" s="2"/>
      </tp>
      <tp t="s">
        <v>Ferramenta Inválida</v>
        <stp/>
        <stp>BOOK0</stp>
        <stp>VOC</stp>
        <stp>44</stp>
        <tr r="A48" s="2"/>
      </tp>
      <tp t="s">
        <v>Ferramenta Inválida</v>
        <stp/>
        <stp>BOOK0</stp>
        <stp>VOV</stp>
        <stp>44</stp>
        <tr r="D48" s="2"/>
      </tp>
      <tp t="s">
        <v>Ferramenta Inválida</v>
        <stp/>
        <stp>BOOK0</stp>
        <stp>VOC</stp>
        <stp>47</stp>
        <tr r="A51" s="2"/>
      </tp>
      <tp t="s">
        <v>Ferramenta Inválida</v>
        <stp/>
        <stp>BOOK0</stp>
        <stp>VOV</stp>
        <stp>47</stp>
        <tr r="D51" s="2"/>
      </tp>
      <tp t="s">
        <v>Ferramenta Inválida</v>
        <stp/>
        <stp>BOOK0</stp>
        <stp>VOC</stp>
        <stp>46</stp>
        <tr r="A50" s="2"/>
      </tp>
      <tp t="s">
        <v>Ferramenta Inválida</v>
        <stp/>
        <stp>BOOK0</stp>
        <stp>VOV</stp>
        <stp>46</stp>
        <tr r="D50" s="2"/>
      </tp>
      <tp t="s">
        <v>Ferramenta Inválida</v>
        <stp/>
        <stp>BOOK0</stp>
        <stp>VOC</stp>
        <stp>49</stp>
        <tr r="A53" s="2"/>
      </tp>
      <tp t="s">
        <v>Ferramenta Inválida</v>
        <stp/>
        <stp>BOOK0</stp>
        <stp>VOV</stp>
        <stp>49</stp>
        <tr r="D53" s="2"/>
      </tp>
      <tp t="s">
        <v>Ferramenta Inválida</v>
        <stp/>
        <stp>BOOK0</stp>
        <stp>VOC</stp>
        <stp>48</stp>
        <tr r="A52" s="2"/>
      </tp>
      <tp t="s">
        <v>Ferramenta Inválida</v>
        <stp/>
        <stp>BOOK0</stp>
        <stp>VOV</stp>
        <stp>48</stp>
        <tr r="D52" s="2"/>
      </tp>
      <tp t="s">
        <v>Ferramenta Inválida</v>
        <stp/>
        <stp>BOOK0</stp>
        <stp>VOC</stp>
        <stp>71</stp>
        <tr r="A75" s="2"/>
      </tp>
      <tp t="s">
        <v>Ferramenta Inválida</v>
        <stp/>
        <stp>BOOK0</stp>
        <stp>VOV</stp>
        <stp>71</stp>
        <tr r="D75" s="2"/>
      </tp>
      <tp t="s">
        <v>Ferramenta Inválida</v>
        <stp/>
        <stp>BOOK0</stp>
        <stp>VOC</stp>
        <stp>70</stp>
        <tr r="A74" s="2"/>
      </tp>
      <tp t="s">
        <v>Ferramenta Inválida</v>
        <stp/>
        <stp>BOOK0</stp>
        <stp>VOV</stp>
        <stp>70</stp>
        <tr r="D74" s="2"/>
      </tp>
      <tp t="s">
        <v>Ferramenta Inválida</v>
        <stp/>
        <stp>BOOK0</stp>
        <stp>VOC</stp>
        <stp>73</stp>
        <tr r="A77" s="2"/>
      </tp>
      <tp t="s">
        <v>Ferramenta Inválida</v>
        <stp/>
        <stp>BOOK0</stp>
        <stp>VOV</stp>
        <stp>73</stp>
        <tr r="D77" s="2"/>
      </tp>
      <tp t="s">
        <v>Ferramenta Inválida</v>
        <stp/>
        <stp>BOOK0</stp>
        <stp>VOC</stp>
        <stp>72</stp>
        <tr r="A76" s="2"/>
      </tp>
      <tp t="s">
        <v>Ferramenta Inválida</v>
        <stp/>
        <stp>BOOK0</stp>
        <stp>VOV</stp>
        <stp>72</stp>
        <tr r="D76" s="2"/>
      </tp>
      <tp t="s">
        <v>Ferramenta Inválida</v>
        <stp/>
        <stp>BOOK0</stp>
        <stp>VOC</stp>
        <stp>75</stp>
        <tr r="A79" s="2"/>
      </tp>
      <tp t="s">
        <v>Ferramenta Inválida</v>
        <stp/>
        <stp>BOOK0</stp>
        <stp>VOV</stp>
        <stp>75</stp>
        <tr r="D79" s="2"/>
      </tp>
      <tp t="s">
        <v>Ferramenta Inválida</v>
        <stp/>
        <stp>BOOK0</stp>
        <stp>VOC</stp>
        <stp>74</stp>
        <tr r="A78" s="2"/>
      </tp>
      <tp t="s">
        <v>Ferramenta Inválida</v>
        <stp/>
        <stp>BOOK0</stp>
        <stp>VOV</stp>
        <stp>74</stp>
        <tr r="D78" s="2"/>
      </tp>
      <tp t="s">
        <v>Ferramenta Inválida</v>
        <stp/>
        <stp>BOOK0</stp>
        <stp>VOC</stp>
        <stp>77</stp>
        <tr r="A81" s="2"/>
      </tp>
      <tp t="s">
        <v>Ferramenta Inválida</v>
        <stp/>
        <stp>BOOK0</stp>
        <stp>VOV</stp>
        <stp>77</stp>
        <tr r="D81" s="2"/>
      </tp>
      <tp t="s">
        <v>Ferramenta Inválida</v>
        <stp/>
        <stp>BOOK0</stp>
        <stp>VOC</stp>
        <stp>76</stp>
        <tr r="A80" s="2"/>
      </tp>
      <tp t="s">
        <v>Ferramenta Inválida</v>
        <stp/>
        <stp>BOOK0</stp>
        <stp>VOV</stp>
        <stp>76</stp>
        <tr r="D80" s="2"/>
      </tp>
      <tp t="s">
        <v>Ferramenta Inválida</v>
        <stp/>
        <stp>BOOK0</stp>
        <stp>VOC</stp>
        <stp>79</stp>
        <tr r="A83" s="2"/>
      </tp>
      <tp t="s">
        <v>Ferramenta Inválida</v>
        <stp/>
        <stp>BOOK0</stp>
        <stp>VOV</stp>
        <stp>79</stp>
        <tr r="D83" s="2"/>
      </tp>
      <tp t="s">
        <v>Ferramenta Inválida</v>
        <stp/>
        <stp>BOOK0</stp>
        <stp>VOC</stp>
        <stp>78</stp>
        <tr r="A82" s="2"/>
      </tp>
      <tp t="s">
        <v>Ferramenta Inválida</v>
        <stp/>
        <stp>BOOK0</stp>
        <stp>VOV</stp>
        <stp>78</stp>
        <tr r="D82" s="2"/>
      </tp>
      <tp t="s">
        <v>Ferramenta Inválida</v>
        <stp/>
        <stp>BOOK0</stp>
        <stp>VOC</stp>
        <stp>61</stp>
        <tr r="A65" s="2"/>
      </tp>
      <tp t="s">
        <v>Ferramenta Inválida</v>
        <stp/>
        <stp>BOOK0</stp>
        <stp>VOV</stp>
        <stp>61</stp>
        <tr r="D65" s="2"/>
      </tp>
      <tp t="s">
        <v>Ferramenta Inválida</v>
        <stp/>
        <stp>BOOK0</stp>
        <stp>VOC</stp>
        <stp>60</stp>
        <tr r="A64" s="2"/>
      </tp>
      <tp t="s">
        <v>Ferramenta Inválida</v>
        <stp/>
        <stp>BOOK0</stp>
        <stp>VOV</stp>
        <stp>60</stp>
        <tr r="D64" s="2"/>
      </tp>
      <tp t="s">
        <v>Ferramenta Inválida</v>
        <stp/>
        <stp>BOOK0</stp>
        <stp>VOC</stp>
        <stp>63</stp>
        <tr r="A67" s="2"/>
      </tp>
      <tp t="s">
        <v>Ferramenta Inválida</v>
        <stp/>
        <stp>BOOK0</stp>
        <stp>VOV</stp>
        <stp>63</stp>
        <tr r="D67" s="2"/>
      </tp>
      <tp t="s">
        <v>Ferramenta Inválida</v>
        <stp/>
        <stp>BOOK0</stp>
        <stp>VOC</stp>
        <stp>62</stp>
        <tr r="A66" s="2"/>
      </tp>
      <tp t="s">
        <v>Ferramenta Inválida</v>
        <stp/>
        <stp>BOOK0</stp>
        <stp>VOV</stp>
        <stp>62</stp>
        <tr r="D66" s="2"/>
      </tp>
      <tp t="s">
        <v>Ferramenta Inválida</v>
        <stp/>
        <stp>BOOK0</stp>
        <stp>VOC</stp>
        <stp>65</stp>
        <tr r="A69" s="2"/>
      </tp>
      <tp t="s">
        <v>Ferramenta Inválida</v>
        <stp/>
        <stp>BOOK0</stp>
        <stp>VOV</stp>
        <stp>65</stp>
        <tr r="D69" s="2"/>
      </tp>
      <tp t="s">
        <v>Ferramenta Inválida</v>
        <stp/>
        <stp>BOOK0</stp>
        <stp>VOC</stp>
        <stp>64</stp>
        <tr r="A68" s="2"/>
      </tp>
      <tp t="s">
        <v>Ferramenta Inválida</v>
        <stp/>
        <stp>BOOK0</stp>
        <stp>VOV</stp>
        <stp>64</stp>
        <tr r="D68" s="2"/>
      </tp>
      <tp t="s">
        <v>Ferramenta Inválida</v>
        <stp/>
        <stp>BOOK0</stp>
        <stp>VOC</stp>
        <stp>67</stp>
        <tr r="A71" s="2"/>
      </tp>
      <tp t="s">
        <v>Ferramenta Inválida</v>
        <stp/>
        <stp>BOOK0</stp>
        <stp>VOV</stp>
        <stp>67</stp>
        <tr r="D71" s="2"/>
      </tp>
      <tp t="s">
        <v>Ferramenta Inválida</v>
        <stp/>
        <stp>BOOK0</stp>
        <stp>VOC</stp>
        <stp>66</stp>
        <tr r="A70" s="2"/>
      </tp>
      <tp t="s">
        <v>Ferramenta Inválida</v>
        <stp/>
        <stp>BOOK0</stp>
        <stp>VOV</stp>
        <stp>66</stp>
        <tr r="D70" s="2"/>
      </tp>
      <tp t="s">
        <v>Ferramenta Inválida</v>
        <stp/>
        <stp>BOOK0</stp>
        <stp>VOC</stp>
        <stp>69</stp>
        <tr r="A73" s="2"/>
      </tp>
      <tp t="s">
        <v>Ferramenta Inválida</v>
        <stp/>
        <stp>BOOK0</stp>
        <stp>VOV</stp>
        <stp>69</stp>
        <tr r="D73" s="2"/>
      </tp>
      <tp t="s">
        <v>Ferramenta Inválida</v>
        <stp/>
        <stp>BOOK0</stp>
        <stp>VOC</stp>
        <stp>68</stp>
        <tr r="A72" s="2"/>
      </tp>
      <tp t="s">
        <v>Ferramenta Inválida</v>
        <stp/>
        <stp>BOOK0</stp>
        <stp>VOV</stp>
        <stp>68</stp>
        <tr r="D72" s="2"/>
      </tp>
      <tp t="s">
        <v>Ferramenta Inválida</v>
        <stp/>
        <stp>BOOK0</stp>
        <stp>VOC</stp>
        <stp>91</stp>
        <tr r="A95" s="2"/>
      </tp>
      <tp t="s">
        <v>Ferramenta Inválida</v>
        <stp/>
        <stp>BOOK0</stp>
        <stp>VOV</stp>
        <stp>91</stp>
        <tr r="D95" s="2"/>
      </tp>
      <tp t="s">
        <v>Ferramenta Inválida</v>
        <stp/>
        <stp>BOOK0</stp>
        <stp>VOC</stp>
        <stp>90</stp>
        <tr r="A94" s="2"/>
      </tp>
      <tp t="s">
        <v>Ferramenta Inválida</v>
        <stp/>
        <stp>BOOK0</stp>
        <stp>VOV</stp>
        <stp>90</stp>
        <tr r="D94" s="2"/>
      </tp>
      <tp t="s">
        <v>Ferramenta Inválida</v>
        <stp/>
        <stp>BOOK0</stp>
        <stp>VOC</stp>
        <stp>93</stp>
        <tr r="A97" s="2"/>
      </tp>
      <tp t="s">
        <v>Ferramenta Inválida</v>
        <stp/>
        <stp>BOOK0</stp>
        <stp>VOV</stp>
        <stp>93</stp>
        <tr r="D97" s="2"/>
      </tp>
      <tp t="s">
        <v>Ferramenta Inválida</v>
        <stp/>
        <stp>BOOK0</stp>
        <stp>VOC</stp>
        <stp>92</stp>
        <tr r="A96" s="2"/>
      </tp>
      <tp t="s">
        <v>Ferramenta Inválida</v>
        <stp/>
        <stp>BOOK0</stp>
        <stp>VOV</stp>
        <stp>92</stp>
        <tr r="D96" s="2"/>
      </tp>
      <tp t="s">
        <v>Ferramenta Inválida</v>
        <stp/>
        <stp>BOOK0</stp>
        <stp>VOC</stp>
        <stp>95</stp>
        <tr r="A99" s="2"/>
      </tp>
      <tp t="s">
        <v>Ferramenta Inválida</v>
        <stp/>
        <stp>BOOK0</stp>
        <stp>VOV</stp>
        <stp>95</stp>
        <tr r="D99" s="2"/>
      </tp>
      <tp t="s">
        <v>Ferramenta Inválida</v>
        <stp/>
        <stp>BOOK0</stp>
        <stp>VOC</stp>
        <stp>94</stp>
        <tr r="A98" s="2"/>
      </tp>
      <tp t="s">
        <v>Ferramenta Inválida</v>
        <stp/>
        <stp>BOOK0</stp>
        <stp>VOV</stp>
        <stp>94</stp>
        <tr r="D98" s="2"/>
      </tp>
      <tp t="s">
        <v>Ferramenta Inválida</v>
        <stp/>
        <stp>BOOK0</stp>
        <stp>VOC</stp>
        <stp>97</stp>
        <tr r="A101" s="2"/>
      </tp>
      <tp t="s">
        <v>Ferramenta Inválida</v>
        <stp/>
        <stp>BOOK0</stp>
        <stp>VOV</stp>
        <stp>97</stp>
        <tr r="D101" s="2"/>
      </tp>
      <tp t="s">
        <v>Ferramenta Inválida</v>
        <stp/>
        <stp>BOOK0</stp>
        <stp>VOC</stp>
        <stp>96</stp>
        <tr r="A100" s="2"/>
      </tp>
      <tp t="s">
        <v>Ferramenta Inválida</v>
        <stp/>
        <stp>BOOK0</stp>
        <stp>VOV</stp>
        <stp>96</stp>
        <tr r="D100" s="2"/>
      </tp>
      <tp t="s">
        <v>Ferramenta Inválida</v>
        <stp/>
        <stp>BOOK0</stp>
        <stp>VOC</stp>
        <stp>99</stp>
        <tr r="A103" s="2"/>
      </tp>
      <tp t="s">
        <v>Ferramenta Inválida</v>
        <stp/>
        <stp>BOOK0</stp>
        <stp>VOV</stp>
        <stp>99</stp>
        <tr r="D103" s="2"/>
      </tp>
      <tp t="s">
        <v>Ferramenta Inválida</v>
        <stp/>
        <stp>BOOK0</stp>
        <stp>VOC</stp>
        <stp>98</stp>
        <tr r="A102" s="2"/>
      </tp>
      <tp t="s">
        <v>Ferramenta Inválida</v>
        <stp/>
        <stp>BOOK0</stp>
        <stp>VOV</stp>
        <stp>98</stp>
        <tr r="D102" s="2"/>
      </tp>
      <tp t="s">
        <v>Ferramenta Inválida</v>
        <stp/>
        <stp>BOOK0</stp>
        <stp>VOC</stp>
        <stp>81</stp>
        <tr r="A85" s="2"/>
      </tp>
      <tp t="s">
        <v>Ferramenta Inválida</v>
        <stp/>
        <stp>BOOK0</stp>
        <stp>VOV</stp>
        <stp>81</stp>
        <tr r="D85" s="2"/>
      </tp>
      <tp t="s">
        <v>Ferramenta Inválida</v>
        <stp/>
        <stp>BOOK0</stp>
        <stp>VOC</stp>
        <stp>80</stp>
        <tr r="A84" s="2"/>
      </tp>
      <tp t="s">
        <v>Ferramenta Inválida</v>
        <stp/>
        <stp>BOOK0</stp>
        <stp>VOV</stp>
        <stp>80</stp>
        <tr r="D84" s="2"/>
      </tp>
      <tp t="s">
        <v>Ferramenta Inválida</v>
        <stp/>
        <stp>BOOK0</stp>
        <stp>VOC</stp>
        <stp>83</stp>
        <tr r="A87" s="2"/>
      </tp>
      <tp t="s">
        <v>Ferramenta Inválida</v>
        <stp/>
        <stp>BOOK0</stp>
        <stp>VOV</stp>
        <stp>83</stp>
        <tr r="D87" s="2"/>
      </tp>
      <tp t="s">
        <v>Ferramenta Inválida</v>
        <stp/>
        <stp>BOOK0</stp>
        <stp>VOC</stp>
        <stp>82</stp>
        <tr r="A86" s="2"/>
      </tp>
      <tp t="s">
        <v>Ferramenta Inválida</v>
        <stp/>
        <stp>BOOK0</stp>
        <stp>VOV</stp>
        <stp>82</stp>
        <tr r="D86" s="2"/>
      </tp>
      <tp t="s">
        <v>Ferramenta Inválida</v>
        <stp/>
        <stp>BOOK0</stp>
        <stp>VOC</stp>
        <stp>85</stp>
        <tr r="A89" s="2"/>
      </tp>
      <tp t="s">
        <v>Ferramenta Inválida</v>
        <stp/>
        <stp>BOOK0</stp>
        <stp>VOV</stp>
        <stp>85</stp>
        <tr r="D89" s="2"/>
      </tp>
      <tp t="s">
        <v>Ferramenta Inválida</v>
        <stp/>
        <stp>BOOK0</stp>
        <stp>VOC</stp>
        <stp>84</stp>
        <tr r="A88" s="2"/>
      </tp>
      <tp t="s">
        <v>Ferramenta Inválida</v>
        <stp/>
        <stp>BOOK0</stp>
        <stp>VOV</stp>
        <stp>84</stp>
        <tr r="D88" s="2"/>
      </tp>
      <tp t="s">
        <v>Ferramenta Inválida</v>
        <stp/>
        <stp>BOOK0</stp>
        <stp>VOC</stp>
        <stp>87</stp>
        <tr r="A91" s="2"/>
      </tp>
      <tp t="s">
        <v>Ferramenta Inválida</v>
        <stp/>
        <stp>BOOK0</stp>
        <stp>VOV</stp>
        <stp>87</stp>
        <tr r="D91" s="2"/>
      </tp>
      <tp t="s">
        <v>Ferramenta Inválida</v>
        <stp/>
        <stp>BOOK0</stp>
        <stp>VOC</stp>
        <stp>86</stp>
        <tr r="A90" s="2"/>
      </tp>
      <tp t="s">
        <v>Ferramenta Inválida</v>
        <stp/>
        <stp>BOOK0</stp>
        <stp>VOV</stp>
        <stp>86</stp>
        <tr r="D90" s="2"/>
      </tp>
      <tp t="s">
        <v>Ferramenta Inválida</v>
        <stp/>
        <stp>BOOK0</stp>
        <stp>VOC</stp>
        <stp>89</stp>
        <tr r="A93" s="2"/>
      </tp>
      <tp t="s">
        <v>Ferramenta Inválida</v>
        <stp/>
        <stp>BOOK0</stp>
        <stp>VOV</stp>
        <stp>89</stp>
        <tr r="D93" s="2"/>
      </tp>
      <tp t="s">
        <v>Ferramenta Inválida</v>
        <stp/>
        <stp>BOOK0</stp>
        <stp>VOC</stp>
        <stp>88</stp>
        <tr r="A92" s="2"/>
      </tp>
      <tp t="s">
        <v>Ferramenta Inválida</v>
        <stp/>
        <stp>BOOK0</stp>
        <stp>VOV</stp>
        <stp>88</stp>
        <tr r="D92" s="2"/>
      </tp>
      <tp t="s">
        <v>Ferramenta Inválida</v>
        <stp/>
        <stp>BOOK0</stp>
        <stp>OVD</stp>
        <stp>88</stp>
        <tr r="C92" s="2"/>
      </tp>
      <tp t="s">
        <v>Ferramenta Inválida</v>
        <stp/>
        <stp>BOOK0</stp>
        <stp>OVD</stp>
        <stp>89</stp>
        <tr r="C93" s="2"/>
      </tp>
      <tp t="s">
        <v>Ferramenta Inválida</v>
        <stp/>
        <stp>BOOK0</stp>
        <stp>OVD</stp>
        <stp>80</stp>
        <tr r="C84" s="2"/>
      </tp>
      <tp t="s">
        <v>Ferramenta Inválida</v>
        <stp/>
        <stp>BOOK0</stp>
        <stp>OVD</stp>
        <stp>81</stp>
        <tr r="C85" s="2"/>
      </tp>
      <tp t="s">
        <v>Ferramenta Inválida</v>
        <stp/>
        <stp>BOOK0</stp>
        <stp>OVD</stp>
        <stp>82</stp>
        <tr r="C86" s="2"/>
      </tp>
      <tp t="s">
        <v>Ferramenta Inválida</v>
        <stp/>
        <stp>BOOK0</stp>
        <stp>OVD</stp>
        <stp>83</stp>
        <tr r="C87" s="2"/>
      </tp>
      <tp t="s">
        <v>Ferramenta Inválida</v>
        <stp/>
        <stp>BOOK0</stp>
        <stp>OVD</stp>
        <stp>84</stp>
        <tr r="C88" s="2"/>
      </tp>
      <tp t="s">
        <v>Ferramenta Inválida</v>
        <stp/>
        <stp>BOOK0</stp>
        <stp>OVD</stp>
        <stp>85</stp>
        <tr r="C89" s="2"/>
      </tp>
      <tp t="s">
        <v>Ferramenta Inválida</v>
        <stp/>
        <stp>BOOK0</stp>
        <stp>OVD</stp>
        <stp>86</stp>
        <tr r="C90" s="2"/>
      </tp>
      <tp t="s">
        <v>Ferramenta Inválida</v>
        <stp/>
        <stp>BOOK0</stp>
        <stp>OVD</stp>
        <stp>87</stp>
        <tr r="C91" s="2"/>
      </tp>
      <tp t="s">
        <v>Ferramenta Inválida</v>
        <stp/>
        <stp>BOOK0</stp>
        <stp>OCP</stp>
        <stp>89</stp>
        <tr r="B93" s="2"/>
      </tp>
      <tp t="s">
        <v>Ferramenta Inválida</v>
        <stp/>
        <stp>BOOK0</stp>
        <stp>OCP</stp>
        <stp>88</stp>
        <tr r="B92" s="2"/>
      </tp>
      <tp t="s">
        <v>Ferramenta Inválida</v>
        <stp/>
        <stp>BOOK0</stp>
        <stp>OCP</stp>
        <stp>85</stp>
        <tr r="B89" s="2"/>
      </tp>
      <tp t="s">
        <v>Ferramenta Inválida</v>
        <stp/>
        <stp>BOOK0</stp>
        <stp>OCP</stp>
        <stp>84</stp>
        <tr r="B88" s="2"/>
      </tp>
      <tp t="s">
        <v>Ferramenta Inválida</v>
        <stp/>
        <stp>BOOK0</stp>
        <stp>OCP</stp>
        <stp>87</stp>
        <tr r="B91" s="2"/>
      </tp>
      <tp t="s">
        <v>Ferramenta Inválida</v>
        <stp/>
        <stp>BOOK0</stp>
        <stp>OCP</stp>
        <stp>86</stp>
        <tr r="B90" s="2"/>
      </tp>
      <tp t="s">
        <v>Ferramenta Inválida</v>
        <stp/>
        <stp>BOOK0</stp>
        <stp>OCP</stp>
        <stp>81</stp>
        <tr r="B85" s="2"/>
      </tp>
      <tp t="s">
        <v>Ferramenta Inválida</v>
        <stp/>
        <stp>BOOK0</stp>
        <stp>OCP</stp>
        <stp>80</stp>
        <tr r="B84" s="2"/>
      </tp>
      <tp t="s">
        <v>Ferramenta Inválida</v>
        <stp/>
        <stp>BOOK0</stp>
        <stp>OCP</stp>
        <stp>83</stp>
        <tr r="B87" s="2"/>
      </tp>
      <tp t="s">
        <v>Ferramenta Inválida</v>
        <stp/>
        <stp>BOOK0</stp>
        <stp>OCP</stp>
        <stp>82</stp>
        <tr r="B86" s="2"/>
      </tp>
      <tp t="s">
        <v>Ferramenta Inválida</v>
        <stp/>
        <stp>BOOK0</stp>
        <stp>OVD</stp>
        <stp>98</stp>
        <tr r="C102" s="2"/>
      </tp>
      <tp t="s">
        <v>Ferramenta Inválida</v>
        <stp/>
        <stp>BOOK0</stp>
        <stp>OVD</stp>
        <stp>99</stp>
        <tr r="C103" s="2"/>
      </tp>
      <tp t="s">
        <v>Ferramenta Inválida</v>
        <stp/>
        <stp>BOOK0</stp>
        <stp>OVD</stp>
        <stp>90</stp>
        <tr r="C94" s="2"/>
      </tp>
      <tp t="s">
        <v>Ferramenta Inválida</v>
        <stp/>
        <stp>BOOK0</stp>
        <stp>OVD</stp>
        <stp>91</stp>
        <tr r="C95" s="2"/>
      </tp>
      <tp t="s">
        <v>Ferramenta Inválida</v>
        <stp/>
        <stp>BOOK0</stp>
        <stp>OVD</stp>
        <stp>92</stp>
        <tr r="C96" s="2"/>
      </tp>
      <tp t="s">
        <v>Ferramenta Inválida</v>
        <stp/>
        <stp>BOOK0</stp>
        <stp>OVD</stp>
        <stp>93</stp>
        <tr r="C97" s="2"/>
      </tp>
      <tp t="s">
        <v>Ferramenta Inválida</v>
        <stp/>
        <stp>BOOK0</stp>
        <stp>OVD</stp>
        <stp>94</stp>
        <tr r="C98" s="2"/>
      </tp>
      <tp t="s">
        <v>Ferramenta Inválida</v>
        <stp/>
        <stp>BOOK0</stp>
        <stp>OVD</stp>
        <stp>95</stp>
        <tr r="C99" s="2"/>
      </tp>
      <tp t="s">
        <v>Ferramenta Inválida</v>
        <stp/>
        <stp>BOOK0</stp>
        <stp>OVD</stp>
        <stp>96</stp>
        <tr r="C100" s="2"/>
      </tp>
      <tp t="s">
        <v>Ferramenta Inválida</v>
        <stp/>
        <stp>BOOK0</stp>
        <stp>OVD</stp>
        <stp>97</stp>
        <tr r="C101" s="2"/>
      </tp>
      <tp t="s">
        <v>Ferramenta Inválida</v>
        <stp/>
        <stp>BOOK0</stp>
        <stp>OCP</stp>
        <stp>99</stp>
        <tr r="B103" s="2"/>
      </tp>
      <tp t="s">
        <v>Ferramenta Inválida</v>
        <stp/>
        <stp>BOOK0</stp>
        <stp>OCP</stp>
        <stp>98</stp>
        <tr r="B102" s="2"/>
      </tp>
      <tp t="s">
        <v>Ferramenta Inválida</v>
        <stp/>
        <stp>BOOK0</stp>
        <stp>OCP</stp>
        <stp>95</stp>
        <tr r="B99" s="2"/>
      </tp>
      <tp t="s">
        <v>Ferramenta Inválida</v>
        <stp/>
        <stp>BOOK0</stp>
        <stp>OCP</stp>
        <stp>94</stp>
        <tr r="B98" s="2"/>
      </tp>
      <tp t="s">
        <v>Ferramenta Inválida</v>
        <stp/>
        <stp>BOOK0</stp>
        <stp>OCP</stp>
        <stp>97</stp>
        <tr r="B101" s="2"/>
      </tp>
      <tp t="s">
        <v>Ferramenta Inválida</v>
        <stp/>
        <stp>BOOK0</stp>
        <stp>OCP</stp>
        <stp>96</stp>
        <tr r="B100" s="2"/>
      </tp>
      <tp t="s">
        <v>Ferramenta Inválida</v>
        <stp/>
        <stp>BOOK0</stp>
        <stp>OCP</stp>
        <stp>91</stp>
        <tr r="B95" s="2"/>
      </tp>
      <tp t="s">
        <v>Ferramenta Inválida</v>
        <stp/>
        <stp>BOOK0</stp>
        <stp>OCP</stp>
        <stp>90</stp>
        <tr r="B94" s="2"/>
      </tp>
      <tp t="s">
        <v>Ferramenta Inválida</v>
        <stp/>
        <stp>BOOK0</stp>
        <stp>OCP</stp>
        <stp>93</stp>
        <tr r="B97" s="2"/>
      </tp>
      <tp t="s">
        <v>Ferramenta Inválida</v>
        <stp/>
        <stp>BOOK0</stp>
        <stp>OCP</stp>
        <stp>92</stp>
        <tr r="B96" s="2"/>
      </tp>
      <tp t="s">
        <v>Ferramenta Inválida</v>
        <stp/>
        <stp>BOOK0</stp>
        <stp>OVD</stp>
        <stp>18</stp>
        <tr r="C22" s="2"/>
      </tp>
      <tp t="s">
        <v>Ferramenta Inválida</v>
        <stp/>
        <stp>BOOK0</stp>
        <stp>OVD</stp>
        <stp>19</stp>
        <tr r="C23" s="2"/>
      </tp>
      <tp t="s">
        <v>Ferramenta Inválida</v>
        <stp/>
        <stp>BOOK0</stp>
        <stp>OVD</stp>
        <stp>10</stp>
        <tr r="C13" s="2"/>
      </tp>
      <tp t="s">
        <v>Ferramenta Inválida</v>
        <stp/>
        <stp>BOOK0</stp>
        <stp>OVD</stp>
        <stp>11</stp>
        <tr r="C14" s="2"/>
      </tp>
      <tp t="s">
        <v>Ferramenta Inválida</v>
        <stp/>
        <stp>BOOK0</stp>
        <stp>OVD</stp>
        <stp>12</stp>
        <tr r="C15" s="2"/>
      </tp>
      <tp t="s">
        <v>Ferramenta Inválida</v>
        <stp/>
        <stp>BOOK0</stp>
        <stp>OVD</stp>
        <stp>13</stp>
        <tr r="C16" s="2"/>
      </tp>
      <tp t="s">
        <v>Ferramenta Inválida</v>
        <stp/>
        <stp>BOOK0</stp>
        <stp>OVD</stp>
        <stp>14</stp>
        <tr r="C17" s="2"/>
      </tp>
      <tp t="s">
        <v>Ferramenta Inválida</v>
        <stp/>
        <stp>BOOK0</stp>
        <stp>OVD</stp>
        <stp>15</stp>
        <tr r="C18" s="2"/>
      </tp>
      <tp t="s">
        <v>Ferramenta Inválida</v>
        <stp/>
        <stp>BOOK0</stp>
        <stp>OVD</stp>
        <stp>16</stp>
        <tr r="C19" s="2"/>
      </tp>
      <tp t="s">
        <v>Ferramenta Inválida</v>
        <stp/>
        <stp>BOOK0</stp>
        <stp>OVD</stp>
        <stp>17</stp>
        <tr r="C21" s="2"/>
      </tp>
      <tp t="s">
        <v>Ferramenta Inválida</v>
        <stp/>
        <stp>BOOK0</stp>
        <stp>OCP</stp>
        <stp>19</stp>
        <tr r="B23" s="2"/>
      </tp>
      <tp t="s">
        <v>Ferramenta Inválida</v>
        <stp/>
        <stp>BOOK0</stp>
        <stp>OCP</stp>
        <stp>18</stp>
        <tr r="B22" s="2"/>
      </tp>
      <tp t="s">
        <v>Ferramenta Inválida</v>
        <stp/>
        <stp>BOOK0</stp>
        <stp>OCP</stp>
        <stp>15</stp>
        <tr r="B18" s="2"/>
      </tp>
      <tp t="s">
        <v>Ferramenta Inválida</v>
        <stp/>
        <stp>BOOK0</stp>
        <stp>OCP</stp>
        <stp>14</stp>
        <tr r="B17" s="2"/>
      </tp>
      <tp t="s">
        <v>Ferramenta Inválida</v>
        <stp/>
        <stp>BOOK0</stp>
        <stp>OCP</stp>
        <stp>17</stp>
        <tr r="B21" s="2"/>
      </tp>
      <tp t="s">
        <v>Ferramenta Inválida</v>
        <stp/>
        <stp>BOOK0</stp>
        <stp>OCP</stp>
        <stp>16</stp>
        <tr r="B19" s="2"/>
      </tp>
      <tp t="s">
        <v>Ferramenta Inválida</v>
        <stp/>
        <stp>BOOK0</stp>
        <stp>OCP</stp>
        <stp>11</stp>
        <tr r="B14" s="2"/>
      </tp>
      <tp t="s">
        <v>Ferramenta Inválida</v>
        <stp/>
        <stp>BOOK0</stp>
        <stp>OCP</stp>
        <stp>10</stp>
        <tr r="B13" s="2"/>
      </tp>
      <tp t="s">
        <v>Ferramenta Inválida</v>
        <stp/>
        <stp>BOOK0</stp>
        <stp>OCP</stp>
        <stp>13</stp>
        <tr r="B16" s="2"/>
      </tp>
      <tp t="s">
        <v>Ferramenta Inválida</v>
        <stp/>
        <stp>BOOK0</stp>
        <stp>OCP</stp>
        <stp>12</stp>
        <tr r="B15" s="2"/>
      </tp>
      <tp t="s">
        <v>Ferramenta Inválida</v>
        <stp/>
        <stp>BOOK0</stp>
        <stp>OVD</stp>
        <stp>28</stp>
        <tr r="C32" s="2"/>
      </tp>
      <tp t="s">
        <v>Ferramenta Inválida</v>
        <stp/>
        <stp>BOOK0</stp>
        <stp>OVD</stp>
        <stp>29</stp>
        <tr r="C33" s="2"/>
      </tp>
      <tp t="s">
        <v>Ferramenta Inválida</v>
        <stp/>
        <stp>BOOK0</stp>
        <stp>OVD</stp>
        <stp>20</stp>
        <tr r="C24" s="2"/>
      </tp>
      <tp t="s">
        <v>Ferramenta Inválida</v>
        <stp/>
        <stp>BOOK0</stp>
        <stp>OVD</stp>
        <stp>21</stp>
        <tr r="C25" s="2"/>
      </tp>
      <tp t="s">
        <v>Ferramenta Inválida</v>
        <stp/>
        <stp>BOOK0</stp>
        <stp>OVD</stp>
        <stp>22</stp>
        <tr r="C26" s="2"/>
      </tp>
      <tp t="s">
        <v>Ferramenta Inválida</v>
        <stp/>
        <stp>BOOK0</stp>
        <stp>OVD</stp>
        <stp>23</stp>
        <tr r="C27" s="2"/>
      </tp>
      <tp t="s">
        <v>Ferramenta Inválida</v>
        <stp/>
        <stp>BOOK0</stp>
        <stp>OVD</stp>
        <stp>24</stp>
        <tr r="C28" s="2"/>
      </tp>
      <tp t="s">
        <v>Ferramenta Inválida</v>
        <stp/>
        <stp>BOOK0</stp>
        <stp>OVD</stp>
        <stp>25</stp>
        <tr r="C29" s="2"/>
      </tp>
      <tp t="s">
        <v>Ferramenta Inválida</v>
        <stp/>
        <stp>BOOK0</stp>
        <stp>OVD</stp>
        <stp>26</stp>
        <tr r="C30" s="2"/>
      </tp>
      <tp t="s">
        <v>Ferramenta Inválida</v>
        <stp/>
        <stp>BOOK0</stp>
        <stp>OVD</stp>
        <stp>27</stp>
        <tr r="C31" s="2"/>
      </tp>
      <tp t="s">
        <v>Ferramenta Inválida</v>
        <stp/>
        <stp>BOOK0</stp>
        <stp>OCP</stp>
        <stp>29</stp>
        <tr r="B33" s="2"/>
      </tp>
      <tp t="s">
        <v>Ferramenta Inválida</v>
        <stp/>
        <stp>BOOK0</stp>
        <stp>OCP</stp>
        <stp>28</stp>
        <tr r="B32" s="2"/>
      </tp>
      <tp t="s">
        <v>Ferramenta Inválida</v>
        <stp/>
        <stp>BOOK0</stp>
        <stp>OCP</stp>
        <stp>25</stp>
        <tr r="B29" s="2"/>
      </tp>
      <tp t="s">
        <v>Ferramenta Inválida</v>
        <stp/>
        <stp>BOOK0</stp>
        <stp>OCP</stp>
        <stp>24</stp>
        <tr r="B28" s="2"/>
      </tp>
      <tp t="s">
        <v>Ferramenta Inválida</v>
        <stp/>
        <stp>BOOK0</stp>
        <stp>OCP</stp>
        <stp>27</stp>
        <tr r="B31" s="2"/>
      </tp>
      <tp t="s">
        <v>Ferramenta Inválida</v>
        <stp/>
        <stp>BOOK0</stp>
        <stp>OCP</stp>
        <stp>26</stp>
        <tr r="B30" s="2"/>
      </tp>
      <tp t="s">
        <v>Ferramenta Inválida</v>
        <stp/>
        <stp>BOOK0</stp>
        <stp>OCP</stp>
        <stp>21</stp>
        <tr r="B25" s="2"/>
      </tp>
      <tp t="s">
        <v>Ferramenta Inválida</v>
        <stp/>
        <stp>BOOK0</stp>
        <stp>OCP</stp>
        <stp>20</stp>
        <tr r="B24" s="2"/>
      </tp>
      <tp t="s">
        <v>Ferramenta Inválida</v>
        <stp/>
        <stp>BOOK0</stp>
        <stp>OCP</stp>
        <stp>23</stp>
        <tr r="B27" s="2"/>
      </tp>
      <tp t="s">
        <v>Ferramenta Inválida</v>
        <stp/>
        <stp>BOOK0</stp>
        <stp>OCP</stp>
        <stp>22</stp>
        <tr r="B26" s="2"/>
      </tp>
      <tp t="s">
        <v>Ferramenta Inválida</v>
        <stp/>
        <stp>BOOK0</stp>
        <stp>OVD</stp>
        <stp>38</stp>
        <tr r="C42" s="2"/>
      </tp>
      <tp t="s">
        <v>Ferramenta Inválida</v>
        <stp/>
        <stp>BOOK0</stp>
        <stp>OVD</stp>
        <stp>39</stp>
        <tr r="C43" s="2"/>
      </tp>
      <tp t="s">
        <v>Ferramenta Inválida</v>
        <stp/>
        <stp>BOOK0</stp>
        <stp>OVD</stp>
        <stp>30</stp>
        <tr r="C34" s="2"/>
      </tp>
      <tp t="s">
        <v>Ferramenta Inválida</v>
        <stp/>
        <stp>BOOK0</stp>
        <stp>OVD</stp>
        <stp>31</stp>
        <tr r="C35" s="2"/>
      </tp>
      <tp t="s">
        <v>Ferramenta Inválida</v>
        <stp/>
        <stp>BOOK0</stp>
        <stp>OVD</stp>
        <stp>32</stp>
        <tr r="C36" s="2"/>
      </tp>
      <tp t="s">
        <v>Ferramenta Inválida</v>
        <stp/>
        <stp>BOOK0</stp>
        <stp>OVD</stp>
        <stp>33</stp>
        <tr r="C37" s="2"/>
      </tp>
      <tp t="s">
        <v>Ferramenta Inválida</v>
        <stp/>
        <stp>BOOK0</stp>
        <stp>OVD</stp>
        <stp>34</stp>
        <tr r="C38" s="2"/>
      </tp>
      <tp t="s">
        <v>Ferramenta Inválida</v>
        <stp/>
        <stp>BOOK0</stp>
        <stp>OVD</stp>
        <stp>35</stp>
        <tr r="C39" s="2"/>
      </tp>
      <tp t="s">
        <v>Ferramenta Inválida</v>
        <stp/>
        <stp>BOOK0</stp>
        <stp>OVD</stp>
        <stp>36</stp>
        <tr r="C40" s="2"/>
      </tp>
      <tp t="s">
        <v>Ferramenta Inválida</v>
        <stp/>
        <stp>BOOK0</stp>
        <stp>OVD</stp>
        <stp>37</stp>
        <tr r="C41" s="2"/>
      </tp>
      <tp t="s">
        <v>Ferramenta Inválida</v>
        <stp/>
        <stp>BOOK0</stp>
        <stp>OCP</stp>
        <stp>39</stp>
        <tr r="B43" s="2"/>
      </tp>
      <tp t="s">
        <v>Ferramenta Inválida</v>
        <stp/>
        <stp>BOOK0</stp>
        <stp>OCP</stp>
        <stp>38</stp>
        <tr r="B42" s="2"/>
      </tp>
      <tp t="s">
        <v>Ferramenta Inválida</v>
        <stp/>
        <stp>BOOK0</stp>
        <stp>OCP</stp>
        <stp>35</stp>
        <tr r="B39" s="2"/>
      </tp>
      <tp t="s">
        <v>Ferramenta Inválida</v>
        <stp/>
        <stp>BOOK0</stp>
        <stp>OCP</stp>
        <stp>34</stp>
        <tr r="B38" s="2"/>
      </tp>
      <tp t="s">
        <v>Ferramenta Inválida</v>
        <stp/>
        <stp>BOOK0</stp>
        <stp>OCP</stp>
        <stp>37</stp>
        <tr r="B41" s="2"/>
      </tp>
      <tp t="s">
        <v>Ferramenta Inválida</v>
        <stp/>
        <stp>BOOK0</stp>
        <stp>OCP</stp>
        <stp>36</stp>
        <tr r="B40" s="2"/>
      </tp>
      <tp t="s">
        <v>Ferramenta Inválida</v>
        <stp/>
        <stp>BOOK0</stp>
        <stp>OCP</stp>
        <stp>31</stp>
        <tr r="B35" s="2"/>
      </tp>
      <tp t="s">
        <v>Ferramenta Inválida</v>
        <stp/>
        <stp>BOOK0</stp>
        <stp>OCP</stp>
        <stp>30</stp>
        <tr r="B34" s="2"/>
      </tp>
      <tp t="s">
        <v>Ferramenta Inválida</v>
        <stp/>
        <stp>BOOK0</stp>
        <stp>OCP</stp>
        <stp>33</stp>
        <tr r="B37" s="2"/>
      </tp>
      <tp t="s">
        <v>Ferramenta Inválida</v>
        <stp/>
        <stp>BOOK0</stp>
        <stp>OCP</stp>
        <stp>32</stp>
        <tr r="B36" s="2"/>
      </tp>
      <tp t="s">
        <v>Ferramenta Inválida</v>
        <stp/>
        <stp>BOOK0</stp>
        <stp>OVD</stp>
        <stp>48</stp>
        <tr r="C52" s="2"/>
      </tp>
      <tp t="s">
        <v>Ferramenta Inválida</v>
        <stp/>
        <stp>BOOK0</stp>
        <stp>OVD</stp>
        <stp>49</stp>
        <tr r="C53" s="2"/>
      </tp>
      <tp t="s">
        <v>Ferramenta Inválida</v>
        <stp/>
        <stp>BOOK0</stp>
        <stp>OVD</stp>
        <stp>40</stp>
        <tr r="C44" s="2"/>
      </tp>
      <tp t="s">
        <v>Ferramenta Inválida</v>
        <stp/>
        <stp>BOOK0</stp>
        <stp>OVD</stp>
        <stp>41</stp>
        <tr r="C45" s="2"/>
      </tp>
      <tp t="s">
        <v>Ferramenta Inválida</v>
        <stp/>
        <stp>BOOK0</stp>
        <stp>OVD</stp>
        <stp>42</stp>
        <tr r="C46" s="2"/>
      </tp>
      <tp t="s">
        <v>Ferramenta Inválida</v>
        <stp/>
        <stp>BOOK0</stp>
        <stp>OVD</stp>
        <stp>43</stp>
        <tr r="C47" s="2"/>
      </tp>
      <tp t="s">
        <v>Ferramenta Inválida</v>
        <stp/>
        <stp>BOOK0</stp>
        <stp>OVD</stp>
        <stp>44</stp>
        <tr r="C48" s="2"/>
      </tp>
      <tp t="s">
        <v>Ferramenta Inválida</v>
        <stp/>
        <stp>BOOK0</stp>
        <stp>OVD</stp>
        <stp>45</stp>
        <tr r="C49" s="2"/>
      </tp>
      <tp t="s">
        <v>Ferramenta Inválida</v>
        <stp/>
        <stp>BOOK0</stp>
        <stp>OVD</stp>
        <stp>46</stp>
        <tr r="C50" s="2"/>
      </tp>
      <tp t="s">
        <v>Ferramenta Inválida</v>
        <stp/>
        <stp>BOOK0</stp>
        <stp>OVD</stp>
        <stp>47</stp>
        <tr r="C51" s="2"/>
      </tp>
      <tp t="s">
        <v>Ferramenta Inválida</v>
        <stp/>
        <stp>BOOK0</stp>
        <stp>OCP</stp>
        <stp>49</stp>
        <tr r="B53" s="2"/>
      </tp>
      <tp t="s">
        <v>Ferramenta Inválida</v>
        <stp/>
        <stp>BOOK0</stp>
        <stp>OCP</stp>
        <stp>48</stp>
        <tr r="B52" s="2"/>
      </tp>
      <tp t="s">
        <v>Ferramenta Inválida</v>
        <stp/>
        <stp>BOOK0</stp>
        <stp>OCP</stp>
        <stp>45</stp>
        <tr r="B49" s="2"/>
      </tp>
      <tp t="s">
        <v>Ferramenta Inválida</v>
        <stp/>
        <stp>BOOK0</stp>
        <stp>OCP</stp>
        <stp>44</stp>
        <tr r="B48" s="2"/>
      </tp>
      <tp t="s">
        <v>Ferramenta Inválida</v>
        <stp/>
        <stp>BOOK0</stp>
        <stp>OCP</stp>
        <stp>47</stp>
        <tr r="B51" s="2"/>
      </tp>
      <tp t="s">
        <v>Ferramenta Inválida</v>
        <stp/>
        <stp>BOOK0</stp>
        <stp>OCP</stp>
        <stp>46</stp>
        <tr r="B50" s="2"/>
      </tp>
      <tp t="s">
        <v>Ferramenta Inválida</v>
        <stp/>
        <stp>BOOK0</stp>
        <stp>OCP</stp>
        <stp>41</stp>
        <tr r="B45" s="2"/>
      </tp>
      <tp t="s">
        <v>Ferramenta Inválida</v>
        <stp/>
        <stp>BOOK0</stp>
        <stp>OCP</stp>
        <stp>40</stp>
        <tr r="B44" s="2"/>
      </tp>
      <tp t="s">
        <v>Ferramenta Inválida</v>
        <stp/>
        <stp>BOOK0</stp>
        <stp>OCP</stp>
        <stp>43</stp>
        <tr r="B47" s="2"/>
      </tp>
      <tp t="s">
        <v>Ferramenta Inválida</v>
        <stp/>
        <stp>BOOK0</stp>
        <stp>OCP</stp>
        <stp>42</stp>
        <tr r="B46" s="2"/>
      </tp>
      <tp t="s">
        <v>Ferramenta Inválida</v>
        <stp/>
        <stp>BOOK0</stp>
        <stp>OVD</stp>
        <stp>58</stp>
        <tr r="C62" s="2"/>
      </tp>
      <tp t="s">
        <v>Ferramenta Inválida</v>
        <stp/>
        <stp>BOOK0</stp>
        <stp>OVD</stp>
        <stp>59</stp>
        <tr r="C63" s="2"/>
      </tp>
      <tp t="s">
        <v>Ferramenta Inválida</v>
        <stp/>
        <stp>BOOK0</stp>
        <stp>OVD</stp>
        <stp>50</stp>
        <tr r="C54" s="2"/>
      </tp>
      <tp t="s">
        <v>Ferramenta Inválida</v>
        <stp/>
        <stp>BOOK0</stp>
        <stp>OVD</stp>
        <stp>51</stp>
        <tr r="C55" s="2"/>
      </tp>
      <tp t="s">
        <v>Ferramenta Inválida</v>
        <stp/>
        <stp>BOOK0</stp>
        <stp>OVD</stp>
        <stp>52</stp>
        <tr r="C56" s="2"/>
      </tp>
      <tp t="s">
        <v>Ferramenta Inválida</v>
        <stp/>
        <stp>BOOK0</stp>
        <stp>OVD</stp>
        <stp>53</stp>
        <tr r="C57" s="2"/>
      </tp>
      <tp t="s">
        <v>Ferramenta Inválida</v>
        <stp/>
        <stp>BOOK0</stp>
        <stp>OVD</stp>
        <stp>54</stp>
        <tr r="C58" s="2"/>
      </tp>
      <tp t="s">
        <v>Ferramenta Inválida</v>
        <stp/>
        <stp>BOOK0</stp>
        <stp>OVD</stp>
        <stp>55</stp>
        <tr r="C59" s="2"/>
      </tp>
      <tp t="s">
        <v>Ferramenta Inválida</v>
        <stp/>
        <stp>BOOK0</stp>
        <stp>OVD</stp>
        <stp>56</stp>
        <tr r="C60" s="2"/>
      </tp>
      <tp t="s">
        <v>Ferramenta Inválida</v>
        <stp/>
        <stp>BOOK0</stp>
        <stp>OVD</stp>
        <stp>57</stp>
        <tr r="C61" s="2"/>
      </tp>
      <tp t="s">
        <v>Ferramenta Inválida</v>
        <stp/>
        <stp>BOOK0</stp>
        <stp>OCP</stp>
        <stp>59</stp>
        <tr r="B63" s="2"/>
      </tp>
      <tp t="s">
        <v>Ferramenta Inválida</v>
        <stp/>
        <stp>BOOK0</stp>
        <stp>OCP</stp>
        <stp>58</stp>
        <tr r="B62" s="2"/>
      </tp>
      <tp t="s">
        <v>Ferramenta Inválida</v>
        <stp/>
        <stp>BOOK0</stp>
        <stp>OCP</stp>
        <stp>55</stp>
        <tr r="B59" s="2"/>
      </tp>
      <tp t="s">
        <v>Ferramenta Inválida</v>
        <stp/>
        <stp>BOOK0</stp>
        <stp>OCP</stp>
        <stp>54</stp>
        <tr r="B58" s="2"/>
      </tp>
      <tp t="s">
        <v>Ferramenta Inválida</v>
        <stp/>
        <stp>BOOK0</stp>
        <stp>OCP</stp>
        <stp>57</stp>
        <tr r="B61" s="2"/>
      </tp>
      <tp t="s">
        <v>Ferramenta Inválida</v>
        <stp/>
        <stp>BOOK0</stp>
        <stp>OCP</stp>
        <stp>56</stp>
        <tr r="B60" s="2"/>
      </tp>
      <tp t="s">
        <v>Ferramenta Inválida</v>
        <stp/>
        <stp>BOOK0</stp>
        <stp>OCP</stp>
        <stp>51</stp>
        <tr r="B55" s="2"/>
      </tp>
      <tp t="s">
        <v>Ferramenta Inválida</v>
        <stp/>
        <stp>BOOK0</stp>
        <stp>OCP</stp>
        <stp>50</stp>
        <tr r="B54" s="2"/>
      </tp>
      <tp t="s">
        <v>Ferramenta Inválida</v>
        <stp/>
        <stp>BOOK0</stp>
        <stp>OCP</stp>
        <stp>53</stp>
        <tr r="B57" s="2"/>
      </tp>
      <tp t="s">
        <v>Ferramenta Inválida</v>
        <stp/>
        <stp>BOOK0</stp>
        <stp>OCP</stp>
        <stp>52</stp>
        <tr r="B56" s="2"/>
      </tp>
      <tp t="s">
        <v>Ferramenta Inválida</v>
        <stp/>
        <stp>BOOK0</stp>
        <stp>OVD</stp>
        <stp>68</stp>
        <tr r="C72" s="2"/>
      </tp>
      <tp t="s">
        <v>Ferramenta Inválida</v>
        <stp/>
        <stp>BOOK0</stp>
        <stp>OVD</stp>
        <stp>69</stp>
        <tr r="C73" s="2"/>
      </tp>
      <tp t="s">
        <v>Ferramenta Inválida</v>
        <stp/>
        <stp>BOOK0</stp>
        <stp>OVD</stp>
        <stp>60</stp>
        <tr r="C64" s="2"/>
      </tp>
      <tp t="s">
        <v>Ferramenta Inválida</v>
        <stp/>
        <stp>BOOK0</stp>
        <stp>OVD</stp>
        <stp>61</stp>
        <tr r="C65" s="2"/>
      </tp>
      <tp t="s">
        <v>Ferramenta Inválida</v>
        <stp/>
        <stp>BOOK0</stp>
        <stp>OVD</stp>
        <stp>62</stp>
        <tr r="C66" s="2"/>
      </tp>
      <tp t="s">
        <v>Ferramenta Inválida</v>
        <stp/>
        <stp>BOOK0</stp>
        <stp>OVD</stp>
        <stp>63</stp>
        <tr r="C67" s="2"/>
      </tp>
      <tp t="s">
        <v>Ferramenta Inválida</v>
        <stp/>
        <stp>BOOK0</stp>
        <stp>OVD</stp>
        <stp>64</stp>
        <tr r="C68" s="2"/>
      </tp>
      <tp t="s">
        <v>Ferramenta Inválida</v>
        <stp/>
        <stp>BOOK0</stp>
        <stp>OVD</stp>
        <stp>65</stp>
        <tr r="C69" s="2"/>
      </tp>
      <tp t="s">
        <v>Ferramenta Inválida</v>
        <stp/>
        <stp>BOOK0</stp>
        <stp>OVD</stp>
        <stp>66</stp>
        <tr r="C70" s="2"/>
      </tp>
      <tp t="s">
        <v>Ferramenta Inválida</v>
        <stp/>
        <stp>BOOK0</stp>
        <stp>OVD</stp>
        <stp>67</stp>
        <tr r="C71" s="2"/>
      </tp>
      <tp t="s">
        <v>Ferramenta Inválida</v>
        <stp/>
        <stp>BOOK0</stp>
        <stp>OCP</stp>
        <stp>69</stp>
        <tr r="B73" s="2"/>
      </tp>
      <tp t="s">
        <v>Ferramenta Inválida</v>
        <stp/>
        <stp>BOOK0</stp>
        <stp>OCP</stp>
        <stp>68</stp>
        <tr r="B72" s="2"/>
      </tp>
      <tp t="s">
        <v>Ferramenta Inválida</v>
        <stp/>
        <stp>BOOK0</stp>
        <stp>OCP</stp>
        <stp>65</stp>
        <tr r="B69" s="2"/>
      </tp>
      <tp t="s">
        <v>Ferramenta Inválida</v>
        <stp/>
        <stp>BOOK0</stp>
        <stp>OCP</stp>
        <stp>64</stp>
        <tr r="B68" s="2"/>
      </tp>
      <tp t="s">
        <v>Ferramenta Inválida</v>
        <stp/>
        <stp>BOOK0</stp>
        <stp>OCP</stp>
        <stp>67</stp>
        <tr r="B71" s="2"/>
      </tp>
      <tp t="s">
        <v>Ferramenta Inválida</v>
        <stp/>
        <stp>BOOK0</stp>
        <stp>OCP</stp>
        <stp>66</stp>
        <tr r="B70" s="2"/>
      </tp>
      <tp t="s">
        <v>Ferramenta Inválida</v>
        <stp/>
        <stp>BOOK0</stp>
        <stp>OCP</stp>
        <stp>61</stp>
        <tr r="B65" s="2"/>
      </tp>
      <tp t="s">
        <v>Ferramenta Inválida</v>
        <stp/>
        <stp>BOOK0</stp>
        <stp>OCP</stp>
        <stp>60</stp>
        <tr r="B64" s="2"/>
      </tp>
      <tp t="s">
        <v>Ferramenta Inválida</v>
        <stp/>
        <stp>BOOK0</stp>
        <stp>OCP</stp>
        <stp>63</stp>
        <tr r="B67" s="2"/>
      </tp>
      <tp t="s">
        <v>Ferramenta Inválida</v>
        <stp/>
        <stp>BOOK0</stp>
        <stp>OCP</stp>
        <stp>62</stp>
        <tr r="B66" s="2"/>
      </tp>
      <tp t="s">
        <v>Ferramenta Inválida</v>
        <stp/>
        <stp>BOOK0</stp>
        <stp>OVD</stp>
        <stp>78</stp>
        <tr r="C82" s="2"/>
      </tp>
      <tp t="s">
        <v>Ferramenta Inválida</v>
        <stp/>
        <stp>BOOK0</stp>
        <stp>OVD</stp>
        <stp>79</stp>
        <tr r="C83" s="2"/>
      </tp>
      <tp t="s">
        <v>Ferramenta Inválida</v>
        <stp/>
        <stp>BOOK0</stp>
        <stp>OVD</stp>
        <stp>70</stp>
        <tr r="C74" s="2"/>
      </tp>
      <tp t="s">
        <v>Ferramenta Inválida</v>
        <stp/>
        <stp>BOOK0</stp>
        <stp>OVD</stp>
        <stp>71</stp>
        <tr r="C75" s="2"/>
      </tp>
      <tp t="s">
        <v>Ferramenta Inválida</v>
        <stp/>
        <stp>BOOK0</stp>
        <stp>OVD</stp>
        <stp>72</stp>
        <tr r="C76" s="2"/>
      </tp>
      <tp t="s">
        <v>Ferramenta Inválida</v>
        <stp/>
        <stp>BOOK0</stp>
        <stp>OVD</stp>
        <stp>73</stp>
        <tr r="C77" s="2"/>
      </tp>
      <tp t="s">
        <v>Ferramenta Inválida</v>
        <stp/>
        <stp>BOOK0</stp>
        <stp>OVD</stp>
        <stp>74</stp>
        <tr r="C78" s="2"/>
      </tp>
      <tp t="s">
        <v>Ferramenta Inválida</v>
        <stp/>
        <stp>BOOK0</stp>
        <stp>OVD</stp>
        <stp>75</stp>
        <tr r="C79" s="2"/>
      </tp>
      <tp t="s">
        <v>Ferramenta Inválida</v>
        <stp/>
        <stp>BOOK0</stp>
        <stp>OVD</stp>
        <stp>76</stp>
        <tr r="C80" s="2"/>
      </tp>
      <tp t="s">
        <v>Ferramenta Inválida</v>
        <stp/>
        <stp>BOOK0</stp>
        <stp>OVD</stp>
        <stp>77</stp>
        <tr r="C81" s="2"/>
      </tp>
      <tp t="s">
        <v>Ferramenta Inválida</v>
        <stp/>
        <stp>BOOK0</stp>
        <stp>OCP</stp>
        <stp>79</stp>
        <tr r="B83" s="2"/>
      </tp>
      <tp t="s">
        <v>Ferramenta Inválida</v>
        <stp/>
        <stp>BOOK0</stp>
        <stp>OCP</stp>
        <stp>78</stp>
        <tr r="B82" s="2"/>
      </tp>
      <tp t="s">
        <v>Ferramenta Inválida</v>
        <stp/>
        <stp>BOOK0</stp>
        <stp>OCP</stp>
        <stp>75</stp>
        <tr r="B79" s="2"/>
      </tp>
      <tp t="s">
        <v>Ferramenta Inválida</v>
        <stp/>
        <stp>BOOK0</stp>
        <stp>OCP</stp>
        <stp>74</stp>
        <tr r="B78" s="2"/>
      </tp>
      <tp t="s">
        <v>Ferramenta Inválida</v>
        <stp/>
        <stp>BOOK0</stp>
        <stp>OCP</stp>
        <stp>77</stp>
        <tr r="B81" s="2"/>
      </tp>
      <tp t="s">
        <v>Ferramenta Inválida</v>
        <stp/>
        <stp>BOOK0</stp>
        <stp>OCP</stp>
        <stp>76</stp>
        <tr r="B80" s="2"/>
      </tp>
      <tp t="s">
        <v>Ferramenta Inválida</v>
        <stp/>
        <stp>BOOK0</stp>
        <stp>OCP</stp>
        <stp>71</stp>
        <tr r="B75" s="2"/>
      </tp>
      <tp t="s">
        <v>Ferramenta Inválida</v>
        <stp/>
        <stp>BOOK0</stp>
        <stp>OCP</stp>
        <stp>70</stp>
        <tr r="B74" s="2"/>
      </tp>
      <tp t="s">
        <v>Ferramenta Inválida</v>
        <stp/>
        <stp>BOOK0</stp>
        <stp>OCP</stp>
        <stp>73</stp>
        <tr r="B77" s="2"/>
      </tp>
      <tp t="s">
        <v>Ferramenta Inválida</v>
        <stp/>
        <stp>BOOK0</stp>
        <stp>OCP</stp>
        <stp>72</stp>
        <tr r="B76" s="2"/>
      </tp>
      <tp t="s">
        <v>Ferramenta Inválida</v>
        <stp/>
        <stp>BOOK0</stp>
        <stp>VOV</stp>
        <stp>118</stp>
        <tr r="D122" s="2"/>
      </tp>
      <tp t="s">
        <v>Ferramenta Inválida</v>
        <stp/>
        <stp>BOOK0</stp>
        <stp>VOV</stp>
        <stp>119</stp>
        <tr r="D123" s="2"/>
      </tp>
      <tp t="s">
        <v>Ferramenta Inválida</v>
        <stp/>
        <stp>BOOK0</stp>
        <stp>VOV</stp>
        <stp>114</stp>
        <tr r="D118" s="2"/>
      </tp>
      <tp t="s">
        <v>Ferramenta Inválida</v>
        <stp/>
        <stp>BOOK0</stp>
        <stp>VOV</stp>
        <stp>115</stp>
        <tr r="D119" s="2"/>
      </tp>
      <tp t="s">
        <v>Ferramenta Inválida</v>
        <stp/>
        <stp>BOOK0</stp>
        <stp>VOV</stp>
        <stp>116</stp>
        <tr r="D120" s="2"/>
      </tp>
      <tp t="s">
        <v>Ferramenta Inválida</v>
        <stp/>
        <stp>BOOK0</stp>
        <stp>VOV</stp>
        <stp>117</stp>
        <tr r="D121" s="2"/>
      </tp>
      <tp t="s">
        <v>Ferramenta Inválida</v>
        <stp/>
        <stp>BOOK0</stp>
        <stp>VOV</stp>
        <stp>110</stp>
        <tr r="D114" s="2"/>
      </tp>
      <tp t="s">
        <v>Ferramenta Inválida</v>
        <stp/>
        <stp>BOOK0</stp>
        <stp>VOV</stp>
        <stp>111</stp>
        <tr r="D115" s="2"/>
      </tp>
      <tp t="s">
        <v>Ferramenta Inválida</v>
        <stp/>
        <stp>BOOK0</stp>
        <stp>VOV</stp>
        <stp>112</stp>
        <tr r="D116" s="2"/>
      </tp>
      <tp t="s">
        <v>Ferramenta Inválida</v>
        <stp/>
        <stp>BOOK0</stp>
        <stp>VOV</stp>
        <stp>113</stp>
        <tr r="D117" s="2"/>
      </tp>
      <tp t="s">
        <v>Ferramenta Inválida</v>
        <stp/>
        <stp>BOOK0</stp>
        <stp>VOC</stp>
        <stp>119</stp>
        <tr r="A123" s="2"/>
      </tp>
      <tp t="s">
        <v>Ferramenta Inválida</v>
        <stp/>
        <stp>BOOK0</stp>
        <stp>VOC</stp>
        <stp>118</stp>
        <tr r="A122" s="2"/>
      </tp>
      <tp t="s">
        <v>Ferramenta Inválida</v>
        <stp/>
        <stp>BOOK0</stp>
        <stp>VOC</stp>
        <stp>111</stp>
        <tr r="A115" s="2"/>
      </tp>
      <tp t="s">
        <v>Ferramenta Inválida</v>
        <stp/>
        <stp>BOOK0</stp>
        <stp>VOC</stp>
        <stp>110</stp>
        <tr r="A114" s="2"/>
      </tp>
      <tp t="s">
        <v>Ferramenta Inválida</v>
        <stp/>
        <stp>BOOK0</stp>
        <stp>VOC</stp>
        <stp>113</stp>
        <tr r="A117" s="2"/>
      </tp>
      <tp t="s">
        <v>Ferramenta Inválida</v>
        <stp/>
        <stp>BOOK0</stp>
        <stp>VOC</stp>
        <stp>112</stp>
        <tr r="A116" s="2"/>
      </tp>
      <tp t="s">
        <v>Ferramenta Inválida</v>
        <stp/>
        <stp>BOOK0</stp>
        <stp>VOC</stp>
        <stp>115</stp>
        <tr r="A119" s="2"/>
      </tp>
      <tp t="s">
        <v>Ferramenta Inválida</v>
        <stp/>
        <stp>BOOK0</stp>
        <stp>VOC</stp>
        <stp>114</stp>
        <tr r="A118" s="2"/>
      </tp>
      <tp t="s">
        <v>Ferramenta Inválida</v>
        <stp/>
        <stp>BOOK0</stp>
        <stp>VOC</stp>
        <stp>117</stp>
        <tr r="A121" s="2"/>
      </tp>
      <tp t="s">
        <v>Ferramenta Inválida</v>
        <stp/>
        <stp>BOOK0</stp>
        <stp>VOC</stp>
        <stp>116</stp>
        <tr r="A120" s="2"/>
      </tp>
      <tp t="s">
        <v>Ferramenta Inválida</v>
        <stp/>
        <stp>BOOK0</stp>
        <stp>VOV</stp>
        <stp>108</stp>
        <tr r="D112" s="2"/>
      </tp>
      <tp t="s">
        <v>Ferramenta Inválida</v>
        <stp/>
        <stp>BOOK0</stp>
        <stp>VOV</stp>
        <stp>109</stp>
        <tr r="D113" s="2"/>
      </tp>
      <tp t="s">
        <v>Ferramenta Inválida</v>
        <stp/>
        <stp>BOOK0</stp>
        <stp>VOV</stp>
        <stp>104</stp>
        <tr r="D108" s="2"/>
      </tp>
      <tp t="s">
        <v>Ferramenta Inválida</v>
        <stp/>
        <stp>BOOK0</stp>
        <stp>VOV</stp>
        <stp>105</stp>
        <tr r="D109" s="2"/>
      </tp>
      <tp t="s">
        <v>Ferramenta Inválida</v>
        <stp/>
        <stp>BOOK0</stp>
        <stp>VOV</stp>
        <stp>106</stp>
        <tr r="D110" s="2"/>
      </tp>
      <tp t="s">
        <v>Ferramenta Inválida</v>
        <stp/>
        <stp>BOOK0</stp>
        <stp>VOV</stp>
        <stp>107</stp>
        <tr r="D111" s="2"/>
      </tp>
      <tp t="s">
        <v>Ferramenta Inválida</v>
        <stp/>
        <stp>BOOK0</stp>
        <stp>VOV</stp>
        <stp>100</stp>
        <tr r="D104" s="2"/>
      </tp>
      <tp t="s">
        <v>Ferramenta Inválida</v>
        <stp/>
        <stp>BOOK0</stp>
        <stp>VOV</stp>
        <stp>101</stp>
        <tr r="D105" s="2"/>
      </tp>
      <tp t="s">
        <v>Ferramenta Inválida</v>
        <stp/>
        <stp>BOOK0</stp>
        <stp>VOV</stp>
        <stp>102</stp>
        <tr r="D106" s="2"/>
      </tp>
      <tp t="s">
        <v>Ferramenta Inválida</v>
        <stp/>
        <stp>BOOK0</stp>
        <stp>VOV</stp>
        <stp>103</stp>
        <tr r="D107" s="2"/>
      </tp>
      <tp t="s">
        <v>Ferramenta Inválida</v>
        <stp/>
        <stp>BOOK0</stp>
        <stp>VOC</stp>
        <stp>109</stp>
        <tr r="A113" s="2"/>
      </tp>
      <tp t="s">
        <v>Ferramenta Inválida</v>
        <stp/>
        <stp>BOOK0</stp>
        <stp>VOC</stp>
        <stp>108</stp>
        <tr r="A112" s="2"/>
      </tp>
      <tp t="s">
        <v>Ferramenta Inválida</v>
        <stp/>
        <stp>BOOK0</stp>
        <stp>VOC</stp>
        <stp>101</stp>
        <tr r="A105" s="2"/>
      </tp>
      <tp t="s">
        <v>Ferramenta Inválida</v>
        <stp/>
        <stp>BOOK0</stp>
        <stp>VOC</stp>
        <stp>100</stp>
        <tr r="A104" s="2"/>
      </tp>
      <tp t="s">
        <v>Ferramenta Inválida</v>
        <stp/>
        <stp>BOOK0</stp>
        <stp>VOC</stp>
        <stp>103</stp>
        <tr r="A107" s="2"/>
      </tp>
      <tp t="s">
        <v>Ferramenta Inválida</v>
        <stp/>
        <stp>BOOK0</stp>
        <stp>VOC</stp>
        <stp>102</stp>
        <tr r="A106" s="2"/>
      </tp>
      <tp t="s">
        <v>Ferramenta Inválida</v>
        <stp/>
        <stp>BOOK0</stp>
        <stp>VOC</stp>
        <stp>105</stp>
        <tr r="A109" s="2"/>
      </tp>
      <tp t="s">
        <v>Ferramenta Inválida</v>
        <stp/>
        <stp>BOOK0</stp>
        <stp>VOC</stp>
        <stp>104</stp>
        <tr r="A108" s="2"/>
      </tp>
      <tp t="s">
        <v>Ferramenta Inválida</v>
        <stp/>
        <stp>BOOK0</stp>
        <stp>VOC</stp>
        <stp>107</stp>
        <tr r="A111" s="2"/>
      </tp>
      <tp t="s">
        <v>Ferramenta Inválida</v>
        <stp/>
        <stp>BOOK0</stp>
        <stp>VOC</stp>
        <stp>106</stp>
        <tr r="A110" s="2"/>
      </tp>
      <tp t="s">
        <v>Ferramenta Inválida</v>
        <stp/>
        <stp>BOOK0</stp>
        <stp>VOV</stp>
        <stp>138</stp>
        <tr r="D142" s="2"/>
      </tp>
      <tp t="s">
        <v>Ferramenta Inválida</v>
        <stp/>
        <stp>BOOK0</stp>
        <stp>VOV</stp>
        <stp>139</stp>
        <tr r="D143" s="2"/>
      </tp>
      <tp t="s">
        <v>Ferramenta Inválida</v>
        <stp/>
        <stp>BOOK0</stp>
        <stp>VOV</stp>
        <stp>134</stp>
        <tr r="D138" s="2"/>
      </tp>
      <tp t="s">
        <v>Ferramenta Inválida</v>
        <stp/>
        <stp>BOOK0</stp>
        <stp>VOV</stp>
        <stp>135</stp>
        <tr r="D139" s="2"/>
      </tp>
      <tp t="s">
        <v>Ferramenta Inválida</v>
        <stp/>
        <stp>BOOK0</stp>
        <stp>VOV</stp>
        <stp>136</stp>
        <tr r="D140" s="2"/>
      </tp>
      <tp t="s">
        <v>Ferramenta Inválida</v>
        <stp/>
        <stp>BOOK0</stp>
        <stp>VOV</stp>
        <stp>137</stp>
        <tr r="D141" s="2"/>
      </tp>
      <tp t="s">
        <v>Ferramenta Inválida</v>
        <stp/>
        <stp>BOOK0</stp>
        <stp>VOV</stp>
        <stp>130</stp>
        <tr r="D134" s="2"/>
      </tp>
      <tp t="s">
        <v>Ferramenta Inválida</v>
        <stp/>
        <stp>BOOK0</stp>
        <stp>VOV</stp>
        <stp>131</stp>
        <tr r="D135" s="2"/>
      </tp>
      <tp t="s">
        <v>Ferramenta Inválida</v>
        <stp/>
        <stp>BOOK0</stp>
        <stp>VOV</stp>
        <stp>132</stp>
        <tr r="D136" s="2"/>
      </tp>
      <tp t="s">
        <v>Ferramenta Inválida</v>
        <stp/>
        <stp>BOOK0</stp>
        <stp>VOV</stp>
        <stp>133</stp>
        <tr r="D137" s="2"/>
      </tp>
      <tp t="s">
        <v>Ferramenta Inválida</v>
        <stp/>
        <stp>BOOK0</stp>
        <stp>VOC</stp>
        <stp>139</stp>
        <tr r="A143" s="2"/>
      </tp>
      <tp t="s">
        <v>Ferramenta Inválida</v>
        <stp/>
        <stp>BOOK0</stp>
        <stp>VOC</stp>
        <stp>138</stp>
        <tr r="A142" s="2"/>
      </tp>
      <tp t="s">
        <v>Ferramenta Inválida</v>
        <stp/>
        <stp>BOOK0</stp>
        <stp>VOC</stp>
        <stp>131</stp>
        <tr r="A135" s="2"/>
      </tp>
      <tp t="s">
        <v>Ferramenta Inválida</v>
        <stp/>
        <stp>BOOK0</stp>
        <stp>VOC</stp>
        <stp>130</stp>
        <tr r="A134" s="2"/>
      </tp>
      <tp t="s">
        <v>Ferramenta Inválida</v>
        <stp/>
        <stp>BOOK0</stp>
        <stp>VOC</stp>
        <stp>133</stp>
        <tr r="A137" s="2"/>
      </tp>
      <tp t="s">
        <v>Ferramenta Inválida</v>
        <stp/>
        <stp>BOOK0</stp>
        <stp>VOC</stp>
        <stp>132</stp>
        <tr r="A136" s="2"/>
      </tp>
      <tp t="s">
        <v>Ferramenta Inválida</v>
        <stp/>
        <stp>BOOK0</stp>
        <stp>VOC</stp>
        <stp>135</stp>
        <tr r="A139" s="2"/>
      </tp>
      <tp t="s">
        <v>Ferramenta Inválida</v>
        <stp/>
        <stp>BOOK0</stp>
        <stp>VOC</stp>
        <stp>134</stp>
        <tr r="A138" s="2"/>
      </tp>
      <tp t="s">
        <v>Ferramenta Inválida</v>
        <stp/>
        <stp>BOOK0</stp>
        <stp>VOC</stp>
        <stp>137</stp>
        <tr r="A141" s="2"/>
      </tp>
      <tp t="s">
        <v>Ferramenta Inválida</v>
        <stp/>
        <stp>BOOK0</stp>
        <stp>VOC</stp>
        <stp>136</stp>
        <tr r="A140" s="2"/>
      </tp>
      <tp t="s">
        <v>Ferramenta Inválida</v>
        <stp/>
        <stp>BOOK0</stp>
        <stp>VOV</stp>
        <stp>128</stp>
        <tr r="D132" s="2"/>
      </tp>
      <tp t="s">
        <v>Ferramenta Inválida</v>
        <stp/>
        <stp>BOOK0</stp>
        <stp>VOV</stp>
        <stp>129</stp>
        <tr r="D133" s="2"/>
      </tp>
      <tp t="s">
        <v>Ferramenta Inválida</v>
        <stp/>
        <stp>BOOK0</stp>
        <stp>VOV</stp>
        <stp>124</stp>
        <tr r="D128" s="2"/>
      </tp>
      <tp t="s">
        <v>Ferramenta Inválida</v>
        <stp/>
        <stp>BOOK0</stp>
        <stp>VOV</stp>
        <stp>125</stp>
        <tr r="D129" s="2"/>
      </tp>
      <tp t="s">
        <v>Ferramenta Inválida</v>
        <stp/>
        <stp>BOOK0</stp>
        <stp>VOV</stp>
        <stp>126</stp>
        <tr r="D130" s="2"/>
      </tp>
      <tp t="s">
        <v>Ferramenta Inválida</v>
        <stp/>
        <stp>BOOK0</stp>
        <stp>VOV</stp>
        <stp>127</stp>
        <tr r="D131" s="2"/>
      </tp>
      <tp t="s">
        <v>Ferramenta Inválida</v>
        <stp/>
        <stp>BOOK0</stp>
        <stp>VOV</stp>
        <stp>120</stp>
        <tr r="D124" s="2"/>
      </tp>
      <tp t="s">
        <v>Ferramenta Inválida</v>
        <stp/>
        <stp>BOOK0</stp>
        <stp>VOV</stp>
        <stp>121</stp>
        <tr r="D125" s="2"/>
      </tp>
      <tp t="s">
        <v>Ferramenta Inválida</v>
        <stp/>
        <stp>BOOK0</stp>
        <stp>VOV</stp>
        <stp>122</stp>
        <tr r="D126" s="2"/>
      </tp>
      <tp t="s">
        <v>Ferramenta Inválida</v>
        <stp/>
        <stp>BOOK0</stp>
        <stp>VOV</stp>
        <stp>123</stp>
        <tr r="D127" s="2"/>
      </tp>
      <tp t="s">
        <v>Ferramenta Inválida</v>
        <stp/>
        <stp>BOOK0</stp>
        <stp>VOC</stp>
        <stp>129</stp>
        <tr r="A133" s="2"/>
      </tp>
      <tp t="s">
        <v>Ferramenta Inválida</v>
        <stp/>
        <stp>BOOK0</stp>
        <stp>VOC</stp>
        <stp>128</stp>
        <tr r="A132" s="2"/>
      </tp>
      <tp t="s">
        <v>Ferramenta Inválida</v>
        <stp/>
        <stp>BOOK0</stp>
        <stp>VOC</stp>
        <stp>121</stp>
        <tr r="A125" s="2"/>
      </tp>
      <tp t="s">
        <v>Ferramenta Inválida</v>
        <stp/>
        <stp>BOOK0</stp>
        <stp>VOC</stp>
        <stp>120</stp>
        <tr r="A124" s="2"/>
      </tp>
      <tp t="s">
        <v>Ferramenta Inválida</v>
        <stp/>
        <stp>BOOK0</stp>
        <stp>VOC</stp>
        <stp>123</stp>
        <tr r="A127" s="2"/>
      </tp>
      <tp t="s">
        <v>Ferramenta Inválida</v>
        <stp/>
        <stp>BOOK0</stp>
        <stp>VOC</stp>
        <stp>122</stp>
        <tr r="A126" s="2"/>
      </tp>
      <tp t="s">
        <v>Ferramenta Inválida</v>
        <stp/>
        <stp>BOOK0</stp>
        <stp>VOC</stp>
        <stp>125</stp>
        <tr r="A129" s="2"/>
      </tp>
      <tp t="s">
        <v>Ferramenta Inválida</v>
        <stp/>
        <stp>BOOK0</stp>
        <stp>VOC</stp>
        <stp>124</stp>
        <tr r="A128" s="2"/>
      </tp>
      <tp t="s">
        <v>Ferramenta Inválida</v>
        <stp/>
        <stp>BOOK0</stp>
        <stp>VOC</stp>
        <stp>127</stp>
        <tr r="A131" s="2"/>
      </tp>
      <tp t="s">
        <v>Ferramenta Inválida</v>
        <stp/>
        <stp>BOOK0</stp>
        <stp>VOC</stp>
        <stp>126</stp>
        <tr r="A130" s="2"/>
      </tp>
      <tp t="s">
        <v>Ferramenta Inválida</v>
        <stp/>
        <stp>BOOK0</stp>
        <stp>VOV</stp>
        <stp>158</stp>
        <tr r="D162" s="2"/>
      </tp>
      <tp t="s">
        <v>Ferramenta Inválida</v>
        <stp/>
        <stp>BOOK0</stp>
        <stp>VOV</stp>
        <stp>159</stp>
        <tr r="D163" s="2"/>
      </tp>
      <tp t="s">
        <v>Ferramenta Inválida</v>
        <stp/>
        <stp>BOOK0</stp>
        <stp>VOV</stp>
        <stp>154</stp>
        <tr r="D158" s="2"/>
      </tp>
      <tp t="s">
        <v>Ferramenta Inválida</v>
        <stp/>
        <stp>BOOK0</stp>
        <stp>VOV</stp>
        <stp>155</stp>
        <tr r="D159" s="2"/>
      </tp>
      <tp t="s">
        <v>Ferramenta Inválida</v>
        <stp/>
        <stp>BOOK0</stp>
        <stp>VOV</stp>
        <stp>156</stp>
        <tr r="D160" s="2"/>
      </tp>
      <tp t="s">
        <v>Ferramenta Inválida</v>
        <stp/>
        <stp>BOOK0</stp>
        <stp>VOV</stp>
        <stp>157</stp>
        <tr r="D161" s="2"/>
      </tp>
      <tp t="s">
        <v>Ferramenta Inválida</v>
        <stp/>
        <stp>BOOK0</stp>
        <stp>VOV</stp>
        <stp>150</stp>
        <tr r="D154" s="2"/>
      </tp>
      <tp t="s">
        <v>Ferramenta Inválida</v>
        <stp/>
        <stp>BOOK0</stp>
        <stp>VOV</stp>
        <stp>151</stp>
        <tr r="D155" s="2"/>
      </tp>
      <tp t="s">
        <v>Ferramenta Inválida</v>
        <stp/>
        <stp>BOOK0</stp>
        <stp>VOV</stp>
        <stp>152</stp>
        <tr r="D156" s="2"/>
      </tp>
      <tp t="s">
        <v>Ferramenta Inválida</v>
        <stp/>
        <stp>BOOK0</stp>
        <stp>VOV</stp>
        <stp>153</stp>
        <tr r="D157" s="2"/>
      </tp>
      <tp t="s">
        <v>Ferramenta Inválida</v>
        <stp/>
        <stp>BOOK0</stp>
        <stp>VOC</stp>
        <stp>159</stp>
        <tr r="A163" s="2"/>
      </tp>
      <tp t="s">
        <v>Ferramenta Inválida</v>
        <stp/>
        <stp>BOOK0</stp>
        <stp>VOC</stp>
        <stp>158</stp>
        <tr r="A162" s="2"/>
      </tp>
      <tp t="s">
        <v>Ferramenta Inválida</v>
        <stp/>
        <stp>BOOK0</stp>
        <stp>VOC</stp>
        <stp>151</stp>
        <tr r="A155" s="2"/>
      </tp>
      <tp t="s">
        <v>Ferramenta Inválida</v>
        <stp/>
        <stp>BOOK0</stp>
        <stp>VOC</stp>
        <stp>150</stp>
        <tr r="A154" s="2"/>
      </tp>
      <tp t="s">
        <v>Ferramenta Inválida</v>
        <stp/>
        <stp>BOOK0</stp>
        <stp>VOC</stp>
        <stp>153</stp>
        <tr r="A157" s="2"/>
      </tp>
      <tp t="s">
        <v>Ferramenta Inválida</v>
        <stp/>
        <stp>BOOK0</stp>
        <stp>VOC</stp>
        <stp>152</stp>
        <tr r="A156" s="2"/>
      </tp>
      <tp t="s">
        <v>Ferramenta Inválida</v>
        <stp/>
        <stp>BOOK0</stp>
        <stp>VOC</stp>
        <stp>155</stp>
        <tr r="A159" s="2"/>
      </tp>
      <tp t="s">
        <v>Ferramenta Inválida</v>
        <stp/>
        <stp>BOOK0</stp>
        <stp>VOC</stp>
        <stp>154</stp>
        <tr r="A158" s="2"/>
      </tp>
      <tp t="s">
        <v>Ferramenta Inválida</v>
        <stp/>
        <stp>BOOK0</stp>
        <stp>VOC</stp>
        <stp>157</stp>
        <tr r="A161" s="2"/>
      </tp>
      <tp t="s">
        <v>Ferramenta Inválida</v>
        <stp/>
        <stp>BOOK0</stp>
        <stp>VOC</stp>
        <stp>156</stp>
        <tr r="A160" s="2"/>
      </tp>
      <tp t="s">
        <v>Ferramenta Inválida</v>
        <stp/>
        <stp>BOOK0</stp>
        <stp>VOV</stp>
        <stp>148</stp>
        <tr r="D152" s="2"/>
      </tp>
      <tp t="s">
        <v>Ferramenta Inválida</v>
        <stp/>
        <stp>BOOK0</stp>
        <stp>VOV</stp>
        <stp>149</stp>
        <tr r="D153" s="2"/>
      </tp>
      <tp t="s">
        <v>Ferramenta Inválida</v>
        <stp/>
        <stp>BOOK0</stp>
        <stp>VOV</stp>
        <stp>144</stp>
        <tr r="D148" s="2"/>
      </tp>
      <tp t="s">
        <v>Ferramenta Inválida</v>
        <stp/>
        <stp>BOOK0</stp>
        <stp>VOV</stp>
        <stp>145</stp>
        <tr r="D149" s="2"/>
      </tp>
      <tp t="s">
        <v>Ferramenta Inválida</v>
        <stp/>
        <stp>BOOK0</stp>
        <stp>VOV</stp>
        <stp>146</stp>
        <tr r="D150" s="2"/>
      </tp>
      <tp t="s">
        <v>Ferramenta Inválida</v>
        <stp/>
        <stp>BOOK0</stp>
        <stp>VOV</stp>
        <stp>147</stp>
        <tr r="D151" s="2"/>
      </tp>
      <tp t="s">
        <v>Ferramenta Inválida</v>
        <stp/>
        <stp>BOOK0</stp>
        <stp>VOV</stp>
        <stp>140</stp>
        <tr r="D144" s="2"/>
      </tp>
      <tp t="s">
        <v>Ferramenta Inválida</v>
        <stp/>
        <stp>BOOK0</stp>
        <stp>VOV</stp>
        <stp>141</stp>
        <tr r="D145" s="2"/>
      </tp>
      <tp t="s">
        <v>Ferramenta Inválida</v>
        <stp/>
        <stp>BOOK0</stp>
        <stp>VOV</stp>
        <stp>142</stp>
        <tr r="D146" s="2"/>
      </tp>
      <tp t="s">
        <v>Ferramenta Inválida</v>
        <stp/>
        <stp>BOOK0</stp>
        <stp>VOV</stp>
        <stp>143</stp>
        <tr r="D147" s="2"/>
      </tp>
      <tp t="s">
        <v>Ferramenta Inválida</v>
        <stp/>
        <stp>BOOK0</stp>
        <stp>VOC</stp>
        <stp>149</stp>
        <tr r="A153" s="2"/>
      </tp>
      <tp t="s">
        <v>Ferramenta Inválida</v>
        <stp/>
        <stp>BOOK0</stp>
        <stp>VOC</stp>
        <stp>148</stp>
        <tr r="A152" s="2"/>
      </tp>
      <tp t="s">
        <v>Ferramenta Inválida</v>
        <stp/>
        <stp>BOOK0</stp>
        <stp>VOC</stp>
        <stp>141</stp>
        <tr r="A145" s="2"/>
      </tp>
      <tp t="s">
        <v>Ferramenta Inválida</v>
        <stp/>
        <stp>BOOK0</stp>
        <stp>VOC</stp>
        <stp>140</stp>
        <tr r="A144" s="2"/>
      </tp>
      <tp t="s">
        <v>Ferramenta Inválida</v>
        <stp/>
        <stp>BOOK0</stp>
        <stp>VOC</stp>
        <stp>143</stp>
        <tr r="A147" s="2"/>
      </tp>
      <tp t="s">
        <v>Ferramenta Inválida</v>
        <stp/>
        <stp>BOOK0</stp>
        <stp>VOC</stp>
        <stp>142</stp>
        <tr r="A146" s="2"/>
      </tp>
      <tp t="s">
        <v>Ferramenta Inválida</v>
        <stp/>
        <stp>BOOK0</stp>
        <stp>VOC</stp>
        <stp>145</stp>
        <tr r="A149" s="2"/>
      </tp>
      <tp t="s">
        <v>Ferramenta Inválida</v>
        <stp/>
        <stp>BOOK0</stp>
        <stp>VOC</stp>
        <stp>144</stp>
        <tr r="A148" s="2"/>
      </tp>
      <tp t="s">
        <v>Ferramenta Inválida</v>
        <stp/>
        <stp>BOOK0</stp>
        <stp>VOC</stp>
        <stp>147</stp>
        <tr r="A151" s="2"/>
      </tp>
      <tp t="s">
        <v>Ferramenta Inválida</v>
        <stp/>
        <stp>BOOK0</stp>
        <stp>VOC</stp>
        <stp>146</stp>
        <tr r="A150" s="2"/>
      </tp>
      <tp t="s">
        <v>Ferramenta Inválida</v>
        <stp/>
        <stp>BOOK0</stp>
        <stp>VOV</stp>
        <stp>178</stp>
        <tr r="D182" s="2"/>
      </tp>
      <tp t="s">
        <v>Ferramenta Inválida</v>
        <stp/>
        <stp>BOOK0</stp>
        <stp>VOV</stp>
        <stp>179</stp>
        <tr r="D183" s="2"/>
      </tp>
      <tp t="s">
        <v>Ferramenta Inválida</v>
        <stp/>
        <stp>BOOK0</stp>
        <stp>VOV</stp>
        <stp>174</stp>
        <tr r="D178" s="2"/>
      </tp>
      <tp t="s">
        <v>Ferramenta Inválida</v>
        <stp/>
        <stp>BOOK0</stp>
        <stp>VOV</stp>
        <stp>175</stp>
        <tr r="D179" s="2"/>
      </tp>
      <tp t="s">
        <v>Ferramenta Inválida</v>
        <stp/>
        <stp>BOOK0</stp>
        <stp>VOV</stp>
        <stp>176</stp>
        <tr r="D180" s="2"/>
      </tp>
      <tp t="s">
        <v>Ferramenta Inválida</v>
        <stp/>
        <stp>BOOK0</stp>
        <stp>VOV</stp>
        <stp>177</stp>
        <tr r="D181" s="2"/>
      </tp>
      <tp t="s">
        <v>Ferramenta Inválida</v>
        <stp/>
        <stp>BOOK0</stp>
        <stp>VOV</stp>
        <stp>170</stp>
        <tr r="D174" s="2"/>
      </tp>
      <tp t="s">
        <v>Ferramenta Inválida</v>
        <stp/>
        <stp>BOOK0</stp>
        <stp>VOV</stp>
        <stp>171</stp>
        <tr r="D175" s="2"/>
      </tp>
      <tp t="s">
        <v>Ferramenta Inválida</v>
        <stp/>
        <stp>BOOK0</stp>
        <stp>VOV</stp>
        <stp>172</stp>
        <tr r="D176" s="2"/>
      </tp>
      <tp t="s">
        <v>Ferramenta Inválida</v>
        <stp/>
        <stp>BOOK0</stp>
        <stp>VOV</stp>
        <stp>173</stp>
        <tr r="D177" s="2"/>
      </tp>
      <tp t="s">
        <v>Ferramenta Inválida</v>
        <stp/>
        <stp>BOOK0</stp>
        <stp>VOC</stp>
        <stp>179</stp>
        <tr r="A183" s="2"/>
      </tp>
      <tp t="s">
        <v>Ferramenta Inválida</v>
        <stp/>
        <stp>BOOK0</stp>
        <stp>VOC</stp>
        <stp>178</stp>
        <tr r="A182" s="2"/>
      </tp>
      <tp t="s">
        <v>Ferramenta Inválida</v>
        <stp/>
        <stp>BOOK0</stp>
        <stp>VOC</stp>
        <stp>171</stp>
        <tr r="A175" s="2"/>
      </tp>
      <tp t="s">
        <v>Ferramenta Inválida</v>
        <stp/>
        <stp>BOOK0</stp>
        <stp>VOC</stp>
        <stp>170</stp>
        <tr r="A174" s="2"/>
      </tp>
      <tp t="s">
        <v>Ferramenta Inválida</v>
        <stp/>
        <stp>BOOK0</stp>
        <stp>VOC</stp>
        <stp>173</stp>
        <tr r="A177" s="2"/>
      </tp>
      <tp t="s">
        <v>Ferramenta Inválida</v>
        <stp/>
        <stp>BOOK0</stp>
        <stp>VOC</stp>
        <stp>172</stp>
        <tr r="A176" s="2"/>
      </tp>
      <tp t="s">
        <v>Ferramenta Inválida</v>
        <stp/>
        <stp>BOOK0</stp>
        <stp>VOC</stp>
        <stp>175</stp>
        <tr r="A179" s="2"/>
      </tp>
      <tp t="s">
        <v>Ferramenta Inválida</v>
        <stp/>
        <stp>BOOK0</stp>
        <stp>VOC</stp>
        <stp>174</stp>
        <tr r="A178" s="2"/>
      </tp>
      <tp t="s">
        <v>Ferramenta Inválida</v>
        <stp/>
        <stp>BOOK0</stp>
        <stp>VOC</stp>
        <stp>177</stp>
        <tr r="A181" s="2"/>
      </tp>
      <tp t="s">
        <v>Ferramenta Inválida</v>
        <stp/>
        <stp>BOOK0</stp>
        <stp>VOC</stp>
        <stp>176</stp>
        <tr r="A180" s="2"/>
      </tp>
      <tp t="s">
        <v>Ferramenta Inválida</v>
        <stp/>
        <stp>BOOK0</stp>
        <stp>VOV</stp>
        <stp>168</stp>
        <tr r="D172" s="2"/>
      </tp>
      <tp t="s">
        <v>Ferramenta Inválida</v>
        <stp/>
        <stp>BOOK0</stp>
        <stp>VOV</stp>
        <stp>169</stp>
        <tr r="D173" s="2"/>
      </tp>
      <tp t="s">
        <v>Ferramenta Inválida</v>
        <stp/>
        <stp>BOOK0</stp>
        <stp>VOV</stp>
        <stp>164</stp>
        <tr r="D168" s="2"/>
      </tp>
      <tp t="s">
        <v>Ferramenta Inválida</v>
        <stp/>
        <stp>BOOK0</stp>
        <stp>VOV</stp>
        <stp>165</stp>
        <tr r="D169" s="2"/>
      </tp>
      <tp t="s">
        <v>Ferramenta Inválida</v>
        <stp/>
        <stp>BOOK0</stp>
        <stp>VOV</stp>
        <stp>166</stp>
        <tr r="D170" s="2"/>
      </tp>
      <tp t="s">
        <v>Ferramenta Inválida</v>
        <stp/>
        <stp>BOOK0</stp>
        <stp>VOV</stp>
        <stp>167</stp>
        <tr r="D171" s="2"/>
      </tp>
      <tp t="s">
        <v>Ferramenta Inválida</v>
        <stp/>
        <stp>BOOK0</stp>
        <stp>VOV</stp>
        <stp>160</stp>
        <tr r="D164" s="2"/>
      </tp>
      <tp t="s">
        <v>Ferramenta Inválida</v>
        <stp/>
        <stp>BOOK0</stp>
        <stp>VOV</stp>
        <stp>161</stp>
        <tr r="D165" s="2"/>
      </tp>
      <tp t="s">
        <v>Ferramenta Inválida</v>
        <stp/>
        <stp>BOOK0</stp>
        <stp>VOV</stp>
        <stp>162</stp>
        <tr r="D166" s="2"/>
      </tp>
      <tp t="s">
        <v>Ferramenta Inválida</v>
        <stp/>
        <stp>BOOK0</stp>
        <stp>VOV</stp>
        <stp>163</stp>
        <tr r="D167" s="2"/>
      </tp>
      <tp t="s">
        <v>Ferramenta Inválida</v>
        <stp/>
        <stp>BOOK0</stp>
        <stp>VOC</stp>
        <stp>169</stp>
        <tr r="A173" s="2"/>
      </tp>
      <tp t="s">
        <v>Ferramenta Inválida</v>
        <stp/>
        <stp>BOOK0</stp>
        <stp>VOC</stp>
        <stp>168</stp>
        <tr r="A172" s="2"/>
      </tp>
      <tp t="s">
        <v>Ferramenta Inválida</v>
        <stp/>
        <stp>BOOK0</stp>
        <stp>VOC</stp>
        <stp>161</stp>
        <tr r="A165" s="2"/>
      </tp>
      <tp t="s">
        <v>Ferramenta Inválida</v>
        <stp/>
        <stp>BOOK0</stp>
        <stp>VOC</stp>
        <stp>160</stp>
        <tr r="A164" s="2"/>
      </tp>
      <tp t="s">
        <v>Ferramenta Inválida</v>
        <stp/>
        <stp>BOOK0</stp>
        <stp>VOC</stp>
        <stp>163</stp>
        <tr r="A167" s="2"/>
      </tp>
      <tp t="s">
        <v>Ferramenta Inválida</v>
        <stp/>
        <stp>BOOK0</stp>
        <stp>VOC</stp>
        <stp>162</stp>
        <tr r="A166" s="2"/>
      </tp>
      <tp t="s">
        <v>Ferramenta Inválida</v>
        <stp/>
        <stp>BOOK0</stp>
        <stp>VOC</stp>
        <stp>165</stp>
        <tr r="A169" s="2"/>
      </tp>
      <tp t="s">
        <v>Ferramenta Inválida</v>
        <stp/>
        <stp>BOOK0</stp>
        <stp>VOC</stp>
        <stp>164</stp>
        <tr r="A168" s="2"/>
      </tp>
      <tp t="s">
        <v>Ferramenta Inválida</v>
        <stp/>
        <stp>BOOK0</stp>
        <stp>VOC</stp>
        <stp>167</stp>
        <tr r="A171" s="2"/>
      </tp>
      <tp t="s">
        <v>Ferramenta Inválida</v>
        <stp/>
        <stp>BOOK0</stp>
        <stp>VOC</stp>
        <stp>166</stp>
        <tr r="A170" s="2"/>
      </tp>
      <tp t="s">
        <v>Ferramenta Inválida</v>
        <stp/>
        <stp>BOOK0</stp>
        <stp>VOV</stp>
        <stp>198</stp>
        <tr r="D202" s="2"/>
      </tp>
      <tp t="s">
        <v>Ferramenta Inválida</v>
        <stp/>
        <stp>BOOK0</stp>
        <stp>VOV</stp>
        <stp>199</stp>
        <tr r="D203" s="2"/>
      </tp>
      <tp t="s">
        <v>Ferramenta Inválida</v>
        <stp/>
        <stp>BOOK0</stp>
        <stp>VOV</stp>
        <stp>194</stp>
        <tr r="D198" s="2"/>
      </tp>
      <tp t="s">
        <v>Ferramenta Inválida</v>
        <stp/>
        <stp>BOOK0</stp>
        <stp>VOV</stp>
        <stp>195</stp>
        <tr r="D199" s="2"/>
      </tp>
      <tp t="s">
        <v>Ferramenta Inválida</v>
        <stp/>
        <stp>BOOK0</stp>
        <stp>VOV</stp>
        <stp>196</stp>
        <tr r="D200" s="2"/>
      </tp>
      <tp t="s">
        <v>Ferramenta Inválida</v>
        <stp/>
        <stp>BOOK0</stp>
        <stp>VOV</stp>
        <stp>197</stp>
        <tr r="D201" s="2"/>
      </tp>
      <tp t="s">
        <v>Ferramenta Inválida</v>
        <stp/>
        <stp>BOOK0</stp>
        <stp>VOV</stp>
        <stp>190</stp>
        <tr r="D194" s="2"/>
      </tp>
      <tp t="s">
        <v>Ferramenta Inválida</v>
        <stp/>
        <stp>BOOK0</stp>
        <stp>VOV</stp>
        <stp>191</stp>
        <tr r="D195" s="2"/>
      </tp>
      <tp t="s">
        <v>Ferramenta Inválida</v>
        <stp/>
        <stp>BOOK0</stp>
        <stp>VOV</stp>
        <stp>192</stp>
        <tr r="D196" s="2"/>
      </tp>
      <tp t="s">
        <v>Ferramenta Inválida</v>
        <stp/>
        <stp>BOOK0</stp>
        <stp>VOV</stp>
        <stp>193</stp>
        <tr r="D197" s="2"/>
      </tp>
      <tp t="s">
        <v>Ferramenta Inválida</v>
        <stp/>
        <stp>BOOK0</stp>
        <stp>VOC</stp>
        <stp>199</stp>
        <tr r="A203" s="2"/>
      </tp>
      <tp t="s">
        <v>Ferramenta Inválida</v>
        <stp/>
        <stp>BOOK0</stp>
        <stp>VOC</stp>
        <stp>198</stp>
        <tr r="A202" s="2"/>
      </tp>
      <tp t="s">
        <v>Ferramenta Inválida</v>
        <stp/>
        <stp>BOOK0</stp>
        <stp>VOC</stp>
        <stp>191</stp>
        <tr r="A195" s="2"/>
      </tp>
      <tp t="s">
        <v>Ferramenta Inválida</v>
        <stp/>
        <stp>BOOK0</stp>
        <stp>VOC</stp>
        <stp>190</stp>
        <tr r="A194" s="2"/>
      </tp>
      <tp t="s">
        <v>Ferramenta Inválida</v>
        <stp/>
        <stp>BOOK0</stp>
        <stp>VOC</stp>
        <stp>193</stp>
        <tr r="A197" s="2"/>
      </tp>
      <tp t="s">
        <v>Ferramenta Inválida</v>
        <stp/>
        <stp>BOOK0</stp>
        <stp>VOC</stp>
        <stp>192</stp>
        <tr r="A196" s="2"/>
      </tp>
      <tp t="s">
        <v>Ferramenta Inválida</v>
        <stp/>
        <stp>BOOK0</stp>
        <stp>VOC</stp>
        <stp>195</stp>
        <tr r="A199" s="2"/>
      </tp>
      <tp t="s">
        <v>Ferramenta Inválida</v>
        <stp/>
        <stp>BOOK0</stp>
        <stp>VOC</stp>
        <stp>194</stp>
        <tr r="A198" s="2"/>
      </tp>
      <tp t="s">
        <v>Ferramenta Inválida</v>
        <stp/>
        <stp>BOOK0</stp>
        <stp>VOC</stp>
        <stp>197</stp>
        <tr r="A201" s="2"/>
      </tp>
      <tp t="s">
        <v>Ferramenta Inválida</v>
        <stp/>
        <stp>BOOK0</stp>
        <stp>VOC</stp>
        <stp>196</stp>
        <tr r="A200" s="2"/>
      </tp>
      <tp t="s">
        <v>Ferramenta Inválida</v>
        <stp/>
        <stp>BOOK0</stp>
        <stp>VOV</stp>
        <stp>188</stp>
        <tr r="D192" s="2"/>
      </tp>
      <tp t="s">
        <v>Ferramenta Inválida</v>
        <stp/>
        <stp>BOOK0</stp>
        <stp>VOV</stp>
        <stp>189</stp>
        <tr r="D193" s="2"/>
      </tp>
      <tp t="s">
        <v>Ferramenta Inválida</v>
        <stp/>
        <stp>BOOK0</stp>
        <stp>VOV</stp>
        <stp>184</stp>
        <tr r="D188" s="2"/>
      </tp>
      <tp t="s">
        <v>Ferramenta Inválida</v>
        <stp/>
        <stp>BOOK0</stp>
        <stp>VOV</stp>
        <stp>185</stp>
        <tr r="D189" s="2"/>
      </tp>
      <tp t="s">
        <v>Ferramenta Inválida</v>
        <stp/>
        <stp>BOOK0</stp>
        <stp>VOV</stp>
        <stp>186</stp>
        <tr r="D190" s="2"/>
      </tp>
      <tp t="s">
        <v>Ferramenta Inválida</v>
        <stp/>
        <stp>BOOK0</stp>
        <stp>VOV</stp>
        <stp>187</stp>
        <tr r="D191" s="2"/>
      </tp>
      <tp t="s">
        <v>Ferramenta Inválida</v>
        <stp/>
        <stp>BOOK0</stp>
        <stp>VOV</stp>
        <stp>180</stp>
        <tr r="D184" s="2"/>
      </tp>
      <tp t="s">
        <v>Ferramenta Inválida</v>
        <stp/>
        <stp>BOOK0</stp>
        <stp>VOV</stp>
        <stp>181</stp>
        <tr r="D185" s="2"/>
      </tp>
      <tp t="s">
        <v>Ferramenta Inválida</v>
        <stp/>
        <stp>BOOK0</stp>
        <stp>VOV</stp>
        <stp>182</stp>
        <tr r="D186" s="2"/>
      </tp>
      <tp t="s">
        <v>Ferramenta Inválida</v>
        <stp/>
        <stp>BOOK0</stp>
        <stp>VOV</stp>
        <stp>183</stp>
        <tr r="D187" s="2"/>
      </tp>
      <tp t="s">
        <v>Ferramenta Inválida</v>
        <stp/>
        <stp>BOOK0</stp>
        <stp>VOC</stp>
        <stp>189</stp>
        <tr r="A193" s="2"/>
      </tp>
      <tp t="s">
        <v>Ferramenta Inválida</v>
        <stp/>
        <stp>BOOK0</stp>
        <stp>VOC</stp>
        <stp>188</stp>
        <tr r="A192" s="2"/>
      </tp>
      <tp t="s">
        <v>Ferramenta Inválida</v>
        <stp/>
        <stp>BOOK0</stp>
        <stp>VOC</stp>
        <stp>181</stp>
        <tr r="A185" s="2"/>
      </tp>
      <tp t="s">
        <v>Ferramenta Inválida</v>
        <stp/>
        <stp>BOOK0</stp>
        <stp>VOC</stp>
        <stp>180</stp>
        <tr r="A184" s="2"/>
      </tp>
      <tp t="s">
        <v>Ferramenta Inválida</v>
        <stp/>
        <stp>BOOK0</stp>
        <stp>VOC</stp>
        <stp>183</stp>
        <tr r="A187" s="2"/>
      </tp>
      <tp t="s">
        <v>Ferramenta Inválida</v>
        <stp/>
        <stp>BOOK0</stp>
        <stp>VOC</stp>
        <stp>182</stp>
        <tr r="A186" s="2"/>
      </tp>
      <tp t="s">
        <v>Ferramenta Inválida</v>
        <stp/>
        <stp>BOOK0</stp>
        <stp>VOC</stp>
        <stp>185</stp>
        <tr r="A189" s="2"/>
      </tp>
      <tp t="s">
        <v>Ferramenta Inválida</v>
        <stp/>
        <stp>BOOK0</stp>
        <stp>VOC</stp>
        <stp>184</stp>
        <tr r="A188" s="2"/>
      </tp>
      <tp t="s">
        <v>Ferramenta Inválida</v>
        <stp/>
        <stp>BOOK0</stp>
        <stp>VOC</stp>
        <stp>187</stp>
        <tr r="A191" s="2"/>
      </tp>
      <tp t="s">
        <v>Ferramenta Inválida</v>
        <stp/>
        <stp>BOOK0</stp>
        <stp>VOC</stp>
        <stp>186</stp>
        <tr r="A190" s="2"/>
      </tp>
      <tp t="s">
        <v>Ferramenta Inválida</v>
        <stp/>
        <stp>BOOK0</stp>
        <stp>VOV</stp>
        <stp>318</stp>
        <tr r="D322" s="2"/>
      </tp>
      <tp t="s">
        <v>Ferramenta Inválida</v>
        <stp/>
        <stp>BOOK0</stp>
        <stp>VOV</stp>
        <stp>319</stp>
        <tr r="D323" s="2"/>
      </tp>
      <tp t="s">
        <v>Ferramenta Inválida</v>
        <stp/>
        <stp>BOOK0</stp>
        <stp>VOV</stp>
        <stp>314</stp>
        <tr r="D318" s="2"/>
      </tp>
      <tp t="s">
        <v>Ferramenta Inválida</v>
        <stp/>
        <stp>BOOK0</stp>
        <stp>VOV</stp>
        <stp>315</stp>
        <tr r="D319" s="2"/>
      </tp>
      <tp t="s">
        <v>Ferramenta Inválida</v>
        <stp/>
        <stp>BOOK0</stp>
        <stp>VOV</stp>
        <stp>316</stp>
        <tr r="D320" s="2"/>
      </tp>
      <tp t="s">
        <v>Ferramenta Inválida</v>
        <stp/>
        <stp>BOOK0</stp>
        <stp>VOV</stp>
        <stp>317</stp>
        <tr r="D321" s="2"/>
      </tp>
      <tp t="s">
        <v>Ferramenta Inválida</v>
        <stp/>
        <stp>BOOK0</stp>
        <stp>VOV</stp>
        <stp>310</stp>
        <tr r="D314" s="2"/>
      </tp>
      <tp t="s">
        <v>Ferramenta Inválida</v>
        <stp/>
        <stp>BOOK0</stp>
        <stp>VOV</stp>
        <stp>311</stp>
        <tr r="D315" s="2"/>
      </tp>
      <tp t="s">
        <v>Ferramenta Inválida</v>
        <stp/>
        <stp>BOOK0</stp>
        <stp>VOV</stp>
        <stp>312</stp>
        <tr r="D316" s="2"/>
      </tp>
      <tp t="s">
        <v>Ferramenta Inválida</v>
        <stp/>
        <stp>BOOK0</stp>
        <stp>VOV</stp>
        <stp>313</stp>
        <tr r="D317" s="2"/>
      </tp>
      <tp t="s">
        <v>Ferramenta Inválida</v>
        <stp/>
        <stp>BOOK0</stp>
        <stp>VOC</stp>
        <stp>319</stp>
        <tr r="A323" s="2"/>
      </tp>
      <tp t="s">
        <v>Ferramenta Inválida</v>
        <stp/>
        <stp>BOOK0</stp>
        <stp>VOC</stp>
        <stp>318</stp>
        <tr r="A322" s="2"/>
      </tp>
      <tp t="s">
        <v>Ferramenta Inválida</v>
        <stp/>
        <stp>BOOK0</stp>
        <stp>VOC</stp>
        <stp>311</stp>
        <tr r="A315" s="2"/>
      </tp>
      <tp t="s">
        <v>Ferramenta Inválida</v>
        <stp/>
        <stp>BOOK0</stp>
        <stp>VOC</stp>
        <stp>310</stp>
        <tr r="A314" s="2"/>
      </tp>
      <tp t="s">
        <v>Ferramenta Inválida</v>
        <stp/>
        <stp>BOOK0</stp>
        <stp>VOC</stp>
        <stp>313</stp>
        <tr r="A317" s="2"/>
      </tp>
      <tp t="s">
        <v>Ferramenta Inválida</v>
        <stp/>
        <stp>BOOK0</stp>
        <stp>VOC</stp>
        <stp>312</stp>
        <tr r="A316" s="2"/>
      </tp>
      <tp t="s">
        <v>Ferramenta Inválida</v>
        <stp/>
        <stp>BOOK0</stp>
        <stp>VOC</stp>
        <stp>315</stp>
        <tr r="A319" s="2"/>
      </tp>
      <tp t="s">
        <v>Ferramenta Inválida</v>
        <stp/>
        <stp>BOOK0</stp>
        <stp>VOC</stp>
        <stp>314</stp>
        <tr r="A318" s="2"/>
      </tp>
      <tp t="s">
        <v>Ferramenta Inválida</v>
        <stp/>
        <stp>BOOK0</stp>
        <stp>VOC</stp>
        <stp>317</stp>
        <tr r="A321" s="2"/>
      </tp>
      <tp t="s">
        <v>Ferramenta Inválida</v>
        <stp/>
        <stp>BOOK0</stp>
        <stp>VOC</stp>
        <stp>316</stp>
        <tr r="A320" s="2"/>
      </tp>
      <tp t="s">
        <v>Ferramenta Inválida</v>
        <stp/>
        <stp>BOOK0</stp>
        <stp>VOV</stp>
        <stp>308</stp>
        <tr r="D312" s="2"/>
      </tp>
      <tp t="s">
        <v>Ferramenta Inválida</v>
        <stp/>
        <stp>BOOK0</stp>
        <stp>VOV</stp>
        <stp>309</stp>
        <tr r="D313" s="2"/>
      </tp>
      <tp t="s">
        <v>Ferramenta Inválida</v>
        <stp/>
        <stp>BOOK0</stp>
        <stp>VOV</stp>
        <stp>304</stp>
        <tr r="D308" s="2"/>
      </tp>
      <tp t="s">
        <v>Ferramenta Inválida</v>
        <stp/>
        <stp>BOOK0</stp>
        <stp>VOV</stp>
        <stp>305</stp>
        <tr r="D309" s="2"/>
      </tp>
      <tp t="s">
        <v>Ferramenta Inválida</v>
        <stp/>
        <stp>BOOK0</stp>
        <stp>VOV</stp>
        <stp>306</stp>
        <tr r="D310" s="2"/>
      </tp>
      <tp t="s">
        <v>Ferramenta Inválida</v>
        <stp/>
        <stp>BOOK0</stp>
        <stp>VOV</stp>
        <stp>307</stp>
        <tr r="D311" s="2"/>
      </tp>
      <tp t="s">
        <v>Ferramenta Inválida</v>
        <stp/>
        <stp>BOOK0</stp>
        <stp>VOV</stp>
        <stp>300</stp>
        <tr r="D304" s="2"/>
      </tp>
      <tp t="s">
        <v>Ferramenta Inválida</v>
        <stp/>
        <stp>BOOK0</stp>
        <stp>VOV</stp>
        <stp>301</stp>
        <tr r="D305" s="2"/>
      </tp>
      <tp t="s">
        <v>Ferramenta Inválida</v>
        <stp/>
        <stp>BOOK0</stp>
        <stp>VOV</stp>
        <stp>302</stp>
        <tr r="D306" s="2"/>
      </tp>
      <tp t="s">
        <v>Ferramenta Inválida</v>
        <stp/>
        <stp>BOOK0</stp>
        <stp>VOV</stp>
        <stp>303</stp>
        <tr r="D307" s="2"/>
      </tp>
      <tp t="s">
        <v>Ferramenta Inválida</v>
        <stp/>
        <stp>BOOK0</stp>
        <stp>VOC</stp>
        <stp>309</stp>
        <tr r="A313" s="2"/>
      </tp>
      <tp t="s">
        <v>Ferramenta Inválida</v>
        <stp/>
        <stp>BOOK0</stp>
        <stp>VOC</stp>
        <stp>308</stp>
        <tr r="A312" s="2"/>
      </tp>
      <tp t="s">
        <v>Ferramenta Inválida</v>
        <stp/>
        <stp>BOOK0</stp>
        <stp>VOC</stp>
        <stp>301</stp>
        <tr r="A305" s="2"/>
      </tp>
      <tp t="s">
        <v>Ferramenta Inválida</v>
        <stp/>
        <stp>BOOK0</stp>
        <stp>VOC</stp>
        <stp>300</stp>
        <tr r="A304" s="2"/>
      </tp>
      <tp t="s">
        <v>Ferramenta Inválida</v>
        <stp/>
        <stp>BOOK0</stp>
        <stp>VOC</stp>
        <stp>303</stp>
        <tr r="A307" s="2"/>
      </tp>
      <tp t="s">
        <v>Ferramenta Inválida</v>
        <stp/>
        <stp>BOOK0</stp>
        <stp>VOC</stp>
        <stp>302</stp>
        <tr r="A306" s="2"/>
      </tp>
      <tp t="s">
        <v>Ferramenta Inválida</v>
        <stp/>
        <stp>BOOK0</stp>
        <stp>VOC</stp>
        <stp>305</stp>
        <tr r="A309" s="2"/>
      </tp>
      <tp t="s">
        <v>Ferramenta Inválida</v>
        <stp/>
        <stp>BOOK0</stp>
        <stp>VOC</stp>
        <stp>304</stp>
        <tr r="A308" s="2"/>
      </tp>
      <tp t="s">
        <v>Ferramenta Inválida</v>
        <stp/>
        <stp>BOOK0</stp>
        <stp>VOC</stp>
        <stp>307</stp>
        <tr r="A311" s="2"/>
      </tp>
      <tp t="s">
        <v>Ferramenta Inválida</v>
        <stp/>
        <stp>BOOK0</stp>
        <stp>VOC</stp>
        <stp>306</stp>
        <tr r="A310" s="2"/>
      </tp>
      <tp t="s">
        <v>Ferramenta Inválida</v>
        <stp/>
        <stp>BOOK0</stp>
        <stp>VOV</stp>
        <stp>338</stp>
        <tr r="D342" s="2"/>
      </tp>
      <tp t="s">
        <v>Ferramenta Inválida</v>
        <stp/>
        <stp>BOOK0</stp>
        <stp>VOV</stp>
        <stp>339</stp>
        <tr r="D343" s="2"/>
      </tp>
      <tp t="s">
        <v>Ferramenta Inválida</v>
        <stp/>
        <stp>BOOK0</stp>
        <stp>VOV</stp>
        <stp>334</stp>
        <tr r="D338" s="2"/>
      </tp>
      <tp t="s">
        <v>Ferramenta Inválida</v>
        <stp/>
        <stp>BOOK0</stp>
        <stp>VOV</stp>
        <stp>335</stp>
        <tr r="D339" s="2"/>
      </tp>
      <tp t="s">
        <v>Ferramenta Inválida</v>
        <stp/>
        <stp>BOOK0</stp>
        <stp>VOV</stp>
        <stp>336</stp>
        <tr r="D340" s="2"/>
      </tp>
      <tp t="s">
        <v>Ferramenta Inválida</v>
        <stp/>
        <stp>BOOK0</stp>
        <stp>VOV</stp>
        <stp>337</stp>
        <tr r="D341" s="2"/>
      </tp>
      <tp t="s">
        <v>Ferramenta Inválida</v>
        <stp/>
        <stp>BOOK0</stp>
        <stp>VOV</stp>
        <stp>330</stp>
        <tr r="D334" s="2"/>
      </tp>
      <tp t="s">
        <v>Ferramenta Inválida</v>
        <stp/>
        <stp>BOOK0</stp>
        <stp>VOV</stp>
        <stp>331</stp>
        <tr r="D335" s="2"/>
      </tp>
      <tp t="s">
        <v>Ferramenta Inválida</v>
        <stp/>
        <stp>BOOK0</stp>
        <stp>VOV</stp>
        <stp>332</stp>
        <tr r="D336" s="2"/>
      </tp>
      <tp t="s">
        <v>Ferramenta Inválida</v>
        <stp/>
        <stp>BOOK0</stp>
        <stp>VOV</stp>
        <stp>333</stp>
        <tr r="D337" s="2"/>
      </tp>
      <tp t="s">
        <v>Ferramenta Inválida</v>
        <stp/>
        <stp>BOOK0</stp>
        <stp>VOC</stp>
        <stp>339</stp>
        <tr r="A343" s="2"/>
      </tp>
      <tp t="s">
        <v>Ferramenta Inválida</v>
        <stp/>
        <stp>BOOK0</stp>
        <stp>VOC</stp>
        <stp>338</stp>
        <tr r="A342" s="2"/>
      </tp>
      <tp t="s">
        <v>Ferramenta Inválida</v>
        <stp/>
        <stp>BOOK0</stp>
        <stp>VOC</stp>
        <stp>331</stp>
        <tr r="A335" s="2"/>
      </tp>
      <tp t="s">
        <v>Ferramenta Inválida</v>
        <stp/>
        <stp>BOOK0</stp>
        <stp>VOC</stp>
        <stp>330</stp>
        <tr r="A334" s="2"/>
      </tp>
      <tp t="s">
        <v>Ferramenta Inválida</v>
        <stp/>
        <stp>BOOK0</stp>
        <stp>VOC</stp>
        <stp>333</stp>
        <tr r="A337" s="2"/>
      </tp>
      <tp t="s">
        <v>Ferramenta Inválida</v>
        <stp/>
        <stp>BOOK0</stp>
        <stp>VOC</stp>
        <stp>332</stp>
        <tr r="A336" s="2"/>
      </tp>
      <tp t="s">
        <v>Ferramenta Inválida</v>
        <stp/>
        <stp>BOOK0</stp>
        <stp>VOC</stp>
        <stp>335</stp>
        <tr r="A339" s="2"/>
      </tp>
      <tp t="s">
        <v>Ferramenta Inválida</v>
        <stp/>
        <stp>BOOK0</stp>
        <stp>VOC</stp>
        <stp>334</stp>
        <tr r="A338" s="2"/>
      </tp>
      <tp t="s">
        <v>Ferramenta Inválida</v>
        <stp/>
        <stp>BOOK0</stp>
        <stp>VOC</stp>
        <stp>337</stp>
        <tr r="A341" s="2"/>
      </tp>
      <tp t="s">
        <v>Ferramenta Inválida</v>
        <stp/>
        <stp>BOOK0</stp>
        <stp>VOC</stp>
        <stp>336</stp>
        <tr r="A340" s="2"/>
      </tp>
      <tp t="s">
        <v>Ferramenta Inválida</v>
        <stp/>
        <stp>BOOK0</stp>
        <stp>VOV</stp>
        <stp>328</stp>
        <tr r="D332" s="2"/>
      </tp>
      <tp t="s">
        <v>Ferramenta Inválida</v>
        <stp/>
        <stp>BOOK0</stp>
        <stp>VOV</stp>
        <stp>329</stp>
        <tr r="D333" s="2"/>
      </tp>
      <tp t="s">
        <v>Ferramenta Inválida</v>
        <stp/>
        <stp>BOOK0</stp>
        <stp>VOV</stp>
        <stp>324</stp>
        <tr r="D328" s="2"/>
      </tp>
      <tp t="s">
        <v>Ferramenta Inválida</v>
        <stp/>
        <stp>BOOK0</stp>
        <stp>VOV</stp>
        <stp>325</stp>
        <tr r="D329" s="2"/>
      </tp>
      <tp t="s">
        <v>Ferramenta Inválida</v>
        <stp/>
        <stp>BOOK0</stp>
        <stp>VOV</stp>
        <stp>326</stp>
        <tr r="D330" s="2"/>
      </tp>
      <tp t="s">
        <v>Ferramenta Inválida</v>
        <stp/>
        <stp>BOOK0</stp>
        <stp>VOV</stp>
        <stp>327</stp>
        <tr r="D331" s="2"/>
      </tp>
      <tp t="s">
        <v>Ferramenta Inválida</v>
        <stp/>
        <stp>BOOK0</stp>
        <stp>VOV</stp>
        <stp>320</stp>
        <tr r="D324" s="2"/>
      </tp>
      <tp t="s">
        <v>Ferramenta Inválida</v>
        <stp/>
        <stp>BOOK0</stp>
        <stp>VOV</stp>
        <stp>321</stp>
        <tr r="D325" s="2"/>
      </tp>
      <tp t="s">
        <v>Ferramenta Inválida</v>
        <stp/>
        <stp>BOOK0</stp>
        <stp>VOV</stp>
        <stp>322</stp>
        <tr r="D326" s="2"/>
      </tp>
      <tp t="s">
        <v>Ferramenta Inválida</v>
        <stp/>
        <stp>BOOK0</stp>
        <stp>VOV</stp>
        <stp>323</stp>
        <tr r="D327" s="2"/>
      </tp>
      <tp t="s">
        <v>Ferramenta Inválida</v>
        <stp/>
        <stp>BOOK0</stp>
        <stp>VOC</stp>
        <stp>329</stp>
        <tr r="A333" s="2"/>
      </tp>
      <tp t="s">
        <v>Ferramenta Inválida</v>
        <stp/>
        <stp>BOOK0</stp>
        <stp>VOC</stp>
        <stp>328</stp>
        <tr r="A332" s="2"/>
      </tp>
      <tp t="s">
        <v>Ferramenta Inválida</v>
        <stp/>
        <stp>BOOK0</stp>
        <stp>VOC</stp>
        <stp>321</stp>
        <tr r="A325" s="2"/>
      </tp>
      <tp t="s">
        <v>Ferramenta Inválida</v>
        <stp/>
        <stp>BOOK0</stp>
        <stp>VOC</stp>
        <stp>320</stp>
        <tr r="A324" s="2"/>
      </tp>
      <tp t="s">
        <v>Ferramenta Inválida</v>
        <stp/>
        <stp>BOOK0</stp>
        <stp>VOC</stp>
        <stp>323</stp>
        <tr r="A327" s="2"/>
      </tp>
      <tp t="s">
        <v>Ferramenta Inválida</v>
        <stp/>
        <stp>BOOK0</stp>
        <stp>VOC</stp>
        <stp>322</stp>
        <tr r="A326" s="2"/>
      </tp>
      <tp t="s">
        <v>Ferramenta Inválida</v>
        <stp/>
        <stp>BOOK0</stp>
        <stp>VOC</stp>
        <stp>325</stp>
        <tr r="A329" s="2"/>
      </tp>
      <tp t="s">
        <v>Ferramenta Inválida</v>
        <stp/>
        <stp>BOOK0</stp>
        <stp>VOC</stp>
        <stp>324</stp>
        <tr r="A328" s="2"/>
      </tp>
      <tp t="s">
        <v>Ferramenta Inválida</v>
        <stp/>
        <stp>BOOK0</stp>
        <stp>VOC</stp>
        <stp>327</stp>
        <tr r="A331" s="2"/>
      </tp>
      <tp t="s">
        <v>Ferramenta Inválida</v>
        <stp/>
        <stp>BOOK0</stp>
        <stp>VOC</stp>
        <stp>326</stp>
        <tr r="A330" s="2"/>
      </tp>
      <tp t="s">
        <v>Ferramenta Inválida</v>
        <stp/>
        <stp>BOOK0</stp>
        <stp>VOV</stp>
        <stp>358</stp>
        <tr r="D362" s="2"/>
      </tp>
      <tp t="s">
        <v>Ferramenta Inválida</v>
        <stp/>
        <stp>BOOK0</stp>
        <stp>VOV</stp>
        <stp>359</stp>
        <tr r="D363" s="2"/>
      </tp>
      <tp t="s">
        <v>Ferramenta Inválida</v>
        <stp/>
        <stp>BOOK0</stp>
        <stp>VOV</stp>
        <stp>354</stp>
        <tr r="D358" s="2"/>
      </tp>
      <tp t="s">
        <v>Ferramenta Inválida</v>
        <stp/>
        <stp>BOOK0</stp>
        <stp>VOV</stp>
        <stp>355</stp>
        <tr r="D359" s="2"/>
      </tp>
      <tp t="s">
        <v>Ferramenta Inválida</v>
        <stp/>
        <stp>BOOK0</stp>
        <stp>VOV</stp>
        <stp>356</stp>
        <tr r="D360" s="2"/>
      </tp>
      <tp t="s">
        <v>Ferramenta Inválida</v>
        <stp/>
        <stp>BOOK0</stp>
        <stp>VOV</stp>
        <stp>357</stp>
        <tr r="D361" s="2"/>
      </tp>
      <tp t="s">
        <v>Ferramenta Inválida</v>
        <stp/>
        <stp>BOOK0</stp>
        <stp>VOV</stp>
        <stp>350</stp>
        <tr r="D354" s="2"/>
      </tp>
      <tp t="s">
        <v>Ferramenta Inválida</v>
        <stp/>
        <stp>BOOK0</stp>
        <stp>VOV</stp>
        <stp>351</stp>
        <tr r="D355" s="2"/>
      </tp>
      <tp t="s">
        <v>Ferramenta Inválida</v>
        <stp/>
        <stp>BOOK0</stp>
        <stp>VOV</stp>
        <stp>352</stp>
        <tr r="D356" s="2"/>
      </tp>
      <tp t="s">
        <v>Ferramenta Inválida</v>
        <stp/>
        <stp>BOOK0</stp>
        <stp>VOV</stp>
        <stp>353</stp>
        <tr r="D357" s="2"/>
      </tp>
      <tp t="s">
        <v>Ferramenta Inválida</v>
        <stp/>
        <stp>BOOK0</stp>
        <stp>VOC</stp>
        <stp>359</stp>
        <tr r="A363" s="2"/>
      </tp>
      <tp t="s">
        <v>Ferramenta Inválida</v>
        <stp/>
        <stp>BOOK0</stp>
        <stp>VOC</stp>
        <stp>358</stp>
        <tr r="A362" s="2"/>
      </tp>
      <tp t="s">
        <v>Ferramenta Inválida</v>
        <stp/>
        <stp>BOOK0</stp>
        <stp>VOC</stp>
        <stp>351</stp>
        <tr r="A355" s="2"/>
      </tp>
      <tp t="s">
        <v>Ferramenta Inválida</v>
        <stp/>
        <stp>BOOK0</stp>
        <stp>VOC</stp>
        <stp>350</stp>
        <tr r="A354" s="2"/>
      </tp>
      <tp t="s">
        <v>Ferramenta Inválida</v>
        <stp/>
        <stp>BOOK0</stp>
        <stp>VOC</stp>
        <stp>353</stp>
        <tr r="A357" s="2"/>
      </tp>
      <tp t="s">
        <v>Ferramenta Inválida</v>
        <stp/>
        <stp>BOOK0</stp>
        <stp>VOC</stp>
        <stp>352</stp>
        <tr r="A356" s="2"/>
      </tp>
      <tp t="s">
        <v>Ferramenta Inválida</v>
        <stp/>
        <stp>BOOK0</stp>
        <stp>VOC</stp>
        <stp>355</stp>
        <tr r="A359" s="2"/>
      </tp>
      <tp t="s">
        <v>Ferramenta Inválida</v>
        <stp/>
        <stp>BOOK0</stp>
        <stp>VOC</stp>
        <stp>354</stp>
        <tr r="A358" s="2"/>
      </tp>
      <tp t="s">
        <v>Ferramenta Inválida</v>
        <stp/>
        <stp>BOOK0</stp>
        <stp>VOC</stp>
        <stp>357</stp>
        <tr r="A361" s="2"/>
      </tp>
      <tp t="s">
        <v>Ferramenta Inválida</v>
        <stp/>
        <stp>BOOK0</stp>
        <stp>VOC</stp>
        <stp>356</stp>
        <tr r="A360" s="2"/>
      </tp>
      <tp t="s">
        <v>Ferramenta Inválida</v>
        <stp/>
        <stp>BOOK0</stp>
        <stp>VOV</stp>
        <stp>348</stp>
        <tr r="D352" s="2"/>
      </tp>
      <tp t="s">
        <v>Ferramenta Inválida</v>
        <stp/>
        <stp>BOOK0</stp>
        <stp>VOV</stp>
        <stp>349</stp>
        <tr r="D353" s="2"/>
      </tp>
      <tp t="s">
        <v>Ferramenta Inválida</v>
        <stp/>
        <stp>BOOK0</stp>
        <stp>VOV</stp>
        <stp>344</stp>
        <tr r="D348" s="2"/>
      </tp>
      <tp t="s">
        <v>Ferramenta Inválida</v>
        <stp/>
        <stp>BOOK0</stp>
        <stp>VOV</stp>
        <stp>345</stp>
        <tr r="D349" s="2"/>
      </tp>
      <tp t="s">
        <v>Ferramenta Inválida</v>
        <stp/>
        <stp>BOOK0</stp>
        <stp>VOV</stp>
        <stp>346</stp>
        <tr r="D350" s="2"/>
      </tp>
      <tp t="s">
        <v>Ferramenta Inválida</v>
        <stp/>
        <stp>BOOK0</stp>
        <stp>VOV</stp>
        <stp>347</stp>
        <tr r="D351" s="2"/>
      </tp>
      <tp t="s">
        <v>Ferramenta Inválida</v>
        <stp/>
        <stp>BOOK0</stp>
        <stp>VOV</stp>
        <stp>340</stp>
        <tr r="D344" s="2"/>
      </tp>
      <tp t="s">
        <v>Ferramenta Inválida</v>
        <stp/>
        <stp>BOOK0</stp>
        <stp>VOV</stp>
        <stp>341</stp>
        <tr r="D345" s="2"/>
      </tp>
      <tp t="s">
        <v>Ferramenta Inválida</v>
        <stp/>
        <stp>BOOK0</stp>
        <stp>VOV</stp>
        <stp>342</stp>
        <tr r="D346" s="2"/>
      </tp>
      <tp t="s">
        <v>Ferramenta Inválida</v>
        <stp/>
        <stp>BOOK0</stp>
        <stp>VOV</stp>
        <stp>343</stp>
        <tr r="D347" s="2"/>
      </tp>
      <tp t="s">
        <v>Ferramenta Inválida</v>
        <stp/>
        <stp>BOOK0</stp>
        <stp>VOC</stp>
        <stp>349</stp>
        <tr r="A353" s="2"/>
      </tp>
      <tp t="s">
        <v>Ferramenta Inválida</v>
        <stp/>
        <stp>BOOK0</stp>
        <stp>VOC</stp>
        <stp>348</stp>
        <tr r="A352" s="2"/>
      </tp>
      <tp t="s">
        <v>Ferramenta Inválida</v>
        <stp/>
        <stp>BOOK0</stp>
        <stp>VOC</stp>
        <stp>341</stp>
        <tr r="A345" s="2"/>
      </tp>
      <tp t="s">
        <v>Ferramenta Inválida</v>
        <stp/>
        <stp>BOOK0</stp>
        <stp>VOC</stp>
        <stp>340</stp>
        <tr r="A344" s="2"/>
      </tp>
      <tp t="s">
        <v>Ferramenta Inválida</v>
        <stp/>
        <stp>BOOK0</stp>
        <stp>VOC</stp>
        <stp>343</stp>
        <tr r="A347" s="2"/>
      </tp>
      <tp t="s">
        <v>Ferramenta Inválida</v>
        <stp/>
        <stp>BOOK0</stp>
        <stp>VOC</stp>
        <stp>342</stp>
        <tr r="A346" s="2"/>
      </tp>
      <tp t="s">
        <v>Ferramenta Inválida</v>
        <stp/>
        <stp>BOOK0</stp>
        <stp>VOC</stp>
        <stp>345</stp>
        <tr r="A349" s="2"/>
      </tp>
      <tp t="s">
        <v>Ferramenta Inválida</v>
        <stp/>
        <stp>BOOK0</stp>
        <stp>VOC</stp>
        <stp>344</stp>
        <tr r="A348" s="2"/>
      </tp>
      <tp t="s">
        <v>Ferramenta Inválida</v>
        <stp/>
        <stp>BOOK0</stp>
        <stp>VOC</stp>
        <stp>347</stp>
        <tr r="A351" s="2"/>
      </tp>
      <tp t="s">
        <v>Ferramenta Inválida</v>
        <stp/>
        <stp>BOOK0</stp>
        <stp>VOC</stp>
        <stp>346</stp>
        <tr r="A350" s="2"/>
      </tp>
      <tp t="s">
        <v>Ferramenta Inválida</v>
        <stp/>
        <stp>BOOK0</stp>
        <stp>VOV</stp>
        <stp>378</stp>
        <tr r="D382" s="2"/>
      </tp>
      <tp t="s">
        <v>Ferramenta Inválida</v>
        <stp/>
        <stp>BOOK0</stp>
        <stp>VOV</stp>
        <stp>379</stp>
        <tr r="D383" s="2"/>
      </tp>
      <tp t="s">
        <v>Ferramenta Inválida</v>
        <stp/>
        <stp>BOOK0</stp>
        <stp>VOV</stp>
        <stp>374</stp>
        <tr r="D378" s="2"/>
      </tp>
      <tp t="s">
        <v>Ferramenta Inválida</v>
        <stp/>
        <stp>BOOK0</stp>
        <stp>VOV</stp>
        <stp>375</stp>
        <tr r="D379" s="2"/>
      </tp>
      <tp t="s">
        <v>Ferramenta Inválida</v>
        <stp/>
        <stp>BOOK0</stp>
        <stp>VOV</stp>
        <stp>376</stp>
        <tr r="D380" s="2"/>
      </tp>
      <tp t="s">
        <v>Ferramenta Inválida</v>
        <stp/>
        <stp>BOOK0</stp>
        <stp>VOV</stp>
        <stp>377</stp>
        <tr r="D381" s="2"/>
      </tp>
      <tp t="s">
        <v>Ferramenta Inválida</v>
        <stp/>
        <stp>BOOK0</stp>
        <stp>VOV</stp>
        <stp>370</stp>
        <tr r="D374" s="2"/>
      </tp>
      <tp t="s">
        <v>Ferramenta Inválida</v>
        <stp/>
        <stp>BOOK0</stp>
        <stp>VOV</stp>
        <stp>371</stp>
        <tr r="D375" s="2"/>
      </tp>
      <tp t="s">
        <v>Ferramenta Inválida</v>
        <stp/>
        <stp>BOOK0</stp>
        <stp>VOV</stp>
        <stp>372</stp>
        <tr r="D376" s="2"/>
      </tp>
      <tp t="s">
        <v>Ferramenta Inválida</v>
        <stp/>
        <stp>BOOK0</stp>
        <stp>VOV</stp>
        <stp>373</stp>
        <tr r="D377" s="2"/>
      </tp>
      <tp t="s">
        <v>Ferramenta Inválida</v>
        <stp/>
        <stp>BOOK0</stp>
        <stp>VOC</stp>
        <stp>379</stp>
        <tr r="A383" s="2"/>
      </tp>
      <tp t="s">
        <v>Ferramenta Inválida</v>
        <stp/>
        <stp>BOOK0</stp>
        <stp>VOC</stp>
        <stp>378</stp>
        <tr r="A382" s="2"/>
      </tp>
      <tp t="s">
        <v>Ferramenta Inválida</v>
        <stp/>
        <stp>BOOK0</stp>
        <stp>VOC</stp>
        <stp>371</stp>
        <tr r="A375" s="2"/>
      </tp>
      <tp t="s">
        <v>Ferramenta Inválida</v>
        <stp/>
        <stp>BOOK0</stp>
        <stp>VOC</stp>
        <stp>370</stp>
        <tr r="A374" s="2"/>
      </tp>
      <tp t="s">
        <v>Ferramenta Inválida</v>
        <stp/>
        <stp>BOOK0</stp>
        <stp>VOC</stp>
        <stp>373</stp>
        <tr r="A377" s="2"/>
      </tp>
      <tp t="s">
        <v>Ferramenta Inválida</v>
        <stp/>
        <stp>BOOK0</stp>
        <stp>VOC</stp>
        <stp>372</stp>
        <tr r="A376" s="2"/>
      </tp>
      <tp t="s">
        <v>Ferramenta Inválida</v>
        <stp/>
        <stp>BOOK0</stp>
        <stp>VOC</stp>
        <stp>375</stp>
        <tr r="A379" s="2"/>
      </tp>
      <tp t="s">
        <v>Ferramenta Inválida</v>
        <stp/>
        <stp>BOOK0</stp>
        <stp>VOC</stp>
        <stp>374</stp>
        <tr r="A378" s="2"/>
      </tp>
      <tp t="s">
        <v>Ferramenta Inválida</v>
        <stp/>
        <stp>BOOK0</stp>
        <stp>VOC</stp>
        <stp>377</stp>
        <tr r="A381" s="2"/>
      </tp>
      <tp t="s">
        <v>Ferramenta Inválida</v>
        <stp/>
        <stp>BOOK0</stp>
        <stp>VOC</stp>
        <stp>376</stp>
        <tr r="A380" s="2"/>
      </tp>
      <tp t="s">
        <v>Ferramenta Inválida</v>
        <stp/>
        <stp>BOOK0</stp>
        <stp>VOV</stp>
        <stp>368</stp>
        <tr r="D372" s="2"/>
      </tp>
      <tp t="s">
        <v>Ferramenta Inválida</v>
        <stp/>
        <stp>BOOK0</stp>
        <stp>VOV</stp>
        <stp>369</stp>
        <tr r="D373" s="2"/>
      </tp>
      <tp t="s">
        <v>Ferramenta Inválida</v>
        <stp/>
        <stp>BOOK0</stp>
        <stp>VOV</stp>
        <stp>364</stp>
        <tr r="D368" s="2"/>
      </tp>
      <tp t="s">
        <v>Ferramenta Inválida</v>
        <stp/>
        <stp>BOOK0</stp>
        <stp>VOV</stp>
        <stp>365</stp>
        <tr r="D369" s="2"/>
      </tp>
      <tp t="s">
        <v>Ferramenta Inválida</v>
        <stp/>
        <stp>BOOK0</stp>
        <stp>VOV</stp>
        <stp>366</stp>
        <tr r="D370" s="2"/>
      </tp>
      <tp t="s">
        <v>Ferramenta Inválida</v>
        <stp/>
        <stp>BOOK0</stp>
        <stp>VOV</stp>
        <stp>367</stp>
        <tr r="D371" s="2"/>
      </tp>
      <tp t="s">
        <v>Ferramenta Inválida</v>
        <stp/>
        <stp>BOOK0</stp>
        <stp>VOV</stp>
        <stp>360</stp>
        <tr r="D364" s="2"/>
      </tp>
      <tp t="s">
        <v>Ferramenta Inválida</v>
        <stp/>
        <stp>BOOK0</stp>
        <stp>VOV</stp>
        <stp>361</stp>
        <tr r="D365" s="2"/>
      </tp>
      <tp t="s">
        <v>Ferramenta Inválida</v>
        <stp/>
        <stp>BOOK0</stp>
        <stp>VOV</stp>
        <stp>362</stp>
        <tr r="D366" s="2"/>
      </tp>
      <tp t="s">
        <v>Ferramenta Inválida</v>
        <stp/>
        <stp>BOOK0</stp>
        <stp>VOV</stp>
        <stp>363</stp>
        <tr r="D367" s="2"/>
      </tp>
      <tp t="s">
        <v>Ferramenta Inválida</v>
        <stp/>
        <stp>BOOK0</stp>
        <stp>VOC</stp>
        <stp>369</stp>
        <tr r="A373" s="2"/>
      </tp>
      <tp t="s">
        <v>Ferramenta Inválida</v>
        <stp/>
        <stp>BOOK0</stp>
        <stp>VOC</stp>
        <stp>368</stp>
        <tr r="A372" s="2"/>
      </tp>
      <tp t="s">
        <v>Ferramenta Inválida</v>
        <stp/>
        <stp>BOOK0</stp>
        <stp>VOC</stp>
        <stp>361</stp>
        <tr r="A365" s="2"/>
      </tp>
      <tp t="s">
        <v>Ferramenta Inválida</v>
        <stp/>
        <stp>BOOK0</stp>
        <stp>VOC</stp>
        <stp>360</stp>
        <tr r="A364" s="2"/>
      </tp>
      <tp t="s">
        <v>Ferramenta Inválida</v>
        <stp/>
        <stp>BOOK0</stp>
        <stp>VOC</stp>
        <stp>363</stp>
        <tr r="A367" s="2"/>
      </tp>
      <tp t="s">
        <v>Ferramenta Inválida</v>
        <stp/>
        <stp>BOOK0</stp>
        <stp>VOC</stp>
        <stp>362</stp>
        <tr r="A366" s="2"/>
      </tp>
      <tp t="s">
        <v>Ferramenta Inválida</v>
        <stp/>
        <stp>BOOK0</stp>
        <stp>VOC</stp>
        <stp>365</stp>
        <tr r="A369" s="2"/>
      </tp>
      <tp t="s">
        <v>Ferramenta Inválida</v>
        <stp/>
        <stp>BOOK0</stp>
        <stp>VOC</stp>
        <stp>364</stp>
        <tr r="A368" s="2"/>
      </tp>
      <tp t="s">
        <v>Ferramenta Inválida</v>
        <stp/>
        <stp>BOOK0</stp>
        <stp>VOC</stp>
        <stp>367</stp>
        <tr r="A371" s="2"/>
      </tp>
      <tp t="s">
        <v>Ferramenta Inválida</v>
        <stp/>
        <stp>BOOK0</stp>
        <stp>VOC</stp>
        <stp>366</stp>
        <tr r="A370" s="2"/>
      </tp>
      <tp t="s">
        <v>Ferramenta Inválida</v>
        <stp/>
        <stp>BOOK0</stp>
        <stp>VOV</stp>
        <stp>398</stp>
        <tr r="D402" s="2"/>
      </tp>
      <tp t="s">
        <v>Ferramenta Inválida</v>
        <stp/>
        <stp>BOOK0</stp>
        <stp>VOV</stp>
        <stp>399</stp>
        <tr r="D403" s="2"/>
      </tp>
      <tp t="s">
        <v>Ferramenta Inválida</v>
        <stp/>
        <stp>BOOK0</stp>
        <stp>VOV</stp>
        <stp>394</stp>
        <tr r="D398" s="2"/>
      </tp>
      <tp t="s">
        <v>Ferramenta Inválida</v>
        <stp/>
        <stp>BOOK0</stp>
        <stp>VOV</stp>
        <stp>395</stp>
        <tr r="D399" s="2"/>
      </tp>
      <tp t="s">
        <v>Ferramenta Inválida</v>
        <stp/>
        <stp>BOOK0</stp>
        <stp>VOV</stp>
        <stp>396</stp>
        <tr r="D400" s="2"/>
      </tp>
      <tp t="s">
        <v>Ferramenta Inválida</v>
        <stp/>
        <stp>BOOK0</stp>
        <stp>VOV</stp>
        <stp>397</stp>
        <tr r="D401" s="2"/>
      </tp>
      <tp t="s">
        <v>Ferramenta Inválida</v>
        <stp/>
        <stp>BOOK0</stp>
        <stp>VOV</stp>
        <stp>390</stp>
        <tr r="D394" s="2"/>
      </tp>
      <tp t="s">
        <v>Ferramenta Inválida</v>
        <stp/>
        <stp>BOOK0</stp>
        <stp>VOV</stp>
        <stp>391</stp>
        <tr r="D395" s="2"/>
      </tp>
      <tp t="s">
        <v>Ferramenta Inválida</v>
        <stp/>
        <stp>BOOK0</stp>
        <stp>VOV</stp>
        <stp>392</stp>
        <tr r="D396" s="2"/>
      </tp>
      <tp t="s">
        <v>Ferramenta Inválida</v>
        <stp/>
        <stp>BOOK0</stp>
        <stp>VOV</stp>
        <stp>393</stp>
        <tr r="D397" s="2"/>
      </tp>
      <tp t="s">
        <v>Ferramenta Inválida</v>
        <stp/>
        <stp>BOOK0</stp>
        <stp>VOC</stp>
        <stp>399</stp>
        <tr r="A403" s="2"/>
      </tp>
      <tp t="s">
        <v>Ferramenta Inválida</v>
        <stp/>
        <stp>BOOK0</stp>
        <stp>VOC</stp>
        <stp>398</stp>
        <tr r="A402" s="2"/>
      </tp>
      <tp t="s">
        <v>Ferramenta Inválida</v>
        <stp/>
        <stp>BOOK0</stp>
        <stp>VOC</stp>
        <stp>391</stp>
        <tr r="A395" s="2"/>
      </tp>
      <tp t="s">
        <v>Ferramenta Inválida</v>
        <stp/>
        <stp>BOOK0</stp>
        <stp>VOC</stp>
        <stp>390</stp>
        <tr r="A394" s="2"/>
      </tp>
      <tp t="s">
        <v>Ferramenta Inválida</v>
        <stp/>
        <stp>BOOK0</stp>
        <stp>VOC</stp>
        <stp>393</stp>
        <tr r="A397" s="2"/>
      </tp>
      <tp t="s">
        <v>Ferramenta Inválida</v>
        <stp/>
        <stp>BOOK0</stp>
        <stp>VOC</stp>
        <stp>392</stp>
        <tr r="A396" s="2"/>
      </tp>
      <tp t="s">
        <v>Ferramenta Inválida</v>
        <stp/>
        <stp>BOOK0</stp>
        <stp>VOC</stp>
        <stp>395</stp>
        <tr r="A399" s="2"/>
      </tp>
      <tp t="s">
        <v>Ferramenta Inválida</v>
        <stp/>
        <stp>BOOK0</stp>
        <stp>VOC</stp>
        <stp>394</stp>
        <tr r="A398" s="2"/>
      </tp>
      <tp t="s">
        <v>Ferramenta Inválida</v>
        <stp/>
        <stp>BOOK0</stp>
        <stp>VOC</stp>
        <stp>397</stp>
        <tr r="A401" s="2"/>
      </tp>
      <tp t="s">
        <v>Ferramenta Inválida</v>
        <stp/>
        <stp>BOOK0</stp>
        <stp>VOC</stp>
        <stp>396</stp>
        <tr r="A400" s="2"/>
      </tp>
      <tp t="s">
        <v>Ferramenta Inválida</v>
        <stp/>
        <stp>BOOK0</stp>
        <stp>VOV</stp>
        <stp>388</stp>
        <tr r="D392" s="2"/>
      </tp>
      <tp t="s">
        <v>Ferramenta Inválida</v>
        <stp/>
        <stp>BOOK0</stp>
        <stp>VOV</stp>
        <stp>389</stp>
        <tr r="D393" s="2"/>
      </tp>
      <tp t="s">
        <v>Ferramenta Inválida</v>
        <stp/>
        <stp>BOOK0</stp>
        <stp>VOV</stp>
        <stp>384</stp>
        <tr r="D388" s="2"/>
      </tp>
      <tp t="s">
        <v>Ferramenta Inválida</v>
        <stp/>
        <stp>BOOK0</stp>
        <stp>VOV</stp>
        <stp>385</stp>
        <tr r="D389" s="2"/>
      </tp>
      <tp t="s">
        <v>Ferramenta Inválida</v>
        <stp/>
        <stp>BOOK0</stp>
        <stp>VOV</stp>
        <stp>386</stp>
        <tr r="D390" s="2"/>
      </tp>
      <tp t="s">
        <v>Ferramenta Inválida</v>
        <stp/>
        <stp>BOOK0</stp>
        <stp>VOV</stp>
        <stp>387</stp>
        <tr r="D391" s="2"/>
      </tp>
      <tp t="s">
        <v>Ferramenta Inválida</v>
        <stp/>
        <stp>BOOK0</stp>
        <stp>VOV</stp>
        <stp>380</stp>
        <tr r="D384" s="2"/>
      </tp>
      <tp t="s">
        <v>Ferramenta Inválida</v>
        <stp/>
        <stp>BOOK0</stp>
        <stp>VOV</stp>
        <stp>381</stp>
        <tr r="D385" s="2"/>
      </tp>
      <tp t="s">
        <v>Ferramenta Inválida</v>
        <stp/>
        <stp>BOOK0</stp>
        <stp>VOV</stp>
        <stp>382</stp>
        <tr r="D386" s="2"/>
      </tp>
      <tp t="s">
        <v>Ferramenta Inválida</v>
        <stp/>
        <stp>BOOK0</stp>
        <stp>VOV</stp>
        <stp>383</stp>
        <tr r="D387" s="2"/>
      </tp>
      <tp t="s">
        <v>Ferramenta Inválida</v>
        <stp/>
        <stp>BOOK0</stp>
        <stp>VOC</stp>
        <stp>389</stp>
        <tr r="A393" s="2"/>
      </tp>
      <tp t="s">
        <v>Ferramenta Inválida</v>
        <stp/>
        <stp>BOOK0</stp>
        <stp>VOC</stp>
        <stp>388</stp>
        <tr r="A392" s="2"/>
      </tp>
      <tp t="s">
        <v>Ferramenta Inválida</v>
        <stp/>
        <stp>BOOK0</stp>
        <stp>VOC</stp>
        <stp>381</stp>
        <tr r="A385" s="2"/>
      </tp>
      <tp t="s">
        <v>Ferramenta Inválida</v>
        <stp/>
        <stp>BOOK0</stp>
        <stp>VOC</stp>
        <stp>380</stp>
        <tr r="A384" s="2"/>
      </tp>
      <tp t="s">
        <v>Ferramenta Inválida</v>
        <stp/>
        <stp>BOOK0</stp>
        <stp>VOC</stp>
        <stp>383</stp>
        <tr r="A387" s="2"/>
      </tp>
      <tp t="s">
        <v>Ferramenta Inválida</v>
        <stp/>
        <stp>BOOK0</stp>
        <stp>VOC</stp>
        <stp>382</stp>
        <tr r="A386" s="2"/>
      </tp>
      <tp t="s">
        <v>Ferramenta Inválida</v>
        <stp/>
        <stp>BOOK0</stp>
        <stp>VOC</stp>
        <stp>385</stp>
        <tr r="A389" s="2"/>
      </tp>
      <tp t="s">
        <v>Ferramenta Inválida</v>
        <stp/>
        <stp>BOOK0</stp>
        <stp>VOC</stp>
        <stp>384</stp>
        <tr r="A388" s="2"/>
      </tp>
      <tp t="s">
        <v>Ferramenta Inválida</v>
        <stp/>
        <stp>BOOK0</stp>
        <stp>VOC</stp>
        <stp>387</stp>
        <tr r="A391" s="2"/>
      </tp>
      <tp t="s">
        <v>Ferramenta Inválida</v>
        <stp/>
        <stp>BOOK0</stp>
        <stp>VOC</stp>
        <stp>386</stp>
        <tr r="A390" s="2"/>
      </tp>
      <tp t="s">
        <v>Ferramenta Inválida</v>
        <stp/>
        <stp>BOOK0</stp>
        <stp>VOV</stp>
        <stp>218</stp>
        <tr r="D222" s="2"/>
      </tp>
      <tp t="s">
        <v>Ferramenta Inválida</v>
        <stp/>
        <stp>BOOK0</stp>
        <stp>VOV</stp>
        <stp>219</stp>
        <tr r="D223" s="2"/>
      </tp>
      <tp t="s">
        <v>Ferramenta Inválida</v>
        <stp/>
        <stp>BOOK0</stp>
        <stp>VOV</stp>
        <stp>214</stp>
        <tr r="D218" s="2"/>
      </tp>
      <tp t="s">
        <v>Ferramenta Inválida</v>
        <stp/>
        <stp>BOOK0</stp>
        <stp>VOV</stp>
        <stp>215</stp>
        <tr r="D219" s="2"/>
      </tp>
      <tp t="s">
        <v>Ferramenta Inválida</v>
        <stp/>
        <stp>BOOK0</stp>
        <stp>VOV</stp>
        <stp>216</stp>
        <tr r="D220" s="2"/>
      </tp>
      <tp t="s">
        <v>Ferramenta Inválida</v>
        <stp/>
        <stp>BOOK0</stp>
        <stp>VOV</stp>
        <stp>217</stp>
        <tr r="D221" s="2"/>
      </tp>
      <tp t="s">
        <v>Ferramenta Inválida</v>
        <stp/>
        <stp>BOOK0</stp>
        <stp>VOV</stp>
        <stp>210</stp>
        <tr r="D214" s="2"/>
      </tp>
      <tp t="s">
        <v>Ferramenta Inválida</v>
        <stp/>
        <stp>BOOK0</stp>
        <stp>VOV</stp>
        <stp>211</stp>
        <tr r="D215" s="2"/>
      </tp>
      <tp t="s">
        <v>Ferramenta Inválida</v>
        <stp/>
        <stp>BOOK0</stp>
        <stp>VOV</stp>
        <stp>212</stp>
        <tr r="D216" s="2"/>
      </tp>
      <tp t="s">
        <v>Ferramenta Inválida</v>
        <stp/>
        <stp>BOOK0</stp>
        <stp>VOV</stp>
        <stp>213</stp>
        <tr r="D217" s="2"/>
      </tp>
      <tp t="s">
        <v>Ferramenta Inválida</v>
        <stp/>
        <stp>BOOK0</stp>
        <stp>VOC</stp>
        <stp>219</stp>
        <tr r="A223" s="2"/>
      </tp>
      <tp t="s">
        <v>Ferramenta Inválida</v>
        <stp/>
        <stp>BOOK0</stp>
        <stp>VOC</stp>
        <stp>218</stp>
        <tr r="A222" s="2"/>
      </tp>
      <tp t="s">
        <v>Ferramenta Inválida</v>
        <stp/>
        <stp>BOOK0</stp>
        <stp>VOC</stp>
        <stp>211</stp>
        <tr r="A215" s="2"/>
      </tp>
      <tp t="s">
        <v>Ferramenta Inválida</v>
        <stp/>
        <stp>BOOK0</stp>
        <stp>VOC</stp>
        <stp>210</stp>
        <tr r="A214" s="2"/>
      </tp>
      <tp t="s">
        <v>Ferramenta Inválida</v>
        <stp/>
        <stp>BOOK0</stp>
        <stp>VOC</stp>
        <stp>213</stp>
        <tr r="A217" s="2"/>
      </tp>
      <tp t="s">
        <v>Ferramenta Inválida</v>
        <stp/>
        <stp>BOOK0</stp>
        <stp>VOC</stp>
        <stp>212</stp>
        <tr r="A216" s="2"/>
      </tp>
      <tp t="s">
        <v>Ferramenta Inválida</v>
        <stp/>
        <stp>BOOK0</stp>
        <stp>VOC</stp>
        <stp>215</stp>
        <tr r="A219" s="2"/>
      </tp>
      <tp t="s">
        <v>Ferramenta Inválida</v>
        <stp/>
        <stp>BOOK0</stp>
        <stp>VOC</stp>
        <stp>214</stp>
        <tr r="A218" s="2"/>
      </tp>
      <tp t="s">
        <v>Ferramenta Inválida</v>
        <stp/>
        <stp>BOOK0</stp>
        <stp>VOC</stp>
        <stp>217</stp>
        <tr r="A221" s="2"/>
      </tp>
      <tp t="s">
        <v>Ferramenta Inválida</v>
        <stp/>
        <stp>BOOK0</stp>
        <stp>VOC</stp>
        <stp>216</stp>
        <tr r="A220" s="2"/>
      </tp>
      <tp t="s">
        <v>Ferramenta Inválida</v>
        <stp/>
        <stp>BOOK0</stp>
        <stp>VOV</stp>
        <stp>208</stp>
        <tr r="D212" s="2"/>
      </tp>
      <tp t="s">
        <v>Ferramenta Inválida</v>
        <stp/>
        <stp>BOOK0</stp>
        <stp>VOV</stp>
        <stp>209</stp>
        <tr r="D213" s="2"/>
      </tp>
      <tp t="s">
        <v>Ferramenta Inválida</v>
        <stp/>
        <stp>BOOK0</stp>
        <stp>VOV</stp>
        <stp>204</stp>
        <tr r="D208" s="2"/>
      </tp>
      <tp t="s">
        <v>Ferramenta Inválida</v>
        <stp/>
        <stp>BOOK0</stp>
        <stp>VOV</stp>
        <stp>205</stp>
        <tr r="D209" s="2"/>
      </tp>
      <tp t="s">
        <v>Ferramenta Inválida</v>
        <stp/>
        <stp>BOOK0</stp>
        <stp>VOV</stp>
        <stp>206</stp>
        <tr r="D210" s="2"/>
      </tp>
      <tp t="s">
        <v>Ferramenta Inválida</v>
        <stp/>
        <stp>BOOK0</stp>
        <stp>VOV</stp>
        <stp>207</stp>
        <tr r="D211" s="2"/>
      </tp>
      <tp t="s">
        <v>Ferramenta Inválida</v>
        <stp/>
        <stp>BOOK0</stp>
        <stp>VOV</stp>
        <stp>200</stp>
        <tr r="D204" s="2"/>
      </tp>
      <tp t="s">
        <v>Ferramenta Inválida</v>
        <stp/>
        <stp>BOOK0</stp>
        <stp>VOV</stp>
        <stp>201</stp>
        <tr r="D205" s="2"/>
      </tp>
      <tp t="s">
        <v>Ferramenta Inválida</v>
        <stp/>
        <stp>BOOK0</stp>
        <stp>VOV</stp>
        <stp>202</stp>
        <tr r="D206" s="2"/>
      </tp>
      <tp t="s">
        <v>Ferramenta Inválida</v>
        <stp/>
        <stp>BOOK0</stp>
        <stp>VOV</stp>
        <stp>203</stp>
        <tr r="D207" s="2"/>
      </tp>
      <tp t="s">
        <v>Ferramenta Inválida</v>
        <stp/>
        <stp>BOOK0</stp>
        <stp>VOC</stp>
        <stp>209</stp>
        <tr r="A213" s="2"/>
      </tp>
      <tp t="s">
        <v>Ferramenta Inválida</v>
        <stp/>
        <stp>BOOK0</stp>
        <stp>VOC</stp>
        <stp>208</stp>
        <tr r="A212" s="2"/>
      </tp>
      <tp t="s">
        <v>Ferramenta Inválida</v>
        <stp/>
        <stp>BOOK0</stp>
        <stp>VOC</stp>
        <stp>201</stp>
        <tr r="A205" s="2"/>
      </tp>
      <tp t="s">
        <v>Ferramenta Inválida</v>
        <stp/>
        <stp>BOOK0</stp>
        <stp>VOC</stp>
        <stp>200</stp>
        <tr r="A204" s="2"/>
      </tp>
      <tp t="s">
        <v>Ferramenta Inválida</v>
        <stp/>
        <stp>BOOK0</stp>
        <stp>VOC</stp>
        <stp>203</stp>
        <tr r="A207" s="2"/>
      </tp>
      <tp t="s">
        <v>Ferramenta Inválida</v>
        <stp/>
        <stp>BOOK0</stp>
        <stp>VOC</stp>
        <stp>202</stp>
        <tr r="A206" s="2"/>
      </tp>
      <tp t="s">
        <v>Ferramenta Inválida</v>
        <stp/>
        <stp>BOOK0</stp>
        <stp>VOC</stp>
        <stp>205</stp>
        <tr r="A209" s="2"/>
      </tp>
      <tp t="s">
        <v>Ferramenta Inválida</v>
        <stp/>
        <stp>BOOK0</stp>
        <stp>VOC</stp>
        <stp>204</stp>
        <tr r="A208" s="2"/>
      </tp>
      <tp t="s">
        <v>Ferramenta Inválida</v>
        <stp/>
        <stp>BOOK0</stp>
        <stp>VOC</stp>
        <stp>207</stp>
        <tr r="A211" s="2"/>
      </tp>
      <tp t="s">
        <v>Ferramenta Inválida</v>
        <stp/>
        <stp>BOOK0</stp>
        <stp>VOC</stp>
        <stp>206</stp>
        <tr r="A210" s="2"/>
      </tp>
      <tp t="s">
        <v>Ferramenta Inválida</v>
        <stp/>
        <stp>BOOK0</stp>
        <stp>VOV</stp>
        <stp>238</stp>
        <tr r="D242" s="2"/>
      </tp>
      <tp t="s">
        <v>Ferramenta Inválida</v>
        <stp/>
        <stp>BOOK0</stp>
        <stp>VOV</stp>
        <stp>239</stp>
        <tr r="D243" s="2"/>
      </tp>
      <tp t="s">
        <v>Ferramenta Inválida</v>
        <stp/>
        <stp>BOOK0</stp>
        <stp>VOV</stp>
        <stp>234</stp>
        <tr r="D238" s="2"/>
      </tp>
      <tp t="s">
        <v>Ferramenta Inválida</v>
        <stp/>
        <stp>BOOK0</stp>
        <stp>VOV</stp>
        <stp>235</stp>
        <tr r="D239" s="2"/>
      </tp>
      <tp t="s">
        <v>Ferramenta Inválida</v>
        <stp/>
        <stp>BOOK0</stp>
        <stp>VOV</stp>
        <stp>236</stp>
        <tr r="D240" s="2"/>
      </tp>
      <tp t="s">
        <v>Ferramenta Inválida</v>
        <stp/>
        <stp>BOOK0</stp>
        <stp>VOV</stp>
        <stp>237</stp>
        <tr r="D241" s="2"/>
      </tp>
      <tp t="s">
        <v>Ferramenta Inválida</v>
        <stp/>
        <stp>BOOK0</stp>
        <stp>VOV</stp>
        <stp>230</stp>
        <tr r="D234" s="2"/>
      </tp>
      <tp t="s">
        <v>Ferramenta Inválida</v>
        <stp/>
        <stp>BOOK0</stp>
        <stp>VOV</stp>
        <stp>231</stp>
        <tr r="D235" s="2"/>
      </tp>
      <tp t="s">
        <v>Ferramenta Inválida</v>
        <stp/>
        <stp>BOOK0</stp>
        <stp>VOV</stp>
        <stp>232</stp>
        <tr r="D236" s="2"/>
      </tp>
      <tp t="s">
        <v>Ferramenta Inválida</v>
        <stp/>
        <stp>BOOK0</stp>
        <stp>VOV</stp>
        <stp>233</stp>
        <tr r="D237" s="2"/>
      </tp>
      <tp t="s">
        <v>Ferramenta Inválida</v>
        <stp/>
        <stp>BOOK0</stp>
        <stp>VOC</stp>
        <stp>239</stp>
        <tr r="A243" s="2"/>
      </tp>
      <tp t="s">
        <v>Ferramenta Inválida</v>
        <stp/>
        <stp>BOOK0</stp>
        <stp>VOC</stp>
        <stp>238</stp>
        <tr r="A242" s="2"/>
      </tp>
      <tp t="s">
        <v>Ferramenta Inválida</v>
        <stp/>
        <stp>BOOK0</stp>
        <stp>VOC</stp>
        <stp>231</stp>
        <tr r="A235" s="2"/>
      </tp>
      <tp t="s">
        <v>Ferramenta Inválida</v>
        <stp/>
        <stp>BOOK0</stp>
        <stp>VOC</stp>
        <stp>230</stp>
        <tr r="A234" s="2"/>
      </tp>
      <tp t="s">
        <v>Ferramenta Inválida</v>
        <stp/>
        <stp>BOOK0</stp>
        <stp>VOC</stp>
        <stp>233</stp>
        <tr r="A237" s="2"/>
      </tp>
      <tp t="s">
        <v>Ferramenta Inválida</v>
        <stp/>
        <stp>BOOK0</stp>
        <stp>VOC</stp>
        <stp>232</stp>
        <tr r="A236" s="2"/>
      </tp>
      <tp t="s">
        <v>Ferramenta Inválida</v>
        <stp/>
        <stp>BOOK0</stp>
        <stp>VOC</stp>
        <stp>235</stp>
        <tr r="A239" s="2"/>
      </tp>
      <tp t="s">
        <v>Ferramenta Inválida</v>
        <stp/>
        <stp>BOOK0</stp>
        <stp>VOC</stp>
        <stp>234</stp>
        <tr r="A238" s="2"/>
      </tp>
      <tp t="s">
        <v>Ferramenta Inválida</v>
        <stp/>
        <stp>BOOK0</stp>
        <stp>VOC</stp>
        <stp>237</stp>
        <tr r="A241" s="2"/>
      </tp>
      <tp t="s">
        <v>Ferramenta Inválida</v>
        <stp/>
        <stp>BOOK0</stp>
        <stp>VOC</stp>
        <stp>236</stp>
        <tr r="A240" s="2"/>
      </tp>
      <tp t="s">
        <v>Ferramenta Inválida</v>
        <stp/>
        <stp>BOOK0</stp>
        <stp>VOV</stp>
        <stp>228</stp>
        <tr r="D232" s="2"/>
      </tp>
      <tp t="s">
        <v>Ferramenta Inválida</v>
        <stp/>
        <stp>BOOK0</stp>
        <stp>VOV</stp>
        <stp>229</stp>
        <tr r="D233" s="2"/>
      </tp>
      <tp t="s">
        <v>Ferramenta Inválida</v>
        <stp/>
        <stp>BOOK0</stp>
        <stp>VOV</stp>
        <stp>224</stp>
        <tr r="D228" s="2"/>
      </tp>
      <tp t="s">
        <v>Ferramenta Inválida</v>
        <stp/>
        <stp>BOOK0</stp>
        <stp>VOV</stp>
        <stp>225</stp>
        <tr r="D229" s="2"/>
      </tp>
      <tp t="s">
        <v>Ferramenta Inválida</v>
        <stp/>
        <stp>BOOK0</stp>
        <stp>VOV</stp>
        <stp>226</stp>
        <tr r="D230" s="2"/>
      </tp>
      <tp t="s">
        <v>Ferramenta Inválida</v>
        <stp/>
        <stp>BOOK0</stp>
        <stp>VOV</stp>
        <stp>227</stp>
        <tr r="D231" s="2"/>
      </tp>
      <tp t="s">
        <v>Ferramenta Inválida</v>
        <stp/>
        <stp>BOOK0</stp>
        <stp>VOV</stp>
        <stp>220</stp>
        <tr r="D224" s="2"/>
      </tp>
      <tp t="s">
        <v>Ferramenta Inválida</v>
        <stp/>
        <stp>BOOK0</stp>
        <stp>VOV</stp>
        <stp>221</stp>
        <tr r="D225" s="2"/>
      </tp>
      <tp t="s">
        <v>Ferramenta Inválida</v>
        <stp/>
        <stp>BOOK0</stp>
        <stp>VOV</stp>
        <stp>222</stp>
        <tr r="D226" s="2"/>
      </tp>
      <tp t="s">
        <v>Ferramenta Inválida</v>
        <stp/>
        <stp>BOOK0</stp>
        <stp>VOV</stp>
        <stp>223</stp>
        <tr r="D227" s="2"/>
      </tp>
      <tp t="s">
        <v>Ferramenta Inválida</v>
        <stp/>
        <stp>BOOK0</stp>
        <stp>VOC</stp>
        <stp>229</stp>
        <tr r="A233" s="2"/>
      </tp>
      <tp t="s">
        <v>Ferramenta Inválida</v>
        <stp/>
        <stp>BOOK0</stp>
        <stp>VOC</stp>
        <stp>228</stp>
        <tr r="A232" s="2"/>
      </tp>
      <tp t="s">
        <v>Ferramenta Inválida</v>
        <stp/>
        <stp>BOOK0</stp>
        <stp>VOC</stp>
        <stp>221</stp>
        <tr r="A225" s="2"/>
      </tp>
      <tp t="s">
        <v>Ferramenta Inválida</v>
        <stp/>
        <stp>BOOK0</stp>
        <stp>VOC</stp>
        <stp>220</stp>
        <tr r="A224" s="2"/>
      </tp>
      <tp t="s">
        <v>Ferramenta Inválida</v>
        <stp/>
        <stp>BOOK0</stp>
        <stp>VOC</stp>
        <stp>223</stp>
        <tr r="A227" s="2"/>
      </tp>
      <tp t="s">
        <v>Ferramenta Inválida</v>
        <stp/>
        <stp>BOOK0</stp>
        <stp>VOC</stp>
        <stp>222</stp>
        <tr r="A226" s="2"/>
      </tp>
      <tp t="s">
        <v>Ferramenta Inválida</v>
        <stp/>
        <stp>BOOK0</stp>
        <stp>VOC</stp>
        <stp>225</stp>
        <tr r="A229" s="2"/>
      </tp>
      <tp t="s">
        <v>Ferramenta Inválida</v>
        <stp/>
        <stp>BOOK0</stp>
        <stp>VOC</stp>
        <stp>224</stp>
        <tr r="A228" s="2"/>
      </tp>
      <tp t="s">
        <v>Ferramenta Inválida</v>
        <stp/>
        <stp>BOOK0</stp>
        <stp>VOC</stp>
        <stp>227</stp>
        <tr r="A231" s="2"/>
      </tp>
      <tp t="s">
        <v>Ferramenta Inválida</v>
        <stp/>
        <stp>BOOK0</stp>
        <stp>VOC</stp>
        <stp>226</stp>
        <tr r="A230" s="2"/>
      </tp>
      <tp t="s">
        <v>Ferramenta Inválida</v>
        <stp/>
        <stp>BOOK0</stp>
        <stp>VOV</stp>
        <stp>258</stp>
        <tr r="D262" s="2"/>
      </tp>
      <tp t="s">
        <v>Ferramenta Inválida</v>
        <stp/>
        <stp>BOOK0</stp>
        <stp>VOV</stp>
        <stp>259</stp>
        <tr r="D263" s="2"/>
      </tp>
      <tp t="s">
        <v>Ferramenta Inválida</v>
        <stp/>
        <stp>BOOK0</stp>
        <stp>VOV</stp>
        <stp>254</stp>
        <tr r="D258" s="2"/>
      </tp>
      <tp t="s">
        <v>Ferramenta Inválida</v>
        <stp/>
        <stp>BOOK0</stp>
        <stp>VOV</stp>
        <stp>255</stp>
        <tr r="D259" s="2"/>
      </tp>
      <tp t="s">
        <v>Ferramenta Inválida</v>
        <stp/>
        <stp>BOOK0</stp>
        <stp>VOV</stp>
        <stp>256</stp>
        <tr r="D260" s="2"/>
      </tp>
      <tp t="s">
        <v>Ferramenta Inválida</v>
        <stp/>
        <stp>BOOK0</stp>
        <stp>VOV</stp>
        <stp>257</stp>
        <tr r="D261" s="2"/>
      </tp>
      <tp t="s">
        <v>Ferramenta Inválida</v>
        <stp/>
        <stp>BOOK0</stp>
        <stp>VOV</stp>
        <stp>250</stp>
        <tr r="D254" s="2"/>
      </tp>
      <tp t="s">
        <v>Ferramenta Inválida</v>
        <stp/>
        <stp>BOOK0</stp>
        <stp>VOV</stp>
        <stp>251</stp>
        <tr r="D255" s="2"/>
      </tp>
      <tp t="s">
        <v>Ferramenta Inválida</v>
        <stp/>
        <stp>BOOK0</stp>
        <stp>VOV</stp>
        <stp>252</stp>
        <tr r="D256" s="2"/>
      </tp>
      <tp t="s">
        <v>Ferramenta Inválida</v>
        <stp/>
        <stp>BOOK0</stp>
        <stp>VOV</stp>
        <stp>253</stp>
        <tr r="D257" s="2"/>
      </tp>
      <tp t="s">
        <v>Ferramenta Inválida</v>
        <stp/>
        <stp>BOOK0</stp>
        <stp>VOC</stp>
        <stp>259</stp>
        <tr r="A263" s="2"/>
      </tp>
      <tp t="s">
        <v>Ferramenta Inválida</v>
        <stp/>
        <stp>BOOK0</stp>
        <stp>VOC</stp>
        <stp>258</stp>
        <tr r="A262" s="2"/>
      </tp>
      <tp t="s">
        <v>Ferramenta Inválida</v>
        <stp/>
        <stp>BOOK0</stp>
        <stp>VOC</stp>
        <stp>251</stp>
        <tr r="A255" s="2"/>
      </tp>
      <tp t="s">
        <v>Ferramenta Inválida</v>
        <stp/>
        <stp>BOOK0</stp>
        <stp>VOC</stp>
        <stp>250</stp>
        <tr r="A254" s="2"/>
      </tp>
      <tp t="s">
        <v>Ferramenta Inválida</v>
        <stp/>
        <stp>BOOK0</stp>
        <stp>VOC</stp>
        <stp>253</stp>
        <tr r="A257" s="2"/>
      </tp>
      <tp t="s">
        <v>Ferramenta Inválida</v>
        <stp/>
        <stp>BOOK0</stp>
        <stp>VOC</stp>
        <stp>252</stp>
        <tr r="A256" s="2"/>
      </tp>
      <tp t="s">
        <v>Ferramenta Inválida</v>
        <stp/>
        <stp>BOOK0</stp>
        <stp>VOC</stp>
        <stp>255</stp>
        <tr r="A259" s="2"/>
      </tp>
      <tp t="s">
        <v>Ferramenta Inválida</v>
        <stp/>
        <stp>BOOK0</stp>
        <stp>VOC</stp>
        <stp>254</stp>
        <tr r="A258" s="2"/>
      </tp>
      <tp t="s">
        <v>Ferramenta Inválida</v>
        <stp/>
        <stp>BOOK0</stp>
        <stp>VOC</stp>
        <stp>257</stp>
        <tr r="A261" s="2"/>
      </tp>
      <tp t="s">
        <v>Ferramenta Inválida</v>
        <stp/>
        <stp>BOOK0</stp>
        <stp>VOC</stp>
        <stp>256</stp>
        <tr r="A260" s="2"/>
      </tp>
      <tp t="s">
        <v>Ferramenta Inválida</v>
        <stp/>
        <stp>BOOK0</stp>
        <stp>VOV</stp>
        <stp>248</stp>
        <tr r="D252" s="2"/>
      </tp>
      <tp t="s">
        <v>Ferramenta Inválida</v>
        <stp/>
        <stp>BOOK0</stp>
        <stp>VOV</stp>
        <stp>249</stp>
        <tr r="D253" s="2"/>
      </tp>
      <tp t="s">
        <v>Ferramenta Inválida</v>
        <stp/>
        <stp>BOOK0</stp>
        <stp>VOV</stp>
        <stp>244</stp>
        <tr r="D248" s="2"/>
      </tp>
      <tp t="s">
        <v>Ferramenta Inválida</v>
        <stp/>
        <stp>BOOK0</stp>
        <stp>VOV</stp>
        <stp>245</stp>
        <tr r="D249" s="2"/>
      </tp>
      <tp t="s">
        <v>Ferramenta Inválida</v>
        <stp/>
        <stp>BOOK0</stp>
        <stp>VOV</stp>
        <stp>246</stp>
        <tr r="D250" s="2"/>
      </tp>
      <tp t="s">
        <v>Ferramenta Inválida</v>
        <stp/>
        <stp>BOOK0</stp>
        <stp>VOV</stp>
        <stp>247</stp>
        <tr r="D251" s="2"/>
      </tp>
      <tp t="s">
        <v>Ferramenta Inválida</v>
        <stp/>
        <stp>BOOK0</stp>
        <stp>VOV</stp>
        <stp>240</stp>
        <tr r="D244" s="2"/>
      </tp>
      <tp t="s">
        <v>Ferramenta Inválida</v>
        <stp/>
        <stp>BOOK0</stp>
        <stp>VOV</stp>
        <stp>241</stp>
        <tr r="D245" s="2"/>
      </tp>
      <tp t="s">
        <v>Ferramenta Inválida</v>
        <stp/>
        <stp>BOOK0</stp>
        <stp>VOV</stp>
        <stp>242</stp>
        <tr r="D246" s="2"/>
      </tp>
      <tp t="s">
        <v>Ferramenta Inválida</v>
        <stp/>
        <stp>BOOK0</stp>
        <stp>VOV</stp>
        <stp>243</stp>
        <tr r="D247" s="2"/>
      </tp>
      <tp t="s">
        <v>Ferramenta Inválida</v>
        <stp/>
        <stp>BOOK0</stp>
        <stp>VOC</stp>
        <stp>249</stp>
        <tr r="A253" s="2"/>
      </tp>
      <tp t="s">
        <v>Ferramenta Inválida</v>
        <stp/>
        <stp>BOOK0</stp>
        <stp>VOC</stp>
        <stp>248</stp>
        <tr r="A252" s="2"/>
      </tp>
      <tp t="s">
        <v>Ferramenta Inválida</v>
        <stp/>
        <stp>BOOK0</stp>
        <stp>VOC</stp>
        <stp>241</stp>
        <tr r="A245" s="2"/>
      </tp>
      <tp t="s">
        <v>Ferramenta Inválida</v>
        <stp/>
        <stp>BOOK0</stp>
        <stp>VOC</stp>
        <stp>240</stp>
        <tr r="A244" s="2"/>
      </tp>
      <tp t="s">
        <v>Ferramenta Inválida</v>
        <stp/>
        <stp>BOOK0</stp>
        <stp>VOC</stp>
        <stp>243</stp>
        <tr r="A247" s="2"/>
      </tp>
      <tp t="s">
        <v>Ferramenta Inválida</v>
        <stp/>
        <stp>BOOK0</stp>
        <stp>VOC</stp>
        <stp>242</stp>
        <tr r="A246" s="2"/>
      </tp>
      <tp t="s">
        <v>Ferramenta Inválida</v>
        <stp/>
        <stp>BOOK0</stp>
        <stp>VOC</stp>
        <stp>245</stp>
        <tr r="A249" s="2"/>
      </tp>
      <tp t="s">
        <v>Ferramenta Inválida</v>
        <stp/>
        <stp>BOOK0</stp>
        <stp>VOC</stp>
        <stp>244</stp>
        <tr r="A248" s="2"/>
      </tp>
      <tp t="s">
        <v>Ferramenta Inválida</v>
        <stp/>
        <stp>BOOK0</stp>
        <stp>VOC</stp>
        <stp>247</stp>
        <tr r="A251" s="2"/>
      </tp>
      <tp t="s">
        <v>Ferramenta Inválida</v>
        <stp/>
        <stp>BOOK0</stp>
        <stp>VOC</stp>
        <stp>246</stp>
        <tr r="A250" s="2"/>
      </tp>
      <tp t="s">
        <v>Ferramenta Inválida</v>
        <stp/>
        <stp>BOOK0</stp>
        <stp>VOV</stp>
        <stp>278</stp>
        <tr r="D282" s="2"/>
      </tp>
      <tp t="s">
        <v>Ferramenta Inválida</v>
        <stp/>
        <stp>BOOK0</stp>
        <stp>VOV</stp>
        <stp>279</stp>
        <tr r="D283" s="2"/>
      </tp>
      <tp t="s">
        <v>Ferramenta Inválida</v>
        <stp/>
        <stp>BOOK0</stp>
        <stp>VOV</stp>
        <stp>274</stp>
        <tr r="D278" s="2"/>
      </tp>
      <tp t="s">
        <v>Ferramenta Inválida</v>
        <stp/>
        <stp>BOOK0</stp>
        <stp>VOV</stp>
        <stp>275</stp>
        <tr r="D279" s="2"/>
      </tp>
      <tp t="s">
        <v>Ferramenta Inválida</v>
        <stp/>
        <stp>BOOK0</stp>
        <stp>VOV</stp>
        <stp>276</stp>
        <tr r="D280" s="2"/>
      </tp>
      <tp t="s">
        <v>Ferramenta Inválida</v>
        <stp/>
        <stp>BOOK0</stp>
        <stp>VOV</stp>
        <stp>277</stp>
        <tr r="D281" s="2"/>
      </tp>
      <tp t="s">
        <v>Ferramenta Inválida</v>
        <stp/>
        <stp>BOOK0</stp>
        <stp>VOV</stp>
        <stp>270</stp>
        <tr r="D274" s="2"/>
      </tp>
      <tp t="s">
        <v>Ferramenta Inválida</v>
        <stp/>
        <stp>BOOK0</stp>
        <stp>VOV</stp>
        <stp>271</stp>
        <tr r="D275" s="2"/>
      </tp>
      <tp t="s">
        <v>Ferramenta Inválida</v>
        <stp/>
        <stp>BOOK0</stp>
        <stp>VOV</stp>
        <stp>272</stp>
        <tr r="D276" s="2"/>
      </tp>
      <tp t="s">
        <v>Ferramenta Inválida</v>
        <stp/>
        <stp>BOOK0</stp>
        <stp>VOV</stp>
        <stp>273</stp>
        <tr r="D277" s="2"/>
      </tp>
      <tp t="s">
        <v>Ferramenta Inválida</v>
        <stp/>
        <stp>BOOK0</stp>
        <stp>VOC</stp>
        <stp>279</stp>
        <tr r="A283" s="2"/>
      </tp>
      <tp t="s">
        <v>Ferramenta Inválida</v>
        <stp/>
        <stp>BOOK0</stp>
        <stp>VOC</stp>
        <stp>278</stp>
        <tr r="A282" s="2"/>
      </tp>
      <tp t="s">
        <v>Ferramenta Inválida</v>
        <stp/>
        <stp>BOOK0</stp>
        <stp>VOC</stp>
        <stp>271</stp>
        <tr r="A275" s="2"/>
      </tp>
      <tp t="s">
        <v>Ferramenta Inválida</v>
        <stp/>
        <stp>BOOK0</stp>
        <stp>VOC</stp>
        <stp>270</stp>
        <tr r="A274" s="2"/>
      </tp>
      <tp t="s">
        <v>Ferramenta Inválida</v>
        <stp/>
        <stp>BOOK0</stp>
        <stp>VOC</stp>
        <stp>273</stp>
        <tr r="A277" s="2"/>
      </tp>
      <tp t="s">
        <v>Ferramenta Inválida</v>
        <stp/>
        <stp>BOOK0</stp>
        <stp>VOC</stp>
        <stp>272</stp>
        <tr r="A276" s="2"/>
      </tp>
      <tp t="s">
        <v>Ferramenta Inválida</v>
        <stp/>
        <stp>BOOK0</stp>
        <stp>VOC</stp>
        <stp>275</stp>
        <tr r="A279" s="2"/>
      </tp>
      <tp t="s">
        <v>Ferramenta Inválida</v>
        <stp/>
        <stp>BOOK0</stp>
        <stp>VOC</stp>
        <stp>274</stp>
        <tr r="A278" s="2"/>
      </tp>
      <tp t="s">
        <v>Ferramenta Inválida</v>
        <stp/>
        <stp>BOOK0</stp>
        <stp>VOC</stp>
        <stp>277</stp>
        <tr r="A281" s="2"/>
      </tp>
      <tp t="s">
        <v>Ferramenta Inválida</v>
        <stp/>
        <stp>BOOK0</stp>
        <stp>VOC</stp>
        <stp>276</stp>
        <tr r="A280" s="2"/>
      </tp>
      <tp t="s">
        <v>Ferramenta Inválida</v>
        <stp/>
        <stp>BOOK0</stp>
        <stp>VOV</stp>
        <stp>268</stp>
        <tr r="D272" s="2"/>
      </tp>
      <tp t="s">
        <v>Ferramenta Inválida</v>
        <stp/>
        <stp>BOOK0</stp>
        <stp>VOV</stp>
        <stp>269</stp>
        <tr r="D273" s="2"/>
      </tp>
      <tp t="s">
        <v>Ferramenta Inválida</v>
        <stp/>
        <stp>BOOK0</stp>
        <stp>VOV</stp>
        <stp>264</stp>
        <tr r="D268" s="2"/>
      </tp>
      <tp t="s">
        <v>Ferramenta Inválida</v>
        <stp/>
        <stp>BOOK0</stp>
        <stp>VOV</stp>
        <stp>265</stp>
        <tr r="D269" s="2"/>
      </tp>
      <tp t="s">
        <v>Ferramenta Inválida</v>
        <stp/>
        <stp>BOOK0</stp>
        <stp>VOV</stp>
        <stp>266</stp>
        <tr r="D270" s="2"/>
      </tp>
      <tp t="s">
        <v>Ferramenta Inválida</v>
        <stp/>
        <stp>BOOK0</stp>
        <stp>VOV</stp>
        <stp>267</stp>
        <tr r="D271" s="2"/>
      </tp>
      <tp t="s">
        <v>Ferramenta Inválida</v>
        <stp/>
        <stp>BOOK0</stp>
        <stp>VOV</stp>
        <stp>260</stp>
        <tr r="D264" s="2"/>
      </tp>
      <tp t="s">
        <v>Ferramenta Inválida</v>
        <stp/>
        <stp>BOOK0</stp>
        <stp>VOV</stp>
        <stp>261</stp>
        <tr r="D265" s="2"/>
      </tp>
      <tp t="s">
        <v>Ferramenta Inválida</v>
        <stp/>
        <stp>BOOK0</stp>
        <stp>VOV</stp>
        <stp>262</stp>
        <tr r="D266" s="2"/>
      </tp>
      <tp t="s">
        <v>Ferramenta Inválida</v>
        <stp/>
        <stp>BOOK0</stp>
        <stp>VOV</stp>
        <stp>263</stp>
        <tr r="D267" s="2"/>
      </tp>
      <tp t="s">
        <v>Ferramenta Inválida</v>
        <stp/>
        <stp>BOOK0</stp>
        <stp>VOC</stp>
        <stp>269</stp>
        <tr r="A273" s="2"/>
      </tp>
      <tp t="s">
        <v>Ferramenta Inválida</v>
        <stp/>
        <stp>BOOK0</stp>
        <stp>VOC</stp>
        <stp>268</stp>
        <tr r="A272" s="2"/>
      </tp>
      <tp t="s">
        <v>Ferramenta Inválida</v>
        <stp/>
        <stp>BOOK0</stp>
        <stp>VOC</stp>
        <stp>261</stp>
        <tr r="A265" s="2"/>
      </tp>
      <tp t="s">
        <v>Ferramenta Inválida</v>
        <stp/>
        <stp>BOOK0</stp>
        <stp>VOC</stp>
        <stp>260</stp>
        <tr r="A264" s="2"/>
      </tp>
      <tp t="s">
        <v>Ferramenta Inválida</v>
        <stp/>
        <stp>BOOK0</stp>
        <stp>VOC</stp>
        <stp>263</stp>
        <tr r="A267" s="2"/>
      </tp>
      <tp t="s">
        <v>Ferramenta Inválida</v>
        <stp/>
        <stp>BOOK0</stp>
        <stp>VOC</stp>
        <stp>262</stp>
        <tr r="A266" s="2"/>
      </tp>
      <tp t="s">
        <v>Ferramenta Inválida</v>
        <stp/>
        <stp>BOOK0</stp>
        <stp>VOC</stp>
        <stp>265</stp>
        <tr r="A269" s="2"/>
      </tp>
      <tp t="s">
        <v>Ferramenta Inválida</v>
        <stp/>
        <stp>BOOK0</stp>
        <stp>VOC</stp>
        <stp>264</stp>
        <tr r="A268" s="2"/>
      </tp>
      <tp t="s">
        <v>Ferramenta Inválida</v>
        <stp/>
        <stp>BOOK0</stp>
        <stp>VOC</stp>
        <stp>267</stp>
        <tr r="A271" s="2"/>
      </tp>
      <tp t="s">
        <v>Ferramenta Inválida</v>
        <stp/>
        <stp>BOOK0</stp>
        <stp>VOC</stp>
        <stp>266</stp>
        <tr r="A270" s="2"/>
      </tp>
      <tp t="s">
        <v>Ferramenta Inválida</v>
        <stp/>
        <stp>BOOK0</stp>
        <stp>VOV</stp>
        <stp>298</stp>
        <tr r="D302" s="2"/>
      </tp>
      <tp t="s">
        <v>Ferramenta Inválida</v>
        <stp/>
        <stp>BOOK0</stp>
        <stp>VOV</stp>
        <stp>299</stp>
        <tr r="D303" s="2"/>
      </tp>
      <tp t="s">
        <v>Ferramenta Inválida</v>
        <stp/>
        <stp>BOOK0</stp>
        <stp>VOV</stp>
        <stp>294</stp>
        <tr r="D298" s="2"/>
      </tp>
      <tp t="s">
        <v>Ferramenta Inválida</v>
        <stp/>
        <stp>BOOK0</stp>
        <stp>VOV</stp>
        <stp>295</stp>
        <tr r="D299" s="2"/>
      </tp>
      <tp t="s">
        <v>Ferramenta Inválida</v>
        <stp/>
        <stp>BOOK0</stp>
        <stp>VOV</stp>
        <stp>296</stp>
        <tr r="D300" s="2"/>
      </tp>
      <tp t="s">
        <v>Ferramenta Inválida</v>
        <stp/>
        <stp>BOOK0</stp>
        <stp>VOV</stp>
        <stp>297</stp>
        <tr r="D301" s="2"/>
      </tp>
      <tp t="s">
        <v>Ferramenta Inválida</v>
        <stp/>
        <stp>BOOK0</stp>
        <stp>VOV</stp>
        <stp>290</stp>
        <tr r="D294" s="2"/>
      </tp>
      <tp t="s">
        <v>Ferramenta Inválida</v>
        <stp/>
        <stp>BOOK0</stp>
        <stp>VOV</stp>
        <stp>291</stp>
        <tr r="D295" s="2"/>
      </tp>
      <tp t="s">
        <v>Ferramenta Inválida</v>
        <stp/>
        <stp>BOOK0</stp>
        <stp>VOV</stp>
        <stp>292</stp>
        <tr r="D296" s="2"/>
      </tp>
      <tp t="s">
        <v>Ferramenta Inválida</v>
        <stp/>
        <stp>BOOK0</stp>
        <stp>VOV</stp>
        <stp>293</stp>
        <tr r="D297" s="2"/>
      </tp>
      <tp t="s">
        <v>Ferramenta Inválida</v>
        <stp/>
        <stp>BOOK0</stp>
        <stp>VOC</stp>
        <stp>299</stp>
        <tr r="A303" s="2"/>
      </tp>
      <tp t="s">
        <v>Ferramenta Inválida</v>
        <stp/>
        <stp>BOOK0</stp>
        <stp>VOC</stp>
        <stp>298</stp>
        <tr r="A302" s="2"/>
      </tp>
      <tp t="s">
        <v>Ferramenta Inválida</v>
        <stp/>
        <stp>BOOK0</stp>
        <stp>VOC</stp>
        <stp>291</stp>
        <tr r="A295" s="2"/>
      </tp>
      <tp t="s">
        <v>Ferramenta Inválida</v>
        <stp/>
        <stp>BOOK0</stp>
        <stp>VOC</stp>
        <stp>290</stp>
        <tr r="A294" s="2"/>
      </tp>
      <tp t="s">
        <v>Ferramenta Inválida</v>
        <stp/>
        <stp>BOOK0</stp>
        <stp>VOC</stp>
        <stp>293</stp>
        <tr r="A297" s="2"/>
      </tp>
      <tp t="s">
        <v>Ferramenta Inválida</v>
        <stp/>
        <stp>BOOK0</stp>
        <stp>VOC</stp>
        <stp>292</stp>
        <tr r="A296" s="2"/>
      </tp>
      <tp t="s">
        <v>Ferramenta Inválida</v>
        <stp/>
        <stp>BOOK0</stp>
        <stp>VOC</stp>
        <stp>295</stp>
        <tr r="A299" s="2"/>
      </tp>
      <tp t="s">
        <v>Ferramenta Inválida</v>
        <stp/>
        <stp>BOOK0</stp>
        <stp>VOC</stp>
        <stp>294</stp>
        <tr r="A298" s="2"/>
      </tp>
      <tp t="s">
        <v>Ferramenta Inválida</v>
        <stp/>
        <stp>BOOK0</stp>
        <stp>VOC</stp>
        <stp>297</stp>
        <tr r="A301" s="2"/>
      </tp>
      <tp t="s">
        <v>Ferramenta Inválida</v>
        <stp/>
        <stp>BOOK0</stp>
        <stp>VOC</stp>
        <stp>296</stp>
        <tr r="A300" s="2"/>
      </tp>
      <tp t="s">
        <v>Ferramenta Inválida</v>
        <stp/>
        <stp>BOOK0</stp>
        <stp>VOV</stp>
        <stp>288</stp>
        <tr r="D292" s="2"/>
      </tp>
      <tp t="s">
        <v>Ferramenta Inválida</v>
        <stp/>
        <stp>BOOK0</stp>
        <stp>VOV</stp>
        <stp>289</stp>
        <tr r="D293" s="2"/>
      </tp>
      <tp t="s">
        <v>Ferramenta Inválida</v>
        <stp/>
        <stp>BOOK0</stp>
        <stp>VOV</stp>
        <stp>284</stp>
        <tr r="D288" s="2"/>
      </tp>
      <tp t="s">
        <v>Ferramenta Inválida</v>
        <stp/>
        <stp>BOOK0</stp>
        <stp>VOV</stp>
        <stp>285</stp>
        <tr r="D289" s="2"/>
      </tp>
      <tp t="s">
        <v>Ferramenta Inválida</v>
        <stp/>
        <stp>BOOK0</stp>
        <stp>VOV</stp>
        <stp>286</stp>
        <tr r="D290" s="2"/>
      </tp>
      <tp t="s">
        <v>Ferramenta Inválida</v>
        <stp/>
        <stp>BOOK0</stp>
        <stp>VOV</stp>
        <stp>287</stp>
        <tr r="D291" s="2"/>
      </tp>
      <tp t="s">
        <v>Ferramenta Inválida</v>
        <stp/>
        <stp>BOOK0</stp>
        <stp>VOV</stp>
        <stp>280</stp>
        <tr r="D284" s="2"/>
      </tp>
      <tp t="s">
        <v>Ferramenta Inválida</v>
        <stp/>
        <stp>BOOK0</stp>
        <stp>VOV</stp>
        <stp>281</stp>
        <tr r="D285" s="2"/>
      </tp>
      <tp t="s">
        <v>Ferramenta Inválida</v>
        <stp/>
        <stp>BOOK0</stp>
        <stp>VOV</stp>
        <stp>282</stp>
        <tr r="D286" s="2"/>
      </tp>
      <tp t="s">
        <v>Ferramenta Inválida</v>
        <stp/>
        <stp>BOOK0</stp>
        <stp>VOV</stp>
        <stp>283</stp>
        <tr r="D287" s="2"/>
      </tp>
      <tp t="s">
        <v>Ferramenta Inválida</v>
        <stp/>
        <stp>BOOK0</stp>
        <stp>VOC</stp>
        <stp>289</stp>
        <tr r="A293" s="2"/>
      </tp>
      <tp t="s">
        <v>Ferramenta Inválida</v>
        <stp/>
        <stp>BOOK0</stp>
        <stp>VOC</stp>
        <stp>288</stp>
        <tr r="A292" s="2"/>
      </tp>
      <tp t="s">
        <v>Ferramenta Inválida</v>
        <stp/>
        <stp>BOOK0</stp>
        <stp>VOC</stp>
        <stp>281</stp>
        <tr r="A285" s="2"/>
      </tp>
      <tp t="s">
        <v>Ferramenta Inválida</v>
        <stp/>
        <stp>BOOK0</stp>
        <stp>VOC</stp>
        <stp>280</stp>
        <tr r="A284" s="2"/>
      </tp>
      <tp t="s">
        <v>Ferramenta Inválida</v>
        <stp/>
        <stp>BOOK0</stp>
        <stp>VOC</stp>
        <stp>283</stp>
        <tr r="A287" s="2"/>
      </tp>
      <tp t="s">
        <v>Ferramenta Inválida</v>
        <stp/>
        <stp>BOOK0</stp>
        <stp>VOC</stp>
        <stp>282</stp>
        <tr r="A286" s="2"/>
      </tp>
      <tp t="s">
        <v>Ferramenta Inválida</v>
        <stp/>
        <stp>BOOK0</stp>
        <stp>VOC</stp>
        <stp>285</stp>
        <tr r="A289" s="2"/>
      </tp>
      <tp t="s">
        <v>Ferramenta Inválida</v>
        <stp/>
        <stp>BOOK0</stp>
        <stp>VOC</stp>
        <stp>284</stp>
        <tr r="A288" s="2"/>
      </tp>
      <tp t="s">
        <v>Ferramenta Inválida</v>
        <stp/>
        <stp>BOOK0</stp>
        <stp>VOC</stp>
        <stp>287</stp>
        <tr r="A291" s="2"/>
      </tp>
      <tp t="s">
        <v>Ferramenta Inválida</v>
        <stp/>
        <stp>BOOK0</stp>
        <stp>VOC</stp>
        <stp>286</stp>
        <tr r="A290" s="2"/>
      </tp>
      <tp t="s">
        <v>Ferramenta Inválida</v>
        <stp/>
        <stp>BOOK0</stp>
        <stp>VOV</stp>
        <stp>518</stp>
        <tr r="D522" s="2"/>
      </tp>
      <tp t="s">
        <v>Ferramenta Inválida</v>
        <stp/>
        <stp>BOOK0</stp>
        <stp>VOV</stp>
        <stp>519</stp>
        <tr r="D523" s="2"/>
      </tp>
      <tp t="s">
        <v>Ferramenta Inválida</v>
        <stp/>
        <stp>BOOK0</stp>
        <stp>VOV</stp>
        <stp>514</stp>
        <tr r="D518" s="2"/>
      </tp>
      <tp t="s">
        <v>Ferramenta Inválida</v>
        <stp/>
        <stp>BOOK0</stp>
        <stp>VOV</stp>
        <stp>515</stp>
        <tr r="D519" s="2"/>
      </tp>
      <tp t="s">
        <v>Ferramenta Inválida</v>
        <stp/>
        <stp>BOOK0</stp>
        <stp>VOV</stp>
        <stp>516</stp>
        <tr r="D520" s="2"/>
      </tp>
      <tp t="s">
        <v>Ferramenta Inválida</v>
        <stp/>
        <stp>BOOK0</stp>
        <stp>VOV</stp>
        <stp>517</stp>
        <tr r="D521" s="2"/>
      </tp>
      <tp t="s">
        <v>Ferramenta Inválida</v>
        <stp/>
        <stp>BOOK0</stp>
        <stp>VOV</stp>
        <stp>510</stp>
        <tr r="D514" s="2"/>
      </tp>
      <tp t="s">
        <v>Ferramenta Inválida</v>
        <stp/>
        <stp>BOOK0</stp>
        <stp>VOV</stp>
        <stp>511</stp>
        <tr r="D515" s="2"/>
      </tp>
      <tp t="s">
        <v>Ferramenta Inválida</v>
        <stp/>
        <stp>BOOK0</stp>
        <stp>VOV</stp>
        <stp>512</stp>
        <tr r="D516" s="2"/>
      </tp>
      <tp t="s">
        <v>Ferramenta Inválida</v>
        <stp/>
        <stp>BOOK0</stp>
        <stp>VOV</stp>
        <stp>513</stp>
        <tr r="D517" s="2"/>
      </tp>
      <tp t="s">
        <v>Ferramenta Inválida</v>
        <stp/>
        <stp>BOOK0</stp>
        <stp>VOC</stp>
        <stp>519</stp>
        <tr r="A523" s="2"/>
      </tp>
      <tp t="s">
        <v>Ferramenta Inválida</v>
        <stp/>
        <stp>BOOK0</stp>
        <stp>VOC</stp>
        <stp>518</stp>
        <tr r="A522" s="2"/>
      </tp>
      <tp t="s">
        <v>Ferramenta Inválida</v>
        <stp/>
        <stp>BOOK0</stp>
        <stp>VOC</stp>
        <stp>511</stp>
        <tr r="A515" s="2"/>
      </tp>
      <tp t="s">
        <v>Ferramenta Inválida</v>
        <stp/>
        <stp>BOOK0</stp>
        <stp>VOC</stp>
        <stp>510</stp>
        <tr r="A514" s="2"/>
      </tp>
      <tp t="s">
        <v>Ferramenta Inválida</v>
        <stp/>
        <stp>BOOK0</stp>
        <stp>VOC</stp>
        <stp>513</stp>
        <tr r="A517" s="2"/>
      </tp>
      <tp t="s">
        <v>Ferramenta Inválida</v>
        <stp/>
        <stp>BOOK0</stp>
        <stp>VOC</stp>
        <stp>512</stp>
        <tr r="A516" s="2"/>
      </tp>
      <tp t="s">
        <v>Ferramenta Inválida</v>
        <stp/>
        <stp>BOOK0</stp>
        <stp>VOC</stp>
        <stp>515</stp>
        <tr r="A519" s="2"/>
      </tp>
      <tp t="s">
        <v>Ferramenta Inválida</v>
        <stp/>
        <stp>BOOK0</stp>
        <stp>VOC</stp>
        <stp>514</stp>
        <tr r="A518" s="2"/>
      </tp>
      <tp t="s">
        <v>Ferramenta Inválida</v>
        <stp/>
        <stp>BOOK0</stp>
        <stp>VOC</stp>
        <stp>517</stp>
        <tr r="A521" s="2"/>
      </tp>
      <tp t="s">
        <v>Ferramenta Inválida</v>
        <stp/>
        <stp>BOOK0</stp>
        <stp>VOC</stp>
        <stp>516</stp>
        <tr r="A520" s="2"/>
      </tp>
      <tp t="s">
        <v>Ferramenta Inválida</v>
        <stp/>
        <stp>BOOK0</stp>
        <stp>VOV</stp>
        <stp>508</stp>
        <tr r="D512" s="2"/>
      </tp>
      <tp t="s">
        <v>Ferramenta Inválida</v>
        <stp/>
        <stp>BOOK0</stp>
        <stp>VOV</stp>
        <stp>509</stp>
        <tr r="D513" s="2"/>
      </tp>
      <tp t="s">
        <v>Ferramenta Inválida</v>
        <stp/>
        <stp>BOOK0</stp>
        <stp>VOV</stp>
        <stp>504</stp>
        <tr r="D508" s="2"/>
      </tp>
      <tp t="s">
        <v>Ferramenta Inválida</v>
        <stp/>
        <stp>BOOK0</stp>
        <stp>VOV</stp>
        <stp>505</stp>
        <tr r="D509" s="2"/>
      </tp>
      <tp t="s">
        <v>Ferramenta Inválida</v>
        <stp/>
        <stp>BOOK0</stp>
        <stp>VOV</stp>
        <stp>506</stp>
        <tr r="D510" s="2"/>
      </tp>
      <tp t="s">
        <v>Ferramenta Inválida</v>
        <stp/>
        <stp>BOOK0</stp>
        <stp>VOV</stp>
        <stp>507</stp>
        <tr r="D511" s="2"/>
      </tp>
      <tp t="s">
        <v>Ferramenta Inválida</v>
        <stp/>
        <stp>BOOK0</stp>
        <stp>VOV</stp>
        <stp>500</stp>
        <tr r="D504" s="2"/>
      </tp>
      <tp t="s">
        <v>Ferramenta Inválida</v>
        <stp/>
        <stp>BOOK0</stp>
        <stp>VOV</stp>
        <stp>501</stp>
        <tr r="D505" s="2"/>
      </tp>
      <tp t="s">
        <v>Ferramenta Inválida</v>
        <stp/>
        <stp>BOOK0</stp>
        <stp>VOV</stp>
        <stp>502</stp>
        <tr r="D506" s="2"/>
      </tp>
      <tp t="s">
        <v>Ferramenta Inválida</v>
        <stp/>
        <stp>BOOK0</stp>
        <stp>VOV</stp>
        <stp>503</stp>
        <tr r="D507" s="2"/>
      </tp>
      <tp t="s">
        <v>Ferramenta Inválida</v>
        <stp/>
        <stp>BOOK0</stp>
        <stp>VOC</stp>
        <stp>509</stp>
        <tr r="A513" s="2"/>
      </tp>
      <tp t="s">
        <v>Ferramenta Inválida</v>
        <stp/>
        <stp>BOOK0</stp>
        <stp>VOC</stp>
        <stp>508</stp>
        <tr r="A512" s="2"/>
      </tp>
      <tp t="s">
        <v>Ferramenta Inválida</v>
        <stp/>
        <stp>BOOK0</stp>
        <stp>VOC</stp>
        <stp>501</stp>
        <tr r="A505" s="2"/>
      </tp>
      <tp t="s">
        <v>Ferramenta Inválida</v>
        <stp/>
        <stp>BOOK0</stp>
        <stp>VOC</stp>
        <stp>500</stp>
        <tr r="A504" s="2"/>
      </tp>
      <tp t="s">
        <v>Ferramenta Inválida</v>
        <stp/>
        <stp>BOOK0</stp>
        <stp>VOC</stp>
        <stp>503</stp>
        <tr r="A507" s="2"/>
      </tp>
      <tp t="s">
        <v>Ferramenta Inválida</v>
        <stp/>
        <stp>BOOK0</stp>
        <stp>VOC</stp>
        <stp>502</stp>
        <tr r="A506" s="2"/>
      </tp>
      <tp t="s">
        <v>Ferramenta Inválida</v>
        <stp/>
        <stp>BOOK0</stp>
        <stp>VOC</stp>
        <stp>505</stp>
        <tr r="A509" s="2"/>
      </tp>
      <tp t="s">
        <v>Ferramenta Inválida</v>
        <stp/>
        <stp>BOOK0</stp>
        <stp>VOC</stp>
        <stp>504</stp>
        <tr r="A508" s="2"/>
      </tp>
      <tp t="s">
        <v>Ferramenta Inválida</v>
        <stp/>
        <stp>BOOK0</stp>
        <stp>VOC</stp>
        <stp>507</stp>
        <tr r="A511" s="2"/>
      </tp>
      <tp t="s">
        <v>Ferramenta Inválida</v>
        <stp/>
        <stp>BOOK0</stp>
        <stp>VOC</stp>
        <stp>506</stp>
        <tr r="A510" s="2"/>
      </tp>
      <tp t="s">
        <v>Ferramenta Inválida</v>
        <stp/>
        <stp>BOOK0</stp>
        <stp>VOV</stp>
        <stp>538</stp>
        <tr r="D542" s="2"/>
      </tp>
      <tp t="s">
        <v>Ferramenta Inválida</v>
        <stp/>
        <stp>BOOK0</stp>
        <stp>VOV</stp>
        <stp>539</stp>
        <tr r="D543" s="2"/>
      </tp>
      <tp t="s">
        <v>Ferramenta Inválida</v>
        <stp/>
        <stp>BOOK0</stp>
        <stp>VOV</stp>
        <stp>534</stp>
        <tr r="D538" s="2"/>
      </tp>
      <tp t="s">
        <v>Ferramenta Inválida</v>
        <stp/>
        <stp>BOOK0</stp>
        <stp>VOV</stp>
        <stp>535</stp>
        <tr r="D539" s="2"/>
      </tp>
      <tp t="s">
        <v>Ferramenta Inválida</v>
        <stp/>
        <stp>BOOK0</stp>
        <stp>VOV</stp>
        <stp>536</stp>
        <tr r="D540" s="2"/>
      </tp>
      <tp t="s">
        <v>Ferramenta Inválida</v>
        <stp/>
        <stp>BOOK0</stp>
        <stp>VOV</stp>
        <stp>537</stp>
        <tr r="D541" s="2"/>
      </tp>
      <tp t="s">
        <v>Ferramenta Inválida</v>
        <stp/>
        <stp>BOOK0</stp>
        <stp>VOV</stp>
        <stp>530</stp>
        <tr r="D534" s="2"/>
      </tp>
      <tp t="s">
        <v>Ferramenta Inválida</v>
        <stp/>
        <stp>BOOK0</stp>
        <stp>VOV</stp>
        <stp>531</stp>
        <tr r="D535" s="2"/>
      </tp>
      <tp t="s">
        <v>Ferramenta Inválida</v>
        <stp/>
        <stp>BOOK0</stp>
        <stp>VOV</stp>
        <stp>532</stp>
        <tr r="D536" s="2"/>
      </tp>
      <tp t="s">
        <v>Ferramenta Inválida</v>
        <stp/>
        <stp>BOOK0</stp>
        <stp>VOV</stp>
        <stp>533</stp>
        <tr r="D537" s="2"/>
      </tp>
      <tp t="s">
        <v>Ferramenta Inválida</v>
        <stp/>
        <stp>BOOK0</stp>
        <stp>VOC</stp>
        <stp>539</stp>
        <tr r="A543" s="2"/>
      </tp>
      <tp t="s">
        <v>Ferramenta Inválida</v>
        <stp/>
        <stp>BOOK0</stp>
        <stp>VOC</stp>
        <stp>538</stp>
        <tr r="A542" s="2"/>
      </tp>
      <tp t="s">
        <v>Ferramenta Inválida</v>
        <stp/>
        <stp>BOOK0</stp>
        <stp>VOC</stp>
        <stp>531</stp>
        <tr r="A535" s="2"/>
      </tp>
      <tp t="s">
        <v>Ferramenta Inválida</v>
        <stp/>
        <stp>BOOK0</stp>
        <stp>VOC</stp>
        <stp>530</stp>
        <tr r="A534" s="2"/>
      </tp>
      <tp t="s">
        <v>Ferramenta Inválida</v>
        <stp/>
        <stp>BOOK0</stp>
        <stp>VOC</stp>
        <stp>533</stp>
        <tr r="A537" s="2"/>
      </tp>
      <tp t="s">
        <v>Ferramenta Inválida</v>
        <stp/>
        <stp>BOOK0</stp>
        <stp>VOC</stp>
        <stp>532</stp>
        <tr r="A536" s="2"/>
      </tp>
      <tp t="s">
        <v>Ferramenta Inválida</v>
        <stp/>
        <stp>BOOK0</stp>
        <stp>VOC</stp>
        <stp>535</stp>
        <tr r="A539" s="2"/>
      </tp>
      <tp t="s">
        <v>Ferramenta Inválida</v>
        <stp/>
        <stp>BOOK0</stp>
        <stp>VOC</stp>
        <stp>534</stp>
        <tr r="A538" s="2"/>
      </tp>
      <tp t="s">
        <v>Ferramenta Inválida</v>
        <stp/>
        <stp>BOOK0</stp>
        <stp>VOC</stp>
        <stp>537</stp>
        <tr r="A541" s="2"/>
      </tp>
      <tp t="s">
        <v>Ferramenta Inválida</v>
        <stp/>
        <stp>BOOK0</stp>
        <stp>VOC</stp>
        <stp>536</stp>
        <tr r="A540" s="2"/>
      </tp>
      <tp t="s">
        <v>Ferramenta Inválida</v>
        <stp/>
        <stp>BOOK0</stp>
        <stp>VOV</stp>
        <stp>528</stp>
        <tr r="D532" s="2"/>
      </tp>
      <tp t="s">
        <v>Ferramenta Inválida</v>
        <stp/>
        <stp>BOOK0</stp>
        <stp>VOV</stp>
        <stp>529</stp>
        <tr r="D533" s="2"/>
      </tp>
      <tp t="s">
        <v>Ferramenta Inválida</v>
        <stp/>
        <stp>BOOK0</stp>
        <stp>VOV</stp>
        <stp>524</stp>
        <tr r="D528" s="2"/>
      </tp>
      <tp t="s">
        <v>Ferramenta Inválida</v>
        <stp/>
        <stp>BOOK0</stp>
        <stp>VOV</stp>
        <stp>525</stp>
        <tr r="D529" s="2"/>
      </tp>
      <tp t="s">
        <v>Ferramenta Inválida</v>
        <stp/>
        <stp>BOOK0</stp>
        <stp>VOV</stp>
        <stp>526</stp>
        <tr r="D530" s="2"/>
      </tp>
      <tp t="s">
        <v>Ferramenta Inválida</v>
        <stp/>
        <stp>BOOK0</stp>
        <stp>VOV</stp>
        <stp>527</stp>
        <tr r="D531" s="2"/>
      </tp>
      <tp t="s">
        <v>Ferramenta Inválida</v>
        <stp/>
        <stp>BOOK0</stp>
        <stp>VOV</stp>
        <stp>520</stp>
        <tr r="D524" s="2"/>
      </tp>
      <tp t="s">
        <v>Ferramenta Inválida</v>
        <stp/>
        <stp>BOOK0</stp>
        <stp>VOV</stp>
        <stp>521</stp>
        <tr r="D525" s="2"/>
      </tp>
      <tp t="s">
        <v>Ferramenta Inválida</v>
        <stp/>
        <stp>BOOK0</stp>
        <stp>VOV</stp>
        <stp>522</stp>
        <tr r="D526" s="2"/>
      </tp>
      <tp t="s">
        <v>Ferramenta Inválida</v>
        <stp/>
        <stp>BOOK0</stp>
        <stp>VOV</stp>
        <stp>523</stp>
        <tr r="D527" s="2"/>
      </tp>
      <tp t="s">
        <v>Ferramenta Inválida</v>
        <stp/>
        <stp>BOOK0</stp>
        <stp>VOC</stp>
        <stp>529</stp>
        <tr r="A533" s="2"/>
      </tp>
      <tp t="s">
        <v>Ferramenta Inválida</v>
        <stp/>
        <stp>BOOK0</stp>
        <stp>VOC</stp>
        <stp>528</stp>
        <tr r="A532" s="2"/>
      </tp>
      <tp t="s">
        <v>Ferramenta Inválida</v>
        <stp/>
        <stp>BOOK0</stp>
        <stp>VOC</stp>
        <stp>521</stp>
        <tr r="A525" s="2"/>
      </tp>
      <tp t="s">
        <v>Ferramenta Inválida</v>
        <stp/>
        <stp>BOOK0</stp>
        <stp>VOC</stp>
        <stp>520</stp>
        <tr r="A524" s="2"/>
      </tp>
      <tp t="s">
        <v>Ferramenta Inválida</v>
        <stp/>
        <stp>BOOK0</stp>
        <stp>VOC</stp>
        <stp>523</stp>
        <tr r="A527" s="2"/>
      </tp>
      <tp t="s">
        <v>Ferramenta Inválida</v>
        <stp/>
        <stp>BOOK0</stp>
        <stp>VOC</stp>
        <stp>522</stp>
        <tr r="A526" s="2"/>
      </tp>
      <tp t="s">
        <v>Ferramenta Inválida</v>
        <stp/>
        <stp>BOOK0</stp>
        <stp>VOC</stp>
        <stp>525</stp>
        <tr r="A529" s="2"/>
      </tp>
      <tp t="s">
        <v>Ferramenta Inválida</v>
        <stp/>
        <stp>BOOK0</stp>
        <stp>VOC</stp>
        <stp>524</stp>
        <tr r="A528" s="2"/>
      </tp>
      <tp t="s">
        <v>Ferramenta Inválida</v>
        <stp/>
        <stp>BOOK0</stp>
        <stp>VOC</stp>
        <stp>527</stp>
        <tr r="A531" s="2"/>
      </tp>
      <tp t="s">
        <v>Ferramenta Inválida</v>
        <stp/>
        <stp>BOOK0</stp>
        <stp>VOC</stp>
        <stp>526</stp>
        <tr r="A530" s="2"/>
      </tp>
      <tp t="s">
        <v>Ferramenta Inválida</v>
        <stp/>
        <stp>BOOK0</stp>
        <stp>VOV</stp>
        <stp>558</stp>
        <tr r="D562" s="2"/>
      </tp>
      <tp t="s">
        <v>Ferramenta Inválida</v>
        <stp/>
        <stp>BOOK0</stp>
        <stp>VOV</stp>
        <stp>559</stp>
        <tr r="D563" s="2"/>
      </tp>
      <tp t="s">
        <v>Ferramenta Inválida</v>
        <stp/>
        <stp>BOOK0</stp>
        <stp>VOV</stp>
        <stp>554</stp>
        <tr r="D558" s="2"/>
      </tp>
      <tp t="s">
        <v>Ferramenta Inválida</v>
        <stp/>
        <stp>BOOK0</stp>
        <stp>VOV</stp>
        <stp>555</stp>
        <tr r="D559" s="2"/>
      </tp>
      <tp t="s">
        <v>Ferramenta Inválida</v>
        <stp/>
        <stp>BOOK0</stp>
        <stp>VOV</stp>
        <stp>556</stp>
        <tr r="D560" s="2"/>
      </tp>
      <tp t="s">
        <v>Ferramenta Inválida</v>
        <stp/>
        <stp>BOOK0</stp>
        <stp>VOV</stp>
        <stp>557</stp>
        <tr r="D561" s="2"/>
      </tp>
      <tp t="s">
        <v>Ferramenta Inválida</v>
        <stp/>
        <stp>BOOK0</stp>
        <stp>VOV</stp>
        <stp>550</stp>
        <tr r="D554" s="2"/>
      </tp>
      <tp t="s">
        <v>Ferramenta Inválida</v>
        <stp/>
        <stp>BOOK0</stp>
        <stp>VOV</stp>
        <stp>551</stp>
        <tr r="D555" s="2"/>
      </tp>
      <tp t="s">
        <v>Ferramenta Inválida</v>
        <stp/>
        <stp>BOOK0</stp>
        <stp>VOV</stp>
        <stp>552</stp>
        <tr r="D556" s="2"/>
      </tp>
      <tp t="s">
        <v>Ferramenta Inválida</v>
        <stp/>
        <stp>BOOK0</stp>
        <stp>VOV</stp>
        <stp>553</stp>
        <tr r="D557" s="2"/>
      </tp>
      <tp t="s">
        <v>Ferramenta Inválida</v>
        <stp/>
        <stp>BOOK0</stp>
        <stp>VOC</stp>
        <stp>559</stp>
        <tr r="A563" s="2"/>
      </tp>
      <tp t="s">
        <v>Ferramenta Inválida</v>
        <stp/>
        <stp>BOOK0</stp>
        <stp>VOC</stp>
        <stp>558</stp>
        <tr r="A562" s="2"/>
      </tp>
      <tp t="s">
        <v>Ferramenta Inválida</v>
        <stp/>
        <stp>BOOK0</stp>
        <stp>VOC</stp>
        <stp>551</stp>
        <tr r="A555" s="2"/>
      </tp>
      <tp t="s">
        <v>Ferramenta Inválida</v>
        <stp/>
        <stp>BOOK0</stp>
        <stp>VOC</stp>
        <stp>550</stp>
        <tr r="A554" s="2"/>
      </tp>
      <tp t="s">
        <v>Ferramenta Inválida</v>
        <stp/>
        <stp>BOOK0</stp>
        <stp>VOC</stp>
        <stp>553</stp>
        <tr r="A557" s="2"/>
      </tp>
      <tp t="s">
        <v>Ferramenta Inválida</v>
        <stp/>
        <stp>BOOK0</stp>
        <stp>VOC</stp>
        <stp>552</stp>
        <tr r="A556" s="2"/>
      </tp>
      <tp t="s">
        <v>Ferramenta Inválida</v>
        <stp/>
        <stp>BOOK0</stp>
        <stp>VOC</stp>
        <stp>555</stp>
        <tr r="A559" s="2"/>
      </tp>
      <tp t="s">
        <v>Ferramenta Inválida</v>
        <stp/>
        <stp>BOOK0</stp>
        <stp>VOC</stp>
        <stp>554</stp>
        <tr r="A558" s="2"/>
      </tp>
      <tp t="s">
        <v>Ferramenta Inválida</v>
        <stp/>
        <stp>BOOK0</stp>
        <stp>VOC</stp>
        <stp>557</stp>
        <tr r="A561" s="2"/>
      </tp>
      <tp t="s">
        <v>Ferramenta Inválida</v>
        <stp/>
        <stp>BOOK0</stp>
        <stp>VOC</stp>
        <stp>556</stp>
        <tr r="A560" s="2"/>
      </tp>
      <tp t="s">
        <v>Ferramenta Inválida</v>
        <stp/>
        <stp>BOOK0</stp>
        <stp>VOV</stp>
        <stp>548</stp>
        <tr r="D552" s="2"/>
      </tp>
      <tp t="s">
        <v>Ferramenta Inválida</v>
        <stp/>
        <stp>BOOK0</stp>
        <stp>VOV</stp>
        <stp>549</stp>
        <tr r="D553" s="2"/>
      </tp>
      <tp t="s">
        <v>Ferramenta Inválida</v>
        <stp/>
        <stp>BOOK0</stp>
        <stp>VOV</stp>
        <stp>544</stp>
        <tr r="D548" s="2"/>
      </tp>
      <tp t="s">
        <v>Ferramenta Inválida</v>
        <stp/>
        <stp>BOOK0</stp>
        <stp>VOV</stp>
        <stp>545</stp>
        <tr r="D549" s="2"/>
      </tp>
      <tp t="s">
        <v>Ferramenta Inválida</v>
        <stp/>
        <stp>BOOK0</stp>
        <stp>VOV</stp>
        <stp>546</stp>
        <tr r="D550" s="2"/>
      </tp>
      <tp t="s">
        <v>Ferramenta Inválida</v>
        <stp/>
        <stp>BOOK0</stp>
        <stp>VOV</stp>
        <stp>547</stp>
        <tr r="D551" s="2"/>
      </tp>
      <tp t="s">
        <v>Ferramenta Inválida</v>
        <stp/>
        <stp>BOOK0</stp>
        <stp>VOV</stp>
        <stp>540</stp>
        <tr r="D544" s="2"/>
      </tp>
      <tp t="s">
        <v>Ferramenta Inválida</v>
        <stp/>
        <stp>BOOK0</stp>
        <stp>VOV</stp>
        <stp>541</stp>
        <tr r="D545" s="2"/>
      </tp>
      <tp t="s">
        <v>Ferramenta Inválida</v>
        <stp/>
        <stp>BOOK0</stp>
        <stp>VOV</stp>
        <stp>542</stp>
        <tr r="D546" s="2"/>
      </tp>
      <tp t="s">
        <v>Ferramenta Inválida</v>
        <stp/>
        <stp>BOOK0</stp>
        <stp>VOV</stp>
        <stp>543</stp>
        <tr r="D547" s="2"/>
      </tp>
      <tp t="s">
        <v>Ferramenta Inválida</v>
        <stp/>
        <stp>BOOK0</stp>
        <stp>VOC</stp>
        <stp>549</stp>
        <tr r="A553" s="2"/>
      </tp>
      <tp t="s">
        <v>Ferramenta Inválida</v>
        <stp/>
        <stp>BOOK0</stp>
        <stp>VOC</stp>
        <stp>548</stp>
        <tr r="A552" s="2"/>
      </tp>
      <tp t="s">
        <v>Ferramenta Inválida</v>
        <stp/>
        <stp>BOOK0</stp>
        <stp>VOC</stp>
        <stp>541</stp>
        <tr r="A545" s="2"/>
      </tp>
      <tp t="s">
        <v>Ferramenta Inválida</v>
        <stp/>
        <stp>BOOK0</stp>
        <stp>VOC</stp>
        <stp>540</stp>
        <tr r="A544" s="2"/>
      </tp>
      <tp t="s">
        <v>Ferramenta Inválida</v>
        <stp/>
        <stp>BOOK0</stp>
        <stp>VOC</stp>
        <stp>543</stp>
        <tr r="A547" s="2"/>
      </tp>
      <tp t="s">
        <v>Ferramenta Inválida</v>
        <stp/>
        <stp>BOOK0</stp>
        <stp>VOC</stp>
        <stp>542</stp>
        <tr r="A546" s="2"/>
      </tp>
      <tp t="s">
        <v>Ferramenta Inválida</v>
        <stp/>
        <stp>BOOK0</stp>
        <stp>VOC</stp>
        <stp>545</stp>
        <tr r="A549" s="2"/>
      </tp>
      <tp t="s">
        <v>Ferramenta Inválida</v>
        <stp/>
        <stp>BOOK0</stp>
        <stp>VOC</stp>
        <stp>544</stp>
        <tr r="A548" s="2"/>
      </tp>
      <tp t="s">
        <v>Ferramenta Inválida</v>
        <stp/>
        <stp>BOOK0</stp>
        <stp>VOC</stp>
        <stp>547</stp>
        <tr r="A551" s="2"/>
      </tp>
      <tp t="s">
        <v>Ferramenta Inválida</v>
        <stp/>
        <stp>BOOK0</stp>
        <stp>VOC</stp>
        <stp>546</stp>
        <tr r="A550" s="2"/>
      </tp>
      <tp t="s">
        <v>Ferramenta Inválida</v>
        <stp/>
        <stp>BOOK0</stp>
        <stp>VOV</stp>
        <stp>578</stp>
        <tr r="D582" s="2"/>
      </tp>
      <tp t="s">
        <v>Ferramenta Inválida</v>
        <stp/>
        <stp>BOOK0</stp>
        <stp>VOV</stp>
        <stp>579</stp>
        <tr r="D583" s="2"/>
      </tp>
      <tp t="s">
        <v>Ferramenta Inválida</v>
        <stp/>
        <stp>BOOK0</stp>
        <stp>VOV</stp>
        <stp>574</stp>
        <tr r="D578" s="2"/>
      </tp>
      <tp t="s">
        <v>Ferramenta Inválida</v>
        <stp/>
        <stp>BOOK0</stp>
        <stp>VOV</stp>
        <stp>575</stp>
        <tr r="D579" s="2"/>
      </tp>
      <tp t="s">
        <v>Ferramenta Inválida</v>
        <stp/>
        <stp>BOOK0</stp>
        <stp>VOV</stp>
        <stp>576</stp>
        <tr r="D580" s="2"/>
      </tp>
      <tp t="s">
        <v>Ferramenta Inválida</v>
        <stp/>
        <stp>BOOK0</stp>
        <stp>VOV</stp>
        <stp>577</stp>
        <tr r="D581" s="2"/>
      </tp>
      <tp t="s">
        <v>Ferramenta Inválida</v>
        <stp/>
        <stp>BOOK0</stp>
        <stp>VOV</stp>
        <stp>570</stp>
        <tr r="D574" s="2"/>
      </tp>
      <tp t="s">
        <v>Ferramenta Inválida</v>
        <stp/>
        <stp>BOOK0</stp>
        <stp>VOV</stp>
        <stp>571</stp>
        <tr r="D575" s="2"/>
      </tp>
      <tp t="s">
        <v>Ferramenta Inválida</v>
        <stp/>
        <stp>BOOK0</stp>
        <stp>VOV</stp>
        <stp>572</stp>
        <tr r="D576" s="2"/>
      </tp>
      <tp t="s">
        <v>Ferramenta Inválida</v>
        <stp/>
        <stp>BOOK0</stp>
        <stp>VOV</stp>
        <stp>573</stp>
        <tr r="D577" s="2"/>
      </tp>
      <tp t="s">
        <v>Ferramenta Inválida</v>
        <stp/>
        <stp>BOOK0</stp>
        <stp>VOC</stp>
        <stp>579</stp>
        <tr r="A583" s="2"/>
      </tp>
      <tp t="s">
        <v>Ferramenta Inválida</v>
        <stp/>
        <stp>BOOK0</stp>
        <stp>VOC</stp>
        <stp>578</stp>
        <tr r="A582" s="2"/>
      </tp>
      <tp t="s">
        <v>Ferramenta Inválida</v>
        <stp/>
        <stp>BOOK0</stp>
        <stp>VOC</stp>
        <stp>571</stp>
        <tr r="A575" s="2"/>
      </tp>
      <tp t="s">
        <v>Ferramenta Inválida</v>
        <stp/>
        <stp>BOOK0</stp>
        <stp>VOC</stp>
        <stp>570</stp>
        <tr r="A574" s="2"/>
      </tp>
      <tp t="s">
        <v>Ferramenta Inválida</v>
        <stp/>
        <stp>BOOK0</stp>
        <stp>VOC</stp>
        <stp>573</stp>
        <tr r="A577" s="2"/>
      </tp>
      <tp t="s">
        <v>Ferramenta Inválida</v>
        <stp/>
        <stp>BOOK0</stp>
        <stp>VOC</stp>
        <stp>572</stp>
        <tr r="A576" s="2"/>
      </tp>
      <tp t="s">
        <v>Ferramenta Inválida</v>
        <stp/>
        <stp>BOOK0</stp>
        <stp>VOC</stp>
        <stp>575</stp>
        <tr r="A579" s="2"/>
      </tp>
      <tp t="s">
        <v>Ferramenta Inválida</v>
        <stp/>
        <stp>BOOK0</stp>
        <stp>VOC</stp>
        <stp>574</stp>
        <tr r="A578" s="2"/>
      </tp>
      <tp t="s">
        <v>Ferramenta Inválida</v>
        <stp/>
        <stp>BOOK0</stp>
        <stp>VOC</stp>
        <stp>577</stp>
        <tr r="A581" s="2"/>
      </tp>
      <tp t="s">
        <v>Ferramenta Inválida</v>
        <stp/>
        <stp>BOOK0</stp>
        <stp>VOC</stp>
        <stp>576</stp>
        <tr r="A580" s="2"/>
      </tp>
      <tp t="s">
        <v>Ferramenta Inválida</v>
        <stp/>
        <stp>BOOK0</stp>
        <stp>VOV</stp>
        <stp>568</stp>
        <tr r="D572" s="2"/>
      </tp>
      <tp t="s">
        <v>Ferramenta Inválida</v>
        <stp/>
        <stp>BOOK0</stp>
        <stp>VOV</stp>
        <stp>569</stp>
        <tr r="D573" s="2"/>
      </tp>
      <tp t="s">
        <v>Ferramenta Inválida</v>
        <stp/>
        <stp>BOOK0</stp>
        <stp>VOV</stp>
        <stp>564</stp>
        <tr r="D568" s="2"/>
      </tp>
      <tp t="s">
        <v>Ferramenta Inválida</v>
        <stp/>
        <stp>BOOK0</stp>
        <stp>VOV</stp>
        <stp>565</stp>
        <tr r="D569" s="2"/>
      </tp>
      <tp t="s">
        <v>Ferramenta Inválida</v>
        <stp/>
        <stp>BOOK0</stp>
        <stp>VOV</stp>
        <stp>566</stp>
        <tr r="D570" s="2"/>
      </tp>
      <tp t="s">
        <v>Ferramenta Inválida</v>
        <stp/>
        <stp>BOOK0</stp>
        <stp>VOV</stp>
        <stp>567</stp>
        <tr r="D571" s="2"/>
      </tp>
      <tp t="s">
        <v>Ferramenta Inválida</v>
        <stp/>
        <stp>BOOK0</stp>
        <stp>VOV</stp>
        <stp>560</stp>
        <tr r="D564" s="2"/>
      </tp>
      <tp t="s">
        <v>Ferramenta Inválida</v>
        <stp/>
        <stp>BOOK0</stp>
        <stp>VOV</stp>
        <stp>561</stp>
        <tr r="D565" s="2"/>
      </tp>
      <tp t="s">
        <v>Ferramenta Inválida</v>
        <stp/>
        <stp>BOOK0</stp>
        <stp>VOV</stp>
        <stp>562</stp>
        <tr r="D566" s="2"/>
      </tp>
      <tp t="s">
        <v>Ferramenta Inválida</v>
        <stp/>
        <stp>BOOK0</stp>
        <stp>VOV</stp>
        <stp>563</stp>
        <tr r="D567" s="2"/>
      </tp>
      <tp t="s">
        <v>Ferramenta Inválida</v>
        <stp/>
        <stp>BOOK0</stp>
        <stp>VOC</stp>
        <stp>569</stp>
        <tr r="A573" s="2"/>
      </tp>
      <tp t="s">
        <v>Ferramenta Inválida</v>
        <stp/>
        <stp>BOOK0</stp>
        <stp>VOC</stp>
        <stp>568</stp>
        <tr r="A572" s="2"/>
      </tp>
      <tp t="s">
        <v>Ferramenta Inválida</v>
        <stp/>
        <stp>BOOK0</stp>
        <stp>VOC</stp>
        <stp>561</stp>
        <tr r="A565" s="2"/>
      </tp>
      <tp t="s">
        <v>Ferramenta Inválida</v>
        <stp/>
        <stp>BOOK0</stp>
        <stp>VOC</stp>
        <stp>560</stp>
        <tr r="A564" s="2"/>
      </tp>
      <tp t="s">
        <v>Ferramenta Inválida</v>
        <stp/>
        <stp>BOOK0</stp>
        <stp>VOC</stp>
        <stp>563</stp>
        <tr r="A567" s="2"/>
      </tp>
      <tp t="s">
        <v>Ferramenta Inválida</v>
        <stp/>
        <stp>BOOK0</stp>
        <stp>VOC</stp>
        <stp>562</stp>
        <tr r="A566" s="2"/>
      </tp>
      <tp t="s">
        <v>Ferramenta Inválida</v>
        <stp/>
        <stp>BOOK0</stp>
        <stp>VOC</stp>
        <stp>565</stp>
        <tr r="A569" s="2"/>
      </tp>
      <tp t="s">
        <v>Ferramenta Inválida</v>
        <stp/>
        <stp>BOOK0</stp>
        <stp>VOC</stp>
        <stp>564</stp>
        <tr r="A568" s="2"/>
      </tp>
      <tp t="s">
        <v>Ferramenta Inválida</v>
        <stp/>
        <stp>BOOK0</stp>
        <stp>VOC</stp>
        <stp>567</stp>
        <tr r="A571" s="2"/>
      </tp>
      <tp t="s">
        <v>Ferramenta Inválida</v>
        <stp/>
        <stp>BOOK0</stp>
        <stp>VOC</stp>
        <stp>566</stp>
        <tr r="A570" s="2"/>
      </tp>
      <tp t="s">
        <v>Ferramenta Inválida</v>
        <stp/>
        <stp>BOOK0</stp>
        <stp>VOV</stp>
        <stp>598</stp>
        <tr r="D602" s="2"/>
      </tp>
      <tp t="s">
        <v>Ferramenta Inválida</v>
        <stp/>
        <stp>BOOK0</stp>
        <stp>VOV</stp>
        <stp>599</stp>
        <tr r="D603" s="2"/>
      </tp>
      <tp t="s">
        <v>Ferramenta Inválida</v>
        <stp/>
        <stp>BOOK0</stp>
        <stp>VOV</stp>
        <stp>594</stp>
        <tr r="D598" s="2"/>
      </tp>
      <tp t="s">
        <v>Ferramenta Inválida</v>
        <stp/>
        <stp>BOOK0</stp>
        <stp>VOV</stp>
        <stp>595</stp>
        <tr r="D599" s="2"/>
      </tp>
      <tp t="s">
        <v>Ferramenta Inválida</v>
        <stp/>
        <stp>BOOK0</stp>
        <stp>VOV</stp>
        <stp>596</stp>
        <tr r="D600" s="2"/>
      </tp>
      <tp t="s">
        <v>Ferramenta Inválida</v>
        <stp/>
        <stp>BOOK0</stp>
        <stp>VOV</stp>
        <stp>597</stp>
        <tr r="D601" s="2"/>
      </tp>
      <tp t="s">
        <v>Ferramenta Inválida</v>
        <stp/>
        <stp>BOOK0</stp>
        <stp>VOV</stp>
        <stp>590</stp>
        <tr r="D594" s="2"/>
      </tp>
      <tp t="s">
        <v>Ferramenta Inválida</v>
        <stp/>
        <stp>BOOK0</stp>
        <stp>VOV</stp>
        <stp>591</stp>
        <tr r="D595" s="2"/>
      </tp>
      <tp t="s">
        <v>Ferramenta Inválida</v>
        <stp/>
        <stp>BOOK0</stp>
        <stp>VOV</stp>
        <stp>592</stp>
        <tr r="D596" s="2"/>
      </tp>
      <tp t="s">
        <v>Ferramenta Inválida</v>
        <stp/>
        <stp>BOOK0</stp>
        <stp>VOV</stp>
        <stp>593</stp>
        <tr r="D597" s="2"/>
      </tp>
      <tp t="s">
        <v>Ferramenta Inválida</v>
        <stp/>
        <stp>BOOK0</stp>
        <stp>VOC</stp>
        <stp>599</stp>
        <tr r="A603" s="2"/>
      </tp>
      <tp t="s">
        <v>Ferramenta Inválida</v>
        <stp/>
        <stp>BOOK0</stp>
        <stp>VOC</stp>
        <stp>598</stp>
        <tr r="A602" s="2"/>
      </tp>
      <tp t="s">
        <v>Ferramenta Inválida</v>
        <stp/>
        <stp>BOOK0</stp>
        <stp>VOC</stp>
        <stp>591</stp>
        <tr r="A595" s="2"/>
      </tp>
      <tp t="s">
        <v>Ferramenta Inválida</v>
        <stp/>
        <stp>BOOK0</stp>
        <stp>VOC</stp>
        <stp>590</stp>
        <tr r="A594" s="2"/>
      </tp>
      <tp t="s">
        <v>Ferramenta Inválida</v>
        <stp/>
        <stp>BOOK0</stp>
        <stp>VOC</stp>
        <stp>593</stp>
        <tr r="A597" s="2"/>
      </tp>
      <tp t="s">
        <v>Ferramenta Inválida</v>
        <stp/>
        <stp>BOOK0</stp>
        <stp>VOC</stp>
        <stp>592</stp>
        <tr r="A596" s="2"/>
      </tp>
      <tp t="s">
        <v>Ferramenta Inválida</v>
        <stp/>
        <stp>BOOK0</stp>
        <stp>VOC</stp>
        <stp>595</stp>
        <tr r="A599" s="2"/>
      </tp>
      <tp t="s">
        <v>Ferramenta Inválida</v>
        <stp/>
        <stp>BOOK0</stp>
        <stp>VOC</stp>
        <stp>594</stp>
        <tr r="A598" s="2"/>
      </tp>
      <tp t="s">
        <v>Ferramenta Inválida</v>
        <stp/>
        <stp>BOOK0</stp>
        <stp>VOC</stp>
        <stp>597</stp>
        <tr r="A601" s="2"/>
      </tp>
      <tp t="s">
        <v>Ferramenta Inválida</v>
        <stp/>
        <stp>BOOK0</stp>
        <stp>VOC</stp>
        <stp>596</stp>
        <tr r="A600" s="2"/>
      </tp>
      <tp t="s">
        <v>Ferramenta Inválida</v>
        <stp/>
        <stp>BOOK0</stp>
        <stp>VOV</stp>
        <stp>588</stp>
        <tr r="D592" s="2"/>
      </tp>
      <tp t="s">
        <v>Ferramenta Inválida</v>
        <stp/>
        <stp>BOOK0</stp>
        <stp>VOV</stp>
        <stp>589</stp>
        <tr r="D593" s="2"/>
      </tp>
      <tp t="s">
        <v>Ferramenta Inválida</v>
        <stp/>
        <stp>BOOK0</stp>
        <stp>VOV</stp>
        <stp>584</stp>
        <tr r="D588" s="2"/>
      </tp>
      <tp t="s">
        <v>Ferramenta Inválida</v>
        <stp/>
        <stp>BOOK0</stp>
        <stp>VOV</stp>
        <stp>585</stp>
        <tr r="D589" s="2"/>
      </tp>
      <tp t="s">
        <v>Ferramenta Inválida</v>
        <stp/>
        <stp>BOOK0</stp>
        <stp>VOV</stp>
        <stp>586</stp>
        <tr r="D590" s="2"/>
      </tp>
      <tp t="s">
        <v>Ferramenta Inválida</v>
        <stp/>
        <stp>BOOK0</stp>
        <stp>VOV</stp>
        <stp>587</stp>
        <tr r="D591" s="2"/>
      </tp>
      <tp t="s">
        <v>Ferramenta Inválida</v>
        <stp/>
        <stp>BOOK0</stp>
        <stp>VOV</stp>
        <stp>580</stp>
        <tr r="D584" s="2"/>
      </tp>
      <tp t="s">
        <v>Ferramenta Inválida</v>
        <stp/>
        <stp>BOOK0</stp>
        <stp>VOV</stp>
        <stp>581</stp>
        <tr r="D585" s="2"/>
      </tp>
      <tp t="s">
        <v>Ferramenta Inválida</v>
        <stp/>
        <stp>BOOK0</stp>
        <stp>VOV</stp>
        <stp>582</stp>
        <tr r="D586" s="2"/>
      </tp>
      <tp t="s">
        <v>Ferramenta Inválida</v>
        <stp/>
        <stp>BOOK0</stp>
        <stp>VOV</stp>
        <stp>583</stp>
        <tr r="D587" s="2"/>
      </tp>
      <tp t="s">
        <v>Ferramenta Inválida</v>
        <stp/>
        <stp>BOOK0</stp>
        <stp>VOC</stp>
        <stp>589</stp>
        <tr r="A593" s="2"/>
      </tp>
      <tp t="s">
        <v>Ferramenta Inválida</v>
        <stp/>
        <stp>BOOK0</stp>
        <stp>VOC</stp>
        <stp>588</stp>
        <tr r="A592" s="2"/>
      </tp>
      <tp t="s">
        <v>Ferramenta Inválida</v>
        <stp/>
        <stp>BOOK0</stp>
        <stp>VOC</stp>
        <stp>581</stp>
        <tr r="A585" s="2"/>
      </tp>
      <tp t="s">
        <v>Ferramenta Inválida</v>
        <stp/>
        <stp>BOOK0</stp>
        <stp>VOC</stp>
        <stp>580</stp>
        <tr r="A584" s="2"/>
      </tp>
      <tp t="s">
        <v>Ferramenta Inválida</v>
        <stp/>
        <stp>BOOK0</stp>
        <stp>VOC</stp>
        <stp>583</stp>
        <tr r="A587" s="2"/>
      </tp>
      <tp t="s">
        <v>Ferramenta Inválida</v>
        <stp/>
        <stp>BOOK0</stp>
        <stp>VOC</stp>
        <stp>582</stp>
        <tr r="A586" s="2"/>
      </tp>
      <tp t="s">
        <v>Ferramenta Inválida</v>
        <stp/>
        <stp>BOOK0</stp>
        <stp>VOC</stp>
        <stp>585</stp>
        <tr r="A589" s="2"/>
      </tp>
      <tp t="s">
        <v>Ferramenta Inválida</v>
        <stp/>
        <stp>BOOK0</stp>
        <stp>VOC</stp>
        <stp>584</stp>
        <tr r="A588" s="2"/>
      </tp>
      <tp t="s">
        <v>Ferramenta Inválida</v>
        <stp/>
        <stp>BOOK0</stp>
        <stp>VOC</stp>
        <stp>587</stp>
        <tr r="A591" s="2"/>
      </tp>
      <tp t="s">
        <v>Ferramenta Inválida</v>
        <stp/>
        <stp>BOOK0</stp>
        <stp>VOC</stp>
        <stp>586</stp>
        <tr r="A590" s="2"/>
      </tp>
      <tp t="s">
        <v>Ferramenta Inválida</v>
        <stp/>
        <stp>BOOK0</stp>
        <stp>VOV</stp>
        <stp>418</stp>
        <tr r="D422" s="2"/>
      </tp>
      <tp t="s">
        <v>Ferramenta Inválida</v>
        <stp/>
        <stp>BOOK0</stp>
        <stp>VOV</stp>
        <stp>419</stp>
        <tr r="D423" s="2"/>
      </tp>
      <tp t="s">
        <v>Ferramenta Inválida</v>
        <stp/>
        <stp>BOOK0</stp>
        <stp>VOV</stp>
        <stp>414</stp>
        <tr r="D418" s="2"/>
      </tp>
      <tp t="s">
        <v>Ferramenta Inválida</v>
        <stp/>
        <stp>BOOK0</stp>
        <stp>VOV</stp>
        <stp>415</stp>
        <tr r="D419" s="2"/>
      </tp>
      <tp t="s">
        <v>Ferramenta Inválida</v>
        <stp/>
        <stp>BOOK0</stp>
        <stp>VOV</stp>
        <stp>416</stp>
        <tr r="D420" s="2"/>
      </tp>
      <tp t="s">
        <v>Ferramenta Inválida</v>
        <stp/>
        <stp>BOOK0</stp>
        <stp>VOV</stp>
        <stp>417</stp>
        <tr r="D421" s="2"/>
      </tp>
      <tp t="s">
        <v>Ferramenta Inválida</v>
        <stp/>
        <stp>BOOK0</stp>
        <stp>VOV</stp>
        <stp>410</stp>
        <tr r="D414" s="2"/>
      </tp>
      <tp t="s">
        <v>Ferramenta Inválida</v>
        <stp/>
        <stp>BOOK0</stp>
        <stp>VOV</stp>
        <stp>411</stp>
        <tr r="D415" s="2"/>
      </tp>
      <tp t="s">
        <v>Ferramenta Inválida</v>
        <stp/>
        <stp>BOOK0</stp>
        <stp>VOV</stp>
        <stp>412</stp>
        <tr r="D416" s="2"/>
      </tp>
      <tp t="s">
        <v>Ferramenta Inválida</v>
        <stp/>
        <stp>BOOK0</stp>
        <stp>VOV</stp>
        <stp>413</stp>
        <tr r="D417" s="2"/>
      </tp>
      <tp t="s">
        <v>Ferramenta Inválida</v>
        <stp/>
        <stp>BOOK0</stp>
        <stp>VOC</stp>
        <stp>419</stp>
        <tr r="A423" s="2"/>
      </tp>
      <tp t="s">
        <v>Ferramenta Inválida</v>
        <stp/>
        <stp>BOOK0</stp>
        <stp>VOC</stp>
        <stp>418</stp>
        <tr r="A422" s="2"/>
      </tp>
      <tp t="s">
        <v>Ferramenta Inválida</v>
        <stp/>
        <stp>BOOK0</stp>
        <stp>VOC</stp>
        <stp>411</stp>
        <tr r="A415" s="2"/>
      </tp>
      <tp t="s">
        <v>Ferramenta Inválida</v>
        <stp/>
        <stp>BOOK0</stp>
        <stp>VOC</stp>
        <stp>410</stp>
        <tr r="A414" s="2"/>
      </tp>
      <tp t="s">
        <v>Ferramenta Inválida</v>
        <stp/>
        <stp>BOOK0</stp>
        <stp>VOC</stp>
        <stp>413</stp>
        <tr r="A417" s="2"/>
      </tp>
      <tp t="s">
        <v>Ferramenta Inválida</v>
        <stp/>
        <stp>BOOK0</stp>
        <stp>VOC</stp>
        <stp>412</stp>
        <tr r="A416" s="2"/>
      </tp>
      <tp t="s">
        <v>Ferramenta Inválida</v>
        <stp/>
        <stp>BOOK0</stp>
        <stp>VOC</stp>
        <stp>415</stp>
        <tr r="A419" s="2"/>
      </tp>
      <tp t="s">
        <v>Ferramenta Inválida</v>
        <stp/>
        <stp>BOOK0</stp>
        <stp>VOC</stp>
        <stp>414</stp>
        <tr r="A418" s="2"/>
      </tp>
      <tp t="s">
        <v>Ferramenta Inválida</v>
        <stp/>
        <stp>BOOK0</stp>
        <stp>VOC</stp>
        <stp>417</stp>
        <tr r="A421" s="2"/>
      </tp>
      <tp t="s">
        <v>Ferramenta Inválida</v>
        <stp/>
        <stp>BOOK0</stp>
        <stp>VOC</stp>
        <stp>416</stp>
        <tr r="A420" s="2"/>
      </tp>
      <tp t="s">
        <v>Ferramenta Inválida</v>
        <stp/>
        <stp>BOOK0</stp>
        <stp>VOV</stp>
        <stp>408</stp>
        <tr r="D412" s="2"/>
      </tp>
      <tp t="s">
        <v>Ferramenta Inválida</v>
        <stp/>
        <stp>BOOK0</stp>
        <stp>VOV</stp>
        <stp>409</stp>
        <tr r="D413" s="2"/>
      </tp>
      <tp t="s">
        <v>Ferramenta Inválida</v>
        <stp/>
        <stp>BOOK0</stp>
        <stp>VOV</stp>
        <stp>404</stp>
        <tr r="D408" s="2"/>
      </tp>
      <tp t="s">
        <v>Ferramenta Inválida</v>
        <stp/>
        <stp>BOOK0</stp>
        <stp>VOV</stp>
        <stp>405</stp>
        <tr r="D409" s="2"/>
      </tp>
      <tp t="s">
        <v>Ferramenta Inválida</v>
        <stp/>
        <stp>BOOK0</stp>
        <stp>VOV</stp>
        <stp>406</stp>
        <tr r="D410" s="2"/>
      </tp>
      <tp t="s">
        <v>Ferramenta Inválida</v>
        <stp/>
        <stp>BOOK0</stp>
        <stp>VOV</stp>
        <stp>407</stp>
        <tr r="D411" s="2"/>
      </tp>
      <tp t="s">
        <v>Ferramenta Inválida</v>
        <stp/>
        <stp>BOOK0</stp>
        <stp>VOV</stp>
        <stp>400</stp>
        <tr r="D404" s="2"/>
      </tp>
      <tp t="s">
        <v>Ferramenta Inválida</v>
        <stp/>
        <stp>BOOK0</stp>
        <stp>VOV</stp>
        <stp>401</stp>
        <tr r="D405" s="2"/>
      </tp>
      <tp t="s">
        <v>Ferramenta Inválida</v>
        <stp/>
        <stp>BOOK0</stp>
        <stp>VOV</stp>
        <stp>402</stp>
        <tr r="D406" s="2"/>
      </tp>
      <tp t="s">
        <v>Ferramenta Inválida</v>
        <stp/>
        <stp>BOOK0</stp>
        <stp>VOV</stp>
        <stp>403</stp>
        <tr r="D407" s="2"/>
      </tp>
      <tp t="s">
        <v>Ferramenta Inválida</v>
        <stp/>
        <stp>BOOK0</stp>
        <stp>VOC</stp>
        <stp>409</stp>
        <tr r="A413" s="2"/>
      </tp>
      <tp t="s">
        <v>Ferramenta Inválida</v>
        <stp/>
        <stp>BOOK0</stp>
        <stp>VOC</stp>
        <stp>408</stp>
        <tr r="A412" s="2"/>
      </tp>
      <tp t="s">
        <v>Ferramenta Inválida</v>
        <stp/>
        <stp>BOOK0</stp>
        <stp>VOC</stp>
        <stp>401</stp>
        <tr r="A405" s="2"/>
      </tp>
      <tp t="s">
        <v>Ferramenta Inválida</v>
        <stp/>
        <stp>BOOK0</stp>
        <stp>VOC</stp>
        <stp>400</stp>
        <tr r="A404" s="2"/>
      </tp>
      <tp t="s">
        <v>Ferramenta Inválida</v>
        <stp/>
        <stp>BOOK0</stp>
        <stp>VOC</stp>
        <stp>403</stp>
        <tr r="A407" s="2"/>
      </tp>
      <tp t="s">
        <v>Ferramenta Inválida</v>
        <stp/>
        <stp>BOOK0</stp>
        <stp>VOC</stp>
        <stp>402</stp>
        <tr r="A406" s="2"/>
      </tp>
      <tp t="s">
        <v>Ferramenta Inválida</v>
        <stp/>
        <stp>BOOK0</stp>
        <stp>VOC</stp>
        <stp>405</stp>
        <tr r="A409" s="2"/>
      </tp>
      <tp t="s">
        <v>Ferramenta Inválida</v>
        <stp/>
        <stp>BOOK0</stp>
        <stp>VOC</stp>
        <stp>404</stp>
        <tr r="A408" s="2"/>
      </tp>
      <tp t="s">
        <v>Ferramenta Inválida</v>
        <stp/>
        <stp>BOOK0</stp>
        <stp>VOC</stp>
        <stp>407</stp>
        <tr r="A411" s="2"/>
      </tp>
      <tp t="s">
        <v>Ferramenta Inválida</v>
        <stp/>
        <stp>BOOK0</stp>
        <stp>VOC</stp>
        <stp>406</stp>
        <tr r="A410" s="2"/>
      </tp>
      <tp t="s">
        <v>Ferramenta Inválida</v>
        <stp/>
        <stp>BOOK0</stp>
        <stp>VOV</stp>
        <stp>438</stp>
        <tr r="D442" s="2"/>
      </tp>
      <tp t="s">
        <v>Ferramenta Inválida</v>
        <stp/>
        <stp>BOOK0</stp>
        <stp>VOV</stp>
        <stp>439</stp>
        <tr r="D443" s="2"/>
      </tp>
      <tp t="s">
        <v>Ferramenta Inválida</v>
        <stp/>
        <stp>BOOK0</stp>
        <stp>VOV</stp>
        <stp>434</stp>
        <tr r="D438" s="2"/>
      </tp>
      <tp t="s">
        <v>Ferramenta Inválida</v>
        <stp/>
        <stp>BOOK0</stp>
        <stp>VOV</stp>
        <stp>435</stp>
        <tr r="D439" s="2"/>
      </tp>
      <tp t="s">
        <v>Ferramenta Inválida</v>
        <stp/>
        <stp>BOOK0</stp>
        <stp>VOV</stp>
        <stp>436</stp>
        <tr r="D440" s="2"/>
      </tp>
      <tp t="s">
        <v>Ferramenta Inválida</v>
        <stp/>
        <stp>BOOK0</stp>
        <stp>VOV</stp>
        <stp>437</stp>
        <tr r="D441" s="2"/>
      </tp>
      <tp t="s">
        <v>Ferramenta Inválida</v>
        <stp/>
        <stp>BOOK0</stp>
        <stp>VOV</stp>
        <stp>430</stp>
        <tr r="D434" s="2"/>
      </tp>
      <tp t="s">
        <v>Ferramenta Inválida</v>
        <stp/>
        <stp>BOOK0</stp>
        <stp>VOV</stp>
        <stp>431</stp>
        <tr r="D435" s="2"/>
      </tp>
      <tp t="s">
        <v>Ferramenta Inválida</v>
        <stp/>
        <stp>BOOK0</stp>
        <stp>VOV</stp>
        <stp>432</stp>
        <tr r="D436" s="2"/>
      </tp>
      <tp t="s">
        <v>Ferramenta Inválida</v>
        <stp/>
        <stp>BOOK0</stp>
        <stp>VOV</stp>
        <stp>433</stp>
        <tr r="D437" s="2"/>
      </tp>
      <tp t="s">
        <v>Ferramenta Inválida</v>
        <stp/>
        <stp>BOOK0</stp>
        <stp>VOC</stp>
        <stp>439</stp>
        <tr r="A443" s="2"/>
      </tp>
      <tp t="s">
        <v>Ferramenta Inválida</v>
        <stp/>
        <stp>BOOK0</stp>
        <stp>VOC</stp>
        <stp>438</stp>
        <tr r="A442" s="2"/>
      </tp>
      <tp t="s">
        <v>Ferramenta Inválida</v>
        <stp/>
        <stp>BOOK0</stp>
        <stp>VOC</stp>
        <stp>431</stp>
        <tr r="A435" s="2"/>
      </tp>
      <tp t="s">
        <v>Ferramenta Inválida</v>
        <stp/>
        <stp>BOOK0</stp>
        <stp>VOC</stp>
        <stp>430</stp>
        <tr r="A434" s="2"/>
      </tp>
      <tp t="s">
        <v>Ferramenta Inválida</v>
        <stp/>
        <stp>BOOK0</stp>
        <stp>VOC</stp>
        <stp>433</stp>
        <tr r="A437" s="2"/>
      </tp>
      <tp t="s">
        <v>Ferramenta Inválida</v>
        <stp/>
        <stp>BOOK0</stp>
        <stp>VOC</stp>
        <stp>432</stp>
        <tr r="A436" s="2"/>
      </tp>
      <tp t="s">
        <v>Ferramenta Inválida</v>
        <stp/>
        <stp>BOOK0</stp>
        <stp>VOC</stp>
        <stp>435</stp>
        <tr r="A439" s="2"/>
      </tp>
      <tp t="s">
        <v>Ferramenta Inválida</v>
        <stp/>
        <stp>BOOK0</stp>
        <stp>VOC</stp>
        <stp>434</stp>
        <tr r="A438" s="2"/>
      </tp>
      <tp t="s">
        <v>Ferramenta Inválida</v>
        <stp/>
        <stp>BOOK0</stp>
        <stp>VOC</stp>
        <stp>437</stp>
        <tr r="A441" s="2"/>
      </tp>
      <tp t="s">
        <v>Ferramenta Inválida</v>
        <stp/>
        <stp>BOOK0</stp>
        <stp>VOC</stp>
        <stp>436</stp>
        <tr r="A440" s="2"/>
      </tp>
      <tp t="s">
        <v>Ferramenta Inválida</v>
        <stp/>
        <stp>BOOK0</stp>
        <stp>VOV</stp>
        <stp>428</stp>
        <tr r="D432" s="2"/>
      </tp>
      <tp t="s">
        <v>Ferramenta Inválida</v>
        <stp/>
        <stp>BOOK0</stp>
        <stp>VOV</stp>
        <stp>429</stp>
        <tr r="D433" s="2"/>
      </tp>
      <tp t="s">
        <v>Ferramenta Inválida</v>
        <stp/>
        <stp>BOOK0</stp>
        <stp>VOV</stp>
        <stp>424</stp>
        <tr r="D428" s="2"/>
      </tp>
      <tp t="s">
        <v>Ferramenta Inválida</v>
        <stp/>
        <stp>BOOK0</stp>
        <stp>VOV</stp>
        <stp>425</stp>
        <tr r="D429" s="2"/>
      </tp>
      <tp t="s">
        <v>Ferramenta Inválida</v>
        <stp/>
        <stp>BOOK0</stp>
        <stp>VOV</stp>
        <stp>426</stp>
        <tr r="D430" s="2"/>
      </tp>
      <tp t="s">
        <v>Ferramenta Inválida</v>
        <stp/>
        <stp>BOOK0</stp>
        <stp>VOV</stp>
        <stp>427</stp>
        <tr r="D431" s="2"/>
      </tp>
      <tp t="s">
        <v>Ferramenta Inválida</v>
        <stp/>
        <stp>BOOK0</stp>
        <stp>VOV</stp>
        <stp>420</stp>
        <tr r="D424" s="2"/>
      </tp>
      <tp t="s">
        <v>Ferramenta Inválida</v>
        <stp/>
        <stp>BOOK0</stp>
        <stp>VOV</stp>
        <stp>421</stp>
        <tr r="D425" s="2"/>
      </tp>
      <tp t="s">
        <v>Ferramenta Inválida</v>
        <stp/>
        <stp>BOOK0</stp>
        <stp>VOV</stp>
        <stp>422</stp>
        <tr r="D426" s="2"/>
      </tp>
      <tp t="s">
        <v>Ferramenta Inválida</v>
        <stp/>
        <stp>BOOK0</stp>
        <stp>VOV</stp>
        <stp>423</stp>
        <tr r="D427" s="2"/>
      </tp>
      <tp t="s">
        <v>Ferramenta Inválida</v>
        <stp/>
        <stp>BOOK0</stp>
        <stp>VOC</stp>
        <stp>429</stp>
        <tr r="A433" s="2"/>
      </tp>
      <tp t="s">
        <v>Ferramenta Inválida</v>
        <stp/>
        <stp>BOOK0</stp>
        <stp>VOC</stp>
        <stp>428</stp>
        <tr r="A432" s="2"/>
      </tp>
      <tp t="s">
        <v>Ferramenta Inválida</v>
        <stp/>
        <stp>BOOK0</stp>
        <stp>VOC</stp>
        <stp>421</stp>
        <tr r="A425" s="2"/>
      </tp>
      <tp t="s">
        <v>Ferramenta Inválida</v>
        <stp/>
        <stp>BOOK0</stp>
        <stp>VOC</stp>
        <stp>420</stp>
        <tr r="A424" s="2"/>
      </tp>
      <tp t="s">
        <v>Ferramenta Inválida</v>
        <stp/>
        <stp>BOOK0</stp>
        <stp>VOC</stp>
        <stp>423</stp>
        <tr r="A427" s="2"/>
      </tp>
      <tp t="s">
        <v>Ferramenta Inválida</v>
        <stp/>
        <stp>BOOK0</stp>
        <stp>VOC</stp>
        <stp>422</stp>
        <tr r="A426" s="2"/>
      </tp>
      <tp t="s">
        <v>Ferramenta Inválida</v>
        <stp/>
        <stp>BOOK0</stp>
        <stp>VOC</stp>
        <stp>425</stp>
        <tr r="A429" s="2"/>
      </tp>
      <tp t="s">
        <v>Ferramenta Inválida</v>
        <stp/>
        <stp>BOOK0</stp>
        <stp>VOC</stp>
        <stp>424</stp>
        <tr r="A428" s="2"/>
      </tp>
      <tp t="s">
        <v>Ferramenta Inválida</v>
        <stp/>
        <stp>BOOK0</stp>
        <stp>VOC</stp>
        <stp>427</stp>
        <tr r="A431" s="2"/>
      </tp>
      <tp t="s">
        <v>Ferramenta Inválida</v>
        <stp/>
        <stp>BOOK0</stp>
        <stp>VOC</stp>
        <stp>426</stp>
        <tr r="A430" s="2"/>
      </tp>
      <tp t="s">
        <v>Ferramenta Inválida</v>
        <stp/>
        <stp>BOOK0</stp>
        <stp>VOV</stp>
        <stp>458</stp>
        <tr r="D462" s="2"/>
      </tp>
      <tp t="s">
        <v>Ferramenta Inválida</v>
        <stp/>
        <stp>BOOK0</stp>
        <stp>VOV</stp>
        <stp>459</stp>
        <tr r="D463" s="2"/>
      </tp>
      <tp t="s">
        <v>Ferramenta Inválida</v>
        <stp/>
        <stp>BOOK0</stp>
        <stp>VOV</stp>
        <stp>454</stp>
        <tr r="D458" s="2"/>
      </tp>
      <tp t="s">
        <v>Ferramenta Inválida</v>
        <stp/>
        <stp>BOOK0</stp>
        <stp>VOV</stp>
        <stp>455</stp>
        <tr r="D459" s="2"/>
      </tp>
      <tp t="s">
        <v>Ferramenta Inválida</v>
        <stp/>
        <stp>BOOK0</stp>
        <stp>VOV</stp>
        <stp>456</stp>
        <tr r="D460" s="2"/>
      </tp>
      <tp t="s">
        <v>Ferramenta Inválida</v>
        <stp/>
        <stp>BOOK0</stp>
        <stp>VOV</stp>
        <stp>457</stp>
        <tr r="D461" s="2"/>
      </tp>
      <tp t="s">
        <v>Ferramenta Inválida</v>
        <stp/>
        <stp>BOOK0</stp>
        <stp>VOV</stp>
        <stp>450</stp>
        <tr r="D454" s="2"/>
      </tp>
      <tp t="s">
        <v>Ferramenta Inválida</v>
        <stp/>
        <stp>BOOK0</stp>
        <stp>VOV</stp>
        <stp>451</stp>
        <tr r="D455" s="2"/>
      </tp>
      <tp t="s">
        <v>Ferramenta Inválida</v>
        <stp/>
        <stp>BOOK0</stp>
        <stp>VOV</stp>
        <stp>452</stp>
        <tr r="D456" s="2"/>
      </tp>
      <tp t="s">
        <v>Ferramenta Inválida</v>
        <stp/>
        <stp>BOOK0</stp>
        <stp>VOV</stp>
        <stp>453</stp>
        <tr r="D457" s="2"/>
      </tp>
      <tp t="s">
        <v>Ferramenta Inválida</v>
        <stp/>
        <stp>BOOK0</stp>
        <stp>VOC</stp>
        <stp>459</stp>
        <tr r="A463" s="2"/>
      </tp>
      <tp t="s">
        <v>Ferramenta Inválida</v>
        <stp/>
        <stp>BOOK0</stp>
        <stp>VOC</stp>
        <stp>458</stp>
        <tr r="A462" s="2"/>
      </tp>
      <tp t="s">
        <v>Ferramenta Inválida</v>
        <stp/>
        <stp>BOOK0</stp>
        <stp>VOC</stp>
        <stp>451</stp>
        <tr r="A455" s="2"/>
      </tp>
      <tp t="s">
        <v>Ferramenta Inválida</v>
        <stp/>
        <stp>BOOK0</stp>
        <stp>VOC</stp>
        <stp>450</stp>
        <tr r="A454" s="2"/>
      </tp>
      <tp t="s">
        <v>Ferramenta Inválida</v>
        <stp/>
        <stp>BOOK0</stp>
        <stp>VOC</stp>
        <stp>453</stp>
        <tr r="A457" s="2"/>
      </tp>
      <tp t="s">
        <v>Ferramenta Inválida</v>
        <stp/>
        <stp>BOOK0</stp>
        <stp>VOC</stp>
        <stp>452</stp>
        <tr r="A456" s="2"/>
      </tp>
      <tp t="s">
        <v>Ferramenta Inválida</v>
        <stp/>
        <stp>BOOK0</stp>
        <stp>VOC</stp>
        <stp>455</stp>
        <tr r="A459" s="2"/>
      </tp>
      <tp t="s">
        <v>Ferramenta Inválida</v>
        <stp/>
        <stp>BOOK0</stp>
        <stp>VOC</stp>
        <stp>454</stp>
        <tr r="A458" s="2"/>
      </tp>
      <tp t="s">
        <v>Ferramenta Inválida</v>
        <stp/>
        <stp>BOOK0</stp>
        <stp>VOC</stp>
        <stp>457</stp>
        <tr r="A461" s="2"/>
      </tp>
      <tp t="s">
        <v>Ferramenta Inválida</v>
        <stp/>
        <stp>BOOK0</stp>
        <stp>VOC</stp>
        <stp>456</stp>
        <tr r="A460" s="2"/>
      </tp>
      <tp t="s">
        <v>Ferramenta Inválida</v>
        <stp/>
        <stp>BOOK0</stp>
        <stp>VOV</stp>
        <stp>448</stp>
        <tr r="D452" s="2"/>
      </tp>
      <tp t="s">
        <v>Ferramenta Inválida</v>
        <stp/>
        <stp>BOOK0</stp>
        <stp>VOV</stp>
        <stp>449</stp>
        <tr r="D453" s="2"/>
      </tp>
      <tp t="s">
        <v>Ferramenta Inválida</v>
        <stp/>
        <stp>BOOK0</stp>
        <stp>VOV</stp>
        <stp>444</stp>
        <tr r="D448" s="2"/>
      </tp>
      <tp t="s">
        <v>Ferramenta Inválida</v>
        <stp/>
        <stp>BOOK0</stp>
        <stp>VOV</stp>
        <stp>445</stp>
        <tr r="D449" s="2"/>
      </tp>
      <tp t="s">
        <v>Ferramenta Inválida</v>
        <stp/>
        <stp>BOOK0</stp>
        <stp>VOV</stp>
        <stp>446</stp>
        <tr r="D450" s="2"/>
      </tp>
      <tp t="s">
        <v>Ferramenta Inválida</v>
        <stp/>
        <stp>BOOK0</stp>
        <stp>VOV</stp>
        <stp>447</stp>
        <tr r="D451" s="2"/>
      </tp>
      <tp t="s">
        <v>Ferramenta Inválida</v>
        <stp/>
        <stp>BOOK0</stp>
        <stp>VOV</stp>
        <stp>440</stp>
        <tr r="D444" s="2"/>
      </tp>
      <tp t="s">
        <v>Ferramenta Inválida</v>
        <stp/>
        <stp>BOOK0</stp>
        <stp>VOV</stp>
        <stp>441</stp>
        <tr r="D445" s="2"/>
      </tp>
      <tp t="s">
        <v>Ferramenta Inválida</v>
        <stp/>
        <stp>BOOK0</stp>
        <stp>VOV</stp>
        <stp>442</stp>
        <tr r="D446" s="2"/>
      </tp>
      <tp t="s">
        <v>Ferramenta Inválida</v>
        <stp/>
        <stp>BOOK0</stp>
        <stp>VOV</stp>
        <stp>443</stp>
        <tr r="D447" s="2"/>
      </tp>
      <tp t="s">
        <v>Ferramenta Inválida</v>
        <stp/>
        <stp>BOOK0</stp>
        <stp>VOC</stp>
        <stp>449</stp>
        <tr r="A453" s="2"/>
      </tp>
      <tp t="s">
        <v>Ferramenta Inválida</v>
        <stp/>
        <stp>BOOK0</stp>
        <stp>VOC</stp>
        <stp>448</stp>
        <tr r="A452" s="2"/>
      </tp>
      <tp t="s">
        <v>Ferramenta Inválida</v>
        <stp/>
        <stp>BOOK0</stp>
        <stp>VOC</stp>
        <stp>441</stp>
        <tr r="A445" s="2"/>
      </tp>
      <tp t="s">
        <v>Ferramenta Inválida</v>
        <stp/>
        <stp>BOOK0</stp>
        <stp>VOC</stp>
        <stp>440</stp>
        <tr r="A444" s="2"/>
      </tp>
      <tp t="s">
        <v>Ferramenta Inválida</v>
        <stp/>
        <stp>BOOK0</stp>
        <stp>VOC</stp>
        <stp>443</stp>
        <tr r="A447" s="2"/>
      </tp>
      <tp t="s">
        <v>Ferramenta Inválida</v>
        <stp/>
        <stp>BOOK0</stp>
        <stp>VOC</stp>
        <stp>442</stp>
        <tr r="A446" s="2"/>
      </tp>
      <tp t="s">
        <v>Ferramenta Inválida</v>
        <stp/>
        <stp>BOOK0</stp>
        <stp>VOC</stp>
        <stp>445</stp>
        <tr r="A449" s="2"/>
      </tp>
      <tp t="s">
        <v>Ferramenta Inválida</v>
        <stp/>
        <stp>BOOK0</stp>
        <stp>VOC</stp>
        <stp>444</stp>
        <tr r="A448" s="2"/>
      </tp>
      <tp t="s">
        <v>Ferramenta Inválida</v>
        <stp/>
        <stp>BOOK0</stp>
        <stp>VOC</stp>
        <stp>447</stp>
        <tr r="A451" s="2"/>
      </tp>
      <tp t="s">
        <v>Ferramenta Inválida</v>
        <stp/>
        <stp>BOOK0</stp>
        <stp>VOC</stp>
        <stp>446</stp>
        <tr r="A450" s="2"/>
      </tp>
      <tp t="s">
        <v>Ferramenta Inválida</v>
        <stp/>
        <stp>BOOK0</stp>
        <stp>VOV</stp>
        <stp>478</stp>
        <tr r="D482" s="2"/>
      </tp>
      <tp t="s">
        <v>Ferramenta Inválida</v>
        <stp/>
        <stp>BOOK0</stp>
        <stp>VOV</stp>
        <stp>479</stp>
        <tr r="D483" s="2"/>
      </tp>
      <tp t="s">
        <v>Ferramenta Inválida</v>
        <stp/>
        <stp>BOOK0</stp>
        <stp>VOV</stp>
        <stp>474</stp>
        <tr r="D478" s="2"/>
      </tp>
      <tp t="s">
        <v>Ferramenta Inválida</v>
        <stp/>
        <stp>BOOK0</stp>
        <stp>VOV</stp>
        <stp>475</stp>
        <tr r="D479" s="2"/>
      </tp>
      <tp t="s">
        <v>Ferramenta Inválida</v>
        <stp/>
        <stp>BOOK0</stp>
        <stp>VOV</stp>
        <stp>476</stp>
        <tr r="D480" s="2"/>
      </tp>
      <tp t="s">
        <v>Ferramenta Inválida</v>
        <stp/>
        <stp>BOOK0</stp>
        <stp>VOV</stp>
        <stp>477</stp>
        <tr r="D481" s="2"/>
      </tp>
      <tp t="s">
        <v>Ferramenta Inválida</v>
        <stp/>
        <stp>BOOK0</stp>
        <stp>VOV</stp>
        <stp>470</stp>
        <tr r="D474" s="2"/>
      </tp>
      <tp t="s">
        <v>Ferramenta Inválida</v>
        <stp/>
        <stp>BOOK0</stp>
        <stp>VOV</stp>
        <stp>471</stp>
        <tr r="D475" s="2"/>
      </tp>
      <tp t="s">
        <v>Ferramenta Inválida</v>
        <stp/>
        <stp>BOOK0</stp>
        <stp>VOV</stp>
        <stp>472</stp>
        <tr r="D476" s="2"/>
      </tp>
      <tp t="s">
        <v>Ferramenta Inválida</v>
        <stp/>
        <stp>BOOK0</stp>
        <stp>VOV</stp>
        <stp>473</stp>
        <tr r="D477" s="2"/>
      </tp>
      <tp t="s">
        <v>Ferramenta Inválida</v>
        <stp/>
        <stp>BOOK0</stp>
        <stp>VOC</stp>
        <stp>479</stp>
        <tr r="A483" s="2"/>
      </tp>
      <tp t="s">
        <v>Ferramenta Inválida</v>
        <stp/>
        <stp>BOOK0</stp>
        <stp>VOC</stp>
        <stp>478</stp>
        <tr r="A482" s="2"/>
      </tp>
      <tp t="s">
        <v>Ferramenta Inválida</v>
        <stp/>
        <stp>BOOK0</stp>
        <stp>VOC</stp>
        <stp>471</stp>
        <tr r="A475" s="2"/>
      </tp>
      <tp t="s">
        <v>Ferramenta Inválida</v>
        <stp/>
        <stp>BOOK0</stp>
        <stp>VOC</stp>
        <stp>470</stp>
        <tr r="A474" s="2"/>
      </tp>
      <tp t="s">
        <v>Ferramenta Inválida</v>
        <stp/>
        <stp>BOOK0</stp>
        <stp>VOC</stp>
        <stp>473</stp>
        <tr r="A477" s="2"/>
      </tp>
      <tp t="s">
        <v>Ferramenta Inválida</v>
        <stp/>
        <stp>BOOK0</stp>
        <stp>VOC</stp>
        <stp>472</stp>
        <tr r="A476" s="2"/>
      </tp>
      <tp t="s">
        <v>Ferramenta Inválida</v>
        <stp/>
        <stp>BOOK0</stp>
        <stp>VOC</stp>
        <stp>475</stp>
        <tr r="A479" s="2"/>
      </tp>
      <tp t="s">
        <v>Ferramenta Inválida</v>
        <stp/>
        <stp>BOOK0</stp>
        <stp>VOC</stp>
        <stp>474</stp>
        <tr r="A478" s="2"/>
      </tp>
      <tp t="s">
        <v>Ferramenta Inválida</v>
        <stp/>
        <stp>BOOK0</stp>
        <stp>VOC</stp>
        <stp>477</stp>
        <tr r="A481" s="2"/>
      </tp>
      <tp t="s">
        <v>Ferramenta Inválida</v>
        <stp/>
        <stp>BOOK0</stp>
        <stp>VOC</stp>
        <stp>476</stp>
        <tr r="A480" s="2"/>
      </tp>
      <tp t="s">
        <v>Ferramenta Inválida</v>
        <stp/>
        <stp>BOOK0</stp>
        <stp>VOV</stp>
        <stp>468</stp>
        <tr r="D472" s="2"/>
      </tp>
      <tp t="s">
        <v>Ferramenta Inválida</v>
        <stp/>
        <stp>BOOK0</stp>
        <stp>VOV</stp>
        <stp>469</stp>
        <tr r="D473" s="2"/>
      </tp>
      <tp t="s">
        <v>Ferramenta Inválida</v>
        <stp/>
        <stp>BOOK0</stp>
        <stp>VOV</stp>
        <stp>464</stp>
        <tr r="D468" s="2"/>
      </tp>
      <tp t="s">
        <v>Ferramenta Inválida</v>
        <stp/>
        <stp>BOOK0</stp>
        <stp>VOV</stp>
        <stp>465</stp>
        <tr r="D469" s="2"/>
      </tp>
      <tp t="s">
        <v>Ferramenta Inválida</v>
        <stp/>
        <stp>BOOK0</stp>
        <stp>VOV</stp>
        <stp>466</stp>
        <tr r="D470" s="2"/>
      </tp>
      <tp t="s">
        <v>Ferramenta Inválida</v>
        <stp/>
        <stp>BOOK0</stp>
        <stp>VOV</stp>
        <stp>467</stp>
        <tr r="D471" s="2"/>
      </tp>
      <tp t="s">
        <v>Ferramenta Inválida</v>
        <stp/>
        <stp>BOOK0</stp>
        <stp>VOV</stp>
        <stp>460</stp>
        <tr r="D464" s="2"/>
      </tp>
      <tp t="s">
        <v>Ferramenta Inválida</v>
        <stp/>
        <stp>BOOK0</stp>
        <stp>VOV</stp>
        <stp>461</stp>
        <tr r="D465" s="2"/>
      </tp>
      <tp t="s">
        <v>Ferramenta Inválida</v>
        <stp/>
        <stp>BOOK0</stp>
        <stp>VOV</stp>
        <stp>462</stp>
        <tr r="D466" s="2"/>
      </tp>
      <tp t="s">
        <v>Ferramenta Inválida</v>
        <stp/>
        <stp>BOOK0</stp>
        <stp>VOV</stp>
        <stp>463</stp>
        <tr r="D467" s="2"/>
      </tp>
      <tp t="s">
        <v>Ferramenta Inválida</v>
        <stp/>
        <stp>BOOK0</stp>
        <stp>VOC</stp>
        <stp>469</stp>
        <tr r="A473" s="2"/>
      </tp>
      <tp t="s">
        <v>Ferramenta Inválida</v>
        <stp/>
        <stp>BOOK0</stp>
        <stp>VOC</stp>
        <stp>468</stp>
        <tr r="A472" s="2"/>
      </tp>
      <tp t="s">
        <v>Ferramenta Inválida</v>
        <stp/>
        <stp>BOOK0</stp>
        <stp>VOC</stp>
        <stp>461</stp>
        <tr r="A465" s="2"/>
      </tp>
      <tp t="s">
        <v>Ferramenta Inválida</v>
        <stp/>
        <stp>BOOK0</stp>
        <stp>VOC</stp>
        <stp>460</stp>
        <tr r="A464" s="2"/>
      </tp>
      <tp t="s">
        <v>Ferramenta Inválida</v>
        <stp/>
        <stp>BOOK0</stp>
        <stp>VOC</stp>
        <stp>463</stp>
        <tr r="A467" s="2"/>
      </tp>
      <tp t="s">
        <v>Ferramenta Inválida</v>
        <stp/>
        <stp>BOOK0</stp>
        <stp>VOC</stp>
        <stp>462</stp>
        <tr r="A466" s="2"/>
      </tp>
      <tp t="s">
        <v>Ferramenta Inválida</v>
        <stp/>
        <stp>BOOK0</stp>
        <stp>VOC</stp>
        <stp>465</stp>
        <tr r="A469" s="2"/>
      </tp>
      <tp t="s">
        <v>Ferramenta Inválida</v>
        <stp/>
        <stp>BOOK0</stp>
        <stp>VOC</stp>
        <stp>464</stp>
        <tr r="A468" s="2"/>
      </tp>
      <tp t="s">
        <v>Ferramenta Inválida</v>
        <stp/>
        <stp>BOOK0</stp>
        <stp>VOC</stp>
        <stp>467</stp>
        <tr r="A471" s="2"/>
      </tp>
      <tp t="s">
        <v>Ferramenta Inválida</v>
        <stp/>
        <stp>BOOK0</stp>
        <stp>VOC</stp>
        <stp>466</stp>
        <tr r="A470" s="2"/>
      </tp>
      <tp t="s">
        <v>Ferramenta Inválida</v>
        <stp/>
        <stp>BOOK0</stp>
        <stp>VOV</stp>
        <stp>498</stp>
        <tr r="D502" s="2"/>
      </tp>
      <tp t="s">
        <v>Ferramenta Inválida</v>
        <stp/>
        <stp>BOOK0</stp>
        <stp>VOV</stp>
        <stp>499</stp>
        <tr r="D503" s="2"/>
      </tp>
      <tp t="s">
        <v>Ferramenta Inválida</v>
        <stp/>
        <stp>BOOK0</stp>
        <stp>VOV</stp>
        <stp>494</stp>
        <tr r="D498" s="2"/>
      </tp>
      <tp t="s">
        <v>Ferramenta Inválida</v>
        <stp/>
        <stp>BOOK0</stp>
        <stp>VOV</stp>
        <stp>495</stp>
        <tr r="D499" s="2"/>
      </tp>
      <tp t="s">
        <v>Ferramenta Inválida</v>
        <stp/>
        <stp>BOOK0</stp>
        <stp>VOV</stp>
        <stp>496</stp>
        <tr r="D500" s="2"/>
      </tp>
      <tp t="s">
        <v>Ferramenta Inválida</v>
        <stp/>
        <stp>BOOK0</stp>
        <stp>VOV</stp>
        <stp>497</stp>
        <tr r="D501" s="2"/>
      </tp>
      <tp t="s">
        <v>Ferramenta Inválida</v>
        <stp/>
        <stp>BOOK0</stp>
        <stp>VOV</stp>
        <stp>490</stp>
        <tr r="D494" s="2"/>
      </tp>
      <tp t="s">
        <v>Ferramenta Inválida</v>
        <stp/>
        <stp>BOOK0</stp>
        <stp>VOV</stp>
        <stp>491</stp>
        <tr r="D495" s="2"/>
      </tp>
      <tp t="s">
        <v>Ferramenta Inválida</v>
        <stp/>
        <stp>BOOK0</stp>
        <stp>VOV</stp>
        <stp>492</stp>
        <tr r="D496" s="2"/>
      </tp>
      <tp t="s">
        <v>Ferramenta Inválida</v>
        <stp/>
        <stp>BOOK0</stp>
        <stp>VOV</stp>
        <stp>493</stp>
        <tr r="D497" s="2"/>
      </tp>
      <tp t="s">
        <v>Ferramenta Inválida</v>
        <stp/>
        <stp>BOOK0</stp>
        <stp>VOC</stp>
        <stp>499</stp>
        <tr r="A503" s="2"/>
      </tp>
      <tp t="s">
        <v>Ferramenta Inválida</v>
        <stp/>
        <stp>BOOK0</stp>
        <stp>VOC</stp>
        <stp>498</stp>
        <tr r="A502" s="2"/>
      </tp>
      <tp t="s">
        <v>Ferramenta Inválida</v>
        <stp/>
        <stp>BOOK0</stp>
        <stp>VOC</stp>
        <stp>491</stp>
        <tr r="A495" s="2"/>
      </tp>
      <tp t="s">
        <v>Ferramenta Inválida</v>
        <stp/>
        <stp>BOOK0</stp>
        <stp>VOC</stp>
        <stp>490</stp>
        <tr r="A494" s="2"/>
      </tp>
      <tp t="s">
        <v>Ferramenta Inválida</v>
        <stp/>
        <stp>BOOK0</stp>
        <stp>VOC</stp>
        <stp>493</stp>
        <tr r="A497" s="2"/>
      </tp>
      <tp t="s">
        <v>Ferramenta Inválida</v>
        <stp/>
        <stp>BOOK0</stp>
        <stp>VOC</stp>
        <stp>492</stp>
        <tr r="A496" s="2"/>
      </tp>
      <tp t="s">
        <v>Ferramenta Inválida</v>
        <stp/>
        <stp>BOOK0</stp>
        <stp>VOC</stp>
        <stp>495</stp>
        <tr r="A499" s="2"/>
      </tp>
      <tp t="s">
        <v>Ferramenta Inválida</v>
        <stp/>
        <stp>BOOK0</stp>
        <stp>VOC</stp>
        <stp>494</stp>
        <tr r="A498" s="2"/>
      </tp>
      <tp t="s">
        <v>Ferramenta Inválida</v>
        <stp/>
        <stp>BOOK0</stp>
        <stp>VOC</stp>
        <stp>497</stp>
        <tr r="A501" s="2"/>
      </tp>
      <tp t="s">
        <v>Ferramenta Inválida</v>
        <stp/>
        <stp>BOOK0</stp>
        <stp>VOC</stp>
        <stp>496</stp>
        <tr r="A500" s="2"/>
      </tp>
      <tp t="s">
        <v>Ferramenta Inválida</v>
        <stp/>
        <stp>BOOK0</stp>
        <stp>VOV</stp>
        <stp>488</stp>
        <tr r="D492" s="2"/>
      </tp>
      <tp t="s">
        <v>Ferramenta Inválida</v>
        <stp/>
        <stp>BOOK0</stp>
        <stp>VOV</stp>
        <stp>489</stp>
        <tr r="D493" s="2"/>
      </tp>
      <tp t="s">
        <v>Ferramenta Inválida</v>
        <stp/>
        <stp>BOOK0</stp>
        <stp>VOV</stp>
        <stp>484</stp>
        <tr r="D488" s="2"/>
      </tp>
      <tp t="s">
        <v>Ferramenta Inválida</v>
        <stp/>
        <stp>BOOK0</stp>
        <stp>VOV</stp>
        <stp>485</stp>
        <tr r="D489" s="2"/>
      </tp>
      <tp t="s">
        <v>Ferramenta Inválida</v>
        <stp/>
        <stp>BOOK0</stp>
        <stp>VOV</stp>
        <stp>486</stp>
        <tr r="D490" s="2"/>
      </tp>
      <tp t="s">
        <v>Ferramenta Inválida</v>
        <stp/>
        <stp>BOOK0</stp>
        <stp>VOV</stp>
        <stp>487</stp>
        <tr r="D491" s="2"/>
      </tp>
      <tp t="s">
        <v>Ferramenta Inválida</v>
        <stp/>
        <stp>BOOK0</stp>
        <stp>VOV</stp>
        <stp>480</stp>
        <tr r="D484" s="2"/>
      </tp>
      <tp t="s">
        <v>Ferramenta Inválida</v>
        <stp/>
        <stp>BOOK0</stp>
        <stp>VOV</stp>
        <stp>481</stp>
        <tr r="D485" s="2"/>
      </tp>
      <tp t="s">
        <v>Ferramenta Inválida</v>
        <stp/>
        <stp>BOOK0</stp>
        <stp>VOV</stp>
        <stp>482</stp>
        <tr r="D486" s="2"/>
      </tp>
      <tp t="s">
        <v>Ferramenta Inválida</v>
        <stp/>
        <stp>BOOK0</stp>
        <stp>VOV</stp>
        <stp>483</stp>
        <tr r="D487" s="2"/>
      </tp>
      <tp t="s">
        <v>Ferramenta Inválida</v>
        <stp/>
        <stp>BOOK0</stp>
        <stp>VOC</stp>
        <stp>489</stp>
        <tr r="A493" s="2"/>
      </tp>
      <tp t="s">
        <v>Ferramenta Inválida</v>
        <stp/>
        <stp>BOOK0</stp>
        <stp>VOC</stp>
        <stp>488</stp>
        <tr r="A492" s="2"/>
      </tp>
      <tp t="s">
        <v>Ferramenta Inválida</v>
        <stp/>
        <stp>BOOK0</stp>
        <stp>VOC</stp>
        <stp>481</stp>
        <tr r="A485" s="2"/>
      </tp>
      <tp t="s">
        <v>Ferramenta Inválida</v>
        <stp/>
        <stp>BOOK0</stp>
        <stp>VOC</stp>
        <stp>480</stp>
        <tr r="A484" s="2"/>
      </tp>
      <tp t="s">
        <v>Ferramenta Inválida</v>
        <stp/>
        <stp>BOOK0</stp>
        <stp>VOC</stp>
        <stp>483</stp>
        <tr r="A487" s="2"/>
      </tp>
      <tp t="s">
        <v>Ferramenta Inválida</v>
        <stp/>
        <stp>BOOK0</stp>
        <stp>VOC</stp>
        <stp>482</stp>
        <tr r="A486" s="2"/>
      </tp>
      <tp t="s">
        <v>Ferramenta Inválida</v>
        <stp/>
        <stp>BOOK0</stp>
        <stp>VOC</stp>
        <stp>485</stp>
        <tr r="A489" s="2"/>
      </tp>
      <tp t="s">
        <v>Ferramenta Inválida</v>
        <stp/>
        <stp>BOOK0</stp>
        <stp>VOC</stp>
        <stp>484</stp>
        <tr r="A488" s="2"/>
      </tp>
      <tp t="s">
        <v>Ferramenta Inválida</v>
        <stp/>
        <stp>BOOK0</stp>
        <stp>VOC</stp>
        <stp>487</stp>
        <tr r="A491" s="2"/>
      </tp>
      <tp t="s">
        <v>Ferramenta Inválida</v>
        <stp/>
        <stp>BOOK0</stp>
        <stp>VOC</stp>
        <stp>486</stp>
        <tr r="A490" s="2"/>
      </tp>
      <tp t="s">
        <v>Ferramenta Inválida</v>
        <stp/>
        <stp>BOOK0</stp>
        <stp>VOV</stp>
        <stp>718</stp>
        <tr r="D722" s="2"/>
      </tp>
      <tp t="s">
        <v>Ferramenta Inválida</v>
        <stp/>
        <stp>BOOK0</stp>
        <stp>VOV</stp>
        <stp>719</stp>
        <tr r="D723" s="2"/>
      </tp>
      <tp t="s">
        <v>Ferramenta Inválida</v>
        <stp/>
        <stp>BOOK0</stp>
        <stp>VOV</stp>
        <stp>714</stp>
        <tr r="D718" s="2"/>
      </tp>
      <tp t="s">
        <v>Ferramenta Inválida</v>
        <stp/>
        <stp>BOOK0</stp>
        <stp>VOV</stp>
        <stp>715</stp>
        <tr r="D719" s="2"/>
      </tp>
      <tp t="s">
        <v>Ferramenta Inválida</v>
        <stp/>
        <stp>BOOK0</stp>
        <stp>VOV</stp>
        <stp>716</stp>
        <tr r="D720" s="2"/>
      </tp>
      <tp t="s">
        <v>Ferramenta Inválida</v>
        <stp/>
        <stp>BOOK0</stp>
        <stp>VOV</stp>
        <stp>717</stp>
        <tr r="D721" s="2"/>
      </tp>
      <tp t="s">
        <v>Ferramenta Inválida</v>
        <stp/>
        <stp>BOOK0</stp>
        <stp>VOV</stp>
        <stp>710</stp>
        <tr r="D714" s="2"/>
      </tp>
      <tp t="s">
        <v>Ferramenta Inválida</v>
        <stp/>
        <stp>BOOK0</stp>
        <stp>VOV</stp>
        <stp>711</stp>
        <tr r="D715" s="2"/>
      </tp>
      <tp t="s">
        <v>Ferramenta Inválida</v>
        <stp/>
        <stp>BOOK0</stp>
        <stp>VOV</stp>
        <stp>712</stp>
        <tr r="D716" s="2"/>
      </tp>
      <tp t="s">
        <v>Ferramenta Inválida</v>
        <stp/>
        <stp>BOOK0</stp>
        <stp>VOV</stp>
        <stp>713</stp>
        <tr r="D717" s="2"/>
      </tp>
      <tp t="s">
        <v>Ferramenta Inválida</v>
        <stp/>
        <stp>BOOK0</stp>
        <stp>VOC</stp>
        <stp>719</stp>
        <tr r="A723" s="2"/>
      </tp>
      <tp t="s">
        <v>Ferramenta Inválida</v>
        <stp/>
        <stp>BOOK0</stp>
        <stp>VOC</stp>
        <stp>718</stp>
        <tr r="A722" s="2"/>
      </tp>
      <tp t="s">
        <v>Ferramenta Inválida</v>
        <stp/>
        <stp>BOOK0</stp>
        <stp>VOC</stp>
        <stp>711</stp>
        <tr r="A715" s="2"/>
      </tp>
      <tp t="s">
        <v>Ferramenta Inválida</v>
        <stp/>
        <stp>BOOK0</stp>
        <stp>VOC</stp>
        <stp>710</stp>
        <tr r="A714" s="2"/>
      </tp>
      <tp t="s">
        <v>Ferramenta Inválida</v>
        <stp/>
        <stp>BOOK0</stp>
        <stp>VOC</stp>
        <stp>713</stp>
        <tr r="A717" s="2"/>
      </tp>
      <tp t="s">
        <v>Ferramenta Inválida</v>
        <stp/>
        <stp>BOOK0</stp>
        <stp>VOC</stp>
        <stp>712</stp>
        <tr r="A716" s="2"/>
      </tp>
      <tp t="s">
        <v>Ferramenta Inválida</v>
        <stp/>
        <stp>BOOK0</stp>
        <stp>VOC</stp>
        <stp>715</stp>
        <tr r="A719" s="2"/>
      </tp>
      <tp t="s">
        <v>Ferramenta Inválida</v>
        <stp/>
        <stp>BOOK0</stp>
        <stp>VOC</stp>
        <stp>714</stp>
        <tr r="A718" s="2"/>
      </tp>
      <tp t="s">
        <v>Ferramenta Inválida</v>
        <stp/>
        <stp>BOOK0</stp>
        <stp>VOC</stp>
        <stp>717</stp>
        <tr r="A721" s="2"/>
      </tp>
      <tp t="s">
        <v>Ferramenta Inválida</v>
        <stp/>
        <stp>BOOK0</stp>
        <stp>VOC</stp>
        <stp>716</stp>
        <tr r="A720" s="2"/>
      </tp>
      <tp t="s">
        <v>Ferramenta Inválida</v>
        <stp/>
        <stp>BOOK0</stp>
        <stp>VOV</stp>
        <stp>708</stp>
        <tr r="D712" s="2"/>
      </tp>
      <tp t="s">
        <v>Ferramenta Inválida</v>
        <stp/>
        <stp>BOOK0</stp>
        <stp>VOV</stp>
        <stp>709</stp>
        <tr r="D713" s="2"/>
      </tp>
      <tp t="s">
        <v>Ferramenta Inválida</v>
        <stp/>
        <stp>BOOK0</stp>
        <stp>VOV</stp>
        <stp>704</stp>
        <tr r="D708" s="2"/>
      </tp>
      <tp t="s">
        <v>Ferramenta Inválida</v>
        <stp/>
        <stp>BOOK0</stp>
        <stp>VOV</stp>
        <stp>705</stp>
        <tr r="D709" s="2"/>
      </tp>
      <tp t="s">
        <v>Ferramenta Inválida</v>
        <stp/>
        <stp>BOOK0</stp>
        <stp>VOV</stp>
        <stp>706</stp>
        <tr r="D710" s="2"/>
      </tp>
      <tp t="s">
        <v>Ferramenta Inválida</v>
        <stp/>
        <stp>BOOK0</stp>
        <stp>VOV</stp>
        <stp>707</stp>
        <tr r="D711" s="2"/>
      </tp>
      <tp t="s">
        <v>Ferramenta Inválida</v>
        <stp/>
        <stp>BOOK0</stp>
        <stp>VOV</stp>
        <stp>700</stp>
        <tr r="D704" s="2"/>
      </tp>
      <tp t="s">
        <v>Ferramenta Inválida</v>
        <stp/>
        <stp>BOOK0</stp>
        <stp>VOV</stp>
        <stp>701</stp>
        <tr r="D705" s="2"/>
      </tp>
      <tp t="s">
        <v>Ferramenta Inválida</v>
        <stp/>
        <stp>BOOK0</stp>
        <stp>VOV</stp>
        <stp>702</stp>
        <tr r="D706" s="2"/>
      </tp>
      <tp t="s">
        <v>Ferramenta Inválida</v>
        <stp/>
        <stp>BOOK0</stp>
        <stp>VOV</stp>
        <stp>703</stp>
        <tr r="D707" s="2"/>
      </tp>
      <tp t="s">
        <v>Ferramenta Inválida</v>
        <stp/>
        <stp>BOOK0</stp>
        <stp>VOC</stp>
        <stp>709</stp>
        <tr r="A713" s="2"/>
      </tp>
      <tp t="s">
        <v>Ferramenta Inválida</v>
        <stp/>
        <stp>BOOK0</stp>
        <stp>VOC</stp>
        <stp>708</stp>
        <tr r="A712" s="2"/>
      </tp>
      <tp t="s">
        <v>Ferramenta Inválida</v>
        <stp/>
        <stp>BOOK0</stp>
        <stp>VOC</stp>
        <stp>701</stp>
        <tr r="A705" s="2"/>
      </tp>
      <tp t="s">
        <v>Ferramenta Inválida</v>
        <stp/>
        <stp>BOOK0</stp>
        <stp>VOC</stp>
        <stp>700</stp>
        <tr r="A704" s="2"/>
      </tp>
      <tp t="s">
        <v>Ferramenta Inválida</v>
        <stp/>
        <stp>BOOK0</stp>
        <stp>VOC</stp>
        <stp>703</stp>
        <tr r="A707" s="2"/>
      </tp>
      <tp t="s">
        <v>Ferramenta Inválida</v>
        <stp/>
        <stp>BOOK0</stp>
        <stp>VOC</stp>
        <stp>702</stp>
        <tr r="A706" s="2"/>
      </tp>
      <tp t="s">
        <v>Ferramenta Inválida</v>
        <stp/>
        <stp>BOOK0</stp>
        <stp>VOC</stp>
        <stp>705</stp>
        <tr r="A709" s="2"/>
      </tp>
      <tp t="s">
        <v>Ferramenta Inválida</v>
        <stp/>
        <stp>BOOK0</stp>
        <stp>VOC</stp>
        <stp>704</stp>
        <tr r="A708" s="2"/>
      </tp>
      <tp t="s">
        <v>Ferramenta Inválida</v>
        <stp/>
        <stp>BOOK0</stp>
        <stp>VOC</stp>
        <stp>707</stp>
        <tr r="A711" s="2"/>
      </tp>
      <tp t="s">
        <v>Ferramenta Inválida</v>
        <stp/>
        <stp>BOOK0</stp>
        <stp>VOC</stp>
        <stp>706</stp>
        <tr r="A710" s="2"/>
      </tp>
      <tp t="s">
        <v>Ferramenta Inválida</v>
        <stp/>
        <stp>BOOK0</stp>
        <stp>VOV</stp>
        <stp>738</stp>
        <tr r="D742" s="2"/>
      </tp>
      <tp t="s">
        <v>Ferramenta Inválida</v>
        <stp/>
        <stp>BOOK0</stp>
        <stp>VOV</stp>
        <stp>739</stp>
        <tr r="D743" s="2"/>
      </tp>
      <tp t="s">
        <v>Ferramenta Inválida</v>
        <stp/>
        <stp>BOOK0</stp>
        <stp>VOV</stp>
        <stp>734</stp>
        <tr r="D738" s="2"/>
      </tp>
      <tp t="s">
        <v>Ferramenta Inválida</v>
        <stp/>
        <stp>BOOK0</stp>
        <stp>VOV</stp>
        <stp>735</stp>
        <tr r="D739" s="2"/>
      </tp>
      <tp t="s">
        <v>Ferramenta Inválida</v>
        <stp/>
        <stp>BOOK0</stp>
        <stp>VOV</stp>
        <stp>736</stp>
        <tr r="D740" s="2"/>
      </tp>
      <tp t="s">
        <v>Ferramenta Inválida</v>
        <stp/>
        <stp>BOOK0</stp>
        <stp>VOV</stp>
        <stp>737</stp>
        <tr r="D741" s="2"/>
      </tp>
      <tp t="s">
        <v>Ferramenta Inválida</v>
        <stp/>
        <stp>BOOK0</stp>
        <stp>VOV</stp>
        <stp>730</stp>
        <tr r="D734" s="2"/>
      </tp>
      <tp t="s">
        <v>Ferramenta Inválida</v>
        <stp/>
        <stp>BOOK0</stp>
        <stp>VOV</stp>
        <stp>731</stp>
        <tr r="D735" s="2"/>
      </tp>
      <tp t="s">
        <v>Ferramenta Inválida</v>
        <stp/>
        <stp>BOOK0</stp>
        <stp>VOV</stp>
        <stp>732</stp>
        <tr r="D736" s="2"/>
      </tp>
      <tp t="s">
        <v>Ferramenta Inválida</v>
        <stp/>
        <stp>BOOK0</stp>
        <stp>VOV</stp>
        <stp>733</stp>
        <tr r="D737" s="2"/>
      </tp>
      <tp t="s">
        <v>Ferramenta Inválida</v>
        <stp/>
        <stp>BOOK0</stp>
        <stp>VOC</stp>
        <stp>739</stp>
        <tr r="A743" s="2"/>
      </tp>
      <tp t="s">
        <v>Ferramenta Inválida</v>
        <stp/>
        <stp>BOOK0</stp>
        <stp>VOC</stp>
        <stp>738</stp>
        <tr r="A742" s="2"/>
      </tp>
      <tp t="s">
        <v>Ferramenta Inválida</v>
        <stp/>
        <stp>BOOK0</stp>
        <stp>VOC</stp>
        <stp>731</stp>
        <tr r="A735" s="2"/>
      </tp>
      <tp t="s">
        <v>Ferramenta Inválida</v>
        <stp/>
        <stp>BOOK0</stp>
        <stp>VOC</stp>
        <stp>730</stp>
        <tr r="A734" s="2"/>
      </tp>
      <tp t="s">
        <v>Ferramenta Inválida</v>
        <stp/>
        <stp>BOOK0</stp>
        <stp>VOC</stp>
        <stp>733</stp>
        <tr r="A737" s="2"/>
      </tp>
      <tp t="s">
        <v>Ferramenta Inválida</v>
        <stp/>
        <stp>BOOK0</stp>
        <stp>VOC</stp>
        <stp>732</stp>
        <tr r="A736" s="2"/>
      </tp>
      <tp t="s">
        <v>Ferramenta Inválida</v>
        <stp/>
        <stp>BOOK0</stp>
        <stp>VOC</stp>
        <stp>735</stp>
        <tr r="A739" s="2"/>
      </tp>
      <tp t="s">
        <v>Ferramenta Inválida</v>
        <stp/>
        <stp>BOOK0</stp>
        <stp>VOC</stp>
        <stp>734</stp>
        <tr r="A738" s="2"/>
      </tp>
      <tp t="s">
        <v>Ferramenta Inválida</v>
        <stp/>
        <stp>BOOK0</stp>
        <stp>VOC</stp>
        <stp>737</stp>
        <tr r="A741" s="2"/>
      </tp>
      <tp t="s">
        <v>Ferramenta Inválida</v>
        <stp/>
        <stp>BOOK0</stp>
        <stp>VOC</stp>
        <stp>736</stp>
        <tr r="A740" s="2"/>
      </tp>
      <tp t="s">
        <v>Ferramenta Inválida</v>
        <stp/>
        <stp>BOOK0</stp>
        <stp>VOV</stp>
        <stp>728</stp>
        <tr r="D732" s="2"/>
      </tp>
      <tp t="s">
        <v>Ferramenta Inválida</v>
        <stp/>
        <stp>BOOK0</stp>
        <stp>VOV</stp>
        <stp>729</stp>
        <tr r="D733" s="2"/>
      </tp>
      <tp t="s">
        <v>Ferramenta Inválida</v>
        <stp/>
        <stp>BOOK0</stp>
        <stp>VOV</stp>
        <stp>724</stp>
        <tr r="D728" s="2"/>
      </tp>
      <tp t="s">
        <v>Ferramenta Inválida</v>
        <stp/>
        <stp>BOOK0</stp>
        <stp>VOV</stp>
        <stp>725</stp>
        <tr r="D729" s="2"/>
      </tp>
      <tp t="s">
        <v>Ferramenta Inválida</v>
        <stp/>
        <stp>BOOK0</stp>
        <stp>VOV</stp>
        <stp>726</stp>
        <tr r="D730" s="2"/>
      </tp>
      <tp t="s">
        <v>Ferramenta Inválida</v>
        <stp/>
        <stp>BOOK0</stp>
        <stp>VOV</stp>
        <stp>727</stp>
        <tr r="D731" s="2"/>
      </tp>
      <tp t="s">
        <v>Ferramenta Inválida</v>
        <stp/>
        <stp>BOOK0</stp>
        <stp>VOV</stp>
        <stp>720</stp>
        <tr r="D724" s="2"/>
      </tp>
      <tp t="s">
        <v>Ferramenta Inválida</v>
        <stp/>
        <stp>BOOK0</stp>
        <stp>VOV</stp>
        <stp>721</stp>
        <tr r="D725" s="2"/>
      </tp>
      <tp t="s">
        <v>Ferramenta Inválida</v>
        <stp/>
        <stp>BOOK0</stp>
        <stp>VOV</stp>
        <stp>722</stp>
        <tr r="D726" s="2"/>
      </tp>
      <tp t="s">
        <v>Ferramenta Inválida</v>
        <stp/>
        <stp>BOOK0</stp>
        <stp>VOV</stp>
        <stp>723</stp>
        <tr r="D727" s="2"/>
      </tp>
      <tp t="s">
        <v>Ferramenta Inválida</v>
        <stp/>
        <stp>BOOK0</stp>
        <stp>VOC</stp>
        <stp>729</stp>
        <tr r="A733" s="2"/>
      </tp>
      <tp t="s">
        <v>Ferramenta Inválida</v>
        <stp/>
        <stp>BOOK0</stp>
        <stp>VOC</stp>
        <stp>728</stp>
        <tr r="A732" s="2"/>
      </tp>
      <tp t="s">
        <v>Ferramenta Inválida</v>
        <stp/>
        <stp>BOOK0</stp>
        <stp>VOC</stp>
        <stp>721</stp>
        <tr r="A725" s="2"/>
      </tp>
      <tp t="s">
        <v>Ferramenta Inválida</v>
        <stp/>
        <stp>BOOK0</stp>
        <stp>VOC</stp>
        <stp>720</stp>
        <tr r="A724" s="2"/>
      </tp>
      <tp t="s">
        <v>Ferramenta Inválida</v>
        <stp/>
        <stp>BOOK0</stp>
        <stp>VOC</stp>
        <stp>723</stp>
        <tr r="A727" s="2"/>
      </tp>
      <tp t="s">
        <v>Ferramenta Inválida</v>
        <stp/>
        <stp>BOOK0</stp>
        <stp>VOC</stp>
        <stp>722</stp>
        <tr r="A726" s="2"/>
      </tp>
      <tp t="s">
        <v>Ferramenta Inválida</v>
        <stp/>
        <stp>BOOK0</stp>
        <stp>VOC</stp>
        <stp>725</stp>
        <tr r="A729" s="2"/>
      </tp>
      <tp t="s">
        <v>Ferramenta Inválida</v>
        <stp/>
        <stp>BOOK0</stp>
        <stp>VOC</stp>
        <stp>724</stp>
        <tr r="A728" s="2"/>
      </tp>
      <tp t="s">
        <v>Ferramenta Inválida</v>
        <stp/>
        <stp>BOOK0</stp>
        <stp>VOC</stp>
        <stp>727</stp>
        <tr r="A731" s="2"/>
      </tp>
      <tp t="s">
        <v>Ferramenta Inválida</v>
        <stp/>
        <stp>BOOK0</stp>
        <stp>VOC</stp>
        <stp>726</stp>
        <tr r="A730" s="2"/>
      </tp>
      <tp t="s">
        <v>Ferramenta Inválida</v>
        <stp/>
        <stp>BOOK0</stp>
        <stp>VOV</stp>
        <stp>758</stp>
        <tr r="D762" s="2"/>
      </tp>
      <tp t="s">
        <v>Ferramenta Inválida</v>
        <stp/>
        <stp>BOOK0</stp>
        <stp>VOV</stp>
        <stp>759</stp>
        <tr r="D763" s="2"/>
      </tp>
      <tp t="s">
        <v>Ferramenta Inválida</v>
        <stp/>
        <stp>BOOK0</stp>
        <stp>VOV</stp>
        <stp>754</stp>
        <tr r="D758" s="2"/>
      </tp>
      <tp t="s">
        <v>Ferramenta Inválida</v>
        <stp/>
        <stp>BOOK0</stp>
        <stp>VOV</stp>
        <stp>755</stp>
        <tr r="D759" s="2"/>
      </tp>
      <tp t="s">
        <v>Ferramenta Inválida</v>
        <stp/>
        <stp>BOOK0</stp>
        <stp>VOV</stp>
        <stp>756</stp>
        <tr r="D760" s="2"/>
      </tp>
      <tp t="s">
        <v>Ferramenta Inválida</v>
        <stp/>
        <stp>BOOK0</stp>
        <stp>VOV</stp>
        <stp>757</stp>
        <tr r="D761" s="2"/>
      </tp>
      <tp t="s">
        <v>Ferramenta Inválida</v>
        <stp/>
        <stp>BOOK0</stp>
        <stp>VOV</stp>
        <stp>750</stp>
        <tr r="D754" s="2"/>
      </tp>
      <tp t="s">
        <v>Ferramenta Inválida</v>
        <stp/>
        <stp>BOOK0</stp>
        <stp>VOV</stp>
        <stp>751</stp>
        <tr r="D755" s="2"/>
      </tp>
      <tp t="s">
        <v>Ferramenta Inválida</v>
        <stp/>
        <stp>BOOK0</stp>
        <stp>VOV</stp>
        <stp>752</stp>
        <tr r="D756" s="2"/>
      </tp>
      <tp t="s">
        <v>Ferramenta Inválida</v>
        <stp/>
        <stp>BOOK0</stp>
        <stp>VOV</stp>
        <stp>753</stp>
        <tr r="D757" s="2"/>
      </tp>
      <tp t="s">
        <v>Ferramenta Inválida</v>
        <stp/>
        <stp>BOOK0</stp>
        <stp>VOC</stp>
        <stp>759</stp>
        <tr r="A763" s="2"/>
      </tp>
      <tp t="s">
        <v>Ferramenta Inválida</v>
        <stp/>
        <stp>BOOK0</stp>
        <stp>VOC</stp>
        <stp>758</stp>
        <tr r="A762" s="2"/>
      </tp>
      <tp t="s">
        <v>Ferramenta Inválida</v>
        <stp/>
        <stp>BOOK0</stp>
        <stp>VOC</stp>
        <stp>751</stp>
        <tr r="A755" s="2"/>
      </tp>
      <tp t="s">
        <v>Ferramenta Inválida</v>
        <stp/>
        <stp>BOOK0</stp>
        <stp>VOC</stp>
        <stp>750</stp>
        <tr r="A754" s="2"/>
      </tp>
      <tp t="s">
        <v>Ferramenta Inválida</v>
        <stp/>
        <stp>BOOK0</stp>
        <stp>VOC</stp>
        <stp>753</stp>
        <tr r="A757" s="2"/>
      </tp>
      <tp t="s">
        <v>Ferramenta Inválida</v>
        <stp/>
        <stp>BOOK0</stp>
        <stp>VOC</stp>
        <stp>752</stp>
        <tr r="A756" s="2"/>
      </tp>
      <tp t="s">
        <v>Ferramenta Inválida</v>
        <stp/>
        <stp>BOOK0</stp>
        <stp>VOC</stp>
        <stp>755</stp>
        <tr r="A759" s="2"/>
      </tp>
      <tp t="s">
        <v>Ferramenta Inválida</v>
        <stp/>
        <stp>BOOK0</stp>
        <stp>VOC</stp>
        <stp>754</stp>
        <tr r="A758" s="2"/>
      </tp>
      <tp t="s">
        <v>Ferramenta Inválida</v>
        <stp/>
        <stp>BOOK0</stp>
        <stp>VOC</stp>
        <stp>757</stp>
        <tr r="A761" s="2"/>
      </tp>
      <tp t="s">
        <v>Ferramenta Inválida</v>
        <stp/>
        <stp>BOOK0</stp>
        <stp>VOC</stp>
        <stp>756</stp>
        <tr r="A760" s="2"/>
      </tp>
      <tp t="s">
        <v>Ferramenta Inválida</v>
        <stp/>
        <stp>BOOK0</stp>
        <stp>VOV</stp>
        <stp>748</stp>
        <tr r="D752" s="2"/>
      </tp>
      <tp t="s">
        <v>Ferramenta Inválida</v>
        <stp/>
        <stp>BOOK0</stp>
        <stp>VOV</stp>
        <stp>749</stp>
        <tr r="D753" s="2"/>
      </tp>
      <tp t="s">
        <v>Ferramenta Inválida</v>
        <stp/>
        <stp>BOOK0</stp>
        <stp>VOV</stp>
        <stp>744</stp>
        <tr r="D748" s="2"/>
      </tp>
      <tp t="s">
        <v>Ferramenta Inválida</v>
        <stp/>
        <stp>BOOK0</stp>
        <stp>VOV</stp>
        <stp>745</stp>
        <tr r="D749" s="2"/>
      </tp>
      <tp t="s">
        <v>Ferramenta Inválida</v>
        <stp/>
        <stp>BOOK0</stp>
        <stp>VOV</stp>
        <stp>746</stp>
        <tr r="D750" s="2"/>
      </tp>
      <tp t="s">
        <v>Ferramenta Inválida</v>
        <stp/>
        <stp>BOOK0</stp>
        <stp>VOV</stp>
        <stp>747</stp>
        <tr r="D751" s="2"/>
      </tp>
      <tp t="s">
        <v>Ferramenta Inválida</v>
        <stp/>
        <stp>BOOK0</stp>
        <stp>VOV</stp>
        <stp>740</stp>
        <tr r="D744" s="2"/>
      </tp>
      <tp t="s">
        <v>Ferramenta Inválida</v>
        <stp/>
        <stp>BOOK0</stp>
        <stp>VOV</stp>
        <stp>741</stp>
        <tr r="D745" s="2"/>
      </tp>
      <tp t="s">
        <v>Ferramenta Inválida</v>
        <stp/>
        <stp>BOOK0</stp>
        <stp>VOV</stp>
        <stp>742</stp>
        <tr r="D746" s="2"/>
      </tp>
      <tp t="s">
        <v>Ferramenta Inválida</v>
        <stp/>
        <stp>BOOK0</stp>
        <stp>VOV</stp>
        <stp>743</stp>
        <tr r="D747" s="2"/>
      </tp>
      <tp t="s">
        <v>Ferramenta Inválida</v>
        <stp/>
        <stp>BOOK0</stp>
        <stp>VOC</stp>
        <stp>749</stp>
        <tr r="A753" s="2"/>
      </tp>
      <tp t="s">
        <v>Ferramenta Inválida</v>
        <stp/>
        <stp>BOOK0</stp>
        <stp>VOC</stp>
        <stp>748</stp>
        <tr r="A752" s="2"/>
      </tp>
      <tp t="s">
        <v>Ferramenta Inválida</v>
        <stp/>
        <stp>BOOK0</stp>
        <stp>VOC</stp>
        <stp>741</stp>
        <tr r="A745" s="2"/>
      </tp>
      <tp t="s">
        <v>Ferramenta Inválida</v>
        <stp/>
        <stp>BOOK0</stp>
        <stp>VOC</stp>
        <stp>740</stp>
        <tr r="A744" s="2"/>
      </tp>
      <tp t="s">
        <v>Ferramenta Inválida</v>
        <stp/>
        <stp>BOOK0</stp>
        <stp>VOC</stp>
        <stp>743</stp>
        <tr r="A747" s="2"/>
      </tp>
      <tp t="s">
        <v>Ferramenta Inválida</v>
        <stp/>
        <stp>BOOK0</stp>
        <stp>VOC</stp>
        <stp>742</stp>
        <tr r="A746" s="2"/>
      </tp>
      <tp t="s">
        <v>Ferramenta Inválida</v>
        <stp/>
        <stp>BOOK0</stp>
        <stp>VOC</stp>
        <stp>745</stp>
        <tr r="A749" s="2"/>
      </tp>
      <tp t="s">
        <v>Ferramenta Inválida</v>
        <stp/>
        <stp>BOOK0</stp>
        <stp>VOC</stp>
        <stp>744</stp>
        <tr r="A748" s="2"/>
      </tp>
      <tp t="s">
        <v>Ferramenta Inválida</v>
        <stp/>
        <stp>BOOK0</stp>
        <stp>VOC</stp>
        <stp>747</stp>
        <tr r="A751" s="2"/>
      </tp>
      <tp t="s">
        <v>Ferramenta Inválida</v>
        <stp/>
        <stp>BOOK0</stp>
        <stp>VOC</stp>
        <stp>746</stp>
        <tr r="A750" s="2"/>
      </tp>
      <tp t="s">
        <v>Ferramenta Inválida</v>
        <stp/>
        <stp>BOOK0</stp>
        <stp>VOV</stp>
        <stp>778</stp>
        <tr r="D782" s="2"/>
      </tp>
      <tp t="s">
        <v>Ferramenta Inválida</v>
        <stp/>
        <stp>BOOK0</stp>
        <stp>VOV</stp>
        <stp>779</stp>
        <tr r="D783" s="2"/>
      </tp>
      <tp t="s">
        <v>Ferramenta Inválida</v>
        <stp/>
        <stp>BOOK0</stp>
        <stp>VOV</stp>
        <stp>774</stp>
        <tr r="D778" s="2"/>
      </tp>
      <tp t="s">
        <v>Ferramenta Inválida</v>
        <stp/>
        <stp>BOOK0</stp>
        <stp>VOV</stp>
        <stp>775</stp>
        <tr r="D779" s="2"/>
      </tp>
      <tp t="s">
        <v>Ferramenta Inválida</v>
        <stp/>
        <stp>BOOK0</stp>
        <stp>VOV</stp>
        <stp>776</stp>
        <tr r="D780" s="2"/>
      </tp>
      <tp t="s">
        <v>Ferramenta Inválida</v>
        <stp/>
        <stp>BOOK0</stp>
        <stp>VOV</stp>
        <stp>777</stp>
        <tr r="D781" s="2"/>
      </tp>
      <tp t="s">
        <v>Ferramenta Inválida</v>
        <stp/>
        <stp>BOOK0</stp>
        <stp>VOV</stp>
        <stp>770</stp>
        <tr r="D774" s="2"/>
      </tp>
      <tp t="s">
        <v>Ferramenta Inválida</v>
        <stp/>
        <stp>BOOK0</stp>
        <stp>VOV</stp>
        <stp>771</stp>
        <tr r="D775" s="2"/>
      </tp>
      <tp t="s">
        <v>Ferramenta Inválida</v>
        <stp/>
        <stp>BOOK0</stp>
        <stp>VOV</stp>
        <stp>772</stp>
        <tr r="D776" s="2"/>
      </tp>
      <tp t="s">
        <v>Ferramenta Inválida</v>
        <stp/>
        <stp>BOOK0</stp>
        <stp>VOV</stp>
        <stp>773</stp>
        <tr r="D777" s="2"/>
      </tp>
      <tp t="s">
        <v>Ferramenta Inválida</v>
        <stp/>
        <stp>BOOK0</stp>
        <stp>VOC</stp>
        <stp>779</stp>
        <tr r="A783" s="2"/>
      </tp>
      <tp t="s">
        <v>Ferramenta Inválida</v>
        <stp/>
        <stp>BOOK0</stp>
        <stp>VOC</stp>
        <stp>778</stp>
        <tr r="A782" s="2"/>
      </tp>
      <tp t="s">
        <v>Ferramenta Inválida</v>
        <stp/>
        <stp>BOOK0</stp>
        <stp>VOC</stp>
        <stp>771</stp>
        <tr r="A775" s="2"/>
      </tp>
      <tp t="s">
        <v>Ferramenta Inválida</v>
        <stp/>
        <stp>BOOK0</stp>
        <stp>VOC</stp>
        <stp>770</stp>
        <tr r="A774" s="2"/>
      </tp>
      <tp t="s">
        <v>Ferramenta Inválida</v>
        <stp/>
        <stp>BOOK0</stp>
        <stp>VOC</stp>
        <stp>773</stp>
        <tr r="A777" s="2"/>
      </tp>
      <tp t="s">
        <v>Ferramenta Inválida</v>
        <stp/>
        <stp>BOOK0</stp>
        <stp>VOC</stp>
        <stp>772</stp>
        <tr r="A776" s="2"/>
      </tp>
      <tp t="s">
        <v>Ferramenta Inválida</v>
        <stp/>
        <stp>BOOK0</stp>
        <stp>VOC</stp>
        <stp>775</stp>
        <tr r="A779" s="2"/>
      </tp>
      <tp t="s">
        <v>Ferramenta Inválida</v>
        <stp/>
        <stp>BOOK0</stp>
        <stp>VOC</stp>
        <stp>774</stp>
        <tr r="A778" s="2"/>
      </tp>
      <tp t="s">
        <v>Ferramenta Inválida</v>
        <stp/>
        <stp>BOOK0</stp>
        <stp>VOC</stp>
        <stp>777</stp>
        <tr r="A781" s="2"/>
      </tp>
      <tp t="s">
        <v>Ferramenta Inválida</v>
        <stp/>
        <stp>BOOK0</stp>
        <stp>VOC</stp>
        <stp>776</stp>
        <tr r="A780" s="2"/>
      </tp>
      <tp t="s">
        <v>Ferramenta Inválida</v>
        <stp/>
        <stp>BOOK0</stp>
        <stp>VOV</stp>
        <stp>768</stp>
        <tr r="D772" s="2"/>
      </tp>
      <tp t="s">
        <v>Ferramenta Inválida</v>
        <stp/>
        <stp>BOOK0</stp>
        <stp>VOV</stp>
        <stp>769</stp>
        <tr r="D773" s="2"/>
      </tp>
      <tp t="s">
        <v>Ferramenta Inválida</v>
        <stp/>
        <stp>BOOK0</stp>
        <stp>VOV</stp>
        <stp>764</stp>
        <tr r="D768" s="2"/>
      </tp>
      <tp t="s">
        <v>Ferramenta Inválida</v>
        <stp/>
        <stp>BOOK0</stp>
        <stp>VOV</stp>
        <stp>765</stp>
        <tr r="D769" s="2"/>
      </tp>
      <tp t="s">
        <v>Ferramenta Inválida</v>
        <stp/>
        <stp>BOOK0</stp>
        <stp>VOV</stp>
        <stp>766</stp>
        <tr r="D770" s="2"/>
      </tp>
      <tp t="s">
        <v>Ferramenta Inválida</v>
        <stp/>
        <stp>BOOK0</stp>
        <stp>VOV</stp>
        <stp>767</stp>
        <tr r="D771" s="2"/>
      </tp>
      <tp t="s">
        <v>Ferramenta Inválida</v>
        <stp/>
        <stp>BOOK0</stp>
        <stp>VOV</stp>
        <stp>760</stp>
        <tr r="D764" s="2"/>
      </tp>
      <tp t="s">
        <v>Ferramenta Inválida</v>
        <stp/>
        <stp>BOOK0</stp>
        <stp>VOV</stp>
        <stp>761</stp>
        <tr r="D765" s="2"/>
      </tp>
      <tp t="s">
        <v>Ferramenta Inválida</v>
        <stp/>
        <stp>BOOK0</stp>
        <stp>VOV</stp>
        <stp>762</stp>
        <tr r="D766" s="2"/>
      </tp>
      <tp t="s">
        <v>Ferramenta Inválida</v>
        <stp/>
        <stp>BOOK0</stp>
        <stp>VOV</stp>
        <stp>763</stp>
        <tr r="D767" s="2"/>
      </tp>
      <tp t="s">
        <v>Ferramenta Inválida</v>
        <stp/>
        <stp>BOOK0</stp>
        <stp>VOC</stp>
        <stp>769</stp>
        <tr r="A773" s="2"/>
      </tp>
      <tp t="s">
        <v>Ferramenta Inválida</v>
        <stp/>
        <stp>BOOK0</stp>
        <stp>VOC</stp>
        <stp>768</stp>
        <tr r="A772" s="2"/>
      </tp>
      <tp t="s">
        <v>Ferramenta Inválida</v>
        <stp/>
        <stp>BOOK0</stp>
        <stp>VOC</stp>
        <stp>761</stp>
        <tr r="A765" s="2"/>
      </tp>
      <tp t="s">
        <v>Ferramenta Inválida</v>
        <stp/>
        <stp>BOOK0</stp>
        <stp>VOC</stp>
        <stp>760</stp>
        <tr r="A764" s="2"/>
      </tp>
      <tp t="s">
        <v>Ferramenta Inválida</v>
        <stp/>
        <stp>BOOK0</stp>
        <stp>VOC</stp>
        <stp>763</stp>
        <tr r="A767" s="2"/>
      </tp>
      <tp t="s">
        <v>Ferramenta Inválida</v>
        <stp/>
        <stp>BOOK0</stp>
        <stp>VOC</stp>
        <stp>762</stp>
        <tr r="A766" s="2"/>
      </tp>
      <tp t="s">
        <v>Ferramenta Inválida</v>
        <stp/>
        <stp>BOOK0</stp>
        <stp>VOC</stp>
        <stp>765</stp>
        <tr r="A769" s="2"/>
      </tp>
      <tp t="s">
        <v>Ferramenta Inválida</v>
        <stp/>
        <stp>BOOK0</stp>
        <stp>VOC</stp>
        <stp>764</stp>
        <tr r="A768" s="2"/>
      </tp>
      <tp t="s">
        <v>Ferramenta Inválida</v>
        <stp/>
        <stp>BOOK0</stp>
        <stp>VOC</stp>
        <stp>767</stp>
        <tr r="A771" s="2"/>
      </tp>
      <tp t="s">
        <v>Ferramenta Inválida</v>
        <stp/>
        <stp>BOOK0</stp>
        <stp>VOC</stp>
        <stp>766</stp>
        <tr r="A770" s="2"/>
      </tp>
      <tp t="s">
        <v>Ferramenta Inválida</v>
        <stp/>
        <stp>BOOK0</stp>
        <stp>VOV</stp>
        <stp>798</stp>
        <tr r="D802" s="2"/>
      </tp>
      <tp t="s">
        <v>Ferramenta Inválida</v>
        <stp/>
        <stp>BOOK0</stp>
        <stp>VOV</stp>
        <stp>799</stp>
        <tr r="D803" s="2"/>
      </tp>
      <tp t="s">
        <v>Ferramenta Inválida</v>
        <stp/>
        <stp>BOOK0</stp>
        <stp>VOV</stp>
        <stp>794</stp>
        <tr r="D798" s="2"/>
      </tp>
      <tp t="s">
        <v>Ferramenta Inválida</v>
        <stp/>
        <stp>BOOK0</stp>
        <stp>VOV</stp>
        <stp>795</stp>
        <tr r="D799" s="2"/>
      </tp>
      <tp t="s">
        <v>Ferramenta Inválida</v>
        <stp/>
        <stp>BOOK0</stp>
        <stp>VOV</stp>
        <stp>796</stp>
        <tr r="D800" s="2"/>
      </tp>
      <tp t="s">
        <v>Ferramenta Inválida</v>
        <stp/>
        <stp>BOOK0</stp>
        <stp>VOV</stp>
        <stp>797</stp>
        <tr r="D801" s="2"/>
      </tp>
      <tp t="s">
        <v>Ferramenta Inválida</v>
        <stp/>
        <stp>BOOK0</stp>
        <stp>VOV</stp>
        <stp>790</stp>
        <tr r="D794" s="2"/>
      </tp>
      <tp t="s">
        <v>Ferramenta Inválida</v>
        <stp/>
        <stp>BOOK0</stp>
        <stp>VOV</stp>
        <stp>791</stp>
        <tr r="D795" s="2"/>
      </tp>
      <tp t="s">
        <v>Ferramenta Inválida</v>
        <stp/>
        <stp>BOOK0</stp>
        <stp>VOV</stp>
        <stp>792</stp>
        <tr r="D796" s="2"/>
      </tp>
      <tp t="s">
        <v>Ferramenta Inválida</v>
        <stp/>
        <stp>BOOK0</stp>
        <stp>VOV</stp>
        <stp>793</stp>
        <tr r="D797" s="2"/>
      </tp>
      <tp t="s">
        <v>Ferramenta Inválida</v>
        <stp/>
        <stp>BOOK0</stp>
        <stp>VOC</stp>
        <stp>799</stp>
        <tr r="A803" s="2"/>
      </tp>
      <tp t="s">
        <v>Ferramenta Inválida</v>
        <stp/>
        <stp>BOOK0</stp>
        <stp>VOC</stp>
        <stp>798</stp>
        <tr r="A802" s="2"/>
      </tp>
      <tp t="s">
        <v>Ferramenta Inválida</v>
        <stp/>
        <stp>BOOK0</stp>
        <stp>VOC</stp>
        <stp>791</stp>
        <tr r="A795" s="2"/>
      </tp>
      <tp t="s">
        <v>Ferramenta Inválida</v>
        <stp/>
        <stp>BOOK0</stp>
        <stp>VOC</stp>
        <stp>790</stp>
        <tr r="A794" s="2"/>
      </tp>
      <tp t="s">
        <v>Ferramenta Inválida</v>
        <stp/>
        <stp>BOOK0</stp>
        <stp>VOC</stp>
        <stp>793</stp>
        <tr r="A797" s="2"/>
      </tp>
      <tp t="s">
        <v>Ferramenta Inválida</v>
        <stp/>
        <stp>BOOK0</stp>
        <stp>VOC</stp>
        <stp>792</stp>
        <tr r="A796" s="2"/>
      </tp>
      <tp t="s">
        <v>Ferramenta Inválida</v>
        <stp/>
        <stp>BOOK0</stp>
        <stp>VOC</stp>
        <stp>795</stp>
        <tr r="A799" s="2"/>
      </tp>
      <tp t="s">
        <v>Ferramenta Inválida</v>
        <stp/>
        <stp>BOOK0</stp>
        <stp>VOC</stp>
        <stp>794</stp>
        <tr r="A798" s="2"/>
      </tp>
      <tp t="s">
        <v>Ferramenta Inválida</v>
        <stp/>
        <stp>BOOK0</stp>
        <stp>VOC</stp>
        <stp>797</stp>
        <tr r="A801" s="2"/>
      </tp>
      <tp t="s">
        <v>Ferramenta Inválida</v>
        <stp/>
        <stp>BOOK0</stp>
        <stp>VOC</stp>
        <stp>796</stp>
        <tr r="A800" s="2"/>
      </tp>
      <tp t="s">
        <v>Ferramenta Inválida</v>
        <stp/>
        <stp>BOOK0</stp>
        <stp>VOV</stp>
        <stp>788</stp>
        <tr r="D792" s="2"/>
      </tp>
      <tp t="s">
        <v>Ferramenta Inválida</v>
        <stp/>
        <stp>BOOK0</stp>
        <stp>VOV</stp>
        <stp>789</stp>
        <tr r="D793" s="2"/>
      </tp>
      <tp t="s">
        <v>Ferramenta Inválida</v>
        <stp/>
        <stp>BOOK0</stp>
        <stp>VOV</stp>
        <stp>784</stp>
        <tr r="D788" s="2"/>
      </tp>
      <tp t="s">
        <v>Ferramenta Inválida</v>
        <stp/>
        <stp>BOOK0</stp>
        <stp>VOV</stp>
        <stp>785</stp>
        <tr r="D789" s="2"/>
      </tp>
      <tp t="s">
        <v>Ferramenta Inválida</v>
        <stp/>
        <stp>BOOK0</stp>
        <stp>VOV</stp>
        <stp>786</stp>
        <tr r="D790" s="2"/>
      </tp>
      <tp t="s">
        <v>Ferramenta Inválida</v>
        <stp/>
        <stp>BOOK0</stp>
        <stp>VOV</stp>
        <stp>787</stp>
        <tr r="D791" s="2"/>
      </tp>
      <tp t="s">
        <v>Ferramenta Inválida</v>
        <stp/>
        <stp>BOOK0</stp>
        <stp>VOV</stp>
        <stp>780</stp>
        <tr r="D784" s="2"/>
      </tp>
      <tp t="s">
        <v>Ferramenta Inválida</v>
        <stp/>
        <stp>BOOK0</stp>
        <stp>VOV</stp>
        <stp>781</stp>
        <tr r="D785" s="2"/>
      </tp>
      <tp t="s">
        <v>Ferramenta Inválida</v>
        <stp/>
        <stp>BOOK0</stp>
        <stp>VOV</stp>
        <stp>782</stp>
        <tr r="D786" s="2"/>
      </tp>
      <tp t="s">
        <v>Ferramenta Inválida</v>
        <stp/>
        <stp>BOOK0</stp>
        <stp>VOV</stp>
        <stp>783</stp>
        <tr r="D787" s="2"/>
      </tp>
      <tp t="s">
        <v>Ferramenta Inválida</v>
        <stp/>
        <stp>BOOK0</stp>
        <stp>VOC</stp>
        <stp>789</stp>
        <tr r="A793" s="2"/>
      </tp>
      <tp t="s">
        <v>Ferramenta Inválida</v>
        <stp/>
        <stp>BOOK0</stp>
        <stp>VOC</stp>
        <stp>788</stp>
        <tr r="A792" s="2"/>
      </tp>
      <tp t="s">
        <v>Ferramenta Inválida</v>
        <stp/>
        <stp>BOOK0</stp>
        <stp>VOC</stp>
        <stp>781</stp>
        <tr r="A785" s="2"/>
      </tp>
      <tp t="s">
        <v>Ferramenta Inválida</v>
        <stp/>
        <stp>BOOK0</stp>
        <stp>VOC</stp>
        <stp>780</stp>
        <tr r="A784" s="2"/>
      </tp>
      <tp t="s">
        <v>Ferramenta Inválida</v>
        <stp/>
        <stp>BOOK0</stp>
        <stp>VOC</stp>
        <stp>783</stp>
        <tr r="A787" s="2"/>
      </tp>
      <tp t="s">
        <v>Ferramenta Inválida</v>
        <stp/>
        <stp>BOOK0</stp>
        <stp>VOC</stp>
        <stp>782</stp>
        <tr r="A786" s="2"/>
      </tp>
      <tp t="s">
        <v>Ferramenta Inválida</v>
        <stp/>
        <stp>BOOK0</stp>
        <stp>VOC</stp>
        <stp>785</stp>
        <tr r="A789" s="2"/>
      </tp>
      <tp t="s">
        <v>Ferramenta Inválida</v>
        <stp/>
        <stp>BOOK0</stp>
        <stp>VOC</stp>
        <stp>784</stp>
        <tr r="A788" s="2"/>
      </tp>
      <tp t="s">
        <v>Ferramenta Inválida</v>
        <stp/>
        <stp>BOOK0</stp>
        <stp>VOC</stp>
        <stp>787</stp>
        <tr r="A791" s="2"/>
      </tp>
      <tp t="s">
        <v>Ferramenta Inválida</v>
        <stp/>
        <stp>BOOK0</stp>
        <stp>VOC</stp>
        <stp>786</stp>
        <tr r="A790" s="2"/>
      </tp>
      <tp t="s">
        <v>Ferramenta Inválida</v>
        <stp/>
        <stp>BOOK0</stp>
        <stp>VOV</stp>
        <stp>618</stp>
        <tr r="D622" s="2"/>
      </tp>
      <tp t="s">
        <v>Ferramenta Inválida</v>
        <stp/>
        <stp>BOOK0</stp>
        <stp>VOV</stp>
        <stp>619</stp>
        <tr r="D623" s="2"/>
      </tp>
      <tp t="s">
        <v>Ferramenta Inválida</v>
        <stp/>
        <stp>BOOK0</stp>
        <stp>VOV</stp>
        <stp>614</stp>
        <tr r="D618" s="2"/>
      </tp>
      <tp t="s">
        <v>Ferramenta Inválida</v>
        <stp/>
        <stp>BOOK0</stp>
        <stp>VOV</stp>
        <stp>615</stp>
        <tr r="D619" s="2"/>
      </tp>
      <tp t="s">
        <v>Ferramenta Inválida</v>
        <stp/>
        <stp>BOOK0</stp>
        <stp>VOV</stp>
        <stp>616</stp>
        <tr r="D620" s="2"/>
      </tp>
      <tp t="s">
        <v>Ferramenta Inválida</v>
        <stp/>
        <stp>BOOK0</stp>
        <stp>VOV</stp>
        <stp>617</stp>
        <tr r="D621" s="2"/>
      </tp>
      <tp t="s">
        <v>Ferramenta Inválida</v>
        <stp/>
        <stp>BOOK0</stp>
        <stp>VOV</stp>
        <stp>610</stp>
        <tr r="D614" s="2"/>
      </tp>
      <tp t="s">
        <v>Ferramenta Inválida</v>
        <stp/>
        <stp>BOOK0</stp>
        <stp>VOV</stp>
        <stp>611</stp>
        <tr r="D615" s="2"/>
      </tp>
      <tp t="s">
        <v>Ferramenta Inválida</v>
        <stp/>
        <stp>BOOK0</stp>
        <stp>VOV</stp>
        <stp>612</stp>
        <tr r="D616" s="2"/>
      </tp>
      <tp t="s">
        <v>Ferramenta Inválida</v>
        <stp/>
        <stp>BOOK0</stp>
        <stp>VOV</stp>
        <stp>613</stp>
        <tr r="D617" s="2"/>
      </tp>
      <tp t="s">
        <v>Ferramenta Inválida</v>
        <stp/>
        <stp>BOOK0</stp>
        <stp>VOC</stp>
        <stp>619</stp>
        <tr r="A623" s="2"/>
      </tp>
      <tp t="s">
        <v>Ferramenta Inválida</v>
        <stp/>
        <stp>BOOK0</stp>
        <stp>VOC</stp>
        <stp>618</stp>
        <tr r="A622" s="2"/>
      </tp>
      <tp t="s">
        <v>Ferramenta Inválida</v>
        <stp/>
        <stp>BOOK0</stp>
        <stp>VOC</stp>
        <stp>611</stp>
        <tr r="A615" s="2"/>
      </tp>
      <tp t="s">
        <v>Ferramenta Inválida</v>
        <stp/>
        <stp>BOOK0</stp>
        <stp>VOC</stp>
        <stp>610</stp>
        <tr r="A614" s="2"/>
      </tp>
      <tp t="s">
        <v>Ferramenta Inválida</v>
        <stp/>
        <stp>BOOK0</stp>
        <stp>VOC</stp>
        <stp>613</stp>
        <tr r="A617" s="2"/>
      </tp>
      <tp t="s">
        <v>Ferramenta Inválida</v>
        <stp/>
        <stp>BOOK0</stp>
        <stp>VOC</stp>
        <stp>612</stp>
        <tr r="A616" s="2"/>
      </tp>
      <tp t="s">
        <v>Ferramenta Inválida</v>
        <stp/>
        <stp>BOOK0</stp>
        <stp>VOC</stp>
        <stp>615</stp>
        <tr r="A619" s="2"/>
      </tp>
      <tp t="s">
        <v>Ferramenta Inválida</v>
        <stp/>
        <stp>BOOK0</stp>
        <stp>VOC</stp>
        <stp>614</stp>
        <tr r="A618" s="2"/>
      </tp>
      <tp t="s">
        <v>Ferramenta Inválida</v>
        <stp/>
        <stp>BOOK0</stp>
        <stp>VOC</stp>
        <stp>617</stp>
        <tr r="A621" s="2"/>
      </tp>
      <tp t="s">
        <v>Ferramenta Inválida</v>
        <stp/>
        <stp>BOOK0</stp>
        <stp>VOC</stp>
        <stp>616</stp>
        <tr r="A620" s="2"/>
      </tp>
      <tp t="s">
        <v>Ferramenta Inválida</v>
        <stp/>
        <stp>BOOK0</stp>
        <stp>VOV</stp>
        <stp>608</stp>
        <tr r="D612" s="2"/>
      </tp>
      <tp t="s">
        <v>Ferramenta Inválida</v>
        <stp/>
        <stp>BOOK0</stp>
        <stp>VOV</stp>
        <stp>609</stp>
        <tr r="D613" s="2"/>
      </tp>
      <tp t="s">
        <v>Ferramenta Inválida</v>
        <stp/>
        <stp>BOOK0</stp>
        <stp>VOV</stp>
        <stp>604</stp>
        <tr r="D608" s="2"/>
      </tp>
      <tp t="s">
        <v>Ferramenta Inválida</v>
        <stp/>
        <stp>BOOK0</stp>
        <stp>VOV</stp>
        <stp>605</stp>
        <tr r="D609" s="2"/>
      </tp>
      <tp t="s">
        <v>Ferramenta Inválida</v>
        <stp/>
        <stp>BOOK0</stp>
        <stp>VOV</stp>
        <stp>606</stp>
        <tr r="D610" s="2"/>
      </tp>
      <tp t="s">
        <v>Ferramenta Inválida</v>
        <stp/>
        <stp>BOOK0</stp>
        <stp>VOV</stp>
        <stp>607</stp>
        <tr r="D611" s="2"/>
      </tp>
      <tp t="s">
        <v>Ferramenta Inválida</v>
        <stp/>
        <stp>BOOK0</stp>
        <stp>VOV</stp>
        <stp>600</stp>
        <tr r="D604" s="2"/>
      </tp>
      <tp t="s">
        <v>Ferramenta Inválida</v>
        <stp/>
        <stp>BOOK0</stp>
        <stp>VOV</stp>
        <stp>601</stp>
        <tr r="D605" s="2"/>
      </tp>
      <tp t="s">
        <v>Ferramenta Inválida</v>
        <stp/>
        <stp>BOOK0</stp>
        <stp>VOV</stp>
        <stp>602</stp>
        <tr r="D606" s="2"/>
      </tp>
      <tp t="s">
        <v>Ferramenta Inválida</v>
        <stp/>
        <stp>BOOK0</stp>
        <stp>VOV</stp>
        <stp>603</stp>
        <tr r="D607" s="2"/>
      </tp>
      <tp t="s">
        <v>Ferramenta Inválida</v>
        <stp/>
        <stp>BOOK0</stp>
        <stp>VOC</stp>
        <stp>609</stp>
        <tr r="A613" s="2"/>
      </tp>
      <tp t="s">
        <v>Ferramenta Inválida</v>
        <stp/>
        <stp>BOOK0</stp>
        <stp>VOC</stp>
        <stp>608</stp>
        <tr r="A612" s="2"/>
      </tp>
      <tp t="s">
        <v>Ferramenta Inválida</v>
        <stp/>
        <stp>BOOK0</stp>
        <stp>VOC</stp>
        <stp>601</stp>
        <tr r="A605" s="2"/>
      </tp>
      <tp t="s">
        <v>Ferramenta Inválida</v>
        <stp/>
        <stp>BOOK0</stp>
        <stp>VOC</stp>
        <stp>600</stp>
        <tr r="A604" s="2"/>
      </tp>
      <tp t="s">
        <v>Ferramenta Inválida</v>
        <stp/>
        <stp>BOOK0</stp>
        <stp>VOC</stp>
        <stp>603</stp>
        <tr r="A607" s="2"/>
      </tp>
      <tp t="s">
        <v>Ferramenta Inválida</v>
        <stp/>
        <stp>BOOK0</stp>
        <stp>VOC</stp>
        <stp>602</stp>
        <tr r="A606" s="2"/>
      </tp>
      <tp t="s">
        <v>Ferramenta Inválida</v>
        <stp/>
        <stp>BOOK0</stp>
        <stp>VOC</stp>
        <stp>605</stp>
        <tr r="A609" s="2"/>
      </tp>
      <tp t="s">
        <v>Ferramenta Inválida</v>
        <stp/>
        <stp>BOOK0</stp>
        <stp>VOC</stp>
        <stp>604</stp>
        <tr r="A608" s="2"/>
      </tp>
      <tp t="s">
        <v>Ferramenta Inválida</v>
        <stp/>
        <stp>BOOK0</stp>
        <stp>VOC</stp>
        <stp>607</stp>
        <tr r="A611" s="2"/>
      </tp>
      <tp t="s">
        <v>Ferramenta Inválida</v>
        <stp/>
        <stp>BOOK0</stp>
        <stp>VOC</stp>
        <stp>606</stp>
        <tr r="A610" s="2"/>
      </tp>
      <tp t="s">
        <v>Ferramenta Inválida</v>
        <stp/>
        <stp>BOOK0</stp>
        <stp>VOV</stp>
        <stp>638</stp>
        <tr r="D642" s="2"/>
      </tp>
      <tp t="s">
        <v>Ferramenta Inválida</v>
        <stp/>
        <stp>BOOK0</stp>
        <stp>VOV</stp>
        <stp>639</stp>
        <tr r="D643" s="2"/>
      </tp>
      <tp t="s">
        <v>Ferramenta Inválida</v>
        <stp/>
        <stp>BOOK0</stp>
        <stp>VOV</stp>
        <stp>634</stp>
        <tr r="D638" s="2"/>
      </tp>
      <tp t="s">
        <v>Ferramenta Inválida</v>
        <stp/>
        <stp>BOOK0</stp>
        <stp>VOV</stp>
        <stp>635</stp>
        <tr r="D639" s="2"/>
      </tp>
      <tp t="s">
        <v>Ferramenta Inválida</v>
        <stp/>
        <stp>BOOK0</stp>
        <stp>VOV</stp>
        <stp>636</stp>
        <tr r="D640" s="2"/>
      </tp>
      <tp t="s">
        <v>Ferramenta Inválida</v>
        <stp/>
        <stp>BOOK0</stp>
        <stp>VOV</stp>
        <stp>637</stp>
        <tr r="D641" s="2"/>
      </tp>
      <tp t="s">
        <v>Ferramenta Inválida</v>
        <stp/>
        <stp>BOOK0</stp>
        <stp>VOV</stp>
        <stp>630</stp>
        <tr r="D634" s="2"/>
      </tp>
      <tp t="s">
        <v>Ferramenta Inválida</v>
        <stp/>
        <stp>BOOK0</stp>
        <stp>VOV</stp>
        <stp>631</stp>
        <tr r="D635" s="2"/>
      </tp>
      <tp t="s">
        <v>Ferramenta Inválida</v>
        <stp/>
        <stp>BOOK0</stp>
        <stp>VOV</stp>
        <stp>632</stp>
        <tr r="D636" s="2"/>
      </tp>
      <tp t="s">
        <v>Ferramenta Inválida</v>
        <stp/>
        <stp>BOOK0</stp>
        <stp>VOV</stp>
        <stp>633</stp>
        <tr r="D637" s="2"/>
      </tp>
      <tp t="s">
        <v>Ferramenta Inválida</v>
        <stp/>
        <stp>BOOK0</stp>
        <stp>VOC</stp>
        <stp>639</stp>
        <tr r="A643" s="2"/>
      </tp>
      <tp t="s">
        <v>Ferramenta Inválida</v>
        <stp/>
        <stp>BOOK0</stp>
        <stp>VOC</stp>
        <stp>638</stp>
        <tr r="A642" s="2"/>
      </tp>
      <tp t="s">
        <v>Ferramenta Inválida</v>
        <stp/>
        <stp>BOOK0</stp>
        <stp>VOC</stp>
        <stp>631</stp>
        <tr r="A635" s="2"/>
      </tp>
      <tp t="s">
        <v>Ferramenta Inválida</v>
        <stp/>
        <stp>BOOK0</stp>
        <stp>VOC</stp>
        <stp>630</stp>
        <tr r="A634" s="2"/>
      </tp>
      <tp t="s">
        <v>Ferramenta Inválida</v>
        <stp/>
        <stp>BOOK0</stp>
        <stp>VOC</stp>
        <stp>633</stp>
        <tr r="A637" s="2"/>
      </tp>
      <tp t="s">
        <v>Ferramenta Inválida</v>
        <stp/>
        <stp>BOOK0</stp>
        <stp>VOC</stp>
        <stp>632</stp>
        <tr r="A636" s="2"/>
      </tp>
      <tp t="s">
        <v>Ferramenta Inválida</v>
        <stp/>
        <stp>BOOK0</stp>
        <stp>VOC</stp>
        <stp>635</stp>
        <tr r="A639" s="2"/>
      </tp>
      <tp t="s">
        <v>Ferramenta Inválida</v>
        <stp/>
        <stp>BOOK0</stp>
        <stp>VOC</stp>
        <stp>634</stp>
        <tr r="A638" s="2"/>
      </tp>
      <tp t="s">
        <v>Ferramenta Inválida</v>
        <stp/>
        <stp>BOOK0</stp>
        <stp>VOC</stp>
        <stp>637</stp>
        <tr r="A641" s="2"/>
      </tp>
      <tp t="s">
        <v>Ferramenta Inválida</v>
        <stp/>
        <stp>BOOK0</stp>
        <stp>VOC</stp>
        <stp>636</stp>
        <tr r="A640" s="2"/>
      </tp>
      <tp t="s">
        <v>Ferramenta Inválida</v>
        <stp/>
        <stp>BOOK0</stp>
        <stp>VOV</stp>
        <stp>628</stp>
        <tr r="D632" s="2"/>
      </tp>
      <tp t="s">
        <v>Ferramenta Inválida</v>
        <stp/>
        <stp>BOOK0</stp>
        <stp>VOV</stp>
        <stp>629</stp>
        <tr r="D633" s="2"/>
      </tp>
      <tp t="s">
        <v>Ferramenta Inválida</v>
        <stp/>
        <stp>BOOK0</stp>
        <stp>VOV</stp>
        <stp>624</stp>
        <tr r="D628" s="2"/>
      </tp>
      <tp t="s">
        <v>Ferramenta Inválida</v>
        <stp/>
        <stp>BOOK0</stp>
        <stp>VOV</stp>
        <stp>625</stp>
        <tr r="D629" s="2"/>
      </tp>
      <tp t="s">
        <v>Ferramenta Inválida</v>
        <stp/>
        <stp>BOOK0</stp>
        <stp>VOV</stp>
        <stp>626</stp>
        <tr r="D630" s="2"/>
      </tp>
      <tp t="s">
        <v>Ferramenta Inválida</v>
        <stp/>
        <stp>BOOK0</stp>
        <stp>VOV</stp>
        <stp>627</stp>
        <tr r="D631" s="2"/>
      </tp>
      <tp t="s">
        <v>Ferramenta Inválida</v>
        <stp/>
        <stp>BOOK0</stp>
        <stp>VOV</stp>
        <stp>620</stp>
        <tr r="D624" s="2"/>
      </tp>
      <tp t="s">
        <v>Ferramenta Inválida</v>
        <stp/>
        <stp>BOOK0</stp>
        <stp>VOV</stp>
        <stp>621</stp>
        <tr r="D625" s="2"/>
      </tp>
      <tp t="s">
        <v>Ferramenta Inválida</v>
        <stp/>
        <stp>BOOK0</stp>
        <stp>VOV</stp>
        <stp>622</stp>
        <tr r="D626" s="2"/>
      </tp>
      <tp t="s">
        <v>Ferramenta Inválida</v>
        <stp/>
        <stp>BOOK0</stp>
        <stp>VOV</stp>
        <stp>623</stp>
        <tr r="D627" s="2"/>
      </tp>
      <tp t="s">
        <v>Ferramenta Inválida</v>
        <stp/>
        <stp>BOOK0</stp>
        <stp>VOC</stp>
        <stp>629</stp>
        <tr r="A633" s="2"/>
      </tp>
      <tp t="s">
        <v>Ferramenta Inválida</v>
        <stp/>
        <stp>BOOK0</stp>
        <stp>VOC</stp>
        <stp>628</stp>
        <tr r="A632" s="2"/>
      </tp>
      <tp t="s">
        <v>Ferramenta Inválida</v>
        <stp/>
        <stp>BOOK0</stp>
        <stp>VOC</stp>
        <stp>621</stp>
        <tr r="A625" s="2"/>
      </tp>
      <tp t="s">
        <v>Ferramenta Inválida</v>
        <stp/>
        <stp>BOOK0</stp>
        <stp>VOC</stp>
        <stp>620</stp>
        <tr r="A624" s="2"/>
      </tp>
      <tp t="s">
        <v>Ferramenta Inválida</v>
        <stp/>
        <stp>BOOK0</stp>
        <stp>VOC</stp>
        <stp>623</stp>
        <tr r="A627" s="2"/>
      </tp>
      <tp t="s">
        <v>Ferramenta Inválida</v>
        <stp/>
        <stp>BOOK0</stp>
        <stp>VOC</stp>
        <stp>622</stp>
        <tr r="A626" s="2"/>
      </tp>
      <tp t="s">
        <v>Ferramenta Inválida</v>
        <stp/>
        <stp>BOOK0</stp>
        <stp>VOC</stp>
        <stp>625</stp>
        <tr r="A629" s="2"/>
      </tp>
      <tp t="s">
        <v>Ferramenta Inválida</v>
        <stp/>
        <stp>BOOK0</stp>
        <stp>VOC</stp>
        <stp>624</stp>
        <tr r="A628" s="2"/>
      </tp>
      <tp t="s">
        <v>Ferramenta Inválida</v>
        <stp/>
        <stp>BOOK0</stp>
        <stp>VOC</stp>
        <stp>627</stp>
        <tr r="A631" s="2"/>
      </tp>
      <tp t="s">
        <v>Ferramenta Inválida</v>
        <stp/>
        <stp>BOOK0</stp>
        <stp>VOC</stp>
        <stp>626</stp>
        <tr r="A630" s="2"/>
      </tp>
      <tp t="s">
        <v>Ferramenta Inválida</v>
        <stp/>
        <stp>BOOK0</stp>
        <stp>VOV</stp>
        <stp>658</stp>
        <tr r="D662" s="2"/>
      </tp>
      <tp t="s">
        <v>Ferramenta Inválida</v>
        <stp/>
        <stp>BOOK0</stp>
        <stp>VOV</stp>
        <stp>659</stp>
        <tr r="D663" s="2"/>
      </tp>
      <tp t="s">
        <v>Ferramenta Inválida</v>
        <stp/>
        <stp>BOOK0</stp>
        <stp>VOV</stp>
        <stp>654</stp>
        <tr r="D658" s="2"/>
      </tp>
      <tp t="s">
        <v>Ferramenta Inválida</v>
        <stp/>
        <stp>BOOK0</stp>
        <stp>VOV</stp>
        <stp>655</stp>
        <tr r="D659" s="2"/>
      </tp>
      <tp t="s">
        <v>Ferramenta Inválida</v>
        <stp/>
        <stp>BOOK0</stp>
        <stp>VOV</stp>
        <stp>656</stp>
        <tr r="D660" s="2"/>
      </tp>
      <tp t="s">
        <v>Ferramenta Inválida</v>
        <stp/>
        <stp>BOOK0</stp>
        <stp>VOV</stp>
        <stp>657</stp>
        <tr r="D661" s="2"/>
      </tp>
      <tp t="s">
        <v>Ferramenta Inválida</v>
        <stp/>
        <stp>BOOK0</stp>
        <stp>VOV</stp>
        <stp>650</stp>
        <tr r="D654" s="2"/>
      </tp>
      <tp t="s">
        <v>Ferramenta Inválida</v>
        <stp/>
        <stp>BOOK0</stp>
        <stp>VOV</stp>
        <stp>651</stp>
        <tr r="D655" s="2"/>
      </tp>
      <tp t="s">
        <v>Ferramenta Inválida</v>
        <stp/>
        <stp>BOOK0</stp>
        <stp>VOV</stp>
        <stp>652</stp>
        <tr r="D656" s="2"/>
      </tp>
      <tp t="s">
        <v>Ferramenta Inválida</v>
        <stp/>
        <stp>BOOK0</stp>
        <stp>VOV</stp>
        <stp>653</stp>
        <tr r="D657" s="2"/>
      </tp>
      <tp t="s">
        <v>Ferramenta Inválida</v>
        <stp/>
        <stp>BOOK0</stp>
        <stp>VOC</stp>
        <stp>659</stp>
        <tr r="A663" s="2"/>
      </tp>
      <tp t="s">
        <v>Ferramenta Inválida</v>
        <stp/>
        <stp>BOOK0</stp>
        <stp>VOC</stp>
        <stp>658</stp>
        <tr r="A662" s="2"/>
      </tp>
      <tp t="s">
        <v>Ferramenta Inválida</v>
        <stp/>
        <stp>BOOK0</stp>
        <stp>VOC</stp>
        <stp>651</stp>
        <tr r="A655" s="2"/>
      </tp>
      <tp t="s">
        <v>Ferramenta Inválida</v>
        <stp/>
        <stp>BOOK0</stp>
        <stp>VOC</stp>
        <stp>650</stp>
        <tr r="A654" s="2"/>
      </tp>
      <tp t="s">
        <v>Ferramenta Inválida</v>
        <stp/>
        <stp>BOOK0</stp>
        <stp>VOC</stp>
        <stp>653</stp>
        <tr r="A657" s="2"/>
      </tp>
      <tp t="s">
        <v>Ferramenta Inválida</v>
        <stp/>
        <stp>BOOK0</stp>
        <stp>VOC</stp>
        <stp>652</stp>
        <tr r="A656" s="2"/>
      </tp>
      <tp t="s">
        <v>Ferramenta Inválida</v>
        <stp/>
        <stp>BOOK0</stp>
        <stp>VOC</stp>
        <stp>655</stp>
        <tr r="A659" s="2"/>
      </tp>
      <tp t="s">
        <v>Ferramenta Inválida</v>
        <stp/>
        <stp>BOOK0</stp>
        <stp>VOC</stp>
        <stp>654</stp>
        <tr r="A658" s="2"/>
      </tp>
      <tp t="s">
        <v>Ferramenta Inválida</v>
        <stp/>
        <stp>BOOK0</stp>
        <stp>VOC</stp>
        <stp>657</stp>
        <tr r="A661" s="2"/>
      </tp>
      <tp t="s">
        <v>Ferramenta Inválida</v>
        <stp/>
        <stp>BOOK0</stp>
        <stp>VOC</stp>
        <stp>656</stp>
        <tr r="A660" s="2"/>
      </tp>
      <tp t="s">
        <v>Ferramenta Inválida</v>
        <stp/>
        <stp>BOOK0</stp>
        <stp>VOV</stp>
        <stp>648</stp>
        <tr r="D652" s="2"/>
      </tp>
      <tp t="s">
        <v>Ferramenta Inválida</v>
        <stp/>
        <stp>BOOK0</stp>
        <stp>VOV</stp>
        <stp>649</stp>
        <tr r="D653" s="2"/>
      </tp>
      <tp t="s">
        <v>Ferramenta Inválida</v>
        <stp/>
        <stp>BOOK0</stp>
        <stp>VOV</stp>
        <stp>644</stp>
        <tr r="D648" s="2"/>
      </tp>
      <tp t="s">
        <v>Ferramenta Inválida</v>
        <stp/>
        <stp>BOOK0</stp>
        <stp>VOV</stp>
        <stp>645</stp>
        <tr r="D649" s="2"/>
      </tp>
      <tp t="s">
        <v>Ferramenta Inválida</v>
        <stp/>
        <stp>BOOK0</stp>
        <stp>VOV</stp>
        <stp>646</stp>
        <tr r="D650" s="2"/>
      </tp>
      <tp t="s">
        <v>Ferramenta Inválida</v>
        <stp/>
        <stp>BOOK0</stp>
        <stp>VOV</stp>
        <stp>647</stp>
        <tr r="D651" s="2"/>
      </tp>
      <tp t="s">
        <v>Ferramenta Inválida</v>
        <stp/>
        <stp>BOOK0</stp>
        <stp>VOV</stp>
        <stp>640</stp>
        <tr r="D644" s="2"/>
      </tp>
      <tp t="s">
        <v>Ferramenta Inválida</v>
        <stp/>
        <stp>BOOK0</stp>
        <stp>VOV</stp>
        <stp>641</stp>
        <tr r="D645" s="2"/>
      </tp>
      <tp t="s">
        <v>Ferramenta Inválida</v>
        <stp/>
        <stp>BOOK0</stp>
        <stp>VOV</stp>
        <stp>642</stp>
        <tr r="D646" s="2"/>
      </tp>
      <tp t="s">
        <v>Ferramenta Inválida</v>
        <stp/>
        <stp>BOOK0</stp>
        <stp>VOV</stp>
        <stp>643</stp>
        <tr r="D647" s="2"/>
      </tp>
      <tp t="s">
        <v>Ferramenta Inválida</v>
        <stp/>
        <stp>BOOK0</stp>
        <stp>VOC</stp>
        <stp>649</stp>
        <tr r="A653" s="2"/>
      </tp>
      <tp t="s">
        <v>Ferramenta Inválida</v>
        <stp/>
        <stp>BOOK0</stp>
        <stp>VOC</stp>
        <stp>648</stp>
        <tr r="A652" s="2"/>
      </tp>
      <tp t="s">
        <v>Ferramenta Inválida</v>
        <stp/>
        <stp>BOOK0</stp>
        <stp>VOC</stp>
        <stp>641</stp>
        <tr r="A645" s="2"/>
      </tp>
      <tp t="s">
        <v>Ferramenta Inválida</v>
        <stp/>
        <stp>BOOK0</stp>
        <stp>VOC</stp>
        <stp>640</stp>
        <tr r="A644" s="2"/>
      </tp>
      <tp t="s">
        <v>Ferramenta Inválida</v>
        <stp/>
        <stp>BOOK0</stp>
        <stp>VOC</stp>
        <stp>643</stp>
        <tr r="A647" s="2"/>
      </tp>
      <tp t="s">
        <v>Ferramenta Inválida</v>
        <stp/>
        <stp>BOOK0</stp>
        <stp>VOC</stp>
        <stp>642</stp>
        <tr r="A646" s="2"/>
      </tp>
      <tp t="s">
        <v>Ferramenta Inválida</v>
        <stp/>
        <stp>BOOK0</stp>
        <stp>VOC</stp>
        <stp>645</stp>
        <tr r="A649" s="2"/>
      </tp>
      <tp t="s">
        <v>Ferramenta Inválida</v>
        <stp/>
        <stp>BOOK0</stp>
        <stp>VOC</stp>
        <stp>644</stp>
        <tr r="A648" s="2"/>
      </tp>
      <tp t="s">
        <v>Ferramenta Inválida</v>
        <stp/>
        <stp>BOOK0</stp>
        <stp>VOC</stp>
        <stp>647</stp>
        <tr r="A651" s="2"/>
      </tp>
      <tp t="s">
        <v>Ferramenta Inválida</v>
        <stp/>
        <stp>BOOK0</stp>
        <stp>VOC</stp>
        <stp>646</stp>
        <tr r="A650" s="2"/>
      </tp>
      <tp t="s">
        <v>Ferramenta Inválida</v>
        <stp/>
        <stp>BOOK0</stp>
        <stp>VOV</stp>
        <stp>678</stp>
        <tr r="D682" s="2"/>
      </tp>
      <tp t="s">
        <v>Ferramenta Inválida</v>
        <stp/>
        <stp>BOOK0</stp>
        <stp>VOV</stp>
        <stp>679</stp>
        <tr r="D683" s="2"/>
      </tp>
      <tp t="s">
        <v>Ferramenta Inválida</v>
        <stp/>
        <stp>BOOK0</stp>
        <stp>VOV</stp>
        <stp>674</stp>
        <tr r="D678" s="2"/>
      </tp>
      <tp t="s">
        <v>Ferramenta Inválida</v>
        <stp/>
        <stp>BOOK0</stp>
        <stp>VOV</stp>
        <stp>675</stp>
        <tr r="D679" s="2"/>
      </tp>
      <tp t="s">
        <v>Ferramenta Inválida</v>
        <stp/>
        <stp>BOOK0</stp>
        <stp>VOV</stp>
        <stp>676</stp>
        <tr r="D680" s="2"/>
      </tp>
      <tp t="s">
        <v>Ferramenta Inválida</v>
        <stp/>
        <stp>BOOK0</stp>
        <stp>VOV</stp>
        <stp>677</stp>
        <tr r="D681" s="2"/>
      </tp>
      <tp t="s">
        <v>Ferramenta Inválida</v>
        <stp/>
        <stp>BOOK0</stp>
        <stp>VOV</stp>
        <stp>670</stp>
        <tr r="D674" s="2"/>
      </tp>
      <tp t="s">
        <v>Ferramenta Inválida</v>
        <stp/>
        <stp>BOOK0</stp>
        <stp>VOV</stp>
        <stp>671</stp>
        <tr r="D675" s="2"/>
      </tp>
      <tp t="s">
        <v>Ferramenta Inválida</v>
        <stp/>
        <stp>BOOK0</stp>
        <stp>VOV</stp>
        <stp>672</stp>
        <tr r="D676" s="2"/>
      </tp>
      <tp t="s">
        <v>Ferramenta Inválida</v>
        <stp/>
        <stp>BOOK0</stp>
        <stp>VOV</stp>
        <stp>673</stp>
        <tr r="D677" s="2"/>
      </tp>
      <tp t="s">
        <v>Ferramenta Inválida</v>
        <stp/>
        <stp>BOOK0</stp>
        <stp>VOC</stp>
        <stp>679</stp>
        <tr r="A683" s="2"/>
      </tp>
      <tp t="s">
        <v>Ferramenta Inválida</v>
        <stp/>
        <stp>BOOK0</stp>
        <stp>VOC</stp>
        <stp>678</stp>
        <tr r="A682" s="2"/>
      </tp>
      <tp t="s">
        <v>Ferramenta Inválida</v>
        <stp/>
        <stp>BOOK0</stp>
        <stp>VOC</stp>
        <stp>671</stp>
        <tr r="A675" s="2"/>
      </tp>
      <tp t="s">
        <v>Ferramenta Inválida</v>
        <stp/>
        <stp>BOOK0</stp>
        <stp>VOC</stp>
        <stp>670</stp>
        <tr r="A674" s="2"/>
      </tp>
      <tp t="s">
        <v>Ferramenta Inválida</v>
        <stp/>
        <stp>BOOK0</stp>
        <stp>VOC</stp>
        <stp>673</stp>
        <tr r="A677" s="2"/>
      </tp>
      <tp t="s">
        <v>Ferramenta Inválida</v>
        <stp/>
        <stp>BOOK0</stp>
        <stp>VOC</stp>
        <stp>672</stp>
        <tr r="A676" s="2"/>
      </tp>
      <tp t="s">
        <v>Ferramenta Inválida</v>
        <stp/>
        <stp>BOOK0</stp>
        <stp>VOC</stp>
        <stp>675</stp>
        <tr r="A679" s="2"/>
      </tp>
      <tp t="s">
        <v>Ferramenta Inválida</v>
        <stp/>
        <stp>BOOK0</stp>
        <stp>VOC</stp>
        <stp>674</stp>
        <tr r="A678" s="2"/>
      </tp>
      <tp t="s">
        <v>Ferramenta Inválida</v>
        <stp/>
        <stp>BOOK0</stp>
        <stp>VOC</stp>
        <stp>677</stp>
        <tr r="A681" s="2"/>
      </tp>
      <tp t="s">
        <v>Ferramenta Inválida</v>
        <stp/>
        <stp>BOOK0</stp>
        <stp>VOC</stp>
        <stp>676</stp>
        <tr r="A680" s="2"/>
      </tp>
      <tp t="s">
        <v>Ferramenta Inválida</v>
        <stp/>
        <stp>BOOK0</stp>
        <stp>VOV</stp>
        <stp>668</stp>
        <tr r="D672" s="2"/>
      </tp>
      <tp t="s">
        <v>Ferramenta Inválida</v>
        <stp/>
        <stp>BOOK0</stp>
        <stp>VOV</stp>
        <stp>669</stp>
        <tr r="D673" s="2"/>
      </tp>
      <tp t="s">
        <v>Ferramenta Inválida</v>
        <stp/>
        <stp>BOOK0</stp>
        <stp>VOV</stp>
        <stp>664</stp>
        <tr r="D668" s="2"/>
      </tp>
      <tp t="s">
        <v>Ferramenta Inválida</v>
        <stp/>
        <stp>BOOK0</stp>
        <stp>VOV</stp>
        <stp>665</stp>
        <tr r="D669" s="2"/>
      </tp>
      <tp t="s">
        <v>Ferramenta Inválida</v>
        <stp/>
        <stp>BOOK0</stp>
        <stp>VOV</stp>
        <stp>666</stp>
        <tr r="D670" s="2"/>
      </tp>
      <tp t="s">
        <v>Ferramenta Inválida</v>
        <stp/>
        <stp>BOOK0</stp>
        <stp>VOV</stp>
        <stp>667</stp>
        <tr r="D671" s="2"/>
      </tp>
      <tp t="s">
        <v>Ferramenta Inválida</v>
        <stp/>
        <stp>BOOK0</stp>
        <stp>VOV</stp>
        <stp>660</stp>
        <tr r="D664" s="2"/>
      </tp>
      <tp t="s">
        <v>Ferramenta Inválida</v>
        <stp/>
        <stp>BOOK0</stp>
        <stp>VOV</stp>
        <stp>661</stp>
        <tr r="D665" s="2"/>
      </tp>
      <tp t="s">
        <v>Ferramenta Inválida</v>
        <stp/>
        <stp>BOOK0</stp>
        <stp>VOV</stp>
        <stp>662</stp>
        <tr r="D666" s="2"/>
      </tp>
      <tp t="s">
        <v>Ferramenta Inválida</v>
        <stp/>
        <stp>BOOK0</stp>
        <stp>VOV</stp>
        <stp>663</stp>
        <tr r="D667" s="2"/>
      </tp>
      <tp t="s">
        <v>Ferramenta Inválida</v>
        <stp/>
        <stp>BOOK0</stp>
        <stp>VOC</stp>
        <stp>669</stp>
        <tr r="A673" s="2"/>
      </tp>
      <tp t="s">
        <v>Ferramenta Inválida</v>
        <stp/>
        <stp>BOOK0</stp>
        <stp>VOC</stp>
        <stp>668</stp>
        <tr r="A672" s="2"/>
      </tp>
      <tp t="s">
        <v>Ferramenta Inválida</v>
        <stp/>
        <stp>BOOK0</stp>
        <stp>VOC</stp>
        <stp>661</stp>
        <tr r="A665" s="2"/>
      </tp>
      <tp t="s">
        <v>Ferramenta Inválida</v>
        <stp/>
        <stp>BOOK0</stp>
        <stp>VOC</stp>
        <stp>660</stp>
        <tr r="A664" s="2"/>
      </tp>
      <tp t="s">
        <v>Ferramenta Inválida</v>
        <stp/>
        <stp>BOOK0</stp>
        <stp>VOC</stp>
        <stp>663</stp>
        <tr r="A667" s="2"/>
      </tp>
      <tp t="s">
        <v>Ferramenta Inválida</v>
        <stp/>
        <stp>BOOK0</stp>
        <stp>VOC</stp>
        <stp>662</stp>
        <tr r="A666" s="2"/>
      </tp>
      <tp t="s">
        <v>Ferramenta Inválida</v>
        <stp/>
        <stp>BOOK0</stp>
        <stp>VOC</stp>
        <stp>665</stp>
        <tr r="A669" s="2"/>
      </tp>
      <tp t="s">
        <v>Ferramenta Inválida</v>
        <stp/>
        <stp>BOOK0</stp>
        <stp>VOC</stp>
        <stp>664</stp>
        <tr r="A668" s="2"/>
      </tp>
      <tp t="s">
        <v>Ferramenta Inválida</v>
        <stp/>
        <stp>BOOK0</stp>
        <stp>VOC</stp>
        <stp>667</stp>
        <tr r="A671" s="2"/>
      </tp>
      <tp t="s">
        <v>Ferramenta Inválida</v>
        <stp/>
        <stp>BOOK0</stp>
        <stp>VOC</stp>
        <stp>666</stp>
        <tr r="A670" s="2"/>
      </tp>
      <tp t="s">
        <v>Ferramenta Inválida</v>
        <stp/>
        <stp>BOOK0</stp>
        <stp>VOV</stp>
        <stp>698</stp>
        <tr r="D702" s="2"/>
      </tp>
      <tp t="s">
        <v>Ferramenta Inválida</v>
        <stp/>
        <stp>BOOK0</stp>
        <stp>VOV</stp>
        <stp>699</stp>
        <tr r="D703" s="2"/>
      </tp>
      <tp t="s">
        <v>Ferramenta Inválida</v>
        <stp/>
        <stp>BOOK0</stp>
        <stp>VOV</stp>
        <stp>694</stp>
        <tr r="D698" s="2"/>
      </tp>
      <tp t="s">
        <v>Ferramenta Inválida</v>
        <stp/>
        <stp>BOOK0</stp>
        <stp>VOV</stp>
        <stp>695</stp>
        <tr r="D699" s="2"/>
      </tp>
      <tp t="s">
        <v>Ferramenta Inválida</v>
        <stp/>
        <stp>BOOK0</stp>
        <stp>VOV</stp>
        <stp>696</stp>
        <tr r="D700" s="2"/>
      </tp>
      <tp t="s">
        <v>Ferramenta Inválida</v>
        <stp/>
        <stp>BOOK0</stp>
        <stp>VOV</stp>
        <stp>697</stp>
        <tr r="D701" s="2"/>
      </tp>
      <tp t="s">
        <v>Ferramenta Inválida</v>
        <stp/>
        <stp>BOOK0</stp>
        <stp>VOV</stp>
        <stp>690</stp>
        <tr r="D694" s="2"/>
      </tp>
      <tp t="s">
        <v>Ferramenta Inválida</v>
        <stp/>
        <stp>BOOK0</stp>
        <stp>VOV</stp>
        <stp>691</stp>
        <tr r="D695" s="2"/>
      </tp>
      <tp t="s">
        <v>Ferramenta Inválida</v>
        <stp/>
        <stp>BOOK0</stp>
        <stp>VOV</stp>
        <stp>692</stp>
        <tr r="D696" s="2"/>
      </tp>
      <tp t="s">
        <v>Ferramenta Inválida</v>
        <stp/>
        <stp>BOOK0</stp>
        <stp>VOV</stp>
        <stp>693</stp>
        <tr r="D697" s="2"/>
      </tp>
      <tp t="s">
        <v>Ferramenta Inválida</v>
        <stp/>
        <stp>BOOK0</stp>
        <stp>VOC</stp>
        <stp>699</stp>
        <tr r="A703" s="2"/>
      </tp>
      <tp t="s">
        <v>Ferramenta Inválida</v>
        <stp/>
        <stp>BOOK0</stp>
        <stp>VOC</stp>
        <stp>698</stp>
        <tr r="A702" s="2"/>
      </tp>
      <tp t="s">
        <v>Ferramenta Inválida</v>
        <stp/>
        <stp>BOOK0</stp>
        <stp>VOC</stp>
        <stp>691</stp>
        <tr r="A695" s="2"/>
      </tp>
      <tp t="s">
        <v>Ferramenta Inválida</v>
        <stp/>
        <stp>BOOK0</stp>
        <stp>VOC</stp>
        <stp>690</stp>
        <tr r="A694" s="2"/>
      </tp>
      <tp t="s">
        <v>Ferramenta Inválida</v>
        <stp/>
        <stp>BOOK0</stp>
        <stp>VOC</stp>
        <stp>693</stp>
        <tr r="A697" s="2"/>
      </tp>
      <tp t="s">
        <v>Ferramenta Inválida</v>
        <stp/>
        <stp>BOOK0</stp>
        <stp>VOC</stp>
        <stp>692</stp>
        <tr r="A696" s="2"/>
      </tp>
      <tp t="s">
        <v>Ferramenta Inválida</v>
        <stp/>
        <stp>BOOK0</stp>
        <stp>VOC</stp>
        <stp>695</stp>
        <tr r="A699" s="2"/>
      </tp>
      <tp t="s">
        <v>Ferramenta Inválida</v>
        <stp/>
        <stp>BOOK0</stp>
        <stp>VOC</stp>
        <stp>694</stp>
        <tr r="A698" s="2"/>
      </tp>
      <tp t="s">
        <v>Ferramenta Inválida</v>
        <stp/>
        <stp>BOOK0</stp>
        <stp>VOC</stp>
        <stp>697</stp>
        <tr r="A701" s="2"/>
      </tp>
      <tp t="s">
        <v>Ferramenta Inválida</v>
        <stp/>
        <stp>BOOK0</stp>
        <stp>VOC</stp>
        <stp>696</stp>
        <tr r="A700" s="2"/>
      </tp>
      <tp t="s">
        <v>Ferramenta Inválida</v>
        <stp/>
        <stp>BOOK0</stp>
        <stp>VOV</stp>
        <stp>688</stp>
        <tr r="D692" s="2"/>
      </tp>
      <tp t="s">
        <v>Ferramenta Inválida</v>
        <stp/>
        <stp>BOOK0</stp>
        <stp>VOV</stp>
        <stp>689</stp>
        <tr r="D693" s="2"/>
      </tp>
      <tp t="s">
        <v>Ferramenta Inválida</v>
        <stp/>
        <stp>BOOK0</stp>
        <stp>VOV</stp>
        <stp>684</stp>
        <tr r="D688" s="2"/>
      </tp>
      <tp t="s">
        <v>Ferramenta Inválida</v>
        <stp/>
        <stp>BOOK0</stp>
        <stp>VOV</stp>
        <stp>685</stp>
        <tr r="D689" s="2"/>
      </tp>
      <tp t="s">
        <v>Ferramenta Inválida</v>
        <stp/>
        <stp>BOOK0</stp>
        <stp>VOV</stp>
        <stp>686</stp>
        <tr r="D690" s="2"/>
      </tp>
      <tp t="s">
        <v>Ferramenta Inválida</v>
        <stp/>
        <stp>BOOK0</stp>
        <stp>VOV</stp>
        <stp>687</stp>
        <tr r="D691" s="2"/>
      </tp>
      <tp t="s">
        <v>Ferramenta Inválida</v>
        <stp/>
        <stp>BOOK0</stp>
        <stp>VOV</stp>
        <stp>680</stp>
        <tr r="D684" s="2"/>
      </tp>
      <tp t="s">
        <v>Ferramenta Inválida</v>
        <stp/>
        <stp>BOOK0</stp>
        <stp>VOV</stp>
        <stp>681</stp>
        <tr r="D685" s="2"/>
      </tp>
      <tp t="s">
        <v>Ferramenta Inválida</v>
        <stp/>
        <stp>BOOK0</stp>
        <stp>VOV</stp>
        <stp>682</stp>
        <tr r="D686" s="2"/>
      </tp>
      <tp t="s">
        <v>Ferramenta Inválida</v>
        <stp/>
        <stp>BOOK0</stp>
        <stp>VOV</stp>
        <stp>683</stp>
        <tr r="D687" s="2"/>
      </tp>
      <tp t="s">
        <v>Ferramenta Inválida</v>
        <stp/>
        <stp>BOOK0</stp>
        <stp>VOC</stp>
        <stp>689</stp>
        <tr r="A693" s="2"/>
      </tp>
      <tp t="s">
        <v>Ferramenta Inválida</v>
        <stp/>
        <stp>BOOK0</stp>
        <stp>VOC</stp>
        <stp>688</stp>
        <tr r="A692" s="2"/>
      </tp>
      <tp t="s">
        <v>Ferramenta Inválida</v>
        <stp/>
        <stp>BOOK0</stp>
        <stp>VOC</stp>
        <stp>681</stp>
        <tr r="A685" s="2"/>
      </tp>
      <tp t="s">
        <v>Ferramenta Inválida</v>
        <stp/>
        <stp>BOOK0</stp>
        <stp>VOC</stp>
        <stp>680</stp>
        <tr r="A684" s="2"/>
      </tp>
      <tp t="s">
        <v>Ferramenta Inválida</v>
        <stp/>
        <stp>BOOK0</stp>
        <stp>VOC</stp>
        <stp>683</stp>
        <tr r="A687" s="2"/>
      </tp>
      <tp t="s">
        <v>Ferramenta Inválida</v>
        <stp/>
        <stp>BOOK0</stp>
        <stp>VOC</stp>
        <stp>682</stp>
        <tr r="A686" s="2"/>
      </tp>
      <tp t="s">
        <v>Ferramenta Inválida</v>
        <stp/>
        <stp>BOOK0</stp>
        <stp>VOC</stp>
        <stp>685</stp>
        <tr r="A689" s="2"/>
      </tp>
      <tp t="s">
        <v>Ferramenta Inválida</v>
        <stp/>
        <stp>BOOK0</stp>
        <stp>VOC</stp>
        <stp>684</stp>
        <tr r="A688" s="2"/>
      </tp>
      <tp t="s">
        <v>Ferramenta Inválida</v>
        <stp/>
        <stp>BOOK0</stp>
        <stp>VOC</stp>
        <stp>687</stp>
        <tr r="A691" s="2"/>
      </tp>
      <tp t="s">
        <v>Ferramenta Inválida</v>
        <stp/>
        <stp>BOOK0</stp>
        <stp>VOC</stp>
        <stp>686</stp>
        <tr r="A690" s="2"/>
      </tp>
      <tp t="s">
        <v>Ferramenta Inválida</v>
        <stp/>
        <stp>BOOK0</stp>
        <stp>VOV</stp>
        <stp>918</stp>
        <tr r="D922" s="2"/>
      </tp>
      <tp t="s">
        <v>Ferramenta Inválida</v>
        <stp/>
        <stp>BOOK0</stp>
        <stp>VOV</stp>
        <stp>919</stp>
        <tr r="D923" s="2"/>
      </tp>
      <tp t="s">
        <v>Ferramenta Inválida</v>
        <stp/>
        <stp>BOOK0</stp>
        <stp>VOV</stp>
        <stp>914</stp>
        <tr r="D918" s="2"/>
      </tp>
      <tp t="s">
        <v>Ferramenta Inválida</v>
        <stp/>
        <stp>BOOK0</stp>
        <stp>VOV</stp>
        <stp>915</stp>
        <tr r="D919" s="2"/>
      </tp>
      <tp t="s">
        <v>Ferramenta Inválida</v>
        <stp/>
        <stp>BOOK0</stp>
        <stp>VOV</stp>
        <stp>916</stp>
        <tr r="D920" s="2"/>
      </tp>
      <tp t="s">
        <v>Ferramenta Inválida</v>
        <stp/>
        <stp>BOOK0</stp>
        <stp>VOV</stp>
        <stp>917</stp>
        <tr r="D921" s="2"/>
      </tp>
      <tp t="s">
        <v>Ferramenta Inválida</v>
        <stp/>
        <stp>BOOK0</stp>
        <stp>VOV</stp>
        <stp>910</stp>
        <tr r="D914" s="2"/>
      </tp>
      <tp t="s">
        <v>Ferramenta Inválida</v>
        <stp/>
        <stp>BOOK0</stp>
        <stp>VOV</stp>
        <stp>911</stp>
        <tr r="D915" s="2"/>
      </tp>
      <tp t="s">
        <v>Ferramenta Inválida</v>
        <stp/>
        <stp>BOOK0</stp>
        <stp>VOV</stp>
        <stp>912</stp>
        <tr r="D916" s="2"/>
      </tp>
      <tp t="s">
        <v>Ferramenta Inválida</v>
        <stp/>
        <stp>BOOK0</stp>
        <stp>VOV</stp>
        <stp>913</stp>
        <tr r="D917" s="2"/>
      </tp>
      <tp t="s">
        <v>Ferramenta Inválida</v>
        <stp/>
        <stp>BOOK0</stp>
        <stp>VOC</stp>
        <stp>919</stp>
        <tr r="A923" s="2"/>
      </tp>
      <tp t="s">
        <v>Ferramenta Inválida</v>
        <stp/>
        <stp>BOOK0</stp>
        <stp>VOC</stp>
        <stp>918</stp>
        <tr r="A922" s="2"/>
      </tp>
      <tp t="s">
        <v>Ferramenta Inválida</v>
        <stp/>
        <stp>BOOK0</stp>
        <stp>VOC</stp>
        <stp>911</stp>
        <tr r="A915" s="2"/>
      </tp>
      <tp t="s">
        <v>Ferramenta Inválida</v>
        <stp/>
        <stp>BOOK0</stp>
        <stp>VOC</stp>
        <stp>910</stp>
        <tr r="A914" s="2"/>
      </tp>
      <tp t="s">
        <v>Ferramenta Inválida</v>
        <stp/>
        <stp>BOOK0</stp>
        <stp>VOC</stp>
        <stp>913</stp>
        <tr r="A917" s="2"/>
      </tp>
      <tp t="s">
        <v>Ferramenta Inválida</v>
        <stp/>
        <stp>BOOK0</stp>
        <stp>VOC</stp>
        <stp>912</stp>
        <tr r="A916" s="2"/>
      </tp>
      <tp t="s">
        <v>Ferramenta Inválida</v>
        <stp/>
        <stp>BOOK0</stp>
        <stp>VOC</stp>
        <stp>915</stp>
        <tr r="A919" s="2"/>
      </tp>
      <tp t="s">
        <v>Ferramenta Inválida</v>
        <stp/>
        <stp>BOOK0</stp>
        <stp>VOC</stp>
        <stp>914</stp>
        <tr r="A918" s="2"/>
      </tp>
      <tp t="s">
        <v>Ferramenta Inválida</v>
        <stp/>
        <stp>BOOK0</stp>
        <stp>VOC</stp>
        <stp>917</stp>
        <tr r="A921" s="2"/>
      </tp>
      <tp t="s">
        <v>Ferramenta Inválida</v>
        <stp/>
        <stp>BOOK0</stp>
        <stp>VOC</stp>
        <stp>916</stp>
        <tr r="A920" s="2"/>
      </tp>
      <tp t="s">
        <v>Ferramenta Inválida</v>
        <stp/>
        <stp>BOOK0</stp>
        <stp>VOV</stp>
        <stp>908</stp>
        <tr r="D912" s="2"/>
      </tp>
      <tp t="s">
        <v>Ferramenta Inválida</v>
        <stp/>
        <stp>BOOK0</stp>
        <stp>VOV</stp>
        <stp>909</stp>
        <tr r="D913" s="2"/>
      </tp>
      <tp t="s">
        <v>Ferramenta Inválida</v>
        <stp/>
        <stp>BOOK0</stp>
        <stp>VOV</stp>
        <stp>904</stp>
        <tr r="D908" s="2"/>
      </tp>
      <tp t="s">
        <v>Ferramenta Inválida</v>
        <stp/>
        <stp>BOOK0</stp>
        <stp>VOV</stp>
        <stp>905</stp>
        <tr r="D909" s="2"/>
      </tp>
      <tp t="s">
        <v>Ferramenta Inválida</v>
        <stp/>
        <stp>BOOK0</stp>
        <stp>VOV</stp>
        <stp>906</stp>
        <tr r="D910" s="2"/>
      </tp>
      <tp t="s">
        <v>Ferramenta Inválida</v>
        <stp/>
        <stp>BOOK0</stp>
        <stp>VOV</stp>
        <stp>907</stp>
        <tr r="D911" s="2"/>
      </tp>
      <tp t="s">
        <v>Ferramenta Inválida</v>
        <stp/>
        <stp>BOOK0</stp>
        <stp>VOV</stp>
        <stp>900</stp>
        <tr r="D904" s="2"/>
      </tp>
      <tp t="s">
        <v>Ferramenta Inválida</v>
        <stp/>
        <stp>BOOK0</stp>
        <stp>VOV</stp>
        <stp>901</stp>
        <tr r="D905" s="2"/>
      </tp>
      <tp t="s">
        <v>Ferramenta Inválida</v>
        <stp/>
        <stp>BOOK0</stp>
        <stp>VOV</stp>
        <stp>902</stp>
        <tr r="D906" s="2"/>
      </tp>
      <tp t="s">
        <v>Ferramenta Inválida</v>
        <stp/>
        <stp>BOOK0</stp>
        <stp>VOV</stp>
        <stp>903</stp>
        <tr r="D907" s="2"/>
      </tp>
      <tp t="s">
        <v>Ferramenta Inválida</v>
        <stp/>
        <stp>BOOK0</stp>
        <stp>VOC</stp>
        <stp>909</stp>
        <tr r="A913" s="2"/>
      </tp>
      <tp t="s">
        <v>Ferramenta Inválida</v>
        <stp/>
        <stp>BOOK0</stp>
        <stp>VOC</stp>
        <stp>908</stp>
        <tr r="A912" s="2"/>
      </tp>
      <tp t="s">
        <v>Ferramenta Inválida</v>
        <stp/>
        <stp>BOOK0</stp>
        <stp>VOC</stp>
        <stp>901</stp>
        <tr r="A905" s="2"/>
      </tp>
      <tp t="s">
        <v>Ferramenta Inválida</v>
        <stp/>
        <stp>BOOK0</stp>
        <stp>VOC</stp>
        <stp>900</stp>
        <tr r="A904" s="2"/>
      </tp>
      <tp t="s">
        <v>Ferramenta Inválida</v>
        <stp/>
        <stp>BOOK0</stp>
        <stp>VOC</stp>
        <stp>903</stp>
        <tr r="A907" s="2"/>
      </tp>
      <tp t="s">
        <v>Ferramenta Inválida</v>
        <stp/>
        <stp>BOOK0</stp>
        <stp>VOC</stp>
        <stp>902</stp>
        <tr r="A906" s="2"/>
      </tp>
      <tp t="s">
        <v>Ferramenta Inválida</v>
        <stp/>
        <stp>BOOK0</stp>
        <stp>VOC</stp>
        <stp>905</stp>
        <tr r="A909" s="2"/>
      </tp>
      <tp t="s">
        <v>Ferramenta Inválida</v>
        <stp/>
        <stp>BOOK0</stp>
        <stp>VOC</stp>
        <stp>904</stp>
        <tr r="A908" s="2"/>
      </tp>
      <tp t="s">
        <v>Ferramenta Inválida</v>
        <stp/>
        <stp>BOOK0</stp>
        <stp>VOC</stp>
        <stp>907</stp>
        <tr r="A911" s="2"/>
      </tp>
      <tp t="s">
        <v>Ferramenta Inválida</v>
        <stp/>
        <stp>BOOK0</stp>
        <stp>VOC</stp>
        <stp>906</stp>
        <tr r="A910" s="2"/>
      </tp>
      <tp t="s">
        <v>Ferramenta Inválida</v>
        <stp/>
        <stp>BOOK0</stp>
        <stp>VOV</stp>
        <stp>938</stp>
        <tr r="D942" s="2"/>
      </tp>
      <tp t="s">
        <v>Ferramenta Inválida</v>
        <stp/>
        <stp>BOOK0</stp>
        <stp>VOV</stp>
        <stp>939</stp>
        <tr r="D943" s="2"/>
      </tp>
      <tp t="s">
        <v>Ferramenta Inválida</v>
        <stp/>
        <stp>BOOK0</stp>
        <stp>VOV</stp>
        <stp>934</stp>
        <tr r="D938" s="2"/>
      </tp>
      <tp t="s">
        <v>Ferramenta Inválida</v>
        <stp/>
        <stp>BOOK0</stp>
        <stp>VOV</stp>
        <stp>935</stp>
        <tr r="D939" s="2"/>
      </tp>
      <tp t="s">
        <v>Ferramenta Inválida</v>
        <stp/>
        <stp>BOOK0</stp>
        <stp>VOV</stp>
        <stp>936</stp>
        <tr r="D940" s="2"/>
      </tp>
      <tp t="s">
        <v>Ferramenta Inválida</v>
        <stp/>
        <stp>BOOK0</stp>
        <stp>VOV</stp>
        <stp>937</stp>
        <tr r="D941" s="2"/>
      </tp>
      <tp t="s">
        <v>Ferramenta Inválida</v>
        <stp/>
        <stp>BOOK0</stp>
        <stp>VOV</stp>
        <stp>930</stp>
        <tr r="D934" s="2"/>
      </tp>
      <tp t="s">
        <v>Ferramenta Inválida</v>
        <stp/>
        <stp>BOOK0</stp>
        <stp>VOV</stp>
        <stp>931</stp>
        <tr r="D935" s="2"/>
      </tp>
      <tp t="s">
        <v>Ferramenta Inválida</v>
        <stp/>
        <stp>BOOK0</stp>
        <stp>VOV</stp>
        <stp>932</stp>
        <tr r="D936" s="2"/>
      </tp>
      <tp t="s">
        <v>Ferramenta Inválida</v>
        <stp/>
        <stp>BOOK0</stp>
        <stp>VOV</stp>
        <stp>933</stp>
        <tr r="D937" s="2"/>
      </tp>
      <tp t="s">
        <v>Ferramenta Inválida</v>
        <stp/>
        <stp>BOOK0</stp>
        <stp>VOC</stp>
        <stp>939</stp>
        <tr r="A943" s="2"/>
      </tp>
      <tp t="s">
        <v>Ferramenta Inválida</v>
        <stp/>
        <stp>BOOK0</stp>
        <stp>VOC</stp>
        <stp>938</stp>
        <tr r="A942" s="2"/>
      </tp>
      <tp t="s">
        <v>Ferramenta Inválida</v>
        <stp/>
        <stp>BOOK0</stp>
        <stp>VOC</stp>
        <stp>931</stp>
        <tr r="A935" s="2"/>
      </tp>
      <tp t="s">
        <v>Ferramenta Inválida</v>
        <stp/>
        <stp>BOOK0</stp>
        <stp>VOC</stp>
        <stp>930</stp>
        <tr r="A934" s="2"/>
      </tp>
      <tp t="s">
        <v>Ferramenta Inválida</v>
        <stp/>
        <stp>BOOK0</stp>
        <stp>VOC</stp>
        <stp>933</stp>
        <tr r="A937" s="2"/>
      </tp>
      <tp t="s">
        <v>Ferramenta Inválida</v>
        <stp/>
        <stp>BOOK0</stp>
        <stp>VOC</stp>
        <stp>932</stp>
        <tr r="A936" s="2"/>
      </tp>
      <tp t="s">
        <v>Ferramenta Inválida</v>
        <stp/>
        <stp>BOOK0</stp>
        <stp>VOC</stp>
        <stp>935</stp>
        <tr r="A939" s="2"/>
      </tp>
      <tp t="s">
        <v>Ferramenta Inválida</v>
        <stp/>
        <stp>BOOK0</stp>
        <stp>VOC</stp>
        <stp>934</stp>
        <tr r="A938" s="2"/>
      </tp>
      <tp t="s">
        <v>Ferramenta Inválida</v>
        <stp/>
        <stp>BOOK0</stp>
        <stp>VOC</stp>
        <stp>937</stp>
        <tr r="A941" s="2"/>
      </tp>
      <tp t="s">
        <v>Ferramenta Inválida</v>
        <stp/>
        <stp>BOOK0</stp>
        <stp>VOC</stp>
        <stp>936</stp>
        <tr r="A940" s="2"/>
      </tp>
      <tp t="s">
        <v>Ferramenta Inválida</v>
        <stp/>
        <stp>BOOK0</stp>
        <stp>VOV</stp>
        <stp>928</stp>
        <tr r="D932" s="2"/>
      </tp>
      <tp t="s">
        <v>Ferramenta Inválida</v>
        <stp/>
        <stp>BOOK0</stp>
        <stp>VOV</stp>
        <stp>929</stp>
        <tr r="D933" s="2"/>
      </tp>
      <tp t="s">
        <v>Ferramenta Inválida</v>
        <stp/>
        <stp>BOOK0</stp>
        <stp>VOV</stp>
        <stp>924</stp>
        <tr r="D928" s="2"/>
      </tp>
      <tp t="s">
        <v>Ferramenta Inválida</v>
        <stp/>
        <stp>BOOK0</stp>
        <stp>VOV</stp>
        <stp>925</stp>
        <tr r="D929" s="2"/>
      </tp>
      <tp t="s">
        <v>Ferramenta Inválida</v>
        <stp/>
        <stp>BOOK0</stp>
        <stp>VOV</stp>
        <stp>926</stp>
        <tr r="D930" s="2"/>
      </tp>
      <tp t="s">
        <v>Ferramenta Inválida</v>
        <stp/>
        <stp>BOOK0</stp>
        <stp>VOV</stp>
        <stp>927</stp>
        <tr r="D931" s="2"/>
      </tp>
      <tp t="s">
        <v>Ferramenta Inválida</v>
        <stp/>
        <stp>BOOK0</stp>
        <stp>VOV</stp>
        <stp>920</stp>
        <tr r="D924" s="2"/>
      </tp>
      <tp t="s">
        <v>Ferramenta Inválida</v>
        <stp/>
        <stp>BOOK0</stp>
        <stp>VOV</stp>
        <stp>921</stp>
        <tr r="D925" s="2"/>
      </tp>
      <tp t="s">
        <v>Ferramenta Inválida</v>
        <stp/>
        <stp>BOOK0</stp>
        <stp>VOV</stp>
        <stp>922</stp>
        <tr r="D926" s="2"/>
      </tp>
      <tp t="s">
        <v>Ferramenta Inválida</v>
        <stp/>
        <stp>BOOK0</stp>
        <stp>VOV</stp>
        <stp>923</stp>
        <tr r="D927" s="2"/>
      </tp>
      <tp t="s">
        <v>Ferramenta Inválida</v>
        <stp/>
        <stp>BOOK0</stp>
        <stp>VOC</stp>
        <stp>929</stp>
        <tr r="A933" s="2"/>
      </tp>
      <tp t="s">
        <v>Ferramenta Inválida</v>
        <stp/>
        <stp>BOOK0</stp>
        <stp>VOC</stp>
        <stp>928</stp>
        <tr r="A932" s="2"/>
      </tp>
      <tp t="s">
        <v>Ferramenta Inválida</v>
        <stp/>
        <stp>BOOK0</stp>
        <stp>VOC</stp>
        <stp>921</stp>
        <tr r="A925" s="2"/>
      </tp>
      <tp t="s">
        <v>Ferramenta Inválida</v>
        <stp/>
        <stp>BOOK0</stp>
        <stp>VOC</stp>
        <stp>920</stp>
        <tr r="A924" s="2"/>
      </tp>
      <tp t="s">
        <v>Ferramenta Inválida</v>
        <stp/>
        <stp>BOOK0</stp>
        <stp>VOC</stp>
        <stp>923</stp>
        <tr r="A927" s="2"/>
      </tp>
      <tp t="s">
        <v>Ferramenta Inválida</v>
        <stp/>
        <stp>BOOK0</stp>
        <stp>VOC</stp>
        <stp>922</stp>
        <tr r="A926" s="2"/>
      </tp>
      <tp t="s">
        <v>Ferramenta Inválida</v>
        <stp/>
        <stp>BOOK0</stp>
        <stp>VOC</stp>
        <stp>925</stp>
        <tr r="A929" s="2"/>
      </tp>
      <tp t="s">
        <v>Ferramenta Inválida</v>
        <stp/>
        <stp>BOOK0</stp>
        <stp>VOC</stp>
        <stp>924</stp>
        <tr r="A928" s="2"/>
      </tp>
      <tp t="s">
        <v>Ferramenta Inválida</v>
        <stp/>
        <stp>BOOK0</stp>
        <stp>VOC</stp>
        <stp>927</stp>
        <tr r="A931" s="2"/>
      </tp>
      <tp t="s">
        <v>Ferramenta Inválida</v>
        <stp/>
        <stp>BOOK0</stp>
        <stp>VOC</stp>
        <stp>926</stp>
        <tr r="A930" s="2"/>
      </tp>
      <tp t="s">
        <v>Ferramenta Inválida</v>
        <stp/>
        <stp>BOOK0</stp>
        <stp>VOV</stp>
        <stp>958</stp>
        <tr r="D962" s="2"/>
      </tp>
      <tp t="s">
        <v>Ferramenta Inválida</v>
        <stp/>
        <stp>BOOK0</stp>
        <stp>VOV</stp>
        <stp>959</stp>
        <tr r="D963" s="2"/>
      </tp>
      <tp t="s">
        <v>Ferramenta Inválida</v>
        <stp/>
        <stp>BOOK0</stp>
        <stp>VOV</stp>
        <stp>954</stp>
        <tr r="D958" s="2"/>
      </tp>
      <tp t="s">
        <v>Ferramenta Inválida</v>
        <stp/>
        <stp>BOOK0</stp>
        <stp>VOV</stp>
        <stp>955</stp>
        <tr r="D959" s="2"/>
      </tp>
      <tp t="s">
        <v>Ferramenta Inválida</v>
        <stp/>
        <stp>BOOK0</stp>
        <stp>VOV</stp>
        <stp>956</stp>
        <tr r="D960" s="2"/>
      </tp>
      <tp t="s">
        <v>Ferramenta Inválida</v>
        <stp/>
        <stp>BOOK0</stp>
        <stp>VOV</stp>
        <stp>957</stp>
        <tr r="D961" s="2"/>
      </tp>
      <tp t="s">
        <v>Ferramenta Inválida</v>
        <stp/>
        <stp>BOOK0</stp>
        <stp>VOV</stp>
        <stp>950</stp>
        <tr r="D954" s="2"/>
      </tp>
      <tp t="s">
        <v>Ferramenta Inválida</v>
        <stp/>
        <stp>BOOK0</stp>
        <stp>VOV</stp>
        <stp>951</stp>
        <tr r="D955" s="2"/>
      </tp>
      <tp t="s">
        <v>Ferramenta Inválida</v>
        <stp/>
        <stp>BOOK0</stp>
        <stp>VOV</stp>
        <stp>952</stp>
        <tr r="D956" s="2"/>
      </tp>
      <tp t="s">
        <v>Ferramenta Inválida</v>
        <stp/>
        <stp>BOOK0</stp>
        <stp>VOV</stp>
        <stp>953</stp>
        <tr r="D957" s="2"/>
      </tp>
      <tp t="s">
        <v>Ferramenta Inválida</v>
        <stp/>
        <stp>BOOK0</stp>
        <stp>VOC</stp>
        <stp>959</stp>
        <tr r="A963" s="2"/>
      </tp>
      <tp t="s">
        <v>Ferramenta Inválida</v>
        <stp/>
        <stp>BOOK0</stp>
        <stp>VOC</stp>
        <stp>958</stp>
        <tr r="A962" s="2"/>
      </tp>
      <tp t="s">
        <v>Ferramenta Inválida</v>
        <stp/>
        <stp>BOOK0</stp>
        <stp>VOC</stp>
        <stp>951</stp>
        <tr r="A955" s="2"/>
      </tp>
      <tp t="s">
        <v>Ferramenta Inválida</v>
        <stp/>
        <stp>BOOK0</stp>
        <stp>VOC</stp>
        <stp>950</stp>
        <tr r="A954" s="2"/>
      </tp>
      <tp t="s">
        <v>Ferramenta Inválida</v>
        <stp/>
        <stp>BOOK0</stp>
        <stp>VOC</stp>
        <stp>953</stp>
        <tr r="A957" s="2"/>
      </tp>
      <tp t="s">
        <v>Ferramenta Inválida</v>
        <stp/>
        <stp>BOOK0</stp>
        <stp>VOC</stp>
        <stp>952</stp>
        <tr r="A956" s="2"/>
      </tp>
      <tp t="s">
        <v>Ferramenta Inválida</v>
        <stp/>
        <stp>BOOK0</stp>
        <stp>VOC</stp>
        <stp>955</stp>
        <tr r="A959" s="2"/>
      </tp>
      <tp t="s">
        <v>Ferramenta Inválida</v>
        <stp/>
        <stp>BOOK0</stp>
        <stp>VOC</stp>
        <stp>954</stp>
        <tr r="A958" s="2"/>
      </tp>
      <tp t="s">
        <v>Ferramenta Inválida</v>
        <stp/>
        <stp>BOOK0</stp>
        <stp>VOC</stp>
        <stp>957</stp>
        <tr r="A961" s="2"/>
      </tp>
      <tp t="s">
        <v>Ferramenta Inválida</v>
        <stp/>
        <stp>BOOK0</stp>
        <stp>VOC</stp>
        <stp>956</stp>
        <tr r="A960" s="2"/>
      </tp>
      <tp t="s">
        <v>Ferramenta Inválida</v>
        <stp/>
        <stp>BOOK0</stp>
        <stp>VOV</stp>
        <stp>948</stp>
        <tr r="D952" s="2"/>
      </tp>
      <tp t="s">
        <v>Ferramenta Inválida</v>
        <stp/>
        <stp>BOOK0</stp>
        <stp>VOV</stp>
        <stp>949</stp>
        <tr r="D953" s="2"/>
      </tp>
      <tp t="s">
        <v>Ferramenta Inválida</v>
        <stp/>
        <stp>BOOK0</stp>
        <stp>VOV</stp>
        <stp>944</stp>
        <tr r="D948" s="2"/>
      </tp>
      <tp t="s">
        <v>Ferramenta Inválida</v>
        <stp/>
        <stp>BOOK0</stp>
        <stp>VOV</stp>
        <stp>945</stp>
        <tr r="D949" s="2"/>
      </tp>
      <tp t="s">
        <v>Ferramenta Inválida</v>
        <stp/>
        <stp>BOOK0</stp>
        <stp>VOV</stp>
        <stp>946</stp>
        <tr r="D950" s="2"/>
      </tp>
      <tp t="s">
        <v>Ferramenta Inválida</v>
        <stp/>
        <stp>BOOK0</stp>
        <stp>VOV</stp>
        <stp>947</stp>
        <tr r="D951" s="2"/>
      </tp>
      <tp t="s">
        <v>Ferramenta Inválida</v>
        <stp/>
        <stp>BOOK0</stp>
        <stp>VOV</stp>
        <stp>940</stp>
        <tr r="D944" s="2"/>
      </tp>
      <tp t="s">
        <v>Ferramenta Inválida</v>
        <stp/>
        <stp>BOOK0</stp>
        <stp>VOV</stp>
        <stp>941</stp>
        <tr r="D945" s="2"/>
      </tp>
      <tp t="s">
        <v>Ferramenta Inválida</v>
        <stp/>
        <stp>BOOK0</stp>
        <stp>VOV</stp>
        <stp>942</stp>
        <tr r="D946" s="2"/>
      </tp>
      <tp t="s">
        <v>Ferramenta Inválida</v>
        <stp/>
        <stp>BOOK0</stp>
        <stp>VOV</stp>
        <stp>943</stp>
        <tr r="D947" s="2"/>
      </tp>
      <tp t="s">
        <v>Ferramenta Inválida</v>
        <stp/>
        <stp>BOOK0</stp>
        <stp>VOC</stp>
        <stp>949</stp>
        <tr r="A953" s="2"/>
      </tp>
      <tp t="s">
        <v>Ferramenta Inválida</v>
        <stp/>
        <stp>BOOK0</stp>
        <stp>VOC</stp>
        <stp>948</stp>
        <tr r="A952" s="2"/>
      </tp>
      <tp t="s">
        <v>Ferramenta Inválida</v>
        <stp/>
        <stp>BOOK0</stp>
        <stp>VOC</stp>
        <stp>941</stp>
        <tr r="A945" s="2"/>
      </tp>
      <tp t="s">
        <v>Ferramenta Inválida</v>
        <stp/>
        <stp>BOOK0</stp>
        <stp>VOC</stp>
        <stp>940</stp>
        <tr r="A944" s="2"/>
      </tp>
      <tp t="s">
        <v>Ferramenta Inválida</v>
        <stp/>
        <stp>BOOK0</stp>
        <stp>VOC</stp>
        <stp>943</stp>
        <tr r="A947" s="2"/>
      </tp>
      <tp t="s">
        <v>Ferramenta Inválida</v>
        <stp/>
        <stp>BOOK0</stp>
        <stp>VOC</stp>
        <stp>942</stp>
        <tr r="A946" s="2"/>
      </tp>
      <tp t="s">
        <v>Ferramenta Inválida</v>
        <stp/>
        <stp>BOOK0</stp>
        <stp>VOC</stp>
        <stp>945</stp>
        <tr r="A949" s="2"/>
      </tp>
      <tp t="s">
        <v>Ferramenta Inválida</v>
        <stp/>
        <stp>BOOK0</stp>
        <stp>VOC</stp>
        <stp>944</stp>
        <tr r="A948" s="2"/>
      </tp>
      <tp t="s">
        <v>Ferramenta Inválida</v>
        <stp/>
        <stp>BOOK0</stp>
        <stp>VOC</stp>
        <stp>947</stp>
        <tr r="A951" s="2"/>
      </tp>
      <tp t="s">
        <v>Ferramenta Inválida</v>
        <stp/>
        <stp>BOOK0</stp>
        <stp>VOC</stp>
        <stp>946</stp>
        <tr r="A950" s="2"/>
      </tp>
      <tp t="s">
        <v>Ferramenta Inválida</v>
        <stp/>
        <stp>BOOK0</stp>
        <stp>VOV</stp>
        <stp>978</stp>
        <tr r="D982" s="2"/>
      </tp>
      <tp t="s">
        <v>Ferramenta Inválida</v>
        <stp/>
        <stp>BOOK0</stp>
        <stp>VOV</stp>
        <stp>979</stp>
        <tr r="D983" s="2"/>
      </tp>
      <tp t="s">
        <v>Ferramenta Inválida</v>
        <stp/>
        <stp>BOOK0</stp>
        <stp>VOV</stp>
        <stp>974</stp>
        <tr r="D978" s="2"/>
      </tp>
      <tp t="s">
        <v>Ferramenta Inválida</v>
        <stp/>
        <stp>BOOK0</stp>
        <stp>VOV</stp>
        <stp>975</stp>
        <tr r="D979" s="2"/>
      </tp>
      <tp t="s">
        <v>Ferramenta Inválida</v>
        <stp/>
        <stp>BOOK0</stp>
        <stp>VOV</stp>
        <stp>976</stp>
        <tr r="D980" s="2"/>
      </tp>
      <tp t="s">
        <v>Ferramenta Inválida</v>
        <stp/>
        <stp>BOOK0</stp>
        <stp>VOV</stp>
        <stp>977</stp>
        <tr r="D981" s="2"/>
      </tp>
      <tp t="s">
        <v>Ferramenta Inválida</v>
        <stp/>
        <stp>BOOK0</stp>
        <stp>VOV</stp>
        <stp>970</stp>
        <tr r="D974" s="2"/>
      </tp>
      <tp t="s">
        <v>Ferramenta Inválida</v>
        <stp/>
        <stp>BOOK0</stp>
        <stp>VOV</stp>
        <stp>971</stp>
        <tr r="D975" s="2"/>
      </tp>
      <tp t="s">
        <v>Ferramenta Inválida</v>
        <stp/>
        <stp>BOOK0</stp>
        <stp>VOV</stp>
        <stp>972</stp>
        <tr r="D976" s="2"/>
      </tp>
      <tp t="s">
        <v>Ferramenta Inválida</v>
        <stp/>
        <stp>BOOK0</stp>
        <stp>VOV</stp>
        <stp>973</stp>
        <tr r="D977" s="2"/>
      </tp>
      <tp t="s">
        <v>Ferramenta Inválida</v>
        <stp/>
        <stp>BOOK0</stp>
        <stp>VOC</stp>
        <stp>979</stp>
        <tr r="A983" s="2"/>
      </tp>
      <tp t="s">
        <v>Ferramenta Inválida</v>
        <stp/>
        <stp>BOOK0</stp>
        <stp>VOC</stp>
        <stp>978</stp>
        <tr r="A982" s="2"/>
      </tp>
      <tp t="s">
        <v>Ferramenta Inválida</v>
        <stp/>
        <stp>BOOK0</stp>
        <stp>VOC</stp>
        <stp>971</stp>
        <tr r="A975" s="2"/>
      </tp>
      <tp t="s">
        <v>Ferramenta Inválida</v>
        <stp/>
        <stp>BOOK0</stp>
        <stp>VOC</stp>
        <stp>970</stp>
        <tr r="A974" s="2"/>
      </tp>
      <tp t="s">
        <v>Ferramenta Inválida</v>
        <stp/>
        <stp>BOOK0</stp>
        <stp>VOC</stp>
        <stp>973</stp>
        <tr r="A977" s="2"/>
      </tp>
      <tp t="s">
        <v>Ferramenta Inválida</v>
        <stp/>
        <stp>BOOK0</stp>
        <stp>VOC</stp>
        <stp>972</stp>
        <tr r="A976" s="2"/>
      </tp>
      <tp t="s">
        <v>Ferramenta Inválida</v>
        <stp/>
        <stp>BOOK0</stp>
        <stp>VOC</stp>
        <stp>975</stp>
        <tr r="A979" s="2"/>
      </tp>
      <tp t="s">
        <v>Ferramenta Inválida</v>
        <stp/>
        <stp>BOOK0</stp>
        <stp>VOC</stp>
        <stp>974</stp>
        <tr r="A978" s="2"/>
      </tp>
      <tp t="s">
        <v>Ferramenta Inválida</v>
        <stp/>
        <stp>BOOK0</stp>
        <stp>VOC</stp>
        <stp>977</stp>
        <tr r="A981" s="2"/>
      </tp>
      <tp t="s">
        <v>Ferramenta Inválida</v>
        <stp/>
        <stp>BOOK0</stp>
        <stp>VOC</stp>
        <stp>976</stp>
        <tr r="A980" s="2"/>
      </tp>
      <tp t="s">
        <v>Ferramenta Inválida</v>
        <stp/>
        <stp>BOOK0</stp>
        <stp>VOV</stp>
        <stp>968</stp>
        <tr r="D972" s="2"/>
      </tp>
      <tp t="s">
        <v>Ferramenta Inválida</v>
        <stp/>
        <stp>BOOK0</stp>
        <stp>VOV</stp>
        <stp>969</stp>
        <tr r="D973" s="2"/>
      </tp>
      <tp t="s">
        <v>Ferramenta Inválida</v>
        <stp/>
        <stp>BOOK0</stp>
        <stp>VOV</stp>
        <stp>964</stp>
        <tr r="D968" s="2"/>
      </tp>
      <tp t="s">
        <v>Ferramenta Inválida</v>
        <stp/>
        <stp>BOOK0</stp>
        <stp>VOV</stp>
        <stp>965</stp>
        <tr r="D969" s="2"/>
      </tp>
      <tp t="s">
        <v>Ferramenta Inválida</v>
        <stp/>
        <stp>BOOK0</stp>
        <stp>VOV</stp>
        <stp>966</stp>
        <tr r="D970" s="2"/>
      </tp>
      <tp t="s">
        <v>Ferramenta Inválida</v>
        <stp/>
        <stp>BOOK0</stp>
        <stp>VOV</stp>
        <stp>967</stp>
        <tr r="D971" s="2"/>
      </tp>
      <tp t="s">
        <v>Ferramenta Inválida</v>
        <stp/>
        <stp>BOOK0</stp>
        <stp>VOV</stp>
        <stp>960</stp>
        <tr r="D964" s="2"/>
      </tp>
      <tp t="s">
        <v>Ferramenta Inválida</v>
        <stp/>
        <stp>BOOK0</stp>
        <stp>VOV</stp>
        <stp>961</stp>
        <tr r="D965" s="2"/>
      </tp>
      <tp t="s">
        <v>Ferramenta Inválida</v>
        <stp/>
        <stp>BOOK0</stp>
        <stp>VOV</stp>
        <stp>962</stp>
        <tr r="D966" s="2"/>
      </tp>
      <tp t="s">
        <v>Ferramenta Inválida</v>
        <stp/>
        <stp>BOOK0</stp>
        <stp>VOV</stp>
        <stp>963</stp>
        <tr r="D967" s="2"/>
      </tp>
      <tp t="s">
        <v>Ferramenta Inválida</v>
        <stp/>
        <stp>BOOK0</stp>
        <stp>VOC</stp>
        <stp>969</stp>
        <tr r="A973" s="2"/>
      </tp>
      <tp t="s">
        <v>Ferramenta Inválida</v>
        <stp/>
        <stp>BOOK0</stp>
        <stp>VOC</stp>
        <stp>968</stp>
        <tr r="A972" s="2"/>
      </tp>
      <tp t="s">
        <v>Ferramenta Inválida</v>
        <stp/>
        <stp>BOOK0</stp>
        <stp>VOC</stp>
        <stp>961</stp>
        <tr r="A965" s="2"/>
      </tp>
      <tp t="s">
        <v>Ferramenta Inválida</v>
        <stp/>
        <stp>BOOK0</stp>
        <stp>VOC</stp>
        <stp>960</stp>
        <tr r="A964" s="2"/>
      </tp>
      <tp t="s">
        <v>Ferramenta Inválida</v>
        <stp/>
        <stp>BOOK0</stp>
        <stp>VOC</stp>
        <stp>963</stp>
        <tr r="A967" s="2"/>
      </tp>
      <tp t="s">
        <v>Ferramenta Inválida</v>
        <stp/>
        <stp>BOOK0</stp>
        <stp>VOC</stp>
        <stp>962</stp>
        <tr r="A966" s="2"/>
      </tp>
      <tp t="s">
        <v>Ferramenta Inválida</v>
        <stp/>
        <stp>BOOK0</stp>
        <stp>VOC</stp>
        <stp>965</stp>
        <tr r="A969" s="2"/>
      </tp>
      <tp t="s">
        <v>Ferramenta Inválida</v>
        <stp/>
        <stp>BOOK0</stp>
        <stp>VOC</stp>
        <stp>964</stp>
        <tr r="A968" s="2"/>
      </tp>
      <tp t="s">
        <v>Ferramenta Inválida</v>
        <stp/>
        <stp>BOOK0</stp>
        <stp>VOC</stp>
        <stp>967</stp>
        <tr r="A971" s="2"/>
      </tp>
      <tp t="s">
        <v>Ferramenta Inválida</v>
        <stp/>
        <stp>BOOK0</stp>
        <stp>VOC</stp>
        <stp>966</stp>
        <tr r="A970" s="2"/>
      </tp>
      <tp t="s">
        <v>Ferramenta Inválida</v>
        <stp/>
        <stp>BOOK0</stp>
        <stp>VOV</stp>
        <stp>998</stp>
        <tr r="D1002" s="2"/>
      </tp>
      <tp t="s">
        <v>Ferramenta Inválida</v>
        <stp/>
        <stp>BOOK0</stp>
        <stp>VOV</stp>
        <stp>999</stp>
        <tr r="D1003" s="2"/>
      </tp>
      <tp t="s">
        <v>Ferramenta Inválida</v>
        <stp/>
        <stp>BOOK0</stp>
        <stp>VOV</stp>
        <stp>994</stp>
        <tr r="D998" s="2"/>
      </tp>
      <tp t="s">
        <v>Ferramenta Inválida</v>
        <stp/>
        <stp>BOOK0</stp>
        <stp>VOV</stp>
        <stp>995</stp>
        <tr r="D999" s="2"/>
      </tp>
      <tp t="s">
        <v>Ferramenta Inválida</v>
        <stp/>
        <stp>BOOK0</stp>
        <stp>VOV</stp>
        <stp>996</stp>
        <tr r="D1000" s="2"/>
      </tp>
      <tp t="s">
        <v>Ferramenta Inválida</v>
        <stp/>
        <stp>BOOK0</stp>
        <stp>VOV</stp>
        <stp>997</stp>
        <tr r="D1001" s="2"/>
      </tp>
      <tp t="s">
        <v>Ferramenta Inválida</v>
        <stp/>
        <stp>BOOK0</stp>
        <stp>VOV</stp>
        <stp>990</stp>
        <tr r="D994" s="2"/>
      </tp>
      <tp t="s">
        <v>Ferramenta Inválida</v>
        <stp/>
        <stp>BOOK0</stp>
        <stp>VOV</stp>
        <stp>991</stp>
        <tr r="D995" s="2"/>
      </tp>
      <tp t="s">
        <v>Ferramenta Inválida</v>
        <stp/>
        <stp>BOOK0</stp>
        <stp>VOV</stp>
        <stp>992</stp>
        <tr r="D996" s="2"/>
      </tp>
      <tp t="s">
        <v>Ferramenta Inválida</v>
        <stp/>
        <stp>BOOK0</stp>
        <stp>VOV</stp>
        <stp>993</stp>
        <tr r="D997" s="2"/>
      </tp>
      <tp t="s">
        <v>Ferramenta Inválida</v>
        <stp/>
        <stp>BOOK0</stp>
        <stp>VOC</stp>
        <stp>999</stp>
        <tr r="A1003" s="2"/>
      </tp>
      <tp t="s">
        <v>Ferramenta Inválida</v>
        <stp/>
        <stp>BOOK0</stp>
        <stp>VOC</stp>
        <stp>998</stp>
        <tr r="A1002" s="2"/>
      </tp>
      <tp t="s">
        <v>Ferramenta Inválida</v>
        <stp/>
        <stp>BOOK0</stp>
        <stp>VOC</stp>
        <stp>991</stp>
        <tr r="A995" s="2"/>
      </tp>
      <tp t="s">
        <v>Ferramenta Inválida</v>
        <stp/>
        <stp>BOOK0</stp>
        <stp>VOC</stp>
        <stp>990</stp>
        <tr r="A994" s="2"/>
      </tp>
      <tp t="s">
        <v>Ferramenta Inválida</v>
        <stp/>
        <stp>BOOK0</stp>
        <stp>VOC</stp>
        <stp>993</stp>
        <tr r="A997" s="2"/>
      </tp>
      <tp t="s">
        <v>Ferramenta Inválida</v>
        <stp/>
        <stp>BOOK0</stp>
        <stp>VOC</stp>
        <stp>992</stp>
        <tr r="A996" s="2"/>
      </tp>
      <tp t="s">
        <v>Ferramenta Inválida</v>
        <stp/>
        <stp>BOOK0</stp>
        <stp>VOC</stp>
        <stp>995</stp>
        <tr r="A999" s="2"/>
      </tp>
      <tp t="s">
        <v>Ferramenta Inválida</v>
        <stp/>
        <stp>BOOK0</stp>
        <stp>VOC</stp>
        <stp>994</stp>
        <tr r="A998" s="2"/>
      </tp>
      <tp t="s">
        <v>Ferramenta Inválida</v>
        <stp/>
        <stp>BOOK0</stp>
        <stp>VOC</stp>
        <stp>997</stp>
        <tr r="A1001" s="2"/>
      </tp>
      <tp t="s">
        <v>Ferramenta Inválida</v>
        <stp/>
        <stp>BOOK0</stp>
        <stp>VOC</stp>
        <stp>996</stp>
        <tr r="A1000" s="2"/>
      </tp>
      <tp t="s">
        <v>Ferramenta Inválida</v>
        <stp/>
        <stp>BOOK0</stp>
        <stp>VOV</stp>
        <stp>988</stp>
        <tr r="D992" s="2"/>
      </tp>
      <tp t="s">
        <v>Ferramenta Inválida</v>
        <stp/>
        <stp>BOOK0</stp>
        <stp>VOV</stp>
        <stp>989</stp>
        <tr r="D993" s="2"/>
      </tp>
      <tp t="s">
        <v>Ferramenta Inválida</v>
        <stp/>
        <stp>BOOK0</stp>
        <stp>VOV</stp>
        <stp>984</stp>
        <tr r="D988" s="2"/>
      </tp>
      <tp t="s">
        <v>Ferramenta Inválida</v>
        <stp/>
        <stp>BOOK0</stp>
        <stp>VOV</stp>
        <stp>985</stp>
        <tr r="D989" s="2"/>
      </tp>
      <tp t="s">
        <v>Ferramenta Inválida</v>
        <stp/>
        <stp>BOOK0</stp>
        <stp>VOV</stp>
        <stp>986</stp>
        <tr r="D990" s="2"/>
      </tp>
      <tp t="s">
        <v>Ferramenta Inválida</v>
        <stp/>
        <stp>BOOK0</stp>
        <stp>VOV</stp>
        <stp>987</stp>
        <tr r="D991" s="2"/>
      </tp>
      <tp t="s">
        <v>Ferramenta Inválida</v>
        <stp/>
        <stp>BOOK0</stp>
        <stp>VOV</stp>
        <stp>980</stp>
        <tr r="D984" s="2"/>
      </tp>
      <tp t="s">
        <v>Ferramenta Inválida</v>
        <stp/>
        <stp>BOOK0</stp>
        <stp>VOV</stp>
        <stp>981</stp>
        <tr r="D985" s="2"/>
      </tp>
      <tp t="s">
        <v>Ferramenta Inválida</v>
        <stp/>
        <stp>BOOK0</stp>
        <stp>VOV</stp>
        <stp>982</stp>
        <tr r="D986" s="2"/>
      </tp>
      <tp t="s">
        <v>Ferramenta Inválida</v>
        <stp/>
        <stp>BOOK0</stp>
        <stp>VOV</stp>
        <stp>983</stp>
        <tr r="D987" s="2"/>
      </tp>
      <tp t="s">
        <v>Ferramenta Inválida</v>
        <stp/>
        <stp>BOOK0</stp>
        <stp>VOC</stp>
        <stp>989</stp>
        <tr r="A993" s="2"/>
      </tp>
      <tp t="s">
        <v>Ferramenta Inválida</v>
        <stp/>
        <stp>BOOK0</stp>
        <stp>VOC</stp>
        <stp>988</stp>
        <tr r="A992" s="2"/>
      </tp>
      <tp t="s">
        <v>Ferramenta Inválida</v>
        <stp/>
        <stp>BOOK0</stp>
        <stp>VOC</stp>
        <stp>981</stp>
        <tr r="A985" s="2"/>
      </tp>
      <tp t="s">
        <v>Ferramenta Inválida</v>
        <stp/>
        <stp>BOOK0</stp>
        <stp>VOC</stp>
        <stp>980</stp>
        <tr r="A984" s="2"/>
      </tp>
      <tp t="s">
        <v>Ferramenta Inválida</v>
        <stp/>
        <stp>BOOK0</stp>
        <stp>VOC</stp>
        <stp>983</stp>
        <tr r="A987" s="2"/>
      </tp>
      <tp t="s">
        <v>Ferramenta Inválida</v>
        <stp/>
        <stp>BOOK0</stp>
        <stp>VOC</stp>
        <stp>982</stp>
        <tr r="A986" s="2"/>
      </tp>
      <tp t="s">
        <v>Ferramenta Inválida</v>
        <stp/>
        <stp>BOOK0</stp>
        <stp>VOC</stp>
        <stp>985</stp>
        <tr r="A989" s="2"/>
      </tp>
      <tp t="s">
        <v>Ferramenta Inválida</v>
        <stp/>
        <stp>BOOK0</stp>
        <stp>VOC</stp>
        <stp>984</stp>
        <tr r="A988" s="2"/>
      </tp>
      <tp t="s">
        <v>Ferramenta Inválida</v>
        <stp/>
        <stp>BOOK0</stp>
        <stp>VOC</stp>
        <stp>987</stp>
        <tr r="A991" s="2"/>
      </tp>
      <tp t="s">
        <v>Ferramenta Inválida</v>
        <stp/>
        <stp>BOOK0</stp>
        <stp>VOC</stp>
        <stp>986</stp>
        <tr r="A990" s="2"/>
      </tp>
      <tp t="s">
        <v>Ferramenta Inválida</v>
        <stp/>
        <stp>BOOK0</stp>
        <stp>VOV</stp>
        <stp>818</stp>
        <tr r="D822" s="2"/>
      </tp>
      <tp t="s">
        <v>Ferramenta Inválida</v>
        <stp/>
        <stp>BOOK0</stp>
        <stp>VOV</stp>
        <stp>819</stp>
        <tr r="D823" s="2"/>
      </tp>
      <tp t="s">
        <v>Ferramenta Inválida</v>
        <stp/>
        <stp>BOOK0</stp>
        <stp>VOV</stp>
        <stp>814</stp>
        <tr r="D818" s="2"/>
      </tp>
      <tp t="s">
        <v>Ferramenta Inválida</v>
        <stp/>
        <stp>BOOK0</stp>
        <stp>VOV</stp>
        <stp>815</stp>
        <tr r="D819" s="2"/>
      </tp>
      <tp t="s">
        <v>Ferramenta Inválida</v>
        <stp/>
        <stp>BOOK0</stp>
        <stp>VOV</stp>
        <stp>816</stp>
        <tr r="D820" s="2"/>
      </tp>
      <tp t="s">
        <v>Ferramenta Inválida</v>
        <stp/>
        <stp>BOOK0</stp>
        <stp>VOV</stp>
        <stp>817</stp>
        <tr r="D821" s="2"/>
      </tp>
      <tp t="s">
        <v>Ferramenta Inválida</v>
        <stp/>
        <stp>BOOK0</stp>
        <stp>VOV</stp>
        <stp>810</stp>
        <tr r="D814" s="2"/>
      </tp>
      <tp t="s">
        <v>Ferramenta Inválida</v>
        <stp/>
        <stp>BOOK0</stp>
        <stp>VOV</stp>
        <stp>811</stp>
        <tr r="D815" s="2"/>
      </tp>
      <tp t="s">
        <v>Ferramenta Inválida</v>
        <stp/>
        <stp>BOOK0</stp>
        <stp>VOV</stp>
        <stp>812</stp>
        <tr r="D816" s="2"/>
      </tp>
      <tp t="s">
        <v>Ferramenta Inválida</v>
        <stp/>
        <stp>BOOK0</stp>
        <stp>VOV</stp>
        <stp>813</stp>
        <tr r="D817" s="2"/>
      </tp>
      <tp t="s">
        <v>Ferramenta Inválida</v>
        <stp/>
        <stp>BOOK0</stp>
        <stp>VOC</stp>
        <stp>819</stp>
        <tr r="A823" s="2"/>
      </tp>
      <tp t="s">
        <v>Ferramenta Inválida</v>
        <stp/>
        <stp>BOOK0</stp>
        <stp>VOC</stp>
        <stp>818</stp>
        <tr r="A822" s="2"/>
      </tp>
      <tp t="s">
        <v>Ferramenta Inválida</v>
        <stp/>
        <stp>BOOK0</stp>
        <stp>VOC</stp>
        <stp>811</stp>
        <tr r="A815" s="2"/>
      </tp>
      <tp t="s">
        <v>Ferramenta Inválida</v>
        <stp/>
        <stp>BOOK0</stp>
        <stp>VOC</stp>
        <stp>810</stp>
        <tr r="A814" s="2"/>
      </tp>
      <tp t="s">
        <v>Ferramenta Inválida</v>
        <stp/>
        <stp>BOOK0</stp>
        <stp>VOC</stp>
        <stp>813</stp>
        <tr r="A817" s="2"/>
      </tp>
      <tp t="s">
        <v>Ferramenta Inválida</v>
        <stp/>
        <stp>BOOK0</stp>
        <stp>VOC</stp>
        <stp>812</stp>
        <tr r="A816" s="2"/>
      </tp>
      <tp t="s">
        <v>Ferramenta Inválida</v>
        <stp/>
        <stp>BOOK0</stp>
        <stp>VOC</stp>
        <stp>815</stp>
        <tr r="A819" s="2"/>
      </tp>
      <tp t="s">
        <v>Ferramenta Inválida</v>
        <stp/>
        <stp>BOOK0</stp>
        <stp>VOC</stp>
        <stp>814</stp>
        <tr r="A818" s="2"/>
      </tp>
      <tp t="s">
        <v>Ferramenta Inválida</v>
        <stp/>
        <stp>BOOK0</stp>
        <stp>VOC</stp>
        <stp>817</stp>
        <tr r="A821" s="2"/>
      </tp>
      <tp t="s">
        <v>Ferramenta Inválida</v>
        <stp/>
        <stp>BOOK0</stp>
        <stp>VOC</stp>
        <stp>816</stp>
        <tr r="A820" s="2"/>
      </tp>
      <tp t="s">
        <v>Ferramenta Inválida</v>
        <stp/>
        <stp>BOOK0</stp>
        <stp>VOV</stp>
        <stp>808</stp>
        <tr r="D812" s="2"/>
      </tp>
      <tp t="s">
        <v>Ferramenta Inválida</v>
        <stp/>
        <stp>BOOK0</stp>
        <stp>VOV</stp>
        <stp>809</stp>
        <tr r="D813" s="2"/>
      </tp>
      <tp t="s">
        <v>Ferramenta Inválida</v>
        <stp/>
        <stp>BOOK0</stp>
        <stp>VOV</stp>
        <stp>804</stp>
        <tr r="D808" s="2"/>
      </tp>
      <tp t="s">
        <v>Ferramenta Inválida</v>
        <stp/>
        <stp>BOOK0</stp>
        <stp>VOV</stp>
        <stp>805</stp>
        <tr r="D809" s="2"/>
      </tp>
      <tp t="s">
        <v>Ferramenta Inválida</v>
        <stp/>
        <stp>BOOK0</stp>
        <stp>VOV</stp>
        <stp>806</stp>
        <tr r="D810" s="2"/>
      </tp>
      <tp t="s">
        <v>Ferramenta Inválida</v>
        <stp/>
        <stp>BOOK0</stp>
        <stp>VOV</stp>
        <stp>807</stp>
        <tr r="D811" s="2"/>
      </tp>
      <tp t="s">
        <v>Ferramenta Inválida</v>
        <stp/>
        <stp>BOOK0</stp>
        <stp>VOV</stp>
        <stp>800</stp>
        <tr r="D804" s="2"/>
      </tp>
      <tp t="s">
        <v>Ferramenta Inválida</v>
        <stp/>
        <stp>BOOK0</stp>
        <stp>VOV</stp>
        <stp>801</stp>
        <tr r="D805" s="2"/>
      </tp>
      <tp t="s">
        <v>Ferramenta Inválida</v>
        <stp/>
        <stp>BOOK0</stp>
        <stp>VOV</stp>
        <stp>802</stp>
        <tr r="D806" s="2"/>
      </tp>
      <tp t="s">
        <v>Ferramenta Inválida</v>
        <stp/>
        <stp>BOOK0</stp>
        <stp>VOV</stp>
        <stp>803</stp>
        <tr r="D807" s="2"/>
      </tp>
      <tp t="s">
        <v>Ferramenta Inválida</v>
        <stp/>
        <stp>BOOK0</stp>
        <stp>VOC</stp>
        <stp>809</stp>
        <tr r="A813" s="2"/>
      </tp>
      <tp t="s">
        <v>Ferramenta Inválida</v>
        <stp/>
        <stp>BOOK0</stp>
        <stp>VOC</stp>
        <stp>808</stp>
        <tr r="A812" s="2"/>
      </tp>
      <tp t="s">
        <v>Ferramenta Inválida</v>
        <stp/>
        <stp>BOOK0</stp>
        <stp>VOC</stp>
        <stp>801</stp>
        <tr r="A805" s="2"/>
      </tp>
      <tp t="s">
        <v>Ferramenta Inválida</v>
        <stp/>
        <stp>BOOK0</stp>
        <stp>VOC</stp>
        <stp>800</stp>
        <tr r="A804" s="2"/>
      </tp>
      <tp t="s">
        <v>Ferramenta Inválida</v>
        <stp/>
        <stp>BOOK0</stp>
        <stp>VOC</stp>
        <stp>803</stp>
        <tr r="A807" s="2"/>
      </tp>
      <tp t="s">
        <v>Ferramenta Inválida</v>
        <stp/>
        <stp>BOOK0</stp>
        <stp>VOC</stp>
        <stp>802</stp>
        <tr r="A806" s="2"/>
      </tp>
      <tp t="s">
        <v>Ferramenta Inválida</v>
        <stp/>
        <stp>BOOK0</stp>
        <stp>VOC</stp>
        <stp>805</stp>
        <tr r="A809" s="2"/>
      </tp>
      <tp t="s">
        <v>Ferramenta Inválida</v>
        <stp/>
        <stp>BOOK0</stp>
        <stp>VOC</stp>
        <stp>804</stp>
        <tr r="A808" s="2"/>
      </tp>
      <tp t="s">
        <v>Ferramenta Inválida</v>
        <stp/>
        <stp>BOOK0</stp>
        <stp>VOC</stp>
        <stp>807</stp>
        <tr r="A811" s="2"/>
      </tp>
      <tp t="s">
        <v>Ferramenta Inválida</v>
        <stp/>
        <stp>BOOK0</stp>
        <stp>VOC</stp>
        <stp>806</stp>
        <tr r="A810" s="2"/>
      </tp>
      <tp t="s">
        <v>Ferramenta Inválida</v>
        <stp/>
        <stp>BOOK0</stp>
        <stp>VOV</stp>
        <stp>838</stp>
        <tr r="D842" s="2"/>
      </tp>
      <tp t="s">
        <v>Ferramenta Inválida</v>
        <stp/>
        <stp>BOOK0</stp>
        <stp>VOV</stp>
        <stp>839</stp>
        <tr r="D843" s="2"/>
      </tp>
      <tp t="s">
        <v>Ferramenta Inválida</v>
        <stp/>
        <stp>BOOK0</stp>
        <stp>VOV</stp>
        <stp>834</stp>
        <tr r="D838" s="2"/>
      </tp>
      <tp t="s">
        <v>Ferramenta Inválida</v>
        <stp/>
        <stp>BOOK0</stp>
        <stp>VOV</stp>
        <stp>835</stp>
        <tr r="D839" s="2"/>
      </tp>
      <tp t="s">
        <v>Ferramenta Inválida</v>
        <stp/>
        <stp>BOOK0</stp>
        <stp>VOV</stp>
        <stp>836</stp>
        <tr r="D840" s="2"/>
      </tp>
      <tp t="s">
        <v>Ferramenta Inválida</v>
        <stp/>
        <stp>BOOK0</stp>
        <stp>VOV</stp>
        <stp>837</stp>
        <tr r="D841" s="2"/>
      </tp>
      <tp t="s">
        <v>Ferramenta Inválida</v>
        <stp/>
        <stp>BOOK0</stp>
        <stp>VOV</stp>
        <stp>830</stp>
        <tr r="D834" s="2"/>
      </tp>
      <tp t="s">
        <v>Ferramenta Inválida</v>
        <stp/>
        <stp>BOOK0</stp>
        <stp>VOV</stp>
        <stp>831</stp>
        <tr r="D835" s="2"/>
      </tp>
      <tp t="s">
        <v>Ferramenta Inválida</v>
        <stp/>
        <stp>BOOK0</stp>
        <stp>VOV</stp>
        <stp>832</stp>
        <tr r="D836" s="2"/>
      </tp>
      <tp t="s">
        <v>Ferramenta Inválida</v>
        <stp/>
        <stp>BOOK0</stp>
        <stp>VOV</stp>
        <stp>833</stp>
        <tr r="D837" s="2"/>
      </tp>
      <tp t="s">
        <v>Ferramenta Inválida</v>
        <stp/>
        <stp>BOOK0</stp>
        <stp>VOC</stp>
        <stp>839</stp>
        <tr r="A843" s="2"/>
      </tp>
      <tp t="s">
        <v>Ferramenta Inválida</v>
        <stp/>
        <stp>BOOK0</stp>
        <stp>VOC</stp>
        <stp>838</stp>
        <tr r="A842" s="2"/>
      </tp>
      <tp t="s">
        <v>Ferramenta Inválida</v>
        <stp/>
        <stp>BOOK0</stp>
        <stp>VOC</stp>
        <stp>831</stp>
        <tr r="A835" s="2"/>
      </tp>
      <tp t="s">
        <v>Ferramenta Inválida</v>
        <stp/>
        <stp>BOOK0</stp>
        <stp>VOC</stp>
        <stp>830</stp>
        <tr r="A834" s="2"/>
      </tp>
      <tp t="s">
        <v>Ferramenta Inválida</v>
        <stp/>
        <stp>BOOK0</stp>
        <stp>VOC</stp>
        <stp>833</stp>
        <tr r="A837" s="2"/>
      </tp>
      <tp t="s">
        <v>Ferramenta Inválida</v>
        <stp/>
        <stp>BOOK0</stp>
        <stp>VOC</stp>
        <stp>832</stp>
        <tr r="A836" s="2"/>
      </tp>
      <tp t="s">
        <v>Ferramenta Inválida</v>
        <stp/>
        <stp>BOOK0</stp>
        <stp>VOC</stp>
        <stp>835</stp>
        <tr r="A839" s="2"/>
      </tp>
      <tp t="s">
        <v>Ferramenta Inválida</v>
        <stp/>
        <stp>BOOK0</stp>
        <stp>VOC</stp>
        <stp>834</stp>
        <tr r="A838" s="2"/>
      </tp>
      <tp t="s">
        <v>Ferramenta Inválida</v>
        <stp/>
        <stp>BOOK0</stp>
        <stp>VOC</stp>
        <stp>837</stp>
        <tr r="A841" s="2"/>
      </tp>
      <tp t="s">
        <v>Ferramenta Inválida</v>
        <stp/>
        <stp>BOOK0</stp>
        <stp>VOC</stp>
        <stp>836</stp>
        <tr r="A840" s="2"/>
      </tp>
      <tp t="s">
        <v>Ferramenta Inválida</v>
        <stp/>
        <stp>BOOK0</stp>
        <stp>VOV</stp>
        <stp>828</stp>
        <tr r="D832" s="2"/>
      </tp>
      <tp t="s">
        <v>Ferramenta Inválida</v>
        <stp/>
        <stp>BOOK0</stp>
        <stp>VOV</stp>
        <stp>829</stp>
        <tr r="D833" s="2"/>
      </tp>
      <tp t="s">
        <v>Ferramenta Inválida</v>
        <stp/>
        <stp>BOOK0</stp>
        <stp>VOV</stp>
        <stp>824</stp>
        <tr r="D828" s="2"/>
      </tp>
      <tp t="s">
        <v>Ferramenta Inválida</v>
        <stp/>
        <stp>BOOK0</stp>
        <stp>VOV</stp>
        <stp>825</stp>
        <tr r="D829" s="2"/>
      </tp>
      <tp t="s">
        <v>Ferramenta Inválida</v>
        <stp/>
        <stp>BOOK0</stp>
        <stp>VOV</stp>
        <stp>826</stp>
        <tr r="D830" s="2"/>
      </tp>
      <tp t="s">
        <v>Ferramenta Inválida</v>
        <stp/>
        <stp>BOOK0</stp>
        <stp>VOV</stp>
        <stp>827</stp>
        <tr r="D831" s="2"/>
      </tp>
      <tp t="s">
        <v>Ferramenta Inválida</v>
        <stp/>
        <stp>BOOK0</stp>
        <stp>VOV</stp>
        <stp>820</stp>
        <tr r="D824" s="2"/>
      </tp>
      <tp t="s">
        <v>Ferramenta Inválida</v>
        <stp/>
        <stp>BOOK0</stp>
        <stp>VOV</stp>
        <stp>821</stp>
        <tr r="D825" s="2"/>
      </tp>
      <tp t="s">
        <v>Ferramenta Inválida</v>
        <stp/>
        <stp>BOOK0</stp>
        <stp>VOV</stp>
        <stp>822</stp>
        <tr r="D826" s="2"/>
      </tp>
      <tp t="s">
        <v>Ferramenta Inválida</v>
        <stp/>
        <stp>BOOK0</stp>
        <stp>VOV</stp>
        <stp>823</stp>
        <tr r="D827" s="2"/>
      </tp>
      <tp t="s">
        <v>Ferramenta Inválida</v>
        <stp/>
        <stp>BOOK0</stp>
        <stp>VOC</stp>
        <stp>829</stp>
        <tr r="A833" s="2"/>
      </tp>
      <tp t="s">
        <v>Ferramenta Inválida</v>
        <stp/>
        <stp>BOOK0</stp>
        <stp>VOC</stp>
        <stp>828</stp>
        <tr r="A832" s="2"/>
      </tp>
      <tp t="s">
        <v>Ferramenta Inválida</v>
        <stp/>
        <stp>BOOK0</stp>
        <stp>VOC</stp>
        <stp>821</stp>
        <tr r="A825" s="2"/>
      </tp>
      <tp t="s">
        <v>Ferramenta Inválida</v>
        <stp/>
        <stp>BOOK0</stp>
        <stp>VOC</stp>
        <stp>820</stp>
        <tr r="A824" s="2"/>
      </tp>
      <tp t="s">
        <v>Ferramenta Inválida</v>
        <stp/>
        <stp>BOOK0</stp>
        <stp>VOC</stp>
        <stp>823</stp>
        <tr r="A827" s="2"/>
      </tp>
      <tp t="s">
        <v>Ferramenta Inválida</v>
        <stp/>
        <stp>BOOK0</stp>
        <stp>VOC</stp>
        <stp>822</stp>
        <tr r="A826" s="2"/>
      </tp>
      <tp t="s">
        <v>Ferramenta Inválida</v>
        <stp/>
        <stp>BOOK0</stp>
        <stp>VOC</stp>
        <stp>825</stp>
        <tr r="A829" s="2"/>
      </tp>
      <tp t="s">
        <v>Ferramenta Inválida</v>
        <stp/>
        <stp>BOOK0</stp>
        <stp>VOC</stp>
        <stp>824</stp>
        <tr r="A828" s="2"/>
      </tp>
      <tp t="s">
        <v>Ferramenta Inválida</v>
        <stp/>
        <stp>BOOK0</stp>
        <stp>VOC</stp>
        <stp>827</stp>
        <tr r="A831" s="2"/>
      </tp>
      <tp t="s">
        <v>Ferramenta Inválida</v>
        <stp/>
        <stp>BOOK0</stp>
        <stp>VOC</stp>
        <stp>826</stp>
        <tr r="A830" s="2"/>
      </tp>
      <tp t="s">
        <v>Ferramenta Inválida</v>
        <stp/>
        <stp>BOOK0</stp>
        <stp>VOV</stp>
        <stp>858</stp>
        <tr r="D862" s="2"/>
      </tp>
      <tp t="s">
        <v>Ferramenta Inválida</v>
        <stp/>
        <stp>BOOK0</stp>
        <stp>VOV</stp>
        <stp>859</stp>
        <tr r="D863" s="2"/>
      </tp>
      <tp t="s">
        <v>Ferramenta Inválida</v>
        <stp/>
        <stp>BOOK0</stp>
        <stp>VOV</stp>
        <stp>854</stp>
        <tr r="D858" s="2"/>
      </tp>
      <tp t="s">
        <v>Ferramenta Inválida</v>
        <stp/>
        <stp>BOOK0</stp>
        <stp>VOV</stp>
        <stp>855</stp>
        <tr r="D859" s="2"/>
      </tp>
      <tp t="s">
        <v>Ferramenta Inválida</v>
        <stp/>
        <stp>BOOK0</stp>
        <stp>VOV</stp>
        <stp>856</stp>
        <tr r="D860" s="2"/>
      </tp>
      <tp t="s">
        <v>Ferramenta Inválida</v>
        <stp/>
        <stp>BOOK0</stp>
        <stp>VOV</stp>
        <stp>857</stp>
        <tr r="D861" s="2"/>
      </tp>
      <tp t="s">
        <v>Ferramenta Inválida</v>
        <stp/>
        <stp>BOOK0</stp>
        <stp>VOV</stp>
        <stp>850</stp>
        <tr r="D854" s="2"/>
      </tp>
      <tp t="s">
        <v>Ferramenta Inválida</v>
        <stp/>
        <stp>BOOK0</stp>
        <stp>VOV</stp>
        <stp>851</stp>
        <tr r="D855" s="2"/>
      </tp>
      <tp t="s">
        <v>Ferramenta Inválida</v>
        <stp/>
        <stp>BOOK0</stp>
        <stp>VOV</stp>
        <stp>852</stp>
        <tr r="D856" s="2"/>
      </tp>
      <tp t="s">
        <v>Ferramenta Inválida</v>
        <stp/>
        <stp>BOOK0</stp>
        <stp>VOV</stp>
        <stp>853</stp>
        <tr r="D857" s="2"/>
      </tp>
      <tp t="s">
        <v>Ferramenta Inválida</v>
        <stp/>
        <stp>BOOK0</stp>
        <stp>VOC</stp>
        <stp>859</stp>
        <tr r="A863" s="2"/>
      </tp>
      <tp t="s">
        <v>Ferramenta Inválida</v>
        <stp/>
        <stp>BOOK0</stp>
        <stp>VOC</stp>
        <stp>858</stp>
        <tr r="A862" s="2"/>
      </tp>
      <tp t="s">
        <v>Ferramenta Inválida</v>
        <stp/>
        <stp>BOOK0</stp>
        <stp>VOC</stp>
        <stp>851</stp>
        <tr r="A855" s="2"/>
      </tp>
      <tp t="s">
        <v>Ferramenta Inválida</v>
        <stp/>
        <stp>BOOK0</stp>
        <stp>VOC</stp>
        <stp>850</stp>
        <tr r="A854" s="2"/>
      </tp>
      <tp t="s">
        <v>Ferramenta Inválida</v>
        <stp/>
        <stp>BOOK0</stp>
        <stp>VOC</stp>
        <stp>853</stp>
        <tr r="A857" s="2"/>
      </tp>
      <tp t="s">
        <v>Ferramenta Inválida</v>
        <stp/>
        <stp>BOOK0</stp>
        <stp>VOC</stp>
        <stp>852</stp>
        <tr r="A856" s="2"/>
      </tp>
      <tp t="s">
        <v>Ferramenta Inválida</v>
        <stp/>
        <stp>BOOK0</stp>
        <stp>VOC</stp>
        <stp>855</stp>
        <tr r="A859" s="2"/>
      </tp>
      <tp t="s">
        <v>Ferramenta Inválida</v>
        <stp/>
        <stp>BOOK0</stp>
        <stp>VOC</stp>
        <stp>854</stp>
        <tr r="A858" s="2"/>
      </tp>
      <tp t="s">
        <v>Ferramenta Inválida</v>
        <stp/>
        <stp>BOOK0</stp>
        <stp>VOC</stp>
        <stp>857</stp>
        <tr r="A861" s="2"/>
      </tp>
      <tp t="s">
        <v>Ferramenta Inválida</v>
        <stp/>
        <stp>BOOK0</stp>
        <stp>VOC</stp>
        <stp>856</stp>
        <tr r="A860" s="2"/>
      </tp>
      <tp t="s">
        <v>Ferramenta Inválida</v>
        <stp/>
        <stp>BOOK0</stp>
        <stp>VOV</stp>
        <stp>848</stp>
        <tr r="D852" s="2"/>
      </tp>
      <tp t="s">
        <v>Ferramenta Inválida</v>
        <stp/>
        <stp>BOOK0</stp>
        <stp>VOV</stp>
        <stp>849</stp>
        <tr r="D853" s="2"/>
      </tp>
      <tp t="s">
        <v>Ferramenta Inválida</v>
        <stp/>
        <stp>BOOK0</stp>
        <stp>VOV</stp>
        <stp>844</stp>
        <tr r="D848" s="2"/>
      </tp>
      <tp t="s">
        <v>Ferramenta Inválida</v>
        <stp/>
        <stp>BOOK0</stp>
        <stp>VOV</stp>
        <stp>845</stp>
        <tr r="D849" s="2"/>
      </tp>
      <tp t="s">
        <v>Ferramenta Inválida</v>
        <stp/>
        <stp>BOOK0</stp>
        <stp>VOV</stp>
        <stp>846</stp>
        <tr r="D850" s="2"/>
      </tp>
      <tp t="s">
        <v>Ferramenta Inválida</v>
        <stp/>
        <stp>BOOK0</stp>
        <stp>VOV</stp>
        <stp>847</stp>
        <tr r="D851" s="2"/>
      </tp>
      <tp t="s">
        <v>Ferramenta Inválida</v>
        <stp/>
        <stp>BOOK0</stp>
        <stp>VOV</stp>
        <stp>840</stp>
        <tr r="D844" s="2"/>
      </tp>
      <tp t="s">
        <v>Ferramenta Inválida</v>
        <stp/>
        <stp>BOOK0</stp>
        <stp>VOV</stp>
        <stp>841</stp>
        <tr r="D845" s="2"/>
      </tp>
      <tp t="s">
        <v>Ferramenta Inválida</v>
        <stp/>
        <stp>BOOK0</stp>
        <stp>VOV</stp>
        <stp>842</stp>
        <tr r="D846" s="2"/>
      </tp>
      <tp t="s">
        <v>Ferramenta Inválida</v>
        <stp/>
        <stp>BOOK0</stp>
        <stp>VOV</stp>
        <stp>843</stp>
        <tr r="D847" s="2"/>
      </tp>
      <tp t="s">
        <v>Ferramenta Inválida</v>
        <stp/>
        <stp>BOOK0</stp>
        <stp>VOC</stp>
        <stp>849</stp>
        <tr r="A853" s="2"/>
      </tp>
      <tp t="s">
        <v>Ferramenta Inválida</v>
        <stp/>
        <stp>BOOK0</stp>
        <stp>VOC</stp>
        <stp>848</stp>
        <tr r="A852" s="2"/>
      </tp>
      <tp t="s">
        <v>Ferramenta Inválida</v>
        <stp/>
        <stp>BOOK0</stp>
        <stp>VOC</stp>
        <stp>841</stp>
        <tr r="A845" s="2"/>
      </tp>
      <tp t="s">
        <v>Ferramenta Inválida</v>
        <stp/>
        <stp>BOOK0</stp>
        <stp>VOC</stp>
        <stp>840</stp>
        <tr r="A844" s="2"/>
      </tp>
      <tp t="s">
        <v>Ferramenta Inválida</v>
        <stp/>
        <stp>BOOK0</stp>
        <stp>VOC</stp>
        <stp>843</stp>
        <tr r="A847" s="2"/>
      </tp>
      <tp t="s">
        <v>Ferramenta Inválida</v>
        <stp/>
        <stp>BOOK0</stp>
        <stp>VOC</stp>
        <stp>842</stp>
        <tr r="A846" s="2"/>
      </tp>
      <tp t="s">
        <v>Ferramenta Inválida</v>
        <stp/>
        <stp>BOOK0</stp>
        <stp>VOC</stp>
        <stp>845</stp>
        <tr r="A849" s="2"/>
      </tp>
      <tp t="s">
        <v>Ferramenta Inválida</v>
        <stp/>
        <stp>BOOK0</stp>
        <stp>VOC</stp>
        <stp>844</stp>
        <tr r="A848" s="2"/>
      </tp>
      <tp t="s">
        <v>Ferramenta Inválida</v>
        <stp/>
        <stp>BOOK0</stp>
        <stp>VOC</stp>
        <stp>847</stp>
        <tr r="A851" s="2"/>
      </tp>
      <tp t="s">
        <v>Ferramenta Inválida</v>
        <stp/>
        <stp>BOOK0</stp>
        <stp>VOC</stp>
        <stp>846</stp>
        <tr r="A850" s="2"/>
      </tp>
      <tp t="s">
        <v>Ferramenta Inválida</v>
        <stp/>
        <stp>BOOK0</stp>
        <stp>VOV</stp>
        <stp>878</stp>
        <tr r="D882" s="2"/>
      </tp>
      <tp t="s">
        <v>Ferramenta Inválida</v>
        <stp/>
        <stp>BOOK0</stp>
        <stp>VOV</stp>
        <stp>879</stp>
        <tr r="D883" s="2"/>
      </tp>
      <tp t="s">
        <v>Ferramenta Inválida</v>
        <stp/>
        <stp>BOOK0</stp>
        <stp>VOV</stp>
        <stp>874</stp>
        <tr r="D878" s="2"/>
      </tp>
      <tp t="s">
        <v>Ferramenta Inválida</v>
        <stp/>
        <stp>BOOK0</stp>
        <stp>VOV</stp>
        <stp>875</stp>
        <tr r="D879" s="2"/>
      </tp>
      <tp t="s">
        <v>Ferramenta Inválida</v>
        <stp/>
        <stp>BOOK0</stp>
        <stp>VOV</stp>
        <stp>876</stp>
        <tr r="D880" s="2"/>
      </tp>
      <tp t="s">
        <v>Ferramenta Inválida</v>
        <stp/>
        <stp>BOOK0</stp>
        <stp>VOV</stp>
        <stp>877</stp>
        <tr r="D881" s="2"/>
      </tp>
      <tp t="s">
        <v>Ferramenta Inválida</v>
        <stp/>
        <stp>BOOK0</stp>
        <stp>VOV</stp>
        <stp>870</stp>
        <tr r="D874" s="2"/>
      </tp>
      <tp t="s">
        <v>Ferramenta Inválida</v>
        <stp/>
        <stp>BOOK0</stp>
        <stp>VOV</stp>
        <stp>871</stp>
        <tr r="D875" s="2"/>
      </tp>
      <tp t="s">
        <v>Ferramenta Inválida</v>
        <stp/>
        <stp>BOOK0</stp>
        <stp>VOV</stp>
        <stp>872</stp>
        <tr r="D876" s="2"/>
      </tp>
      <tp t="s">
        <v>Ferramenta Inválida</v>
        <stp/>
        <stp>BOOK0</stp>
        <stp>VOV</stp>
        <stp>873</stp>
        <tr r="D877" s="2"/>
      </tp>
      <tp t="s">
        <v>Ferramenta Inválida</v>
        <stp/>
        <stp>BOOK0</stp>
        <stp>VOC</stp>
        <stp>879</stp>
        <tr r="A883" s="2"/>
      </tp>
      <tp t="s">
        <v>Ferramenta Inválida</v>
        <stp/>
        <stp>BOOK0</stp>
        <stp>VOC</stp>
        <stp>878</stp>
        <tr r="A882" s="2"/>
      </tp>
      <tp t="s">
        <v>Ferramenta Inválida</v>
        <stp/>
        <stp>BOOK0</stp>
        <stp>VOC</stp>
        <stp>871</stp>
        <tr r="A875" s="2"/>
      </tp>
      <tp t="s">
        <v>Ferramenta Inválida</v>
        <stp/>
        <stp>BOOK0</stp>
        <stp>VOC</stp>
        <stp>870</stp>
        <tr r="A874" s="2"/>
      </tp>
      <tp t="s">
        <v>Ferramenta Inválida</v>
        <stp/>
        <stp>BOOK0</stp>
        <stp>VOC</stp>
        <stp>873</stp>
        <tr r="A877" s="2"/>
      </tp>
      <tp t="s">
        <v>Ferramenta Inválida</v>
        <stp/>
        <stp>BOOK0</stp>
        <stp>VOC</stp>
        <stp>872</stp>
        <tr r="A876" s="2"/>
      </tp>
      <tp t="s">
        <v>Ferramenta Inválida</v>
        <stp/>
        <stp>BOOK0</stp>
        <stp>VOC</stp>
        <stp>875</stp>
        <tr r="A879" s="2"/>
      </tp>
      <tp t="s">
        <v>Ferramenta Inválida</v>
        <stp/>
        <stp>BOOK0</stp>
        <stp>VOC</stp>
        <stp>874</stp>
        <tr r="A878" s="2"/>
      </tp>
      <tp t="s">
        <v>Ferramenta Inválida</v>
        <stp/>
        <stp>BOOK0</stp>
        <stp>VOC</stp>
        <stp>877</stp>
        <tr r="A881" s="2"/>
      </tp>
      <tp t="s">
        <v>Ferramenta Inválida</v>
        <stp/>
        <stp>BOOK0</stp>
        <stp>VOC</stp>
        <stp>876</stp>
        <tr r="A880" s="2"/>
      </tp>
      <tp t="s">
        <v>Ferramenta Inválida</v>
        <stp/>
        <stp>BOOK0</stp>
        <stp>VOV</stp>
        <stp>868</stp>
        <tr r="D872" s="2"/>
      </tp>
      <tp t="s">
        <v>Ferramenta Inválida</v>
        <stp/>
        <stp>BOOK0</stp>
        <stp>VOV</stp>
        <stp>869</stp>
        <tr r="D873" s="2"/>
      </tp>
      <tp t="s">
        <v>Ferramenta Inválida</v>
        <stp/>
        <stp>BOOK0</stp>
        <stp>VOV</stp>
        <stp>864</stp>
        <tr r="D868" s="2"/>
      </tp>
      <tp t="s">
        <v>Ferramenta Inválida</v>
        <stp/>
        <stp>BOOK0</stp>
        <stp>VOV</stp>
        <stp>865</stp>
        <tr r="D869" s="2"/>
      </tp>
      <tp t="s">
        <v>Ferramenta Inválida</v>
        <stp/>
        <stp>BOOK0</stp>
        <stp>VOV</stp>
        <stp>866</stp>
        <tr r="D870" s="2"/>
      </tp>
      <tp t="s">
        <v>Ferramenta Inválida</v>
        <stp/>
        <stp>BOOK0</stp>
        <stp>VOV</stp>
        <stp>867</stp>
        <tr r="D871" s="2"/>
      </tp>
      <tp t="s">
        <v>Ferramenta Inválida</v>
        <stp/>
        <stp>BOOK0</stp>
        <stp>VOV</stp>
        <stp>860</stp>
        <tr r="D864" s="2"/>
      </tp>
      <tp t="s">
        <v>Ferramenta Inválida</v>
        <stp/>
        <stp>BOOK0</stp>
        <stp>VOV</stp>
        <stp>861</stp>
        <tr r="D865" s="2"/>
      </tp>
      <tp t="s">
        <v>Ferramenta Inválida</v>
        <stp/>
        <stp>BOOK0</stp>
        <stp>VOV</stp>
        <stp>862</stp>
        <tr r="D866" s="2"/>
      </tp>
      <tp t="s">
        <v>Ferramenta Inválida</v>
        <stp/>
        <stp>BOOK0</stp>
        <stp>VOV</stp>
        <stp>863</stp>
        <tr r="D867" s="2"/>
      </tp>
      <tp t="s">
        <v>Ferramenta Inválida</v>
        <stp/>
        <stp>BOOK0</stp>
        <stp>VOC</stp>
        <stp>869</stp>
        <tr r="A873" s="2"/>
      </tp>
      <tp t="s">
        <v>Ferramenta Inválida</v>
        <stp/>
        <stp>BOOK0</stp>
        <stp>VOC</stp>
        <stp>868</stp>
        <tr r="A872" s="2"/>
      </tp>
      <tp t="s">
        <v>Ferramenta Inválida</v>
        <stp/>
        <stp>BOOK0</stp>
        <stp>VOC</stp>
        <stp>861</stp>
        <tr r="A865" s="2"/>
      </tp>
      <tp t="s">
        <v>Ferramenta Inválida</v>
        <stp/>
        <stp>BOOK0</stp>
        <stp>VOC</stp>
        <stp>860</stp>
        <tr r="A864" s="2"/>
      </tp>
      <tp t="s">
        <v>Ferramenta Inválida</v>
        <stp/>
        <stp>BOOK0</stp>
        <stp>VOC</stp>
        <stp>863</stp>
        <tr r="A867" s="2"/>
      </tp>
      <tp t="s">
        <v>Ferramenta Inválida</v>
        <stp/>
        <stp>BOOK0</stp>
        <stp>VOC</stp>
        <stp>862</stp>
        <tr r="A866" s="2"/>
      </tp>
      <tp t="s">
        <v>Ferramenta Inválida</v>
        <stp/>
        <stp>BOOK0</stp>
        <stp>VOC</stp>
        <stp>865</stp>
        <tr r="A869" s="2"/>
      </tp>
      <tp t="s">
        <v>Ferramenta Inválida</v>
        <stp/>
        <stp>BOOK0</stp>
        <stp>VOC</stp>
        <stp>864</stp>
        <tr r="A868" s="2"/>
      </tp>
      <tp t="s">
        <v>Ferramenta Inválida</v>
        <stp/>
        <stp>BOOK0</stp>
        <stp>VOC</stp>
        <stp>867</stp>
        <tr r="A871" s="2"/>
      </tp>
      <tp t="s">
        <v>Ferramenta Inválida</v>
        <stp/>
        <stp>BOOK0</stp>
        <stp>VOC</stp>
        <stp>866</stp>
        <tr r="A870" s="2"/>
      </tp>
      <tp t="s">
        <v>Ferramenta Inválida</v>
        <stp/>
        <stp>BOOK0</stp>
        <stp>VOV</stp>
        <stp>898</stp>
        <tr r="D902" s="2"/>
      </tp>
      <tp t="s">
        <v>Ferramenta Inválida</v>
        <stp/>
        <stp>BOOK0</stp>
        <stp>VOV</stp>
        <stp>899</stp>
        <tr r="D903" s="2"/>
      </tp>
      <tp t="s">
        <v>Ferramenta Inválida</v>
        <stp/>
        <stp>BOOK0</stp>
        <stp>VOV</stp>
        <stp>894</stp>
        <tr r="D898" s="2"/>
      </tp>
      <tp t="s">
        <v>Ferramenta Inválida</v>
        <stp/>
        <stp>BOOK0</stp>
        <stp>VOV</stp>
        <stp>895</stp>
        <tr r="D899" s="2"/>
      </tp>
      <tp t="s">
        <v>Ferramenta Inválida</v>
        <stp/>
        <stp>BOOK0</stp>
        <stp>VOV</stp>
        <stp>896</stp>
        <tr r="D900" s="2"/>
      </tp>
      <tp t="s">
        <v>Ferramenta Inválida</v>
        <stp/>
        <stp>BOOK0</stp>
        <stp>VOV</stp>
        <stp>897</stp>
        <tr r="D901" s="2"/>
      </tp>
      <tp t="s">
        <v>Ferramenta Inválida</v>
        <stp/>
        <stp>BOOK0</stp>
        <stp>VOV</stp>
        <stp>890</stp>
        <tr r="D894" s="2"/>
      </tp>
      <tp t="s">
        <v>Ferramenta Inválida</v>
        <stp/>
        <stp>BOOK0</stp>
        <stp>VOV</stp>
        <stp>891</stp>
        <tr r="D895" s="2"/>
      </tp>
      <tp t="s">
        <v>Ferramenta Inválida</v>
        <stp/>
        <stp>BOOK0</stp>
        <stp>VOV</stp>
        <stp>892</stp>
        <tr r="D896" s="2"/>
      </tp>
      <tp t="s">
        <v>Ferramenta Inválida</v>
        <stp/>
        <stp>BOOK0</stp>
        <stp>VOV</stp>
        <stp>893</stp>
        <tr r="D897" s="2"/>
      </tp>
      <tp t="s">
        <v>Ferramenta Inválida</v>
        <stp/>
        <stp>BOOK0</stp>
        <stp>VOC</stp>
        <stp>899</stp>
        <tr r="A903" s="2"/>
      </tp>
      <tp t="s">
        <v>Ferramenta Inválida</v>
        <stp/>
        <stp>BOOK0</stp>
        <stp>VOC</stp>
        <stp>898</stp>
        <tr r="A902" s="2"/>
      </tp>
      <tp t="s">
        <v>Ferramenta Inválida</v>
        <stp/>
        <stp>BOOK0</stp>
        <stp>VOC</stp>
        <stp>891</stp>
        <tr r="A895" s="2"/>
      </tp>
      <tp t="s">
        <v>Ferramenta Inválida</v>
        <stp/>
        <stp>BOOK0</stp>
        <stp>VOC</stp>
        <stp>890</stp>
        <tr r="A894" s="2"/>
      </tp>
      <tp t="s">
        <v>Ferramenta Inválida</v>
        <stp/>
        <stp>BOOK0</stp>
        <stp>VOC</stp>
        <stp>893</stp>
        <tr r="A897" s="2"/>
      </tp>
      <tp t="s">
        <v>Ferramenta Inválida</v>
        <stp/>
        <stp>BOOK0</stp>
        <stp>VOC</stp>
        <stp>892</stp>
        <tr r="A896" s="2"/>
      </tp>
      <tp t="s">
        <v>Ferramenta Inválida</v>
        <stp/>
        <stp>BOOK0</stp>
        <stp>VOC</stp>
        <stp>895</stp>
        <tr r="A899" s="2"/>
      </tp>
      <tp t="s">
        <v>Ferramenta Inválida</v>
        <stp/>
        <stp>BOOK0</stp>
        <stp>VOC</stp>
        <stp>894</stp>
        <tr r="A898" s="2"/>
      </tp>
      <tp t="s">
        <v>Ferramenta Inválida</v>
        <stp/>
        <stp>BOOK0</stp>
        <stp>VOC</stp>
        <stp>897</stp>
        <tr r="A901" s="2"/>
      </tp>
      <tp t="s">
        <v>Ferramenta Inválida</v>
        <stp/>
        <stp>BOOK0</stp>
        <stp>VOC</stp>
        <stp>896</stp>
        <tr r="A900" s="2"/>
      </tp>
      <tp t="s">
        <v>Ferramenta Inválida</v>
        <stp/>
        <stp>BOOK0</stp>
        <stp>VOV</stp>
        <stp>888</stp>
        <tr r="D892" s="2"/>
      </tp>
      <tp t="s">
        <v>Ferramenta Inválida</v>
        <stp/>
        <stp>BOOK0</stp>
        <stp>VOV</stp>
        <stp>889</stp>
        <tr r="D893" s="2"/>
      </tp>
      <tp t="s">
        <v>Ferramenta Inválida</v>
        <stp/>
        <stp>BOOK0</stp>
        <stp>VOV</stp>
        <stp>884</stp>
        <tr r="D888" s="2"/>
      </tp>
      <tp t="s">
        <v>Ferramenta Inválida</v>
        <stp/>
        <stp>BOOK0</stp>
        <stp>VOV</stp>
        <stp>885</stp>
        <tr r="D889" s="2"/>
      </tp>
      <tp t="s">
        <v>Ferramenta Inválida</v>
        <stp/>
        <stp>BOOK0</stp>
        <stp>VOV</stp>
        <stp>886</stp>
        <tr r="D890" s="2"/>
      </tp>
      <tp t="s">
        <v>Ferramenta Inválida</v>
        <stp/>
        <stp>BOOK0</stp>
        <stp>VOV</stp>
        <stp>887</stp>
        <tr r="D891" s="2"/>
      </tp>
      <tp t="s">
        <v>Ferramenta Inválida</v>
        <stp/>
        <stp>BOOK0</stp>
        <stp>VOV</stp>
        <stp>880</stp>
        <tr r="D884" s="2"/>
      </tp>
      <tp t="s">
        <v>Ferramenta Inválida</v>
        <stp/>
        <stp>BOOK0</stp>
        <stp>VOV</stp>
        <stp>881</stp>
        <tr r="D885" s="2"/>
      </tp>
      <tp t="s">
        <v>Ferramenta Inválida</v>
        <stp/>
        <stp>BOOK0</stp>
        <stp>VOV</stp>
        <stp>882</stp>
        <tr r="D886" s="2"/>
      </tp>
      <tp t="s">
        <v>Ferramenta Inválida</v>
        <stp/>
        <stp>BOOK0</stp>
        <stp>VOV</stp>
        <stp>883</stp>
        <tr r="D887" s="2"/>
      </tp>
      <tp t="s">
        <v>Ferramenta Inválida</v>
        <stp/>
        <stp>BOOK0</stp>
        <stp>VOC</stp>
        <stp>889</stp>
        <tr r="A893" s="2"/>
      </tp>
      <tp t="s">
        <v>Ferramenta Inválida</v>
        <stp/>
        <stp>BOOK0</stp>
        <stp>VOC</stp>
        <stp>888</stp>
        <tr r="A892" s="2"/>
      </tp>
      <tp t="s">
        <v>Ferramenta Inválida</v>
        <stp/>
        <stp>BOOK0</stp>
        <stp>VOC</stp>
        <stp>881</stp>
        <tr r="A885" s="2"/>
      </tp>
      <tp t="s">
        <v>Ferramenta Inválida</v>
        <stp/>
        <stp>BOOK0</stp>
        <stp>VOC</stp>
        <stp>880</stp>
        <tr r="A884" s="2"/>
      </tp>
      <tp t="s">
        <v>Ferramenta Inválida</v>
        <stp/>
        <stp>BOOK0</stp>
        <stp>VOC</stp>
        <stp>883</stp>
        <tr r="A887" s="2"/>
      </tp>
      <tp t="s">
        <v>Ferramenta Inválida</v>
        <stp/>
        <stp>BOOK0</stp>
        <stp>VOC</stp>
        <stp>882</stp>
        <tr r="A886" s="2"/>
      </tp>
      <tp t="s">
        <v>Ferramenta Inválida</v>
        <stp/>
        <stp>BOOK0</stp>
        <stp>VOC</stp>
        <stp>885</stp>
        <tr r="A889" s="2"/>
      </tp>
      <tp t="s">
        <v>Ferramenta Inválida</v>
        <stp/>
        <stp>BOOK0</stp>
        <stp>VOC</stp>
        <stp>884</stp>
        <tr r="A888" s="2"/>
      </tp>
      <tp t="s">
        <v>Ferramenta Inválida</v>
        <stp/>
        <stp>BOOK0</stp>
        <stp>VOC</stp>
        <stp>887</stp>
        <tr r="A891" s="2"/>
      </tp>
      <tp t="s">
        <v>Ferramenta Inválida</v>
        <stp/>
        <stp>BOOK0</stp>
        <stp>VOC</stp>
        <stp>886</stp>
        <tr r="A890" s="2"/>
      </tp>
      <tp t="s">
        <v>Ferramenta Inválida</v>
        <stp/>
        <stp>BOOK0</stp>
        <stp>OVD</stp>
        <stp>888</stp>
        <tr r="C892" s="2"/>
      </tp>
      <tp t="s">
        <v>Ferramenta Inválida</v>
        <stp/>
        <stp>BOOK0</stp>
        <stp>OVD</stp>
        <stp>889</stp>
        <tr r="C893" s="2"/>
      </tp>
      <tp t="s">
        <v>Ferramenta Inválida</v>
        <stp/>
        <stp>BOOK0</stp>
        <stp>OVD</stp>
        <stp>886</stp>
        <tr r="C890" s="2"/>
      </tp>
      <tp t="s">
        <v>Ferramenta Inválida</v>
        <stp/>
        <stp>BOOK0</stp>
        <stp>OVD</stp>
        <stp>887</stp>
        <tr r="C891" s="2"/>
      </tp>
      <tp t="s">
        <v>Ferramenta Inválida</v>
        <stp/>
        <stp>BOOK0</stp>
        <stp>OVD</stp>
        <stp>884</stp>
        <tr r="C888" s="2"/>
      </tp>
      <tp t="s">
        <v>Ferramenta Inválida</v>
        <stp/>
        <stp>BOOK0</stp>
        <stp>OVD</stp>
        <stp>885</stp>
        <tr r="C889" s="2"/>
      </tp>
      <tp t="s">
        <v>Ferramenta Inválida</v>
        <stp/>
        <stp>BOOK0</stp>
        <stp>OVD</stp>
        <stp>882</stp>
        <tr r="C886" s="2"/>
      </tp>
      <tp t="s">
        <v>Ferramenta Inválida</v>
        <stp/>
        <stp>BOOK0</stp>
        <stp>OVD</stp>
        <stp>883</stp>
        <tr r="C887" s="2"/>
      </tp>
      <tp t="s">
        <v>Ferramenta Inválida</v>
        <stp/>
        <stp>BOOK0</stp>
        <stp>OVD</stp>
        <stp>880</stp>
        <tr r="C884" s="2"/>
      </tp>
      <tp t="s">
        <v>Ferramenta Inválida</v>
        <stp/>
        <stp>BOOK0</stp>
        <stp>OVD</stp>
        <stp>881</stp>
        <tr r="C885" s="2"/>
      </tp>
      <tp t="s">
        <v>Ferramenta Inválida</v>
        <stp/>
        <stp>BOOK0</stp>
        <stp>OVD</stp>
        <stp>898</stp>
        <tr r="C902" s="2"/>
      </tp>
      <tp t="s">
        <v>Ferramenta Inválida</v>
        <stp/>
        <stp>BOOK0</stp>
        <stp>OVD</stp>
        <stp>899</stp>
        <tr r="C903" s="2"/>
      </tp>
      <tp t="s">
        <v>Ferramenta Inválida</v>
        <stp/>
        <stp>BOOK0</stp>
        <stp>OVD</stp>
        <stp>896</stp>
        <tr r="C900" s="2"/>
      </tp>
      <tp t="s">
        <v>Ferramenta Inválida</v>
        <stp/>
        <stp>BOOK0</stp>
        <stp>OVD</stp>
        <stp>897</stp>
        <tr r="C901" s="2"/>
      </tp>
      <tp t="s">
        <v>Ferramenta Inválida</v>
        <stp/>
        <stp>BOOK0</stp>
        <stp>OVD</stp>
        <stp>894</stp>
        <tr r="C898" s="2"/>
      </tp>
      <tp t="s">
        <v>Ferramenta Inválida</v>
        <stp/>
        <stp>BOOK0</stp>
        <stp>OVD</stp>
        <stp>895</stp>
        <tr r="C899" s="2"/>
      </tp>
      <tp t="s">
        <v>Ferramenta Inválida</v>
        <stp/>
        <stp>BOOK0</stp>
        <stp>OVD</stp>
        <stp>892</stp>
        <tr r="C896" s="2"/>
      </tp>
      <tp t="s">
        <v>Ferramenta Inválida</v>
        <stp/>
        <stp>BOOK0</stp>
        <stp>OVD</stp>
        <stp>893</stp>
        <tr r="C897" s="2"/>
      </tp>
      <tp t="s">
        <v>Ferramenta Inválida</v>
        <stp/>
        <stp>BOOK0</stp>
        <stp>OVD</stp>
        <stp>890</stp>
        <tr r="C894" s="2"/>
      </tp>
      <tp t="s">
        <v>Ferramenta Inválida</v>
        <stp/>
        <stp>BOOK0</stp>
        <stp>OVD</stp>
        <stp>891</stp>
        <tr r="C895" s="2"/>
      </tp>
      <tp t="s">
        <v>Ferramenta Inválida</v>
        <stp/>
        <stp>BOOK0</stp>
        <stp>OVD</stp>
        <stp>808</stp>
        <tr r="C812" s="2"/>
      </tp>
      <tp t="s">
        <v>Ferramenta Inválida</v>
        <stp/>
        <stp>BOOK0</stp>
        <stp>OVD</stp>
        <stp>809</stp>
        <tr r="C813" s="2"/>
      </tp>
      <tp t="s">
        <v>Ferramenta Inválida</v>
        <stp/>
        <stp>BOOK0</stp>
        <stp>OVD</stp>
        <stp>806</stp>
        <tr r="C810" s="2"/>
      </tp>
      <tp t="s">
        <v>Ferramenta Inválida</v>
        <stp/>
        <stp>BOOK0</stp>
        <stp>OVD</stp>
        <stp>807</stp>
        <tr r="C811" s="2"/>
      </tp>
      <tp t="s">
        <v>Ferramenta Inválida</v>
        <stp/>
        <stp>BOOK0</stp>
        <stp>OVD</stp>
        <stp>804</stp>
        <tr r="C808" s="2"/>
      </tp>
      <tp t="s">
        <v>Ferramenta Inválida</v>
        <stp/>
        <stp>BOOK0</stp>
        <stp>OVD</stp>
        <stp>805</stp>
        <tr r="C809" s="2"/>
      </tp>
      <tp t="s">
        <v>Ferramenta Inválida</v>
        <stp/>
        <stp>BOOK0</stp>
        <stp>OVD</stp>
        <stp>802</stp>
        <tr r="C806" s="2"/>
      </tp>
      <tp t="s">
        <v>Ferramenta Inválida</v>
        <stp/>
        <stp>BOOK0</stp>
        <stp>OVD</stp>
        <stp>803</stp>
        <tr r="C807" s="2"/>
      </tp>
      <tp t="s">
        <v>Ferramenta Inválida</v>
        <stp/>
        <stp>BOOK0</stp>
        <stp>OVD</stp>
        <stp>800</stp>
        <tr r="C804" s="2"/>
      </tp>
      <tp t="s">
        <v>Ferramenta Inválida</v>
        <stp/>
        <stp>BOOK0</stp>
        <stp>OVD</stp>
        <stp>801</stp>
        <tr r="C805" s="2"/>
      </tp>
      <tp t="s">
        <v>Ferramenta Inválida</v>
        <stp/>
        <stp>BOOK0</stp>
        <stp>OVD</stp>
        <stp>818</stp>
        <tr r="C822" s="2"/>
      </tp>
      <tp t="s">
        <v>Ferramenta Inválida</v>
        <stp/>
        <stp>BOOK0</stp>
        <stp>OVD</stp>
        <stp>819</stp>
        <tr r="C823" s="2"/>
      </tp>
      <tp t="s">
        <v>Ferramenta Inválida</v>
        <stp/>
        <stp>BOOK0</stp>
        <stp>OVD</stp>
        <stp>816</stp>
        <tr r="C820" s="2"/>
      </tp>
      <tp t="s">
        <v>Ferramenta Inválida</v>
        <stp/>
        <stp>BOOK0</stp>
        <stp>OVD</stp>
        <stp>817</stp>
        <tr r="C821" s="2"/>
      </tp>
      <tp t="s">
        <v>Ferramenta Inválida</v>
        <stp/>
        <stp>BOOK0</stp>
        <stp>OVD</stp>
        <stp>814</stp>
        <tr r="C818" s="2"/>
      </tp>
      <tp t="s">
        <v>Ferramenta Inválida</v>
        <stp/>
        <stp>BOOK0</stp>
        <stp>OVD</stp>
        <stp>815</stp>
        <tr r="C819" s="2"/>
      </tp>
      <tp t="s">
        <v>Ferramenta Inválida</v>
        <stp/>
        <stp>BOOK0</stp>
        <stp>OVD</stp>
        <stp>812</stp>
        <tr r="C816" s="2"/>
      </tp>
      <tp t="s">
        <v>Ferramenta Inválida</v>
        <stp/>
        <stp>BOOK0</stp>
        <stp>OVD</stp>
        <stp>813</stp>
        <tr r="C817" s="2"/>
      </tp>
      <tp t="s">
        <v>Ferramenta Inválida</v>
        <stp/>
        <stp>BOOK0</stp>
        <stp>OVD</stp>
        <stp>810</stp>
        <tr r="C814" s="2"/>
      </tp>
      <tp t="s">
        <v>Ferramenta Inválida</v>
        <stp/>
        <stp>BOOK0</stp>
        <stp>OVD</stp>
        <stp>811</stp>
        <tr r="C815" s="2"/>
      </tp>
      <tp t="s">
        <v>Ferramenta Inválida</v>
        <stp/>
        <stp>BOOK0</stp>
        <stp>OVD</stp>
        <stp>828</stp>
        <tr r="C832" s="2"/>
      </tp>
      <tp t="s">
        <v>Ferramenta Inválida</v>
        <stp/>
        <stp>BOOK0</stp>
        <stp>OVD</stp>
        <stp>829</stp>
        <tr r="C833" s="2"/>
      </tp>
      <tp t="s">
        <v>Ferramenta Inválida</v>
        <stp/>
        <stp>BOOK0</stp>
        <stp>OVD</stp>
        <stp>826</stp>
        <tr r="C830" s="2"/>
      </tp>
      <tp t="s">
        <v>Ferramenta Inválida</v>
        <stp/>
        <stp>BOOK0</stp>
        <stp>OVD</stp>
        <stp>827</stp>
        <tr r="C831" s="2"/>
      </tp>
      <tp t="s">
        <v>Ferramenta Inválida</v>
        <stp/>
        <stp>BOOK0</stp>
        <stp>OVD</stp>
        <stp>824</stp>
        <tr r="C828" s="2"/>
      </tp>
      <tp t="s">
        <v>Ferramenta Inválida</v>
        <stp/>
        <stp>BOOK0</stp>
        <stp>OVD</stp>
        <stp>825</stp>
        <tr r="C829" s="2"/>
      </tp>
      <tp t="s">
        <v>Ferramenta Inválida</v>
        <stp/>
        <stp>BOOK0</stp>
        <stp>OVD</stp>
        <stp>822</stp>
        <tr r="C826" s="2"/>
      </tp>
      <tp t="s">
        <v>Ferramenta Inválida</v>
        <stp/>
        <stp>BOOK0</stp>
        <stp>OVD</stp>
        <stp>823</stp>
        <tr r="C827" s="2"/>
      </tp>
      <tp t="s">
        <v>Ferramenta Inválida</v>
        <stp/>
        <stp>BOOK0</stp>
        <stp>OVD</stp>
        <stp>820</stp>
        <tr r="C824" s="2"/>
      </tp>
      <tp t="s">
        <v>Ferramenta Inválida</v>
        <stp/>
        <stp>BOOK0</stp>
        <stp>OVD</stp>
        <stp>821</stp>
        <tr r="C825" s="2"/>
      </tp>
      <tp t="s">
        <v>Ferramenta Inválida</v>
        <stp/>
        <stp>BOOK0</stp>
        <stp>OVD</stp>
        <stp>838</stp>
        <tr r="C842" s="2"/>
      </tp>
      <tp t="s">
        <v>Ferramenta Inválida</v>
        <stp/>
        <stp>BOOK0</stp>
        <stp>OVD</stp>
        <stp>839</stp>
        <tr r="C843" s="2"/>
      </tp>
      <tp t="s">
        <v>Ferramenta Inválida</v>
        <stp/>
        <stp>BOOK0</stp>
        <stp>OVD</stp>
        <stp>836</stp>
        <tr r="C840" s="2"/>
      </tp>
      <tp t="s">
        <v>Ferramenta Inválida</v>
        <stp/>
        <stp>BOOK0</stp>
        <stp>OVD</stp>
        <stp>837</stp>
        <tr r="C841" s="2"/>
      </tp>
      <tp t="s">
        <v>Ferramenta Inválida</v>
        <stp/>
        <stp>BOOK0</stp>
        <stp>OVD</stp>
        <stp>834</stp>
        <tr r="C838" s="2"/>
      </tp>
      <tp t="s">
        <v>Ferramenta Inválida</v>
        <stp/>
        <stp>BOOK0</stp>
        <stp>OVD</stp>
        <stp>835</stp>
        <tr r="C839" s="2"/>
      </tp>
      <tp t="s">
        <v>Ferramenta Inválida</v>
        <stp/>
        <stp>BOOK0</stp>
        <stp>OVD</stp>
        <stp>832</stp>
        <tr r="C836" s="2"/>
      </tp>
      <tp t="s">
        <v>Ferramenta Inválida</v>
        <stp/>
        <stp>BOOK0</stp>
        <stp>OVD</stp>
        <stp>833</stp>
        <tr r="C837" s="2"/>
      </tp>
      <tp t="s">
        <v>Ferramenta Inválida</v>
        <stp/>
        <stp>BOOK0</stp>
        <stp>OVD</stp>
        <stp>830</stp>
        <tr r="C834" s="2"/>
      </tp>
      <tp t="s">
        <v>Ferramenta Inválida</v>
        <stp/>
        <stp>BOOK0</stp>
        <stp>OVD</stp>
        <stp>831</stp>
        <tr r="C835" s="2"/>
      </tp>
      <tp t="s">
        <v>Ferramenta Inválida</v>
        <stp/>
        <stp>BOOK0</stp>
        <stp>OVD</stp>
        <stp>848</stp>
        <tr r="C852" s="2"/>
      </tp>
      <tp t="s">
        <v>Ferramenta Inválida</v>
        <stp/>
        <stp>BOOK0</stp>
        <stp>OVD</stp>
        <stp>849</stp>
        <tr r="C853" s="2"/>
      </tp>
      <tp t="s">
        <v>Ferramenta Inválida</v>
        <stp/>
        <stp>BOOK0</stp>
        <stp>OVD</stp>
        <stp>846</stp>
        <tr r="C850" s="2"/>
      </tp>
      <tp t="s">
        <v>Ferramenta Inválida</v>
        <stp/>
        <stp>BOOK0</stp>
        <stp>OVD</stp>
        <stp>847</stp>
        <tr r="C851" s="2"/>
      </tp>
      <tp t="s">
        <v>Ferramenta Inválida</v>
        <stp/>
        <stp>BOOK0</stp>
        <stp>OVD</stp>
        <stp>844</stp>
        <tr r="C848" s="2"/>
      </tp>
      <tp t="s">
        <v>Ferramenta Inválida</v>
        <stp/>
        <stp>BOOK0</stp>
        <stp>OVD</stp>
        <stp>845</stp>
        <tr r="C849" s="2"/>
      </tp>
      <tp t="s">
        <v>Ferramenta Inválida</v>
        <stp/>
        <stp>BOOK0</stp>
        <stp>OVD</stp>
        <stp>842</stp>
        <tr r="C846" s="2"/>
      </tp>
      <tp t="s">
        <v>Ferramenta Inválida</v>
        <stp/>
        <stp>BOOK0</stp>
        <stp>OVD</stp>
        <stp>843</stp>
        <tr r="C847" s="2"/>
      </tp>
      <tp t="s">
        <v>Ferramenta Inválida</v>
        <stp/>
        <stp>BOOK0</stp>
        <stp>OVD</stp>
        <stp>840</stp>
        <tr r="C844" s="2"/>
      </tp>
      <tp t="s">
        <v>Ferramenta Inválida</v>
        <stp/>
        <stp>BOOK0</stp>
        <stp>OVD</stp>
        <stp>841</stp>
        <tr r="C845" s="2"/>
      </tp>
      <tp t="s">
        <v>Ferramenta Inválida</v>
        <stp/>
        <stp>BOOK0</stp>
        <stp>OVD</stp>
        <stp>858</stp>
        <tr r="C862" s="2"/>
      </tp>
      <tp t="s">
        <v>Ferramenta Inválida</v>
        <stp/>
        <stp>BOOK0</stp>
        <stp>OVD</stp>
        <stp>859</stp>
        <tr r="C863" s="2"/>
      </tp>
      <tp t="s">
        <v>Ferramenta Inválida</v>
        <stp/>
        <stp>BOOK0</stp>
        <stp>OVD</stp>
        <stp>856</stp>
        <tr r="C860" s="2"/>
      </tp>
      <tp t="s">
        <v>Ferramenta Inválida</v>
        <stp/>
        <stp>BOOK0</stp>
        <stp>OVD</stp>
        <stp>857</stp>
        <tr r="C861" s="2"/>
      </tp>
      <tp t="s">
        <v>Ferramenta Inválida</v>
        <stp/>
        <stp>BOOK0</stp>
        <stp>OVD</stp>
        <stp>854</stp>
        <tr r="C858" s="2"/>
      </tp>
      <tp t="s">
        <v>Ferramenta Inválida</v>
        <stp/>
        <stp>BOOK0</stp>
        <stp>OVD</stp>
        <stp>855</stp>
        <tr r="C859" s="2"/>
      </tp>
      <tp t="s">
        <v>Ferramenta Inválida</v>
        <stp/>
        <stp>BOOK0</stp>
        <stp>OVD</stp>
        <stp>852</stp>
        <tr r="C856" s="2"/>
      </tp>
      <tp t="s">
        <v>Ferramenta Inválida</v>
        <stp/>
        <stp>BOOK0</stp>
        <stp>OVD</stp>
        <stp>853</stp>
        <tr r="C857" s="2"/>
      </tp>
      <tp t="s">
        <v>Ferramenta Inválida</v>
        <stp/>
        <stp>BOOK0</stp>
        <stp>OVD</stp>
        <stp>850</stp>
        <tr r="C854" s="2"/>
      </tp>
      <tp t="s">
        <v>Ferramenta Inválida</v>
        <stp/>
        <stp>BOOK0</stp>
        <stp>OVD</stp>
        <stp>851</stp>
        <tr r="C855" s="2"/>
      </tp>
      <tp t="s">
        <v>Ferramenta Inválida</v>
        <stp/>
        <stp>BOOK0</stp>
        <stp>OVD</stp>
        <stp>868</stp>
        <tr r="C872" s="2"/>
      </tp>
      <tp t="s">
        <v>Ferramenta Inválida</v>
        <stp/>
        <stp>BOOK0</stp>
        <stp>OVD</stp>
        <stp>869</stp>
        <tr r="C873" s="2"/>
      </tp>
      <tp t="s">
        <v>Ferramenta Inválida</v>
        <stp/>
        <stp>BOOK0</stp>
        <stp>OVD</stp>
        <stp>866</stp>
        <tr r="C870" s="2"/>
      </tp>
      <tp t="s">
        <v>Ferramenta Inválida</v>
        <stp/>
        <stp>BOOK0</stp>
        <stp>OVD</stp>
        <stp>867</stp>
        <tr r="C871" s="2"/>
      </tp>
      <tp t="s">
        <v>Ferramenta Inválida</v>
        <stp/>
        <stp>BOOK0</stp>
        <stp>OVD</stp>
        <stp>864</stp>
        <tr r="C868" s="2"/>
      </tp>
      <tp t="s">
        <v>Ferramenta Inválida</v>
        <stp/>
        <stp>BOOK0</stp>
        <stp>OVD</stp>
        <stp>865</stp>
        <tr r="C869" s="2"/>
      </tp>
      <tp t="s">
        <v>Ferramenta Inválida</v>
        <stp/>
        <stp>BOOK0</stp>
        <stp>OVD</stp>
        <stp>862</stp>
        <tr r="C866" s="2"/>
      </tp>
      <tp t="s">
        <v>Ferramenta Inválida</v>
        <stp/>
        <stp>BOOK0</stp>
        <stp>OVD</stp>
        <stp>863</stp>
        <tr r="C867" s="2"/>
      </tp>
      <tp t="s">
        <v>Ferramenta Inválida</v>
        <stp/>
        <stp>BOOK0</stp>
        <stp>OVD</stp>
        <stp>860</stp>
        <tr r="C864" s="2"/>
      </tp>
      <tp t="s">
        <v>Ferramenta Inválida</v>
        <stp/>
        <stp>BOOK0</stp>
        <stp>OVD</stp>
        <stp>861</stp>
        <tr r="C865" s="2"/>
      </tp>
      <tp t="s">
        <v>Ferramenta Inválida</v>
        <stp/>
        <stp>BOOK0</stp>
        <stp>OVD</stp>
        <stp>878</stp>
        <tr r="C882" s="2"/>
      </tp>
      <tp t="s">
        <v>Ferramenta Inválida</v>
        <stp/>
        <stp>BOOK0</stp>
        <stp>OVD</stp>
        <stp>879</stp>
        <tr r="C883" s="2"/>
      </tp>
      <tp t="s">
        <v>Ferramenta Inválida</v>
        <stp/>
        <stp>BOOK0</stp>
        <stp>OVD</stp>
        <stp>876</stp>
        <tr r="C880" s="2"/>
      </tp>
      <tp t="s">
        <v>Ferramenta Inválida</v>
        <stp/>
        <stp>BOOK0</stp>
        <stp>OVD</stp>
        <stp>877</stp>
        <tr r="C881" s="2"/>
      </tp>
      <tp t="s">
        <v>Ferramenta Inválida</v>
        <stp/>
        <stp>BOOK0</stp>
        <stp>OVD</stp>
        <stp>874</stp>
        <tr r="C878" s="2"/>
      </tp>
      <tp t="s">
        <v>Ferramenta Inválida</v>
        <stp/>
        <stp>BOOK0</stp>
        <stp>OVD</stp>
        <stp>875</stp>
        <tr r="C879" s="2"/>
      </tp>
      <tp t="s">
        <v>Ferramenta Inválida</v>
        <stp/>
        <stp>BOOK0</stp>
        <stp>OVD</stp>
        <stp>872</stp>
        <tr r="C876" s="2"/>
      </tp>
      <tp t="s">
        <v>Ferramenta Inválida</v>
        <stp/>
        <stp>BOOK0</stp>
        <stp>OVD</stp>
        <stp>873</stp>
        <tr r="C877" s="2"/>
      </tp>
      <tp t="s">
        <v>Ferramenta Inválida</v>
        <stp/>
        <stp>BOOK0</stp>
        <stp>OVD</stp>
        <stp>870</stp>
        <tr r="C874" s="2"/>
      </tp>
      <tp t="s">
        <v>Ferramenta Inválida</v>
        <stp/>
        <stp>BOOK0</stp>
        <stp>OVD</stp>
        <stp>871</stp>
        <tr r="C875" s="2"/>
      </tp>
      <tp t="s">
        <v>Ferramenta Inválida</v>
        <stp/>
        <stp>BOOK0</stp>
        <stp>OCP</stp>
        <stp>898</stp>
        <tr r="B902" s="2"/>
      </tp>
      <tp t="s">
        <v>Ferramenta Inválida</v>
        <stp/>
        <stp>BOOK0</stp>
        <stp>OCP</stp>
        <stp>899</stp>
        <tr r="B903" s="2"/>
      </tp>
      <tp t="s">
        <v>Ferramenta Inválida</v>
        <stp/>
        <stp>BOOK0</stp>
        <stp>OCP</stp>
        <stp>892</stp>
        <tr r="B896" s="2"/>
      </tp>
      <tp t="s">
        <v>Ferramenta Inválida</v>
        <stp/>
        <stp>BOOK0</stp>
        <stp>OCP</stp>
        <stp>893</stp>
        <tr r="B897" s="2"/>
      </tp>
      <tp t="s">
        <v>Ferramenta Inválida</v>
        <stp/>
        <stp>BOOK0</stp>
        <stp>OCP</stp>
        <stp>890</stp>
        <tr r="B894" s="2"/>
      </tp>
      <tp t="s">
        <v>Ferramenta Inválida</v>
        <stp/>
        <stp>BOOK0</stp>
        <stp>OCP</stp>
        <stp>891</stp>
        <tr r="B895" s="2"/>
      </tp>
      <tp t="s">
        <v>Ferramenta Inválida</v>
        <stp/>
        <stp>BOOK0</stp>
        <stp>OCP</stp>
        <stp>896</stp>
        <tr r="B900" s="2"/>
      </tp>
      <tp t="s">
        <v>Ferramenta Inválida</v>
        <stp/>
        <stp>BOOK0</stp>
        <stp>OCP</stp>
        <stp>897</stp>
        <tr r="B901" s="2"/>
      </tp>
      <tp t="s">
        <v>Ferramenta Inválida</v>
        <stp/>
        <stp>BOOK0</stp>
        <stp>OCP</stp>
        <stp>894</stp>
        <tr r="B898" s="2"/>
      </tp>
      <tp t="s">
        <v>Ferramenta Inválida</v>
        <stp/>
        <stp>BOOK0</stp>
        <stp>OCP</stp>
        <stp>895</stp>
        <tr r="B899" s="2"/>
      </tp>
      <tp t="s">
        <v>Ferramenta Inválida</v>
        <stp/>
        <stp>BOOK0</stp>
        <stp>OCP</stp>
        <stp>888</stp>
        <tr r="B892" s="2"/>
      </tp>
      <tp t="s">
        <v>Ferramenta Inválida</v>
        <stp/>
        <stp>BOOK0</stp>
        <stp>OCP</stp>
        <stp>889</stp>
        <tr r="B893" s="2"/>
      </tp>
      <tp t="s">
        <v>Ferramenta Inválida</v>
        <stp/>
        <stp>BOOK0</stp>
        <stp>OCP</stp>
        <stp>882</stp>
        <tr r="B886" s="2"/>
      </tp>
      <tp t="s">
        <v>Ferramenta Inválida</v>
        <stp/>
        <stp>BOOK0</stp>
        <stp>OCP</stp>
        <stp>883</stp>
        <tr r="B887" s="2"/>
      </tp>
      <tp t="s">
        <v>Ferramenta Inválida</v>
        <stp/>
        <stp>BOOK0</stp>
        <stp>OCP</stp>
        <stp>880</stp>
        <tr r="B884" s="2"/>
      </tp>
      <tp t="s">
        <v>Ferramenta Inválida</v>
        <stp/>
        <stp>BOOK0</stp>
        <stp>OCP</stp>
        <stp>881</stp>
        <tr r="B885" s="2"/>
      </tp>
      <tp t="s">
        <v>Ferramenta Inválida</v>
        <stp/>
        <stp>BOOK0</stp>
        <stp>OCP</stp>
        <stp>886</stp>
        <tr r="B890" s="2"/>
      </tp>
      <tp t="s">
        <v>Ferramenta Inválida</v>
        <stp/>
        <stp>BOOK0</stp>
        <stp>OCP</stp>
        <stp>887</stp>
        <tr r="B891" s="2"/>
      </tp>
      <tp t="s">
        <v>Ferramenta Inválida</v>
        <stp/>
        <stp>BOOK0</stp>
        <stp>OCP</stp>
        <stp>884</stp>
        <tr r="B888" s="2"/>
      </tp>
      <tp t="s">
        <v>Ferramenta Inválida</v>
        <stp/>
        <stp>BOOK0</stp>
        <stp>OCP</stp>
        <stp>885</stp>
        <tr r="B889" s="2"/>
      </tp>
      <tp t="s">
        <v>Ferramenta Inválida</v>
        <stp/>
        <stp>BOOK0</stp>
        <stp>OCP</stp>
        <stp>858</stp>
        <tr r="B862" s="2"/>
      </tp>
      <tp t="s">
        <v>Ferramenta Inválida</v>
        <stp/>
        <stp>BOOK0</stp>
        <stp>OCP</stp>
        <stp>859</stp>
        <tr r="B863" s="2"/>
      </tp>
      <tp t="s">
        <v>Ferramenta Inválida</v>
        <stp/>
        <stp>BOOK0</stp>
        <stp>OCP</stp>
        <stp>852</stp>
        <tr r="B856" s="2"/>
      </tp>
      <tp t="s">
        <v>Ferramenta Inválida</v>
        <stp/>
        <stp>BOOK0</stp>
        <stp>OCP</stp>
        <stp>853</stp>
        <tr r="B857" s="2"/>
      </tp>
      <tp t="s">
        <v>Ferramenta Inválida</v>
        <stp/>
        <stp>BOOK0</stp>
        <stp>OCP</stp>
        <stp>850</stp>
        <tr r="B854" s="2"/>
      </tp>
      <tp t="s">
        <v>Ferramenta Inválida</v>
        <stp/>
        <stp>BOOK0</stp>
        <stp>OCP</stp>
        <stp>851</stp>
        <tr r="B855" s="2"/>
      </tp>
      <tp t="s">
        <v>Ferramenta Inválida</v>
        <stp/>
        <stp>BOOK0</stp>
        <stp>OCP</stp>
        <stp>856</stp>
        <tr r="B860" s="2"/>
      </tp>
      <tp t="s">
        <v>Ferramenta Inválida</v>
        <stp/>
        <stp>BOOK0</stp>
        <stp>OCP</stp>
        <stp>857</stp>
        <tr r="B861" s="2"/>
      </tp>
      <tp t="s">
        <v>Ferramenta Inválida</v>
        <stp/>
        <stp>BOOK0</stp>
        <stp>OCP</stp>
        <stp>854</stp>
        <tr r="B858" s="2"/>
      </tp>
      <tp t="s">
        <v>Ferramenta Inválida</v>
        <stp/>
        <stp>BOOK0</stp>
        <stp>OCP</stp>
        <stp>855</stp>
        <tr r="B859" s="2"/>
      </tp>
      <tp t="s">
        <v>Ferramenta Inválida</v>
        <stp/>
        <stp>BOOK0</stp>
        <stp>OCP</stp>
        <stp>848</stp>
        <tr r="B852" s="2"/>
      </tp>
      <tp t="s">
        <v>Ferramenta Inválida</v>
        <stp/>
        <stp>BOOK0</stp>
        <stp>OCP</stp>
        <stp>849</stp>
        <tr r="B853" s="2"/>
      </tp>
      <tp t="s">
        <v>Ferramenta Inválida</v>
        <stp/>
        <stp>BOOK0</stp>
        <stp>OCP</stp>
        <stp>842</stp>
        <tr r="B846" s="2"/>
      </tp>
      <tp t="s">
        <v>Ferramenta Inválida</v>
        <stp/>
        <stp>BOOK0</stp>
        <stp>OCP</stp>
        <stp>843</stp>
        <tr r="B847" s="2"/>
      </tp>
      <tp t="s">
        <v>Ferramenta Inválida</v>
        <stp/>
        <stp>BOOK0</stp>
        <stp>OCP</stp>
        <stp>840</stp>
        <tr r="B844" s="2"/>
      </tp>
      <tp t="s">
        <v>Ferramenta Inválida</v>
        <stp/>
        <stp>BOOK0</stp>
        <stp>OCP</stp>
        <stp>841</stp>
        <tr r="B845" s="2"/>
      </tp>
      <tp t="s">
        <v>Ferramenta Inválida</v>
        <stp/>
        <stp>BOOK0</stp>
        <stp>OCP</stp>
        <stp>846</stp>
        <tr r="B850" s="2"/>
      </tp>
      <tp t="s">
        <v>Ferramenta Inválida</v>
        <stp/>
        <stp>BOOK0</stp>
        <stp>OCP</stp>
        <stp>847</stp>
        <tr r="B851" s="2"/>
      </tp>
      <tp t="s">
        <v>Ferramenta Inválida</v>
        <stp/>
        <stp>BOOK0</stp>
        <stp>OCP</stp>
        <stp>844</stp>
        <tr r="B848" s="2"/>
      </tp>
      <tp t="s">
        <v>Ferramenta Inválida</v>
        <stp/>
        <stp>BOOK0</stp>
        <stp>OCP</stp>
        <stp>845</stp>
        <tr r="B849" s="2"/>
      </tp>
      <tp t="s">
        <v>Ferramenta Inválida</v>
        <stp/>
        <stp>BOOK0</stp>
        <stp>OCP</stp>
        <stp>878</stp>
        <tr r="B882" s="2"/>
      </tp>
      <tp t="s">
        <v>Ferramenta Inválida</v>
        <stp/>
        <stp>BOOK0</stp>
        <stp>OCP</stp>
        <stp>879</stp>
        <tr r="B883" s="2"/>
      </tp>
      <tp t="s">
        <v>Ferramenta Inválida</v>
        <stp/>
        <stp>BOOK0</stp>
        <stp>OCP</stp>
        <stp>872</stp>
        <tr r="B876" s="2"/>
      </tp>
      <tp t="s">
        <v>Ferramenta Inválida</v>
        <stp/>
        <stp>BOOK0</stp>
        <stp>OCP</stp>
        <stp>873</stp>
        <tr r="B877" s="2"/>
      </tp>
      <tp t="s">
        <v>Ferramenta Inválida</v>
        <stp/>
        <stp>BOOK0</stp>
        <stp>OCP</stp>
        <stp>870</stp>
        <tr r="B874" s="2"/>
      </tp>
      <tp t="s">
        <v>Ferramenta Inválida</v>
        <stp/>
        <stp>BOOK0</stp>
        <stp>OCP</stp>
        <stp>871</stp>
        <tr r="B875" s="2"/>
      </tp>
      <tp t="s">
        <v>Ferramenta Inválida</v>
        <stp/>
        <stp>BOOK0</stp>
        <stp>OCP</stp>
        <stp>876</stp>
        <tr r="B880" s="2"/>
      </tp>
      <tp t="s">
        <v>Ferramenta Inválida</v>
        <stp/>
        <stp>BOOK0</stp>
        <stp>OCP</stp>
        <stp>877</stp>
        <tr r="B881" s="2"/>
      </tp>
      <tp t="s">
        <v>Ferramenta Inválida</v>
        <stp/>
        <stp>BOOK0</stp>
        <stp>OCP</stp>
        <stp>874</stp>
        <tr r="B878" s="2"/>
      </tp>
      <tp t="s">
        <v>Ferramenta Inválida</v>
        <stp/>
        <stp>BOOK0</stp>
        <stp>OCP</stp>
        <stp>875</stp>
        <tr r="B879" s="2"/>
      </tp>
      <tp t="s">
        <v>Ferramenta Inválida</v>
        <stp/>
        <stp>BOOK0</stp>
        <stp>OCP</stp>
        <stp>868</stp>
        <tr r="B872" s="2"/>
      </tp>
      <tp t="s">
        <v>Ferramenta Inválida</v>
        <stp/>
        <stp>BOOK0</stp>
        <stp>OCP</stp>
        <stp>869</stp>
        <tr r="B873" s="2"/>
      </tp>
      <tp t="s">
        <v>Ferramenta Inválida</v>
        <stp/>
        <stp>BOOK0</stp>
        <stp>OCP</stp>
        <stp>862</stp>
        <tr r="B866" s="2"/>
      </tp>
      <tp t="s">
        <v>Ferramenta Inválida</v>
        <stp/>
        <stp>BOOK0</stp>
        <stp>OCP</stp>
        <stp>863</stp>
        <tr r="B867" s="2"/>
      </tp>
      <tp t="s">
        <v>Ferramenta Inválida</v>
        <stp/>
        <stp>BOOK0</stp>
        <stp>OCP</stp>
        <stp>860</stp>
        <tr r="B864" s="2"/>
      </tp>
      <tp t="s">
        <v>Ferramenta Inválida</v>
        <stp/>
        <stp>BOOK0</stp>
        <stp>OCP</stp>
        <stp>861</stp>
        <tr r="B865" s="2"/>
      </tp>
      <tp t="s">
        <v>Ferramenta Inválida</v>
        <stp/>
        <stp>BOOK0</stp>
        <stp>OCP</stp>
        <stp>866</stp>
        <tr r="B870" s="2"/>
      </tp>
      <tp t="s">
        <v>Ferramenta Inválida</v>
        <stp/>
        <stp>BOOK0</stp>
        <stp>OCP</stp>
        <stp>867</stp>
        <tr r="B871" s="2"/>
      </tp>
      <tp t="s">
        <v>Ferramenta Inválida</v>
        <stp/>
        <stp>BOOK0</stp>
        <stp>OCP</stp>
        <stp>864</stp>
        <tr r="B868" s="2"/>
      </tp>
      <tp t="s">
        <v>Ferramenta Inválida</v>
        <stp/>
        <stp>BOOK0</stp>
        <stp>OCP</stp>
        <stp>865</stp>
        <tr r="B869" s="2"/>
      </tp>
      <tp t="s">
        <v>Ferramenta Inválida</v>
        <stp/>
        <stp>BOOK0</stp>
        <stp>OCP</stp>
        <stp>818</stp>
        <tr r="B822" s="2"/>
      </tp>
      <tp t="s">
        <v>Ferramenta Inválida</v>
        <stp/>
        <stp>BOOK0</stp>
        <stp>OCP</stp>
        <stp>819</stp>
        <tr r="B823" s="2"/>
      </tp>
      <tp t="s">
        <v>Ferramenta Inválida</v>
        <stp/>
        <stp>BOOK0</stp>
        <stp>OCP</stp>
        <stp>812</stp>
        <tr r="B816" s="2"/>
      </tp>
      <tp t="s">
        <v>Ferramenta Inválida</v>
        <stp/>
        <stp>BOOK0</stp>
        <stp>OCP</stp>
        <stp>813</stp>
        <tr r="B817" s="2"/>
      </tp>
      <tp t="s">
        <v>Ferramenta Inválida</v>
        <stp/>
        <stp>BOOK0</stp>
        <stp>OCP</stp>
        <stp>810</stp>
        <tr r="B814" s="2"/>
      </tp>
      <tp t="s">
        <v>Ferramenta Inválida</v>
        <stp/>
        <stp>BOOK0</stp>
        <stp>OCP</stp>
        <stp>811</stp>
        <tr r="B815" s="2"/>
      </tp>
      <tp t="s">
        <v>Ferramenta Inválida</v>
        <stp/>
        <stp>BOOK0</stp>
        <stp>OCP</stp>
        <stp>816</stp>
        <tr r="B820" s="2"/>
      </tp>
      <tp t="s">
        <v>Ferramenta Inválida</v>
        <stp/>
        <stp>BOOK0</stp>
        <stp>OCP</stp>
        <stp>817</stp>
        <tr r="B821" s="2"/>
      </tp>
      <tp t="s">
        <v>Ferramenta Inválida</v>
        <stp/>
        <stp>BOOK0</stp>
        <stp>OCP</stp>
        <stp>814</stp>
        <tr r="B818" s="2"/>
      </tp>
      <tp t="s">
        <v>Ferramenta Inválida</v>
        <stp/>
        <stp>BOOK0</stp>
        <stp>OCP</stp>
        <stp>815</stp>
        <tr r="B819" s="2"/>
      </tp>
      <tp t="s">
        <v>Ferramenta Inválida</v>
        <stp/>
        <stp>BOOK0</stp>
        <stp>OCP</stp>
        <stp>808</stp>
        <tr r="B812" s="2"/>
      </tp>
      <tp t="s">
        <v>Ferramenta Inválida</v>
        <stp/>
        <stp>BOOK0</stp>
        <stp>OCP</stp>
        <stp>809</stp>
        <tr r="B813" s="2"/>
      </tp>
      <tp t="s">
        <v>Ferramenta Inválida</v>
        <stp/>
        <stp>BOOK0</stp>
        <stp>OCP</stp>
        <stp>802</stp>
        <tr r="B806" s="2"/>
      </tp>
      <tp t="s">
        <v>Ferramenta Inválida</v>
        <stp/>
        <stp>BOOK0</stp>
        <stp>OCP</stp>
        <stp>803</stp>
        <tr r="B807" s="2"/>
      </tp>
      <tp t="s">
        <v>Ferramenta Inválida</v>
        <stp/>
        <stp>BOOK0</stp>
        <stp>OCP</stp>
        <stp>800</stp>
        <tr r="B804" s="2"/>
      </tp>
      <tp t="s">
        <v>Ferramenta Inválida</v>
        <stp/>
        <stp>BOOK0</stp>
        <stp>OCP</stp>
        <stp>801</stp>
        <tr r="B805" s="2"/>
      </tp>
      <tp t="s">
        <v>Ferramenta Inválida</v>
        <stp/>
        <stp>BOOK0</stp>
        <stp>OCP</stp>
        <stp>806</stp>
        <tr r="B810" s="2"/>
      </tp>
      <tp t="s">
        <v>Ferramenta Inválida</v>
        <stp/>
        <stp>BOOK0</stp>
        <stp>OCP</stp>
        <stp>807</stp>
        <tr r="B811" s="2"/>
      </tp>
      <tp t="s">
        <v>Ferramenta Inválida</v>
        <stp/>
        <stp>BOOK0</stp>
        <stp>OCP</stp>
        <stp>804</stp>
        <tr r="B808" s="2"/>
      </tp>
      <tp t="s">
        <v>Ferramenta Inválida</v>
        <stp/>
        <stp>BOOK0</stp>
        <stp>OCP</stp>
        <stp>805</stp>
        <tr r="B809" s="2"/>
      </tp>
      <tp t="s">
        <v>Ferramenta Inválida</v>
        <stp/>
        <stp>BOOK0</stp>
        <stp>OCP</stp>
        <stp>838</stp>
        <tr r="B842" s="2"/>
      </tp>
      <tp t="s">
        <v>Ferramenta Inválida</v>
        <stp/>
        <stp>BOOK0</stp>
        <stp>OCP</stp>
        <stp>839</stp>
        <tr r="B843" s="2"/>
      </tp>
      <tp t="s">
        <v>Ferramenta Inválida</v>
        <stp/>
        <stp>BOOK0</stp>
        <stp>OCP</stp>
        <stp>832</stp>
        <tr r="B836" s="2"/>
      </tp>
      <tp t="s">
        <v>Ferramenta Inválida</v>
        <stp/>
        <stp>BOOK0</stp>
        <stp>OCP</stp>
        <stp>833</stp>
        <tr r="B837" s="2"/>
      </tp>
      <tp t="s">
        <v>Ferramenta Inválida</v>
        <stp/>
        <stp>BOOK0</stp>
        <stp>OCP</stp>
        <stp>830</stp>
        <tr r="B834" s="2"/>
      </tp>
      <tp t="s">
        <v>Ferramenta Inválida</v>
        <stp/>
        <stp>BOOK0</stp>
        <stp>OCP</stp>
        <stp>831</stp>
        <tr r="B835" s="2"/>
      </tp>
      <tp t="s">
        <v>Ferramenta Inválida</v>
        <stp/>
        <stp>BOOK0</stp>
        <stp>OCP</stp>
        <stp>836</stp>
        <tr r="B840" s="2"/>
      </tp>
      <tp t="s">
        <v>Ferramenta Inválida</v>
        <stp/>
        <stp>BOOK0</stp>
        <stp>OCP</stp>
        <stp>837</stp>
        <tr r="B841" s="2"/>
      </tp>
      <tp t="s">
        <v>Ferramenta Inválida</v>
        <stp/>
        <stp>BOOK0</stp>
        <stp>OCP</stp>
        <stp>834</stp>
        <tr r="B838" s="2"/>
      </tp>
      <tp t="s">
        <v>Ferramenta Inválida</v>
        <stp/>
        <stp>BOOK0</stp>
        <stp>OCP</stp>
        <stp>835</stp>
        <tr r="B839" s="2"/>
      </tp>
      <tp t="s">
        <v>Ferramenta Inválida</v>
        <stp/>
        <stp>BOOK0</stp>
        <stp>OCP</stp>
        <stp>828</stp>
        <tr r="B832" s="2"/>
      </tp>
      <tp t="s">
        <v>Ferramenta Inválida</v>
        <stp/>
        <stp>BOOK0</stp>
        <stp>OCP</stp>
        <stp>829</stp>
        <tr r="B833" s="2"/>
      </tp>
      <tp t="s">
        <v>Ferramenta Inválida</v>
        <stp/>
        <stp>BOOK0</stp>
        <stp>OCP</stp>
        <stp>822</stp>
        <tr r="B826" s="2"/>
      </tp>
      <tp t="s">
        <v>Ferramenta Inválida</v>
        <stp/>
        <stp>BOOK0</stp>
        <stp>OCP</stp>
        <stp>823</stp>
        <tr r="B827" s="2"/>
      </tp>
      <tp t="s">
        <v>Ferramenta Inválida</v>
        <stp/>
        <stp>BOOK0</stp>
        <stp>OCP</stp>
        <stp>820</stp>
        <tr r="B824" s="2"/>
      </tp>
      <tp t="s">
        <v>Ferramenta Inválida</v>
        <stp/>
        <stp>BOOK0</stp>
        <stp>OCP</stp>
        <stp>821</stp>
        <tr r="B825" s="2"/>
      </tp>
      <tp t="s">
        <v>Ferramenta Inválida</v>
        <stp/>
        <stp>BOOK0</stp>
        <stp>OCP</stp>
        <stp>826</stp>
        <tr r="B830" s="2"/>
      </tp>
      <tp t="s">
        <v>Ferramenta Inválida</v>
        <stp/>
        <stp>BOOK0</stp>
        <stp>OCP</stp>
        <stp>827</stp>
        <tr r="B831" s="2"/>
      </tp>
      <tp t="s">
        <v>Ferramenta Inválida</v>
        <stp/>
        <stp>BOOK0</stp>
        <stp>OCP</stp>
        <stp>824</stp>
        <tr r="B828" s="2"/>
      </tp>
      <tp t="s">
        <v>Ferramenta Inválida</v>
        <stp/>
        <stp>BOOK0</stp>
        <stp>OCP</stp>
        <stp>825</stp>
        <tr r="B829" s="2"/>
      </tp>
      <tp t="s">
        <v>Ferramenta Inválida</v>
        <stp/>
        <stp>BOOK0</stp>
        <stp>OVD</stp>
        <stp>988</stp>
        <tr r="C992" s="2"/>
      </tp>
      <tp t="s">
        <v>Ferramenta Inválida</v>
        <stp/>
        <stp>BOOK0</stp>
        <stp>OVD</stp>
        <stp>989</stp>
        <tr r="C993" s="2"/>
      </tp>
      <tp t="s">
        <v>Ferramenta Inválida</v>
        <stp/>
        <stp>BOOK0</stp>
        <stp>OVD</stp>
        <stp>986</stp>
        <tr r="C990" s="2"/>
      </tp>
      <tp t="s">
        <v>Ferramenta Inválida</v>
        <stp/>
        <stp>BOOK0</stp>
        <stp>OVD</stp>
        <stp>987</stp>
        <tr r="C991" s="2"/>
      </tp>
      <tp t="s">
        <v>Ferramenta Inválida</v>
        <stp/>
        <stp>BOOK0</stp>
        <stp>OVD</stp>
        <stp>984</stp>
        <tr r="C988" s="2"/>
      </tp>
      <tp t="s">
        <v>Ferramenta Inválida</v>
        <stp/>
        <stp>BOOK0</stp>
        <stp>OVD</stp>
        <stp>985</stp>
        <tr r="C989" s="2"/>
      </tp>
      <tp t="s">
        <v>Ferramenta Inválida</v>
        <stp/>
        <stp>BOOK0</stp>
        <stp>OVD</stp>
        <stp>982</stp>
        <tr r="C986" s="2"/>
      </tp>
      <tp t="s">
        <v>Ferramenta Inválida</v>
        <stp/>
        <stp>BOOK0</stp>
        <stp>OVD</stp>
        <stp>983</stp>
        <tr r="C987" s="2"/>
      </tp>
      <tp t="s">
        <v>Ferramenta Inválida</v>
        <stp/>
        <stp>BOOK0</stp>
        <stp>OVD</stp>
        <stp>980</stp>
        <tr r="C984" s="2"/>
      </tp>
      <tp t="s">
        <v>Ferramenta Inválida</v>
        <stp/>
        <stp>BOOK0</stp>
        <stp>OVD</stp>
        <stp>981</stp>
        <tr r="C985" s="2"/>
      </tp>
      <tp t="s">
        <v>Ferramenta Inválida</v>
        <stp/>
        <stp>BOOK0</stp>
        <stp>OVD</stp>
        <stp>998</stp>
        <tr r="C1002" s="2"/>
      </tp>
      <tp t="s">
        <v>Ferramenta Inválida</v>
        <stp/>
        <stp>BOOK0</stp>
        <stp>OVD</stp>
        <stp>999</stp>
        <tr r="C1003" s="2"/>
      </tp>
      <tp t="s">
        <v>Ferramenta Inválida</v>
        <stp/>
        <stp>BOOK0</stp>
        <stp>OVD</stp>
        <stp>996</stp>
        <tr r="C1000" s="2"/>
      </tp>
      <tp t="s">
        <v>Ferramenta Inválida</v>
        <stp/>
        <stp>BOOK0</stp>
        <stp>OVD</stp>
        <stp>997</stp>
        <tr r="C1001" s="2"/>
      </tp>
      <tp t="s">
        <v>Ferramenta Inválida</v>
        <stp/>
        <stp>BOOK0</stp>
        <stp>OVD</stp>
        <stp>994</stp>
        <tr r="C998" s="2"/>
      </tp>
      <tp t="s">
        <v>Ferramenta Inválida</v>
        <stp/>
        <stp>BOOK0</stp>
        <stp>OVD</stp>
        <stp>995</stp>
        <tr r="C999" s="2"/>
      </tp>
      <tp t="s">
        <v>Ferramenta Inválida</v>
        <stp/>
        <stp>BOOK0</stp>
        <stp>OVD</stp>
        <stp>992</stp>
        <tr r="C996" s="2"/>
      </tp>
      <tp t="s">
        <v>Ferramenta Inválida</v>
        <stp/>
        <stp>BOOK0</stp>
        <stp>OVD</stp>
        <stp>993</stp>
        <tr r="C997" s="2"/>
      </tp>
      <tp t="s">
        <v>Ferramenta Inválida</v>
        <stp/>
        <stp>BOOK0</stp>
        <stp>OVD</stp>
        <stp>990</stp>
        <tr r="C994" s="2"/>
      </tp>
      <tp t="s">
        <v>Ferramenta Inválida</v>
        <stp/>
        <stp>BOOK0</stp>
        <stp>OVD</stp>
        <stp>991</stp>
        <tr r="C995" s="2"/>
      </tp>
      <tp t="s">
        <v>Ferramenta Inválida</v>
        <stp/>
        <stp>BOOK0</stp>
        <stp>OVD</stp>
        <stp>908</stp>
        <tr r="C912" s="2"/>
      </tp>
      <tp t="s">
        <v>Ferramenta Inválida</v>
        <stp/>
        <stp>BOOK0</stp>
        <stp>OVD</stp>
        <stp>909</stp>
        <tr r="C913" s="2"/>
      </tp>
      <tp t="s">
        <v>Ferramenta Inválida</v>
        <stp/>
        <stp>BOOK0</stp>
        <stp>OVD</stp>
        <stp>906</stp>
        <tr r="C910" s="2"/>
      </tp>
      <tp t="s">
        <v>Ferramenta Inválida</v>
        <stp/>
        <stp>BOOK0</stp>
        <stp>OVD</stp>
        <stp>907</stp>
        <tr r="C911" s="2"/>
      </tp>
      <tp t="s">
        <v>Ferramenta Inválida</v>
        <stp/>
        <stp>BOOK0</stp>
        <stp>OVD</stp>
        <stp>904</stp>
        <tr r="C908" s="2"/>
      </tp>
      <tp t="s">
        <v>Ferramenta Inválida</v>
        <stp/>
        <stp>BOOK0</stp>
        <stp>OVD</stp>
        <stp>905</stp>
        <tr r="C909" s="2"/>
      </tp>
      <tp t="s">
        <v>Ferramenta Inválida</v>
        <stp/>
        <stp>BOOK0</stp>
        <stp>OVD</stp>
        <stp>902</stp>
        <tr r="C906" s="2"/>
      </tp>
      <tp t="s">
        <v>Ferramenta Inválida</v>
        <stp/>
        <stp>BOOK0</stp>
        <stp>OVD</stp>
        <stp>903</stp>
        <tr r="C907" s="2"/>
      </tp>
      <tp t="s">
        <v>Ferramenta Inválida</v>
        <stp/>
        <stp>BOOK0</stp>
        <stp>OVD</stp>
        <stp>900</stp>
        <tr r="C904" s="2"/>
      </tp>
      <tp t="s">
        <v>Ferramenta Inválida</v>
        <stp/>
        <stp>BOOK0</stp>
        <stp>OVD</stp>
        <stp>901</stp>
        <tr r="C905" s="2"/>
      </tp>
      <tp t="s">
        <v>Ferramenta Inválida</v>
        <stp/>
        <stp>BOOK0</stp>
        <stp>OVD</stp>
        <stp>918</stp>
        <tr r="C922" s="2"/>
      </tp>
      <tp t="s">
        <v>Ferramenta Inválida</v>
        <stp/>
        <stp>BOOK0</stp>
        <stp>OVD</stp>
        <stp>919</stp>
        <tr r="C923" s="2"/>
      </tp>
      <tp t="s">
        <v>Ferramenta Inválida</v>
        <stp/>
        <stp>BOOK0</stp>
        <stp>OVD</stp>
        <stp>916</stp>
        <tr r="C920" s="2"/>
      </tp>
      <tp t="s">
        <v>Ferramenta Inválida</v>
        <stp/>
        <stp>BOOK0</stp>
        <stp>OVD</stp>
        <stp>917</stp>
        <tr r="C921" s="2"/>
      </tp>
      <tp t="s">
        <v>Ferramenta Inválida</v>
        <stp/>
        <stp>BOOK0</stp>
        <stp>OVD</stp>
        <stp>914</stp>
        <tr r="C918" s="2"/>
      </tp>
      <tp t="s">
        <v>Ferramenta Inválida</v>
        <stp/>
        <stp>BOOK0</stp>
        <stp>OVD</stp>
        <stp>915</stp>
        <tr r="C919" s="2"/>
      </tp>
      <tp t="s">
        <v>Ferramenta Inválida</v>
        <stp/>
        <stp>BOOK0</stp>
        <stp>OVD</stp>
        <stp>912</stp>
        <tr r="C916" s="2"/>
      </tp>
      <tp t="s">
        <v>Ferramenta Inválida</v>
        <stp/>
        <stp>BOOK0</stp>
        <stp>OVD</stp>
        <stp>913</stp>
        <tr r="C917" s="2"/>
      </tp>
      <tp t="s">
        <v>Ferramenta Inválida</v>
        <stp/>
        <stp>BOOK0</stp>
        <stp>OVD</stp>
        <stp>910</stp>
        <tr r="C914" s="2"/>
      </tp>
      <tp t="s">
        <v>Ferramenta Inválida</v>
        <stp/>
        <stp>BOOK0</stp>
        <stp>OVD</stp>
        <stp>911</stp>
        <tr r="C915" s="2"/>
      </tp>
      <tp t="s">
        <v>Ferramenta Inválida</v>
        <stp/>
        <stp>BOOK0</stp>
        <stp>OVD</stp>
        <stp>928</stp>
        <tr r="C932" s="2"/>
      </tp>
      <tp t="s">
        <v>Ferramenta Inválida</v>
        <stp/>
        <stp>BOOK0</stp>
        <stp>OVD</stp>
        <stp>929</stp>
        <tr r="C933" s="2"/>
      </tp>
      <tp t="s">
        <v>Ferramenta Inválida</v>
        <stp/>
        <stp>BOOK0</stp>
        <stp>OVD</stp>
        <stp>926</stp>
        <tr r="C930" s="2"/>
      </tp>
      <tp t="s">
        <v>Ferramenta Inválida</v>
        <stp/>
        <stp>BOOK0</stp>
        <stp>OVD</stp>
        <stp>927</stp>
        <tr r="C931" s="2"/>
      </tp>
      <tp t="s">
        <v>Ferramenta Inválida</v>
        <stp/>
        <stp>BOOK0</stp>
        <stp>OVD</stp>
        <stp>924</stp>
        <tr r="C928" s="2"/>
      </tp>
      <tp t="s">
        <v>Ferramenta Inválida</v>
        <stp/>
        <stp>BOOK0</stp>
        <stp>OVD</stp>
        <stp>925</stp>
        <tr r="C929" s="2"/>
      </tp>
      <tp t="s">
        <v>Ferramenta Inválida</v>
        <stp/>
        <stp>BOOK0</stp>
        <stp>OVD</stp>
        <stp>922</stp>
        <tr r="C926" s="2"/>
      </tp>
      <tp t="s">
        <v>Ferramenta Inválida</v>
        <stp/>
        <stp>BOOK0</stp>
        <stp>OVD</stp>
        <stp>923</stp>
        <tr r="C927" s="2"/>
      </tp>
      <tp t="s">
        <v>Ferramenta Inválida</v>
        <stp/>
        <stp>BOOK0</stp>
        <stp>OVD</stp>
        <stp>920</stp>
        <tr r="C924" s="2"/>
      </tp>
      <tp t="s">
        <v>Ferramenta Inválida</v>
        <stp/>
        <stp>BOOK0</stp>
        <stp>OVD</stp>
        <stp>921</stp>
        <tr r="C925" s="2"/>
      </tp>
      <tp t="s">
        <v>Ferramenta Inválida</v>
        <stp/>
        <stp>BOOK0</stp>
        <stp>OVD</stp>
        <stp>938</stp>
        <tr r="C942" s="2"/>
      </tp>
      <tp t="s">
        <v>Ferramenta Inválida</v>
        <stp/>
        <stp>BOOK0</stp>
        <stp>OVD</stp>
        <stp>939</stp>
        <tr r="C943" s="2"/>
      </tp>
      <tp t="s">
        <v>Ferramenta Inválida</v>
        <stp/>
        <stp>BOOK0</stp>
        <stp>OVD</stp>
        <stp>936</stp>
        <tr r="C940" s="2"/>
      </tp>
      <tp t="s">
        <v>Ferramenta Inválida</v>
        <stp/>
        <stp>BOOK0</stp>
        <stp>OVD</stp>
        <stp>937</stp>
        <tr r="C941" s="2"/>
      </tp>
      <tp t="s">
        <v>Ferramenta Inválida</v>
        <stp/>
        <stp>BOOK0</stp>
        <stp>OVD</stp>
        <stp>934</stp>
        <tr r="C938" s="2"/>
      </tp>
      <tp t="s">
        <v>Ferramenta Inválida</v>
        <stp/>
        <stp>BOOK0</stp>
        <stp>OVD</stp>
        <stp>935</stp>
        <tr r="C939" s="2"/>
      </tp>
      <tp t="s">
        <v>Ferramenta Inválida</v>
        <stp/>
        <stp>BOOK0</stp>
        <stp>OVD</stp>
        <stp>932</stp>
        <tr r="C936" s="2"/>
      </tp>
      <tp t="s">
        <v>Ferramenta Inválida</v>
        <stp/>
        <stp>BOOK0</stp>
        <stp>OVD</stp>
        <stp>933</stp>
        <tr r="C937" s="2"/>
      </tp>
      <tp t="s">
        <v>Ferramenta Inválida</v>
        <stp/>
        <stp>BOOK0</stp>
        <stp>OVD</stp>
        <stp>930</stp>
        <tr r="C934" s="2"/>
      </tp>
      <tp t="s">
        <v>Ferramenta Inválida</v>
        <stp/>
        <stp>BOOK0</stp>
        <stp>OVD</stp>
        <stp>931</stp>
        <tr r="C935" s="2"/>
      </tp>
      <tp t="s">
        <v>Ferramenta Inválida</v>
        <stp/>
        <stp>BOOK0</stp>
        <stp>OVD</stp>
        <stp>948</stp>
        <tr r="C952" s="2"/>
      </tp>
      <tp t="s">
        <v>Ferramenta Inválida</v>
        <stp/>
        <stp>BOOK0</stp>
        <stp>OVD</stp>
        <stp>949</stp>
        <tr r="C953" s="2"/>
      </tp>
      <tp t="s">
        <v>Ferramenta Inválida</v>
        <stp/>
        <stp>BOOK0</stp>
        <stp>OVD</stp>
        <stp>946</stp>
        <tr r="C950" s="2"/>
      </tp>
      <tp t="s">
        <v>Ferramenta Inválida</v>
        <stp/>
        <stp>BOOK0</stp>
        <stp>OVD</stp>
        <stp>947</stp>
        <tr r="C951" s="2"/>
      </tp>
      <tp t="s">
        <v>Ferramenta Inválida</v>
        <stp/>
        <stp>BOOK0</stp>
        <stp>OVD</stp>
        <stp>944</stp>
        <tr r="C948" s="2"/>
      </tp>
      <tp t="s">
        <v>Ferramenta Inválida</v>
        <stp/>
        <stp>BOOK0</stp>
        <stp>OVD</stp>
        <stp>945</stp>
        <tr r="C949" s="2"/>
      </tp>
      <tp t="s">
        <v>Ferramenta Inválida</v>
        <stp/>
        <stp>BOOK0</stp>
        <stp>OVD</stp>
        <stp>942</stp>
        <tr r="C946" s="2"/>
      </tp>
      <tp t="s">
        <v>Ferramenta Inválida</v>
        <stp/>
        <stp>BOOK0</stp>
        <stp>OVD</stp>
        <stp>943</stp>
        <tr r="C947" s="2"/>
      </tp>
      <tp t="s">
        <v>Ferramenta Inválida</v>
        <stp/>
        <stp>BOOK0</stp>
        <stp>OVD</stp>
        <stp>940</stp>
        <tr r="C944" s="2"/>
      </tp>
      <tp t="s">
        <v>Ferramenta Inválida</v>
        <stp/>
        <stp>BOOK0</stp>
        <stp>OVD</stp>
        <stp>941</stp>
        <tr r="C945" s="2"/>
      </tp>
      <tp t="s">
        <v>Ferramenta Inválida</v>
        <stp/>
        <stp>BOOK0</stp>
        <stp>OVD</stp>
        <stp>958</stp>
        <tr r="C962" s="2"/>
      </tp>
      <tp t="s">
        <v>Ferramenta Inválida</v>
        <stp/>
        <stp>BOOK0</stp>
        <stp>OVD</stp>
        <stp>959</stp>
        <tr r="C963" s="2"/>
      </tp>
      <tp t="s">
        <v>Ferramenta Inválida</v>
        <stp/>
        <stp>BOOK0</stp>
        <stp>OVD</stp>
        <stp>956</stp>
        <tr r="C960" s="2"/>
      </tp>
      <tp t="s">
        <v>Ferramenta Inválida</v>
        <stp/>
        <stp>BOOK0</stp>
        <stp>OVD</stp>
        <stp>957</stp>
        <tr r="C961" s="2"/>
      </tp>
      <tp t="s">
        <v>Ferramenta Inválida</v>
        <stp/>
        <stp>BOOK0</stp>
        <stp>OVD</stp>
        <stp>954</stp>
        <tr r="C958" s="2"/>
      </tp>
      <tp t="s">
        <v>Ferramenta Inválida</v>
        <stp/>
        <stp>BOOK0</stp>
        <stp>OVD</stp>
        <stp>955</stp>
        <tr r="C959" s="2"/>
      </tp>
      <tp t="s">
        <v>Ferramenta Inválida</v>
        <stp/>
        <stp>BOOK0</stp>
        <stp>OVD</stp>
        <stp>952</stp>
        <tr r="C956" s="2"/>
      </tp>
      <tp t="s">
        <v>Ferramenta Inválida</v>
        <stp/>
        <stp>BOOK0</stp>
        <stp>OVD</stp>
        <stp>953</stp>
        <tr r="C957" s="2"/>
      </tp>
      <tp t="s">
        <v>Ferramenta Inválida</v>
        <stp/>
        <stp>BOOK0</stp>
        <stp>OVD</stp>
        <stp>950</stp>
        <tr r="C954" s="2"/>
      </tp>
      <tp t="s">
        <v>Ferramenta Inválida</v>
        <stp/>
        <stp>BOOK0</stp>
        <stp>OVD</stp>
        <stp>951</stp>
        <tr r="C955" s="2"/>
      </tp>
      <tp t="s">
        <v>Ferramenta Inválida</v>
        <stp/>
        <stp>BOOK0</stp>
        <stp>OVD</stp>
        <stp>968</stp>
        <tr r="C972" s="2"/>
      </tp>
      <tp t="s">
        <v>Ferramenta Inválida</v>
        <stp/>
        <stp>BOOK0</stp>
        <stp>OVD</stp>
        <stp>969</stp>
        <tr r="C973" s="2"/>
      </tp>
      <tp t="s">
        <v>Ferramenta Inválida</v>
        <stp/>
        <stp>BOOK0</stp>
        <stp>OVD</stp>
        <stp>966</stp>
        <tr r="C970" s="2"/>
      </tp>
      <tp t="s">
        <v>Ferramenta Inválida</v>
        <stp/>
        <stp>BOOK0</stp>
        <stp>OVD</stp>
        <stp>967</stp>
        <tr r="C971" s="2"/>
      </tp>
      <tp t="s">
        <v>Ferramenta Inválida</v>
        <stp/>
        <stp>BOOK0</stp>
        <stp>OVD</stp>
        <stp>964</stp>
        <tr r="C968" s="2"/>
      </tp>
      <tp t="s">
        <v>Ferramenta Inválida</v>
        <stp/>
        <stp>BOOK0</stp>
        <stp>OVD</stp>
        <stp>965</stp>
        <tr r="C969" s="2"/>
      </tp>
      <tp t="s">
        <v>Ferramenta Inválida</v>
        <stp/>
        <stp>BOOK0</stp>
        <stp>OVD</stp>
        <stp>962</stp>
        <tr r="C966" s="2"/>
      </tp>
      <tp t="s">
        <v>Ferramenta Inválida</v>
        <stp/>
        <stp>BOOK0</stp>
        <stp>OVD</stp>
        <stp>963</stp>
        <tr r="C967" s="2"/>
      </tp>
      <tp t="s">
        <v>Ferramenta Inválida</v>
        <stp/>
        <stp>BOOK0</stp>
        <stp>OVD</stp>
        <stp>960</stp>
        <tr r="C964" s="2"/>
      </tp>
      <tp t="s">
        <v>Ferramenta Inválida</v>
        <stp/>
        <stp>BOOK0</stp>
        <stp>OVD</stp>
        <stp>961</stp>
        <tr r="C965" s="2"/>
      </tp>
      <tp t="s">
        <v>Ferramenta Inválida</v>
        <stp/>
        <stp>BOOK0</stp>
        <stp>OVD</stp>
        <stp>978</stp>
        <tr r="C982" s="2"/>
      </tp>
      <tp t="s">
        <v>Ferramenta Inválida</v>
        <stp/>
        <stp>BOOK0</stp>
        <stp>OVD</stp>
        <stp>979</stp>
        <tr r="C983" s="2"/>
      </tp>
      <tp t="s">
        <v>Ferramenta Inválida</v>
        <stp/>
        <stp>BOOK0</stp>
        <stp>OVD</stp>
        <stp>976</stp>
        <tr r="C980" s="2"/>
      </tp>
      <tp t="s">
        <v>Ferramenta Inválida</v>
        <stp/>
        <stp>BOOK0</stp>
        <stp>OVD</stp>
        <stp>977</stp>
        <tr r="C981" s="2"/>
      </tp>
      <tp t="s">
        <v>Ferramenta Inválida</v>
        <stp/>
        <stp>BOOK0</stp>
        <stp>OVD</stp>
        <stp>974</stp>
        <tr r="C978" s="2"/>
      </tp>
      <tp t="s">
        <v>Ferramenta Inválida</v>
        <stp/>
        <stp>BOOK0</stp>
        <stp>OVD</stp>
        <stp>975</stp>
        <tr r="C979" s="2"/>
      </tp>
      <tp t="s">
        <v>Ferramenta Inválida</v>
        <stp/>
        <stp>BOOK0</stp>
        <stp>OVD</stp>
        <stp>972</stp>
        <tr r="C976" s="2"/>
      </tp>
      <tp t="s">
        <v>Ferramenta Inválida</v>
        <stp/>
        <stp>BOOK0</stp>
        <stp>OVD</stp>
        <stp>973</stp>
        <tr r="C977" s="2"/>
      </tp>
      <tp t="s">
        <v>Ferramenta Inválida</v>
        <stp/>
        <stp>BOOK0</stp>
        <stp>OVD</stp>
        <stp>970</stp>
        <tr r="C974" s="2"/>
      </tp>
      <tp t="s">
        <v>Ferramenta Inválida</v>
        <stp/>
        <stp>BOOK0</stp>
        <stp>OVD</stp>
        <stp>971</stp>
        <tr r="C975" s="2"/>
      </tp>
      <tp t="s">
        <v>Ferramenta Inválida</v>
        <stp/>
        <stp>BOOK0</stp>
        <stp>OCP</stp>
        <stp>998</stp>
        <tr r="B1002" s="2"/>
      </tp>
      <tp t="s">
        <v>Ferramenta Inválida</v>
        <stp/>
        <stp>BOOK0</stp>
        <stp>OCP</stp>
        <stp>999</stp>
        <tr r="B1003" s="2"/>
      </tp>
      <tp t="s">
        <v>Ferramenta Inválida</v>
        <stp/>
        <stp>BOOK0</stp>
        <stp>OCP</stp>
        <stp>992</stp>
        <tr r="B996" s="2"/>
      </tp>
      <tp t="s">
        <v>Ferramenta Inválida</v>
        <stp/>
        <stp>BOOK0</stp>
        <stp>OCP</stp>
        <stp>993</stp>
        <tr r="B997" s="2"/>
      </tp>
      <tp t="s">
        <v>Ferramenta Inválida</v>
        <stp/>
        <stp>BOOK0</stp>
        <stp>OCP</stp>
        <stp>990</stp>
        <tr r="B994" s="2"/>
      </tp>
      <tp t="s">
        <v>Ferramenta Inválida</v>
        <stp/>
        <stp>BOOK0</stp>
        <stp>OCP</stp>
        <stp>991</stp>
        <tr r="B995" s="2"/>
      </tp>
      <tp t="s">
        <v>Ferramenta Inválida</v>
        <stp/>
        <stp>BOOK0</stp>
        <stp>OCP</stp>
        <stp>996</stp>
        <tr r="B1000" s="2"/>
      </tp>
      <tp t="s">
        <v>Ferramenta Inválida</v>
        <stp/>
        <stp>BOOK0</stp>
        <stp>OCP</stp>
        <stp>997</stp>
        <tr r="B1001" s="2"/>
      </tp>
      <tp t="s">
        <v>Ferramenta Inválida</v>
        <stp/>
        <stp>BOOK0</stp>
        <stp>OCP</stp>
        <stp>994</stp>
        <tr r="B998" s="2"/>
      </tp>
      <tp t="s">
        <v>Ferramenta Inválida</v>
        <stp/>
        <stp>BOOK0</stp>
        <stp>OCP</stp>
        <stp>995</stp>
        <tr r="B999" s="2"/>
      </tp>
      <tp t="s">
        <v>Ferramenta Inválida</v>
        <stp/>
        <stp>BOOK0</stp>
        <stp>OCP</stp>
        <stp>988</stp>
        <tr r="B992" s="2"/>
      </tp>
      <tp t="s">
        <v>Ferramenta Inválida</v>
        <stp/>
        <stp>BOOK0</stp>
        <stp>OCP</stp>
        <stp>989</stp>
        <tr r="B993" s="2"/>
      </tp>
      <tp t="s">
        <v>Ferramenta Inválida</v>
        <stp/>
        <stp>BOOK0</stp>
        <stp>OCP</stp>
        <stp>982</stp>
        <tr r="B986" s="2"/>
      </tp>
      <tp t="s">
        <v>Ferramenta Inválida</v>
        <stp/>
        <stp>BOOK0</stp>
        <stp>OCP</stp>
        <stp>983</stp>
        <tr r="B987" s="2"/>
      </tp>
      <tp t="s">
        <v>Ferramenta Inválida</v>
        <stp/>
        <stp>BOOK0</stp>
        <stp>OCP</stp>
        <stp>980</stp>
        <tr r="B984" s="2"/>
      </tp>
      <tp t="s">
        <v>Ferramenta Inválida</v>
        <stp/>
        <stp>BOOK0</stp>
        <stp>OCP</stp>
        <stp>981</stp>
        <tr r="B985" s="2"/>
      </tp>
      <tp t="s">
        <v>Ferramenta Inválida</v>
        <stp/>
        <stp>BOOK0</stp>
        <stp>OCP</stp>
        <stp>986</stp>
        <tr r="B990" s="2"/>
      </tp>
      <tp t="s">
        <v>Ferramenta Inválida</v>
        <stp/>
        <stp>BOOK0</stp>
        <stp>OCP</stp>
        <stp>987</stp>
        <tr r="B991" s="2"/>
      </tp>
      <tp t="s">
        <v>Ferramenta Inválida</v>
        <stp/>
        <stp>BOOK0</stp>
        <stp>OCP</stp>
        <stp>984</stp>
        <tr r="B988" s="2"/>
      </tp>
      <tp t="s">
        <v>Ferramenta Inválida</v>
        <stp/>
        <stp>BOOK0</stp>
        <stp>OCP</stp>
        <stp>985</stp>
        <tr r="B989" s="2"/>
      </tp>
      <tp t="s">
        <v>Ferramenta Inválida</v>
        <stp/>
        <stp>BOOK0</stp>
        <stp>OCP</stp>
        <stp>958</stp>
        <tr r="B962" s="2"/>
      </tp>
      <tp t="s">
        <v>Ferramenta Inválida</v>
        <stp/>
        <stp>BOOK0</stp>
        <stp>OCP</stp>
        <stp>959</stp>
        <tr r="B963" s="2"/>
      </tp>
      <tp t="s">
        <v>Ferramenta Inválida</v>
        <stp/>
        <stp>BOOK0</stp>
        <stp>OCP</stp>
        <stp>952</stp>
        <tr r="B956" s="2"/>
      </tp>
      <tp t="s">
        <v>Ferramenta Inválida</v>
        <stp/>
        <stp>BOOK0</stp>
        <stp>OCP</stp>
        <stp>953</stp>
        <tr r="B957" s="2"/>
      </tp>
      <tp t="s">
        <v>Ferramenta Inválida</v>
        <stp/>
        <stp>BOOK0</stp>
        <stp>OCP</stp>
        <stp>950</stp>
        <tr r="B954" s="2"/>
      </tp>
      <tp t="s">
        <v>Ferramenta Inválida</v>
        <stp/>
        <stp>BOOK0</stp>
        <stp>OCP</stp>
        <stp>951</stp>
        <tr r="B955" s="2"/>
      </tp>
      <tp t="s">
        <v>Ferramenta Inválida</v>
        <stp/>
        <stp>BOOK0</stp>
        <stp>OCP</stp>
        <stp>956</stp>
        <tr r="B960" s="2"/>
      </tp>
      <tp t="s">
        <v>Ferramenta Inválida</v>
        <stp/>
        <stp>BOOK0</stp>
        <stp>OCP</stp>
        <stp>957</stp>
        <tr r="B961" s="2"/>
      </tp>
      <tp t="s">
        <v>Ferramenta Inválida</v>
        <stp/>
        <stp>BOOK0</stp>
        <stp>OCP</stp>
        <stp>954</stp>
        <tr r="B958" s="2"/>
      </tp>
      <tp t="s">
        <v>Ferramenta Inválida</v>
        <stp/>
        <stp>BOOK0</stp>
        <stp>OCP</stp>
        <stp>955</stp>
        <tr r="B959" s="2"/>
      </tp>
      <tp t="s">
        <v>Ferramenta Inválida</v>
        <stp/>
        <stp>BOOK0</stp>
        <stp>OCP</stp>
        <stp>948</stp>
        <tr r="B952" s="2"/>
      </tp>
      <tp t="s">
        <v>Ferramenta Inválida</v>
        <stp/>
        <stp>BOOK0</stp>
        <stp>OCP</stp>
        <stp>949</stp>
        <tr r="B953" s="2"/>
      </tp>
      <tp t="s">
        <v>Ferramenta Inválida</v>
        <stp/>
        <stp>BOOK0</stp>
        <stp>OCP</stp>
        <stp>942</stp>
        <tr r="B946" s="2"/>
      </tp>
      <tp t="s">
        <v>Ferramenta Inválida</v>
        <stp/>
        <stp>BOOK0</stp>
        <stp>OCP</stp>
        <stp>943</stp>
        <tr r="B947" s="2"/>
      </tp>
      <tp t="s">
        <v>Ferramenta Inválida</v>
        <stp/>
        <stp>BOOK0</stp>
        <stp>OCP</stp>
        <stp>940</stp>
        <tr r="B944" s="2"/>
      </tp>
      <tp t="s">
        <v>Ferramenta Inválida</v>
        <stp/>
        <stp>BOOK0</stp>
        <stp>OCP</stp>
        <stp>941</stp>
        <tr r="B945" s="2"/>
      </tp>
      <tp t="s">
        <v>Ferramenta Inválida</v>
        <stp/>
        <stp>BOOK0</stp>
        <stp>OCP</stp>
        <stp>946</stp>
        <tr r="B950" s="2"/>
      </tp>
      <tp t="s">
        <v>Ferramenta Inválida</v>
        <stp/>
        <stp>BOOK0</stp>
        <stp>OCP</stp>
        <stp>947</stp>
        <tr r="B951" s="2"/>
      </tp>
      <tp t="s">
        <v>Ferramenta Inválida</v>
        <stp/>
        <stp>BOOK0</stp>
        <stp>OCP</stp>
        <stp>944</stp>
        <tr r="B948" s="2"/>
      </tp>
      <tp t="s">
        <v>Ferramenta Inválida</v>
        <stp/>
        <stp>BOOK0</stp>
        <stp>OCP</stp>
        <stp>945</stp>
        <tr r="B949" s="2"/>
      </tp>
      <tp t="s">
        <v>Ferramenta Inválida</v>
        <stp/>
        <stp>BOOK0</stp>
        <stp>OCP</stp>
        <stp>978</stp>
        <tr r="B982" s="2"/>
      </tp>
      <tp t="s">
        <v>Ferramenta Inválida</v>
        <stp/>
        <stp>BOOK0</stp>
        <stp>OCP</stp>
        <stp>979</stp>
        <tr r="B983" s="2"/>
      </tp>
      <tp t="s">
        <v>Ferramenta Inválida</v>
        <stp/>
        <stp>BOOK0</stp>
        <stp>OCP</stp>
        <stp>972</stp>
        <tr r="B976" s="2"/>
      </tp>
      <tp t="s">
        <v>Ferramenta Inválida</v>
        <stp/>
        <stp>BOOK0</stp>
        <stp>OCP</stp>
        <stp>973</stp>
        <tr r="B977" s="2"/>
      </tp>
      <tp t="s">
        <v>Ferramenta Inválida</v>
        <stp/>
        <stp>BOOK0</stp>
        <stp>OCP</stp>
        <stp>970</stp>
        <tr r="B974" s="2"/>
      </tp>
      <tp t="s">
        <v>Ferramenta Inválida</v>
        <stp/>
        <stp>BOOK0</stp>
        <stp>OCP</stp>
        <stp>971</stp>
        <tr r="B975" s="2"/>
      </tp>
      <tp t="s">
        <v>Ferramenta Inválida</v>
        <stp/>
        <stp>BOOK0</stp>
        <stp>OCP</stp>
        <stp>976</stp>
        <tr r="B980" s="2"/>
      </tp>
      <tp t="s">
        <v>Ferramenta Inválida</v>
        <stp/>
        <stp>BOOK0</stp>
        <stp>OCP</stp>
        <stp>977</stp>
        <tr r="B981" s="2"/>
      </tp>
      <tp t="s">
        <v>Ferramenta Inválida</v>
        <stp/>
        <stp>BOOK0</stp>
        <stp>OCP</stp>
        <stp>974</stp>
        <tr r="B978" s="2"/>
      </tp>
      <tp t="s">
        <v>Ferramenta Inválida</v>
        <stp/>
        <stp>BOOK0</stp>
        <stp>OCP</stp>
        <stp>975</stp>
        <tr r="B979" s="2"/>
      </tp>
      <tp t="s">
        <v>Ferramenta Inválida</v>
        <stp/>
        <stp>BOOK0</stp>
        <stp>OCP</stp>
        <stp>968</stp>
        <tr r="B972" s="2"/>
      </tp>
      <tp t="s">
        <v>Ferramenta Inválida</v>
        <stp/>
        <stp>BOOK0</stp>
        <stp>OCP</stp>
        <stp>969</stp>
        <tr r="B973" s="2"/>
      </tp>
      <tp t="s">
        <v>Ferramenta Inválida</v>
        <stp/>
        <stp>BOOK0</stp>
        <stp>OCP</stp>
        <stp>962</stp>
        <tr r="B966" s="2"/>
      </tp>
      <tp t="s">
        <v>Ferramenta Inválida</v>
        <stp/>
        <stp>BOOK0</stp>
        <stp>OCP</stp>
        <stp>963</stp>
        <tr r="B967" s="2"/>
      </tp>
      <tp t="s">
        <v>Ferramenta Inválida</v>
        <stp/>
        <stp>BOOK0</stp>
        <stp>OCP</stp>
        <stp>960</stp>
        <tr r="B964" s="2"/>
      </tp>
      <tp t="s">
        <v>Ferramenta Inválida</v>
        <stp/>
        <stp>BOOK0</stp>
        <stp>OCP</stp>
        <stp>961</stp>
        <tr r="B965" s="2"/>
      </tp>
      <tp t="s">
        <v>Ferramenta Inválida</v>
        <stp/>
        <stp>BOOK0</stp>
        <stp>OCP</stp>
        <stp>966</stp>
        <tr r="B970" s="2"/>
      </tp>
      <tp t="s">
        <v>Ferramenta Inválida</v>
        <stp/>
        <stp>BOOK0</stp>
        <stp>OCP</stp>
        <stp>967</stp>
        <tr r="B971" s="2"/>
      </tp>
      <tp t="s">
        <v>Ferramenta Inválida</v>
        <stp/>
        <stp>BOOK0</stp>
        <stp>OCP</stp>
        <stp>964</stp>
        <tr r="B968" s="2"/>
      </tp>
      <tp t="s">
        <v>Ferramenta Inválida</v>
        <stp/>
        <stp>BOOK0</stp>
        <stp>OCP</stp>
        <stp>965</stp>
        <tr r="B969" s="2"/>
      </tp>
      <tp t="s">
        <v>Ferramenta Inválida</v>
        <stp/>
        <stp>BOOK0</stp>
        <stp>OCP</stp>
        <stp>918</stp>
        <tr r="B922" s="2"/>
      </tp>
      <tp t="s">
        <v>Ferramenta Inválida</v>
        <stp/>
        <stp>BOOK0</stp>
        <stp>OCP</stp>
        <stp>919</stp>
        <tr r="B923" s="2"/>
      </tp>
      <tp t="s">
        <v>Ferramenta Inválida</v>
        <stp/>
        <stp>BOOK0</stp>
        <stp>OCP</stp>
        <stp>912</stp>
        <tr r="B916" s="2"/>
      </tp>
      <tp t="s">
        <v>Ferramenta Inválida</v>
        <stp/>
        <stp>BOOK0</stp>
        <stp>OCP</stp>
        <stp>913</stp>
        <tr r="B917" s="2"/>
      </tp>
      <tp t="s">
        <v>Ferramenta Inválida</v>
        <stp/>
        <stp>BOOK0</stp>
        <stp>OCP</stp>
        <stp>910</stp>
        <tr r="B914" s="2"/>
      </tp>
      <tp t="s">
        <v>Ferramenta Inválida</v>
        <stp/>
        <stp>BOOK0</stp>
        <stp>OCP</stp>
        <stp>911</stp>
        <tr r="B915" s="2"/>
      </tp>
      <tp t="s">
        <v>Ferramenta Inválida</v>
        <stp/>
        <stp>BOOK0</stp>
        <stp>OCP</stp>
        <stp>916</stp>
        <tr r="B920" s="2"/>
      </tp>
      <tp t="s">
        <v>Ferramenta Inválida</v>
        <stp/>
        <stp>BOOK0</stp>
        <stp>OCP</stp>
        <stp>917</stp>
        <tr r="B921" s="2"/>
      </tp>
      <tp t="s">
        <v>Ferramenta Inválida</v>
        <stp/>
        <stp>BOOK0</stp>
        <stp>OCP</stp>
        <stp>914</stp>
        <tr r="B918" s="2"/>
      </tp>
      <tp t="s">
        <v>Ferramenta Inválida</v>
        <stp/>
        <stp>BOOK0</stp>
        <stp>OCP</stp>
        <stp>915</stp>
        <tr r="B919" s="2"/>
      </tp>
      <tp t="s">
        <v>Ferramenta Inválida</v>
        <stp/>
        <stp>BOOK0</stp>
        <stp>OCP</stp>
        <stp>908</stp>
        <tr r="B912" s="2"/>
      </tp>
      <tp t="s">
        <v>Ferramenta Inválida</v>
        <stp/>
        <stp>BOOK0</stp>
        <stp>OCP</stp>
        <stp>909</stp>
        <tr r="B913" s="2"/>
      </tp>
      <tp t="s">
        <v>Ferramenta Inválida</v>
        <stp/>
        <stp>BOOK0</stp>
        <stp>OCP</stp>
        <stp>902</stp>
        <tr r="B906" s="2"/>
      </tp>
      <tp t="s">
        <v>Ferramenta Inválida</v>
        <stp/>
        <stp>BOOK0</stp>
        <stp>OCP</stp>
        <stp>903</stp>
        <tr r="B907" s="2"/>
      </tp>
      <tp t="s">
        <v>Ferramenta Inválida</v>
        <stp/>
        <stp>BOOK0</stp>
        <stp>OCP</stp>
        <stp>900</stp>
        <tr r="B904" s="2"/>
      </tp>
      <tp t="s">
        <v>Ferramenta Inválida</v>
        <stp/>
        <stp>BOOK0</stp>
        <stp>OCP</stp>
        <stp>901</stp>
        <tr r="B905" s="2"/>
      </tp>
      <tp t="s">
        <v>Ferramenta Inválida</v>
        <stp/>
        <stp>BOOK0</stp>
        <stp>OCP</stp>
        <stp>906</stp>
        <tr r="B910" s="2"/>
      </tp>
      <tp t="s">
        <v>Ferramenta Inválida</v>
        <stp/>
        <stp>BOOK0</stp>
        <stp>OCP</stp>
        <stp>907</stp>
        <tr r="B911" s="2"/>
      </tp>
      <tp t="s">
        <v>Ferramenta Inválida</v>
        <stp/>
        <stp>BOOK0</stp>
        <stp>OCP</stp>
        <stp>904</stp>
        <tr r="B908" s="2"/>
      </tp>
      <tp t="s">
        <v>Ferramenta Inválida</v>
        <stp/>
        <stp>BOOK0</stp>
        <stp>OCP</stp>
        <stp>905</stp>
        <tr r="B909" s="2"/>
      </tp>
      <tp t="s">
        <v>Ferramenta Inválida</v>
        <stp/>
        <stp>BOOK0</stp>
        <stp>OCP</stp>
        <stp>938</stp>
        <tr r="B942" s="2"/>
      </tp>
      <tp t="s">
        <v>Ferramenta Inválida</v>
        <stp/>
        <stp>BOOK0</stp>
        <stp>OCP</stp>
        <stp>939</stp>
        <tr r="B943" s="2"/>
      </tp>
      <tp t="s">
        <v>Ferramenta Inválida</v>
        <stp/>
        <stp>BOOK0</stp>
        <stp>OCP</stp>
        <stp>932</stp>
        <tr r="B936" s="2"/>
      </tp>
      <tp t="s">
        <v>Ferramenta Inválida</v>
        <stp/>
        <stp>BOOK0</stp>
        <stp>OCP</stp>
        <stp>933</stp>
        <tr r="B937" s="2"/>
      </tp>
      <tp t="s">
        <v>Ferramenta Inválida</v>
        <stp/>
        <stp>BOOK0</stp>
        <stp>OCP</stp>
        <stp>930</stp>
        <tr r="B934" s="2"/>
      </tp>
      <tp t="s">
        <v>Ferramenta Inválida</v>
        <stp/>
        <stp>BOOK0</stp>
        <stp>OCP</stp>
        <stp>931</stp>
        <tr r="B935" s="2"/>
      </tp>
      <tp t="s">
        <v>Ferramenta Inválida</v>
        <stp/>
        <stp>BOOK0</stp>
        <stp>OCP</stp>
        <stp>936</stp>
        <tr r="B940" s="2"/>
      </tp>
      <tp t="s">
        <v>Ferramenta Inválida</v>
        <stp/>
        <stp>BOOK0</stp>
        <stp>OCP</stp>
        <stp>937</stp>
        <tr r="B941" s="2"/>
      </tp>
      <tp t="s">
        <v>Ferramenta Inválida</v>
        <stp/>
        <stp>BOOK0</stp>
        <stp>OCP</stp>
        <stp>934</stp>
        <tr r="B938" s="2"/>
      </tp>
      <tp t="s">
        <v>Ferramenta Inválida</v>
        <stp/>
        <stp>BOOK0</stp>
        <stp>OCP</stp>
        <stp>935</stp>
        <tr r="B939" s="2"/>
      </tp>
      <tp t="s">
        <v>Ferramenta Inválida</v>
        <stp/>
        <stp>BOOK0</stp>
        <stp>OCP</stp>
        <stp>928</stp>
        <tr r="B932" s="2"/>
      </tp>
      <tp t="s">
        <v>Ferramenta Inválida</v>
        <stp/>
        <stp>BOOK0</stp>
        <stp>OCP</stp>
        <stp>929</stp>
        <tr r="B933" s="2"/>
      </tp>
      <tp t="s">
        <v>Ferramenta Inválida</v>
        <stp/>
        <stp>BOOK0</stp>
        <stp>OCP</stp>
        <stp>922</stp>
        <tr r="B926" s="2"/>
      </tp>
      <tp t="s">
        <v>Ferramenta Inválida</v>
        <stp/>
        <stp>BOOK0</stp>
        <stp>OCP</stp>
        <stp>923</stp>
        <tr r="B927" s="2"/>
      </tp>
      <tp t="s">
        <v>Ferramenta Inválida</v>
        <stp/>
        <stp>BOOK0</stp>
        <stp>OCP</stp>
        <stp>920</stp>
        <tr r="B924" s="2"/>
      </tp>
      <tp t="s">
        <v>Ferramenta Inválida</v>
        <stp/>
        <stp>BOOK0</stp>
        <stp>OCP</stp>
        <stp>921</stp>
        <tr r="B925" s="2"/>
      </tp>
      <tp t="s">
        <v>Ferramenta Inválida</v>
        <stp/>
        <stp>BOOK0</stp>
        <stp>OCP</stp>
        <stp>926</stp>
        <tr r="B930" s="2"/>
      </tp>
      <tp t="s">
        <v>Ferramenta Inválida</v>
        <stp/>
        <stp>BOOK0</stp>
        <stp>OCP</stp>
        <stp>927</stp>
        <tr r="B931" s="2"/>
      </tp>
      <tp t="s">
        <v>Ferramenta Inválida</v>
        <stp/>
        <stp>BOOK0</stp>
        <stp>OCP</stp>
        <stp>924</stp>
        <tr r="B928" s="2"/>
      </tp>
      <tp t="s">
        <v>Ferramenta Inválida</v>
        <stp/>
        <stp>BOOK0</stp>
        <stp>OCP</stp>
        <stp>925</stp>
        <tr r="B929" s="2"/>
      </tp>
      <tp t="s">
        <v>Ferramenta Inválida</v>
        <stp/>
        <stp>BOOK0</stp>
        <stp>OVD</stp>
        <stp>188</stp>
        <tr r="C192" s="2"/>
      </tp>
      <tp t="s">
        <v>Ferramenta Inválida</v>
        <stp/>
        <stp>BOOK0</stp>
        <stp>OVD</stp>
        <stp>189</stp>
        <tr r="C193" s="2"/>
      </tp>
      <tp t="s">
        <v>Ferramenta Inválida</v>
        <stp/>
        <stp>BOOK0</stp>
        <stp>OVD</stp>
        <stp>186</stp>
        <tr r="C190" s="2"/>
      </tp>
      <tp t="s">
        <v>Ferramenta Inválida</v>
        <stp/>
        <stp>BOOK0</stp>
        <stp>OVD</stp>
        <stp>187</stp>
        <tr r="C191" s="2"/>
      </tp>
      <tp t="s">
        <v>Ferramenta Inválida</v>
        <stp/>
        <stp>BOOK0</stp>
        <stp>OVD</stp>
        <stp>184</stp>
        <tr r="C188" s="2"/>
      </tp>
      <tp t="s">
        <v>Ferramenta Inválida</v>
        <stp/>
        <stp>BOOK0</stp>
        <stp>OVD</stp>
        <stp>185</stp>
        <tr r="C189" s="2"/>
      </tp>
      <tp t="s">
        <v>Ferramenta Inválida</v>
        <stp/>
        <stp>BOOK0</stp>
        <stp>OVD</stp>
        <stp>182</stp>
        <tr r="C186" s="2"/>
      </tp>
      <tp t="s">
        <v>Ferramenta Inválida</v>
        <stp/>
        <stp>BOOK0</stp>
        <stp>OVD</stp>
        <stp>183</stp>
        <tr r="C187" s="2"/>
      </tp>
      <tp t="s">
        <v>Ferramenta Inválida</v>
        <stp/>
        <stp>BOOK0</stp>
        <stp>OVD</stp>
        <stp>180</stp>
        <tr r="C184" s="2"/>
      </tp>
      <tp t="s">
        <v>Ferramenta Inválida</v>
        <stp/>
        <stp>BOOK0</stp>
        <stp>OVD</stp>
        <stp>181</stp>
        <tr r="C185" s="2"/>
      </tp>
      <tp t="s">
        <v>Ferramenta Inválida</v>
        <stp/>
        <stp>BOOK0</stp>
        <stp>OVD</stp>
        <stp>198</stp>
        <tr r="C202" s="2"/>
      </tp>
      <tp t="s">
        <v>Ferramenta Inválida</v>
        <stp/>
        <stp>BOOK0</stp>
        <stp>OVD</stp>
        <stp>199</stp>
        <tr r="C203" s="2"/>
      </tp>
      <tp t="s">
        <v>Ferramenta Inválida</v>
        <stp/>
        <stp>BOOK0</stp>
        <stp>OVD</stp>
        <stp>196</stp>
        <tr r="C200" s="2"/>
      </tp>
      <tp t="s">
        <v>Ferramenta Inválida</v>
        <stp/>
        <stp>BOOK0</stp>
        <stp>OVD</stp>
        <stp>197</stp>
        <tr r="C201" s="2"/>
      </tp>
      <tp t="s">
        <v>Ferramenta Inválida</v>
        <stp/>
        <stp>BOOK0</stp>
        <stp>OVD</stp>
        <stp>194</stp>
        <tr r="C198" s="2"/>
      </tp>
      <tp t="s">
        <v>Ferramenta Inválida</v>
        <stp/>
        <stp>BOOK0</stp>
        <stp>OVD</stp>
        <stp>195</stp>
        <tr r="C199" s="2"/>
      </tp>
      <tp t="s">
        <v>Ferramenta Inválida</v>
        <stp/>
        <stp>BOOK0</stp>
        <stp>OVD</stp>
        <stp>192</stp>
        <tr r="C196" s="2"/>
      </tp>
      <tp t="s">
        <v>Ferramenta Inválida</v>
        <stp/>
        <stp>BOOK0</stp>
        <stp>OVD</stp>
        <stp>193</stp>
        <tr r="C197" s="2"/>
      </tp>
      <tp t="s">
        <v>Ferramenta Inválida</v>
        <stp/>
        <stp>BOOK0</stp>
        <stp>OVD</stp>
        <stp>190</stp>
        <tr r="C194" s="2"/>
      </tp>
      <tp t="s">
        <v>Ferramenta Inválida</v>
        <stp/>
        <stp>BOOK0</stp>
        <stp>OVD</stp>
        <stp>191</stp>
        <tr r="C195" s="2"/>
      </tp>
      <tp t="s">
        <v>Ferramenta Inválida</v>
        <stp/>
        <stp>BOOK0</stp>
        <stp>OVD</stp>
        <stp>108</stp>
        <tr r="C112" s="2"/>
      </tp>
      <tp t="s">
        <v>Ferramenta Inválida</v>
        <stp/>
        <stp>BOOK0</stp>
        <stp>OVD</stp>
        <stp>109</stp>
        <tr r="C113" s="2"/>
      </tp>
      <tp t="s">
        <v>Ferramenta Inválida</v>
        <stp/>
        <stp>BOOK0</stp>
        <stp>OVD</stp>
        <stp>106</stp>
        <tr r="C110" s="2"/>
      </tp>
      <tp t="s">
        <v>Ferramenta Inválida</v>
        <stp/>
        <stp>BOOK0</stp>
        <stp>OVD</stp>
        <stp>107</stp>
        <tr r="C111" s="2"/>
      </tp>
      <tp t="s">
        <v>Ferramenta Inválida</v>
        <stp/>
        <stp>BOOK0</stp>
        <stp>OVD</stp>
        <stp>104</stp>
        <tr r="C108" s="2"/>
      </tp>
      <tp t="s">
        <v>Ferramenta Inválida</v>
        <stp/>
        <stp>BOOK0</stp>
        <stp>OVD</stp>
        <stp>105</stp>
        <tr r="C109" s="2"/>
      </tp>
      <tp t="s">
        <v>Ferramenta Inválida</v>
        <stp/>
        <stp>BOOK0</stp>
        <stp>OVD</stp>
        <stp>102</stp>
        <tr r="C106" s="2"/>
      </tp>
      <tp t="s">
        <v>Ferramenta Inválida</v>
        <stp/>
        <stp>BOOK0</stp>
        <stp>OVD</stp>
        <stp>103</stp>
        <tr r="C107" s="2"/>
      </tp>
      <tp t="s">
        <v>Ferramenta Inválida</v>
        <stp/>
        <stp>BOOK0</stp>
        <stp>OVD</stp>
        <stp>100</stp>
        <tr r="C104" s="2"/>
      </tp>
      <tp t="s">
        <v>Ferramenta Inválida</v>
        <stp/>
        <stp>BOOK0</stp>
        <stp>OVD</stp>
        <stp>101</stp>
        <tr r="C105" s="2"/>
      </tp>
      <tp t="s">
        <v>Ferramenta Inválida</v>
        <stp/>
        <stp>BOOK0</stp>
        <stp>OVD</stp>
        <stp>118</stp>
        <tr r="C122" s="2"/>
      </tp>
      <tp t="s">
        <v>Ferramenta Inválida</v>
        <stp/>
        <stp>BOOK0</stp>
        <stp>OVD</stp>
        <stp>119</stp>
        <tr r="C123" s="2"/>
      </tp>
      <tp t="s">
        <v>Ferramenta Inválida</v>
        <stp/>
        <stp>BOOK0</stp>
        <stp>OVD</stp>
        <stp>116</stp>
        <tr r="C120" s="2"/>
      </tp>
      <tp t="s">
        <v>Ferramenta Inválida</v>
        <stp/>
        <stp>BOOK0</stp>
        <stp>OVD</stp>
        <stp>117</stp>
        <tr r="C121" s="2"/>
      </tp>
      <tp t="s">
        <v>Ferramenta Inválida</v>
        <stp/>
        <stp>BOOK0</stp>
        <stp>OVD</stp>
        <stp>114</stp>
        <tr r="C118" s="2"/>
      </tp>
      <tp t="s">
        <v>Ferramenta Inválida</v>
        <stp/>
        <stp>BOOK0</stp>
        <stp>OVD</stp>
        <stp>115</stp>
        <tr r="C119" s="2"/>
      </tp>
      <tp t="s">
        <v>Ferramenta Inválida</v>
        <stp/>
        <stp>BOOK0</stp>
        <stp>OVD</stp>
        <stp>112</stp>
        <tr r="C116" s="2"/>
      </tp>
      <tp t="s">
        <v>Ferramenta Inválida</v>
        <stp/>
        <stp>BOOK0</stp>
        <stp>OVD</stp>
        <stp>113</stp>
        <tr r="C117" s="2"/>
      </tp>
      <tp t="s">
        <v>Ferramenta Inválida</v>
        <stp/>
        <stp>BOOK0</stp>
        <stp>OVD</stp>
        <stp>110</stp>
        <tr r="C114" s="2"/>
      </tp>
      <tp t="s">
        <v>Ferramenta Inválida</v>
        <stp/>
        <stp>BOOK0</stp>
        <stp>OVD</stp>
        <stp>111</stp>
        <tr r="C115" s="2"/>
      </tp>
      <tp t="s">
        <v>Ferramenta Inválida</v>
        <stp/>
        <stp>BOOK0</stp>
        <stp>OVD</stp>
        <stp>128</stp>
        <tr r="C132" s="2"/>
      </tp>
      <tp t="s">
        <v>Ferramenta Inválida</v>
        <stp/>
        <stp>BOOK0</stp>
        <stp>OVD</stp>
        <stp>129</stp>
        <tr r="C133" s="2"/>
      </tp>
      <tp t="s">
        <v>Ferramenta Inválida</v>
        <stp/>
        <stp>BOOK0</stp>
        <stp>OVD</stp>
        <stp>126</stp>
        <tr r="C130" s="2"/>
      </tp>
      <tp t="s">
        <v>Ferramenta Inválida</v>
        <stp/>
        <stp>BOOK0</stp>
        <stp>OVD</stp>
        <stp>127</stp>
        <tr r="C131" s="2"/>
      </tp>
      <tp t="s">
        <v>Ferramenta Inválida</v>
        <stp/>
        <stp>BOOK0</stp>
        <stp>OVD</stp>
        <stp>124</stp>
        <tr r="C128" s="2"/>
      </tp>
      <tp t="s">
        <v>Ferramenta Inválida</v>
        <stp/>
        <stp>BOOK0</stp>
        <stp>OVD</stp>
        <stp>125</stp>
        <tr r="C129" s="2"/>
      </tp>
      <tp t="s">
        <v>Ferramenta Inválida</v>
        <stp/>
        <stp>BOOK0</stp>
        <stp>OVD</stp>
        <stp>122</stp>
        <tr r="C126" s="2"/>
      </tp>
      <tp t="s">
        <v>Ferramenta Inválida</v>
        <stp/>
        <stp>BOOK0</stp>
        <stp>OVD</stp>
        <stp>123</stp>
        <tr r="C127" s="2"/>
      </tp>
      <tp t="s">
        <v>Ferramenta Inválida</v>
        <stp/>
        <stp>BOOK0</stp>
        <stp>OVD</stp>
        <stp>120</stp>
        <tr r="C124" s="2"/>
      </tp>
      <tp t="s">
        <v>Ferramenta Inválida</v>
        <stp/>
        <stp>BOOK0</stp>
        <stp>OVD</stp>
        <stp>121</stp>
        <tr r="C125" s="2"/>
      </tp>
      <tp t="s">
        <v>Ferramenta Inválida</v>
        <stp/>
        <stp>BOOK0</stp>
        <stp>OVD</stp>
        <stp>138</stp>
        <tr r="C142" s="2"/>
      </tp>
      <tp t="s">
        <v>Ferramenta Inválida</v>
        <stp/>
        <stp>BOOK0</stp>
        <stp>OVD</stp>
        <stp>139</stp>
        <tr r="C143" s="2"/>
      </tp>
      <tp t="s">
        <v>Ferramenta Inválida</v>
        <stp/>
        <stp>BOOK0</stp>
        <stp>OVD</stp>
        <stp>136</stp>
        <tr r="C140" s="2"/>
      </tp>
      <tp t="s">
        <v>Ferramenta Inválida</v>
        <stp/>
        <stp>BOOK0</stp>
        <stp>OVD</stp>
        <stp>137</stp>
        <tr r="C141" s="2"/>
      </tp>
      <tp t="s">
        <v>Ferramenta Inválida</v>
        <stp/>
        <stp>BOOK0</stp>
        <stp>OVD</stp>
        <stp>134</stp>
        <tr r="C138" s="2"/>
      </tp>
      <tp t="s">
        <v>Ferramenta Inválida</v>
        <stp/>
        <stp>BOOK0</stp>
        <stp>OVD</stp>
        <stp>135</stp>
        <tr r="C139" s="2"/>
      </tp>
      <tp t="s">
        <v>Ferramenta Inválida</v>
        <stp/>
        <stp>BOOK0</stp>
        <stp>OVD</stp>
        <stp>132</stp>
        <tr r="C136" s="2"/>
      </tp>
      <tp t="s">
        <v>Ferramenta Inválida</v>
        <stp/>
        <stp>BOOK0</stp>
        <stp>OVD</stp>
        <stp>133</stp>
        <tr r="C137" s="2"/>
      </tp>
      <tp t="s">
        <v>Ferramenta Inválida</v>
        <stp/>
        <stp>BOOK0</stp>
        <stp>OVD</stp>
        <stp>130</stp>
        <tr r="C134" s="2"/>
      </tp>
      <tp t="s">
        <v>Ferramenta Inválida</v>
        <stp/>
        <stp>BOOK0</stp>
        <stp>OVD</stp>
        <stp>131</stp>
        <tr r="C135" s="2"/>
      </tp>
      <tp t="s">
        <v>Ferramenta Inválida</v>
        <stp/>
        <stp>BOOK0</stp>
        <stp>OVD</stp>
        <stp>148</stp>
        <tr r="C152" s="2"/>
      </tp>
      <tp t="s">
        <v>Ferramenta Inválida</v>
        <stp/>
        <stp>BOOK0</stp>
        <stp>OVD</stp>
        <stp>149</stp>
        <tr r="C153" s="2"/>
      </tp>
      <tp t="s">
        <v>Ferramenta Inválida</v>
        <stp/>
        <stp>BOOK0</stp>
        <stp>OVD</stp>
        <stp>146</stp>
        <tr r="C150" s="2"/>
      </tp>
      <tp t="s">
        <v>Ferramenta Inválida</v>
        <stp/>
        <stp>BOOK0</stp>
        <stp>OVD</stp>
        <stp>147</stp>
        <tr r="C151" s="2"/>
      </tp>
      <tp t="s">
        <v>Ferramenta Inválida</v>
        <stp/>
        <stp>BOOK0</stp>
        <stp>OVD</stp>
        <stp>144</stp>
        <tr r="C148" s="2"/>
      </tp>
      <tp t="s">
        <v>Ferramenta Inválida</v>
        <stp/>
        <stp>BOOK0</stp>
        <stp>OVD</stp>
        <stp>145</stp>
        <tr r="C149" s="2"/>
      </tp>
      <tp t="s">
        <v>Ferramenta Inválida</v>
        <stp/>
        <stp>BOOK0</stp>
        <stp>OVD</stp>
        <stp>142</stp>
        <tr r="C146" s="2"/>
      </tp>
      <tp t="s">
        <v>Ferramenta Inválida</v>
        <stp/>
        <stp>BOOK0</stp>
        <stp>OVD</stp>
        <stp>143</stp>
        <tr r="C147" s="2"/>
      </tp>
      <tp t="s">
        <v>Ferramenta Inválida</v>
        <stp/>
        <stp>BOOK0</stp>
        <stp>OVD</stp>
        <stp>140</stp>
        <tr r="C144" s="2"/>
      </tp>
      <tp t="s">
        <v>Ferramenta Inválida</v>
        <stp/>
        <stp>BOOK0</stp>
        <stp>OVD</stp>
        <stp>141</stp>
        <tr r="C145" s="2"/>
      </tp>
      <tp t="s">
        <v>Ferramenta Inválida</v>
        <stp/>
        <stp>BOOK0</stp>
        <stp>OVD</stp>
        <stp>158</stp>
        <tr r="C162" s="2"/>
      </tp>
      <tp t="s">
        <v>Ferramenta Inválida</v>
        <stp/>
        <stp>BOOK0</stp>
        <stp>OVD</stp>
        <stp>159</stp>
        <tr r="C163" s="2"/>
      </tp>
      <tp t="s">
        <v>Ferramenta Inválida</v>
        <stp/>
        <stp>BOOK0</stp>
        <stp>OVD</stp>
        <stp>156</stp>
        <tr r="C160" s="2"/>
      </tp>
      <tp t="s">
        <v>Ferramenta Inválida</v>
        <stp/>
        <stp>BOOK0</stp>
        <stp>OVD</stp>
        <stp>157</stp>
        <tr r="C161" s="2"/>
      </tp>
      <tp t="s">
        <v>Ferramenta Inválida</v>
        <stp/>
        <stp>BOOK0</stp>
        <stp>OVD</stp>
        <stp>154</stp>
        <tr r="C158" s="2"/>
      </tp>
      <tp t="s">
        <v>Ferramenta Inválida</v>
        <stp/>
        <stp>BOOK0</stp>
        <stp>OVD</stp>
        <stp>155</stp>
        <tr r="C159" s="2"/>
      </tp>
      <tp t="s">
        <v>Ferramenta Inválida</v>
        <stp/>
        <stp>BOOK0</stp>
        <stp>OVD</stp>
        <stp>152</stp>
        <tr r="C156" s="2"/>
      </tp>
      <tp t="s">
        <v>Ferramenta Inválida</v>
        <stp/>
        <stp>BOOK0</stp>
        <stp>OVD</stp>
        <stp>153</stp>
        <tr r="C157" s="2"/>
      </tp>
      <tp t="s">
        <v>Ferramenta Inválida</v>
        <stp/>
        <stp>BOOK0</stp>
        <stp>OVD</stp>
        <stp>150</stp>
        <tr r="C154" s="2"/>
      </tp>
      <tp t="s">
        <v>Ferramenta Inválida</v>
        <stp/>
        <stp>BOOK0</stp>
        <stp>OVD</stp>
        <stp>151</stp>
        <tr r="C155" s="2"/>
      </tp>
      <tp t="s">
        <v>Ferramenta Inválida</v>
        <stp/>
        <stp>BOOK0</stp>
        <stp>OVD</stp>
        <stp>168</stp>
        <tr r="C172" s="2"/>
      </tp>
      <tp t="s">
        <v>Ferramenta Inválida</v>
        <stp/>
        <stp>BOOK0</stp>
        <stp>OVD</stp>
        <stp>169</stp>
        <tr r="C173" s="2"/>
      </tp>
      <tp t="s">
        <v>Ferramenta Inválida</v>
        <stp/>
        <stp>BOOK0</stp>
        <stp>OVD</stp>
        <stp>166</stp>
        <tr r="C170" s="2"/>
      </tp>
      <tp t="s">
        <v>Ferramenta Inválida</v>
        <stp/>
        <stp>BOOK0</stp>
        <stp>OVD</stp>
        <stp>167</stp>
        <tr r="C171" s="2"/>
      </tp>
      <tp t="s">
        <v>Ferramenta Inválida</v>
        <stp/>
        <stp>BOOK0</stp>
        <stp>OVD</stp>
        <stp>164</stp>
        <tr r="C168" s="2"/>
      </tp>
      <tp t="s">
        <v>Ferramenta Inválida</v>
        <stp/>
        <stp>BOOK0</stp>
        <stp>OVD</stp>
        <stp>165</stp>
        <tr r="C169" s="2"/>
      </tp>
      <tp t="s">
        <v>Ferramenta Inválida</v>
        <stp/>
        <stp>BOOK0</stp>
        <stp>OVD</stp>
        <stp>162</stp>
        <tr r="C166" s="2"/>
      </tp>
      <tp t="s">
        <v>Ferramenta Inválida</v>
        <stp/>
        <stp>BOOK0</stp>
        <stp>OVD</stp>
        <stp>163</stp>
        <tr r="C167" s="2"/>
      </tp>
      <tp t="s">
        <v>Ferramenta Inválida</v>
        <stp/>
        <stp>BOOK0</stp>
        <stp>OVD</stp>
        <stp>160</stp>
        <tr r="C164" s="2"/>
      </tp>
      <tp t="s">
        <v>Ferramenta Inválida</v>
        <stp/>
        <stp>BOOK0</stp>
        <stp>OVD</stp>
        <stp>161</stp>
        <tr r="C165" s="2"/>
      </tp>
      <tp t="s">
        <v>Ferramenta Inválida</v>
        <stp/>
        <stp>BOOK0</stp>
        <stp>OVD</stp>
        <stp>178</stp>
        <tr r="C182" s="2"/>
      </tp>
      <tp t="s">
        <v>Ferramenta Inválida</v>
        <stp/>
        <stp>BOOK0</stp>
        <stp>OVD</stp>
        <stp>179</stp>
        <tr r="C183" s="2"/>
      </tp>
      <tp t="s">
        <v>Ferramenta Inválida</v>
        <stp/>
        <stp>BOOK0</stp>
        <stp>OVD</stp>
        <stp>176</stp>
        <tr r="C180" s="2"/>
      </tp>
      <tp t="s">
        <v>Ferramenta Inválida</v>
        <stp/>
        <stp>BOOK0</stp>
        <stp>OVD</stp>
        <stp>177</stp>
        <tr r="C181" s="2"/>
      </tp>
      <tp t="s">
        <v>Ferramenta Inválida</v>
        <stp/>
        <stp>BOOK0</stp>
        <stp>OVD</stp>
        <stp>174</stp>
        <tr r="C178" s="2"/>
      </tp>
      <tp t="s">
        <v>Ferramenta Inválida</v>
        <stp/>
        <stp>BOOK0</stp>
        <stp>OVD</stp>
        <stp>175</stp>
        <tr r="C179" s="2"/>
      </tp>
      <tp t="s">
        <v>Ferramenta Inválida</v>
        <stp/>
        <stp>BOOK0</stp>
        <stp>OVD</stp>
        <stp>172</stp>
        <tr r="C176" s="2"/>
      </tp>
      <tp t="s">
        <v>Ferramenta Inválida</v>
        <stp/>
        <stp>BOOK0</stp>
        <stp>OVD</stp>
        <stp>173</stp>
        <tr r="C177" s="2"/>
      </tp>
      <tp t="s">
        <v>Ferramenta Inválida</v>
        <stp/>
        <stp>BOOK0</stp>
        <stp>OVD</stp>
        <stp>170</stp>
        <tr r="C174" s="2"/>
      </tp>
      <tp t="s">
        <v>Ferramenta Inválida</v>
        <stp/>
        <stp>BOOK0</stp>
        <stp>OVD</stp>
        <stp>171</stp>
        <tr r="C175" s="2"/>
      </tp>
      <tp t="s">
        <v>Ferramenta Inválida</v>
        <stp/>
        <stp>BOOK0</stp>
        <stp>OCP</stp>
        <stp>198</stp>
        <tr r="B202" s="2"/>
      </tp>
      <tp t="s">
        <v>Ferramenta Inválida</v>
        <stp/>
        <stp>BOOK0</stp>
        <stp>OCP</stp>
        <stp>199</stp>
        <tr r="B203" s="2"/>
      </tp>
      <tp t="s">
        <v>Ferramenta Inválida</v>
        <stp/>
        <stp>BOOK0</stp>
        <stp>OCP</stp>
        <stp>192</stp>
        <tr r="B196" s="2"/>
      </tp>
      <tp t="s">
        <v>Ferramenta Inválida</v>
        <stp/>
        <stp>BOOK0</stp>
        <stp>OCP</stp>
        <stp>193</stp>
        <tr r="B197" s="2"/>
      </tp>
      <tp t="s">
        <v>Ferramenta Inválida</v>
        <stp/>
        <stp>BOOK0</stp>
        <stp>OCP</stp>
        <stp>190</stp>
        <tr r="B194" s="2"/>
      </tp>
      <tp t="s">
        <v>Ferramenta Inválida</v>
        <stp/>
        <stp>BOOK0</stp>
        <stp>OCP</stp>
        <stp>191</stp>
        <tr r="B195" s="2"/>
      </tp>
      <tp t="s">
        <v>Ferramenta Inválida</v>
        <stp/>
        <stp>BOOK0</stp>
        <stp>OCP</stp>
        <stp>196</stp>
        <tr r="B200" s="2"/>
      </tp>
      <tp t="s">
        <v>Ferramenta Inválida</v>
        <stp/>
        <stp>BOOK0</stp>
        <stp>OCP</stp>
        <stp>197</stp>
        <tr r="B201" s="2"/>
      </tp>
      <tp t="s">
        <v>Ferramenta Inválida</v>
        <stp/>
        <stp>BOOK0</stp>
        <stp>OCP</stp>
        <stp>194</stp>
        <tr r="B198" s="2"/>
      </tp>
      <tp t="s">
        <v>Ferramenta Inválida</v>
        <stp/>
        <stp>BOOK0</stp>
        <stp>OCP</stp>
        <stp>195</stp>
        <tr r="B199" s="2"/>
      </tp>
      <tp t="s">
        <v>Ferramenta Inválida</v>
        <stp/>
        <stp>BOOK0</stp>
        <stp>OCP</stp>
        <stp>188</stp>
        <tr r="B192" s="2"/>
      </tp>
      <tp t="s">
        <v>Ferramenta Inválida</v>
        <stp/>
        <stp>BOOK0</stp>
        <stp>OCP</stp>
        <stp>189</stp>
        <tr r="B193" s="2"/>
      </tp>
      <tp t="s">
        <v>Ferramenta Inválida</v>
        <stp/>
        <stp>BOOK0</stp>
        <stp>OCP</stp>
        <stp>182</stp>
        <tr r="B186" s="2"/>
      </tp>
      <tp t="s">
        <v>Ferramenta Inválida</v>
        <stp/>
        <stp>BOOK0</stp>
        <stp>OCP</stp>
        <stp>183</stp>
        <tr r="B187" s="2"/>
      </tp>
      <tp t="s">
        <v>Ferramenta Inválida</v>
        <stp/>
        <stp>BOOK0</stp>
        <stp>OCP</stp>
        <stp>180</stp>
        <tr r="B184" s="2"/>
      </tp>
      <tp t="s">
        <v>Ferramenta Inválida</v>
        <stp/>
        <stp>BOOK0</stp>
        <stp>OCP</stp>
        <stp>181</stp>
        <tr r="B185" s="2"/>
      </tp>
      <tp t="s">
        <v>Ferramenta Inválida</v>
        <stp/>
        <stp>BOOK0</stp>
        <stp>OCP</stp>
        <stp>186</stp>
        <tr r="B190" s="2"/>
      </tp>
      <tp t="s">
        <v>Ferramenta Inválida</v>
        <stp/>
        <stp>BOOK0</stp>
        <stp>OCP</stp>
        <stp>187</stp>
        <tr r="B191" s="2"/>
      </tp>
      <tp t="s">
        <v>Ferramenta Inválida</v>
        <stp/>
        <stp>BOOK0</stp>
        <stp>OCP</stp>
        <stp>184</stp>
        <tr r="B188" s="2"/>
      </tp>
      <tp t="s">
        <v>Ferramenta Inválida</v>
        <stp/>
        <stp>BOOK0</stp>
        <stp>OCP</stp>
        <stp>185</stp>
        <tr r="B189" s="2"/>
      </tp>
      <tp t="s">
        <v>Ferramenta Inválida</v>
        <stp/>
        <stp>BOOK0</stp>
        <stp>OCP</stp>
        <stp>158</stp>
        <tr r="B162" s="2"/>
      </tp>
      <tp t="s">
        <v>Ferramenta Inválida</v>
        <stp/>
        <stp>BOOK0</stp>
        <stp>OCP</stp>
        <stp>159</stp>
        <tr r="B163" s="2"/>
      </tp>
      <tp t="s">
        <v>Ferramenta Inválida</v>
        <stp/>
        <stp>BOOK0</stp>
        <stp>OCP</stp>
        <stp>152</stp>
        <tr r="B156" s="2"/>
      </tp>
      <tp t="s">
        <v>Ferramenta Inválida</v>
        <stp/>
        <stp>BOOK0</stp>
        <stp>OCP</stp>
        <stp>153</stp>
        <tr r="B157" s="2"/>
      </tp>
      <tp t="s">
        <v>Ferramenta Inválida</v>
        <stp/>
        <stp>BOOK0</stp>
        <stp>OCP</stp>
        <stp>150</stp>
        <tr r="B154" s="2"/>
      </tp>
      <tp t="s">
        <v>Ferramenta Inválida</v>
        <stp/>
        <stp>BOOK0</stp>
        <stp>OCP</stp>
        <stp>151</stp>
        <tr r="B155" s="2"/>
      </tp>
      <tp t="s">
        <v>Ferramenta Inválida</v>
        <stp/>
        <stp>BOOK0</stp>
        <stp>OCP</stp>
        <stp>156</stp>
        <tr r="B160" s="2"/>
      </tp>
      <tp t="s">
        <v>Ferramenta Inválida</v>
        <stp/>
        <stp>BOOK0</stp>
        <stp>OCP</stp>
        <stp>157</stp>
        <tr r="B161" s="2"/>
      </tp>
      <tp t="s">
        <v>Ferramenta Inválida</v>
        <stp/>
        <stp>BOOK0</stp>
        <stp>OCP</stp>
        <stp>154</stp>
        <tr r="B158" s="2"/>
      </tp>
      <tp t="s">
        <v>Ferramenta Inválida</v>
        <stp/>
        <stp>BOOK0</stp>
        <stp>OCP</stp>
        <stp>155</stp>
        <tr r="B159" s="2"/>
      </tp>
      <tp t="s">
        <v>Ferramenta Inválida</v>
        <stp/>
        <stp>BOOK0</stp>
        <stp>OCP</stp>
        <stp>148</stp>
        <tr r="B152" s="2"/>
      </tp>
      <tp t="s">
        <v>Ferramenta Inválida</v>
        <stp/>
        <stp>BOOK0</stp>
        <stp>OCP</stp>
        <stp>149</stp>
        <tr r="B153" s="2"/>
      </tp>
      <tp t="s">
        <v>Ferramenta Inválida</v>
        <stp/>
        <stp>BOOK0</stp>
        <stp>OCP</stp>
        <stp>142</stp>
        <tr r="B146" s="2"/>
      </tp>
      <tp t="s">
        <v>Ferramenta Inválida</v>
        <stp/>
        <stp>BOOK0</stp>
        <stp>OCP</stp>
        <stp>143</stp>
        <tr r="B147" s="2"/>
      </tp>
      <tp t="s">
        <v>Ferramenta Inválida</v>
        <stp/>
        <stp>BOOK0</stp>
        <stp>OCP</stp>
        <stp>140</stp>
        <tr r="B144" s="2"/>
      </tp>
      <tp t="s">
        <v>Ferramenta Inválida</v>
        <stp/>
        <stp>BOOK0</stp>
        <stp>OCP</stp>
        <stp>141</stp>
        <tr r="B145" s="2"/>
      </tp>
      <tp t="s">
        <v>Ferramenta Inválida</v>
        <stp/>
        <stp>BOOK0</stp>
        <stp>OCP</stp>
        <stp>146</stp>
        <tr r="B150" s="2"/>
      </tp>
      <tp t="s">
        <v>Ferramenta Inválida</v>
        <stp/>
        <stp>BOOK0</stp>
        <stp>OCP</stp>
        <stp>147</stp>
        <tr r="B151" s="2"/>
      </tp>
      <tp t="s">
        <v>Ferramenta Inválida</v>
        <stp/>
        <stp>BOOK0</stp>
        <stp>OCP</stp>
        <stp>144</stp>
        <tr r="B148" s="2"/>
      </tp>
      <tp t="s">
        <v>Ferramenta Inválida</v>
        <stp/>
        <stp>BOOK0</stp>
        <stp>OCP</stp>
        <stp>145</stp>
        <tr r="B149" s="2"/>
      </tp>
      <tp t="s">
        <v>Ferramenta Inválida</v>
        <stp/>
        <stp>BOOK0</stp>
        <stp>OCP</stp>
        <stp>178</stp>
        <tr r="B182" s="2"/>
      </tp>
      <tp t="s">
        <v>Ferramenta Inválida</v>
        <stp/>
        <stp>BOOK0</stp>
        <stp>OCP</stp>
        <stp>179</stp>
        <tr r="B183" s="2"/>
      </tp>
      <tp t="s">
        <v>Ferramenta Inválida</v>
        <stp/>
        <stp>BOOK0</stp>
        <stp>OCP</stp>
        <stp>172</stp>
        <tr r="B176" s="2"/>
      </tp>
      <tp t="s">
        <v>Ferramenta Inválida</v>
        <stp/>
        <stp>BOOK0</stp>
        <stp>OCP</stp>
        <stp>173</stp>
        <tr r="B177" s="2"/>
      </tp>
      <tp t="s">
        <v>Ferramenta Inválida</v>
        <stp/>
        <stp>BOOK0</stp>
        <stp>OCP</stp>
        <stp>170</stp>
        <tr r="B174" s="2"/>
      </tp>
      <tp t="s">
        <v>Ferramenta Inválida</v>
        <stp/>
        <stp>BOOK0</stp>
        <stp>OCP</stp>
        <stp>171</stp>
        <tr r="B175" s="2"/>
      </tp>
      <tp t="s">
        <v>Ferramenta Inválida</v>
        <stp/>
        <stp>BOOK0</stp>
        <stp>OCP</stp>
        <stp>176</stp>
        <tr r="B180" s="2"/>
      </tp>
      <tp t="s">
        <v>Ferramenta Inválida</v>
        <stp/>
        <stp>BOOK0</stp>
        <stp>OCP</stp>
        <stp>177</stp>
        <tr r="B181" s="2"/>
      </tp>
      <tp t="s">
        <v>Ferramenta Inválida</v>
        <stp/>
        <stp>BOOK0</stp>
        <stp>OCP</stp>
        <stp>174</stp>
        <tr r="B178" s="2"/>
      </tp>
      <tp t="s">
        <v>Ferramenta Inválida</v>
        <stp/>
        <stp>BOOK0</stp>
        <stp>OCP</stp>
        <stp>175</stp>
        <tr r="B179" s="2"/>
      </tp>
      <tp t="s">
        <v>Ferramenta Inválida</v>
        <stp/>
        <stp>BOOK0</stp>
        <stp>OCP</stp>
        <stp>168</stp>
        <tr r="B172" s="2"/>
      </tp>
      <tp t="s">
        <v>Ferramenta Inválida</v>
        <stp/>
        <stp>BOOK0</stp>
        <stp>OCP</stp>
        <stp>169</stp>
        <tr r="B173" s="2"/>
      </tp>
      <tp t="s">
        <v>Ferramenta Inválida</v>
        <stp/>
        <stp>BOOK0</stp>
        <stp>OCP</stp>
        <stp>162</stp>
        <tr r="B166" s="2"/>
      </tp>
      <tp t="s">
        <v>Ferramenta Inválida</v>
        <stp/>
        <stp>BOOK0</stp>
        <stp>OCP</stp>
        <stp>163</stp>
        <tr r="B167" s="2"/>
      </tp>
      <tp t="s">
        <v>Ferramenta Inválida</v>
        <stp/>
        <stp>BOOK0</stp>
        <stp>OCP</stp>
        <stp>160</stp>
        <tr r="B164" s="2"/>
      </tp>
      <tp t="s">
        <v>Ferramenta Inválida</v>
        <stp/>
        <stp>BOOK0</stp>
        <stp>OCP</stp>
        <stp>161</stp>
        <tr r="B165" s="2"/>
      </tp>
      <tp t="s">
        <v>Ferramenta Inválida</v>
        <stp/>
        <stp>BOOK0</stp>
        <stp>OCP</stp>
        <stp>166</stp>
        <tr r="B170" s="2"/>
      </tp>
      <tp t="s">
        <v>Ferramenta Inválida</v>
        <stp/>
        <stp>BOOK0</stp>
        <stp>OCP</stp>
        <stp>167</stp>
        <tr r="B171" s="2"/>
      </tp>
      <tp t="s">
        <v>Ferramenta Inválida</v>
        <stp/>
        <stp>BOOK0</stp>
        <stp>OCP</stp>
        <stp>164</stp>
        <tr r="B168" s="2"/>
      </tp>
      <tp t="s">
        <v>Ferramenta Inválida</v>
        <stp/>
        <stp>BOOK0</stp>
        <stp>OCP</stp>
        <stp>165</stp>
        <tr r="B169" s="2"/>
      </tp>
      <tp t="s">
        <v>Ferramenta Inválida</v>
        <stp/>
        <stp>BOOK0</stp>
        <stp>OCP</stp>
        <stp>118</stp>
        <tr r="B122" s="2"/>
      </tp>
      <tp t="s">
        <v>Ferramenta Inválida</v>
        <stp/>
        <stp>BOOK0</stp>
        <stp>OCP</stp>
        <stp>119</stp>
        <tr r="B123" s="2"/>
      </tp>
      <tp t="s">
        <v>Ferramenta Inválida</v>
        <stp/>
        <stp>BOOK0</stp>
        <stp>OCP</stp>
        <stp>112</stp>
        <tr r="B116" s="2"/>
      </tp>
      <tp t="s">
        <v>Ferramenta Inválida</v>
        <stp/>
        <stp>BOOK0</stp>
        <stp>OCP</stp>
        <stp>113</stp>
        <tr r="B117" s="2"/>
      </tp>
      <tp t="s">
        <v>Ferramenta Inválida</v>
        <stp/>
        <stp>BOOK0</stp>
        <stp>OCP</stp>
        <stp>110</stp>
        <tr r="B114" s="2"/>
      </tp>
      <tp t="s">
        <v>Ferramenta Inválida</v>
        <stp/>
        <stp>BOOK0</stp>
        <stp>OCP</stp>
        <stp>111</stp>
        <tr r="B115" s="2"/>
      </tp>
      <tp t="s">
        <v>Ferramenta Inválida</v>
        <stp/>
        <stp>BOOK0</stp>
        <stp>OCP</stp>
        <stp>116</stp>
        <tr r="B120" s="2"/>
      </tp>
      <tp t="s">
        <v>Ferramenta Inválida</v>
        <stp/>
        <stp>BOOK0</stp>
        <stp>OCP</stp>
        <stp>117</stp>
        <tr r="B121" s="2"/>
      </tp>
      <tp t="s">
        <v>Ferramenta Inválida</v>
        <stp/>
        <stp>BOOK0</stp>
        <stp>OCP</stp>
        <stp>114</stp>
        <tr r="B118" s="2"/>
      </tp>
      <tp t="s">
        <v>Ferramenta Inválida</v>
        <stp/>
        <stp>BOOK0</stp>
        <stp>OCP</stp>
        <stp>115</stp>
        <tr r="B119" s="2"/>
      </tp>
      <tp t="s">
        <v>Ferramenta Inválida</v>
        <stp/>
        <stp>BOOK0</stp>
        <stp>OCP</stp>
        <stp>108</stp>
        <tr r="B112" s="2"/>
      </tp>
      <tp t="s">
        <v>Ferramenta Inválida</v>
        <stp/>
        <stp>BOOK0</stp>
        <stp>OCP</stp>
        <stp>109</stp>
        <tr r="B113" s="2"/>
      </tp>
      <tp t="s">
        <v>Ferramenta Inválida</v>
        <stp/>
        <stp>BOOK0</stp>
        <stp>OCP</stp>
        <stp>102</stp>
        <tr r="B106" s="2"/>
      </tp>
      <tp t="s">
        <v>Ferramenta Inválida</v>
        <stp/>
        <stp>BOOK0</stp>
        <stp>OCP</stp>
        <stp>103</stp>
        <tr r="B107" s="2"/>
      </tp>
      <tp t="s">
        <v>Ferramenta Inválida</v>
        <stp/>
        <stp>BOOK0</stp>
        <stp>OCP</stp>
        <stp>100</stp>
        <tr r="B104" s="2"/>
      </tp>
      <tp t="s">
        <v>Ferramenta Inválida</v>
        <stp/>
        <stp>BOOK0</stp>
        <stp>OCP</stp>
        <stp>101</stp>
        <tr r="B105" s="2"/>
      </tp>
      <tp t="s">
        <v>Ferramenta Inválida</v>
        <stp/>
        <stp>BOOK0</stp>
        <stp>OCP</stp>
        <stp>106</stp>
        <tr r="B110" s="2"/>
      </tp>
      <tp t="s">
        <v>Ferramenta Inválida</v>
        <stp/>
        <stp>BOOK0</stp>
        <stp>OCP</stp>
        <stp>107</stp>
        <tr r="B111" s="2"/>
      </tp>
      <tp t="s">
        <v>Ferramenta Inválida</v>
        <stp/>
        <stp>BOOK0</stp>
        <stp>OCP</stp>
        <stp>104</stp>
        <tr r="B108" s="2"/>
      </tp>
      <tp t="s">
        <v>Ferramenta Inválida</v>
        <stp/>
        <stp>BOOK0</stp>
        <stp>OCP</stp>
        <stp>105</stp>
        <tr r="B109" s="2"/>
      </tp>
      <tp t="s">
        <v>Ferramenta Inválida</v>
        <stp/>
        <stp>BOOK0</stp>
        <stp>OCP</stp>
        <stp>138</stp>
        <tr r="B142" s="2"/>
      </tp>
      <tp t="s">
        <v>Ferramenta Inválida</v>
        <stp/>
        <stp>BOOK0</stp>
        <stp>OCP</stp>
        <stp>139</stp>
        <tr r="B143" s="2"/>
      </tp>
      <tp t="s">
        <v>Ferramenta Inválida</v>
        <stp/>
        <stp>BOOK0</stp>
        <stp>OCP</stp>
        <stp>132</stp>
        <tr r="B136" s="2"/>
      </tp>
      <tp t="s">
        <v>Ferramenta Inválida</v>
        <stp/>
        <stp>BOOK0</stp>
        <stp>OCP</stp>
        <stp>133</stp>
        <tr r="B137" s="2"/>
      </tp>
      <tp t="s">
        <v>Ferramenta Inválida</v>
        <stp/>
        <stp>BOOK0</stp>
        <stp>OCP</stp>
        <stp>130</stp>
        <tr r="B134" s="2"/>
      </tp>
      <tp t="s">
        <v>Ferramenta Inválida</v>
        <stp/>
        <stp>BOOK0</stp>
        <stp>OCP</stp>
        <stp>131</stp>
        <tr r="B135" s="2"/>
      </tp>
      <tp t="s">
        <v>Ferramenta Inválida</v>
        <stp/>
        <stp>BOOK0</stp>
        <stp>OCP</stp>
        <stp>136</stp>
        <tr r="B140" s="2"/>
      </tp>
      <tp t="s">
        <v>Ferramenta Inválida</v>
        <stp/>
        <stp>BOOK0</stp>
        <stp>OCP</stp>
        <stp>137</stp>
        <tr r="B141" s="2"/>
      </tp>
      <tp t="s">
        <v>Ferramenta Inválida</v>
        <stp/>
        <stp>BOOK0</stp>
        <stp>OCP</stp>
        <stp>134</stp>
        <tr r="B138" s="2"/>
      </tp>
      <tp t="s">
        <v>Ferramenta Inválida</v>
        <stp/>
        <stp>BOOK0</stp>
        <stp>OCP</stp>
        <stp>135</stp>
        <tr r="B139" s="2"/>
      </tp>
      <tp t="s">
        <v>Ferramenta Inválida</v>
        <stp/>
        <stp>BOOK0</stp>
        <stp>OCP</stp>
        <stp>128</stp>
        <tr r="B132" s="2"/>
      </tp>
      <tp t="s">
        <v>Ferramenta Inválida</v>
        <stp/>
        <stp>BOOK0</stp>
        <stp>OCP</stp>
        <stp>129</stp>
        <tr r="B133" s="2"/>
      </tp>
      <tp t="s">
        <v>Ferramenta Inválida</v>
        <stp/>
        <stp>BOOK0</stp>
        <stp>OCP</stp>
        <stp>122</stp>
        <tr r="B126" s="2"/>
      </tp>
      <tp t="s">
        <v>Ferramenta Inválida</v>
        <stp/>
        <stp>BOOK0</stp>
        <stp>OCP</stp>
        <stp>123</stp>
        <tr r="B127" s="2"/>
      </tp>
      <tp t="s">
        <v>Ferramenta Inválida</v>
        <stp/>
        <stp>BOOK0</stp>
        <stp>OCP</stp>
        <stp>120</stp>
        <tr r="B124" s="2"/>
      </tp>
      <tp t="s">
        <v>Ferramenta Inválida</v>
        <stp/>
        <stp>BOOK0</stp>
        <stp>OCP</stp>
        <stp>121</stp>
        <tr r="B125" s="2"/>
      </tp>
      <tp t="s">
        <v>Ferramenta Inválida</v>
        <stp/>
        <stp>BOOK0</stp>
        <stp>OCP</stp>
        <stp>126</stp>
        <tr r="B130" s="2"/>
      </tp>
      <tp t="s">
        <v>Ferramenta Inválida</v>
        <stp/>
        <stp>BOOK0</stp>
        <stp>OCP</stp>
        <stp>127</stp>
        <tr r="B131" s="2"/>
      </tp>
      <tp t="s">
        <v>Ferramenta Inválida</v>
        <stp/>
        <stp>BOOK0</stp>
        <stp>OCP</stp>
        <stp>124</stp>
        <tr r="B128" s="2"/>
      </tp>
      <tp t="s">
        <v>Ferramenta Inválida</v>
        <stp/>
        <stp>BOOK0</stp>
        <stp>OCP</stp>
        <stp>125</stp>
        <tr r="B129" s="2"/>
      </tp>
      <tp t="s">
        <v>Ferramenta Inválida</v>
        <stp/>
        <stp>BOOK0</stp>
        <stp>OVD</stp>
        <stp>288</stp>
        <tr r="C292" s="2"/>
      </tp>
      <tp t="s">
        <v>Ferramenta Inválida</v>
        <stp/>
        <stp>BOOK0</stp>
        <stp>OVD</stp>
        <stp>289</stp>
        <tr r="C293" s="2"/>
      </tp>
      <tp t="s">
        <v>Ferramenta Inválida</v>
        <stp/>
        <stp>BOOK0</stp>
        <stp>OVD</stp>
        <stp>286</stp>
        <tr r="C290" s="2"/>
      </tp>
      <tp t="s">
        <v>Ferramenta Inválida</v>
        <stp/>
        <stp>BOOK0</stp>
        <stp>OVD</stp>
        <stp>287</stp>
        <tr r="C291" s="2"/>
      </tp>
      <tp t="s">
        <v>Ferramenta Inválida</v>
        <stp/>
        <stp>BOOK0</stp>
        <stp>OVD</stp>
        <stp>284</stp>
        <tr r="C288" s="2"/>
      </tp>
      <tp t="s">
        <v>Ferramenta Inválida</v>
        <stp/>
        <stp>BOOK0</stp>
        <stp>OVD</stp>
        <stp>285</stp>
        <tr r="C289" s="2"/>
      </tp>
      <tp t="s">
        <v>Ferramenta Inválida</v>
        <stp/>
        <stp>BOOK0</stp>
        <stp>OVD</stp>
        <stp>282</stp>
        <tr r="C286" s="2"/>
      </tp>
      <tp t="s">
        <v>Ferramenta Inválida</v>
        <stp/>
        <stp>BOOK0</stp>
        <stp>OVD</stp>
        <stp>283</stp>
        <tr r="C287" s="2"/>
      </tp>
      <tp t="s">
        <v>Ferramenta Inválida</v>
        <stp/>
        <stp>BOOK0</stp>
        <stp>OVD</stp>
        <stp>280</stp>
        <tr r="C284" s="2"/>
      </tp>
      <tp t="s">
        <v>Ferramenta Inválida</v>
        <stp/>
        <stp>BOOK0</stp>
        <stp>OVD</stp>
        <stp>281</stp>
        <tr r="C285" s="2"/>
      </tp>
      <tp t="s">
        <v>Ferramenta Inválida</v>
        <stp/>
        <stp>BOOK0</stp>
        <stp>OVD</stp>
        <stp>298</stp>
        <tr r="C302" s="2"/>
      </tp>
      <tp t="s">
        <v>Ferramenta Inválida</v>
        <stp/>
        <stp>BOOK0</stp>
        <stp>OVD</stp>
        <stp>299</stp>
        <tr r="C303" s="2"/>
      </tp>
      <tp t="s">
        <v>Ferramenta Inválida</v>
        <stp/>
        <stp>BOOK0</stp>
        <stp>OVD</stp>
        <stp>296</stp>
        <tr r="C300" s="2"/>
      </tp>
      <tp t="s">
        <v>Ferramenta Inválida</v>
        <stp/>
        <stp>BOOK0</stp>
        <stp>OVD</stp>
        <stp>297</stp>
        <tr r="C301" s="2"/>
      </tp>
      <tp t="s">
        <v>Ferramenta Inválida</v>
        <stp/>
        <stp>BOOK0</stp>
        <stp>OVD</stp>
        <stp>294</stp>
        <tr r="C298" s="2"/>
      </tp>
      <tp t="s">
        <v>Ferramenta Inválida</v>
        <stp/>
        <stp>BOOK0</stp>
        <stp>OVD</stp>
        <stp>295</stp>
        <tr r="C299" s="2"/>
      </tp>
      <tp t="s">
        <v>Ferramenta Inválida</v>
        <stp/>
        <stp>BOOK0</stp>
        <stp>OVD</stp>
        <stp>292</stp>
        <tr r="C296" s="2"/>
      </tp>
      <tp t="s">
        <v>Ferramenta Inválida</v>
        <stp/>
        <stp>BOOK0</stp>
        <stp>OVD</stp>
        <stp>293</stp>
        <tr r="C297" s="2"/>
      </tp>
      <tp t="s">
        <v>Ferramenta Inválida</v>
        <stp/>
        <stp>BOOK0</stp>
        <stp>OVD</stp>
        <stp>290</stp>
        <tr r="C294" s="2"/>
      </tp>
      <tp t="s">
        <v>Ferramenta Inválida</v>
        <stp/>
        <stp>BOOK0</stp>
        <stp>OVD</stp>
        <stp>291</stp>
        <tr r="C295" s="2"/>
      </tp>
      <tp t="s">
        <v>Ferramenta Inválida</v>
        <stp/>
        <stp>BOOK0</stp>
        <stp>OVD</stp>
        <stp>208</stp>
        <tr r="C212" s="2"/>
      </tp>
      <tp t="s">
        <v>Ferramenta Inválida</v>
        <stp/>
        <stp>BOOK0</stp>
        <stp>OVD</stp>
        <stp>209</stp>
        <tr r="C213" s="2"/>
      </tp>
      <tp t="s">
        <v>Ferramenta Inválida</v>
        <stp/>
        <stp>BOOK0</stp>
        <stp>OVD</stp>
        <stp>206</stp>
        <tr r="C210" s="2"/>
      </tp>
      <tp t="s">
        <v>Ferramenta Inválida</v>
        <stp/>
        <stp>BOOK0</stp>
        <stp>OVD</stp>
        <stp>207</stp>
        <tr r="C211" s="2"/>
      </tp>
      <tp t="s">
        <v>Ferramenta Inválida</v>
        <stp/>
        <stp>BOOK0</stp>
        <stp>OVD</stp>
        <stp>204</stp>
        <tr r="C208" s="2"/>
      </tp>
      <tp t="s">
        <v>Ferramenta Inválida</v>
        <stp/>
        <stp>BOOK0</stp>
        <stp>OVD</stp>
        <stp>205</stp>
        <tr r="C209" s="2"/>
      </tp>
      <tp t="s">
        <v>Ferramenta Inválida</v>
        <stp/>
        <stp>BOOK0</stp>
        <stp>OVD</stp>
        <stp>202</stp>
        <tr r="C206" s="2"/>
      </tp>
      <tp t="s">
        <v>Ferramenta Inválida</v>
        <stp/>
        <stp>BOOK0</stp>
        <stp>OVD</stp>
        <stp>203</stp>
        <tr r="C207" s="2"/>
      </tp>
      <tp t="s">
        <v>Ferramenta Inválida</v>
        <stp/>
        <stp>BOOK0</stp>
        <stp>OVD</stp>
        <stp>200</stp>
        <tr r="C204" s="2"/>
      </tp>
      <tp t="s">
        <v>Ferramenta Inválida</v>
        <stp/>
        <stp>BOOK0</stp>
        <stp>OVD</stp>
        <stp>201</stp>
        <tr r="C205" s="2"/>
      </tp>
      <tp t="s">
        <v>Ferramenta Inválida</v>
        <stp/>
        <stp>BOOK0</stp>
        <stp>OVD</stp>
        <stp>218</stp>
        <tr r="C222" s="2"/>
      </tp>
      <tp t="s">
        <v>Ferramenta Inválida</v>
        <stp/>
        <stp>BOOK0</stp>
        <stp>OVD</stp>
        <stp>219</stp>
        <tr r="C223" s="2"/>
      </tp>
      <tp t="s">
        <v>Ferramenta Inválida</v>
        <stp/>
        <stp>BOOK0</stp>
        <stp>OVD</stp>
        <stp>216</stp>
        <tr r="C220" s="2"/>
      </tp>
      <tp t="s">
        <v>Ferramenta Inválida</v>
        <stp/>
        <stp>BOOK0</stp>
        <stp>OVD</stp>
        <stp>217</stp>
        <tr r="C221" s="2"/>
      </tp>
      <tp t="s">
        <v>Ferramenta Inválida</v>
        <stp/>
        <stp>BOOK0</stp>
        <stp>OVD</stp>
        <stp>214</stp>
        <tr r="C218" s="2"/>
      </tp>
      <tp t="s">
        <v>Ferramenta Inválida</v>
        <stp/>
        <stp>BOOK0</stp>
        <stp>OVD</stp>
        <stp>215</stp>
        <tr r="C219" s="2"/>
      </tp>
      <tp t="s">
        <v>Ferramenta Inválida</v>
        <stp/>
        <stp>BOOK0</stp>
        <stp>OVD</stp>
        <stp>212</stp>
        <tr r="C216" s="2"/>
      </tp>
      <tp t="s">
        <v>Ferramenta Inválida</v>
        <stp/>
        <stp>BOOK0</stp>
        <stp>OVD</stp>
        <stp>213</stp>
        <tr r="C217" s="2"/>
      </tp>
      <tp t="s">
        <v>Ferramenta Inválida</v>
        <stp/>
        <stp>BOOK0</stp>
        <stp>OVD</stp>
        <stp>210</stp>
        <tr r="C214" s="2"/>
      </tp>
      <tp t="s">
        <v>Ferramenta Inválida</v>
        <stp/>
        <stp>BOOK0</stp>
        <stp>OVD</stp>
        <stp>211</stp>
        <tr r="C215" s="2"/>
      </tp>
      <tp t="s">
        <v>Ferramenta Inválida</v>
        <stp/>
        <stp>BOOK0</stp>
        <stp>OVD</stp>
        <stp>228</stp>
        <tr r="C232" s="2"/>
      </tp>
      <tp t="s">
        <v>Ferramenta Inválida</v>
        <stp/>
        <stp>BOOK0</stp>
        <stp>OVD</stp>
        <stp>229</stp>
        <tr r="C233" s="2"/>
      </tp>
      <tp t="s">
        <v>Ferramenta Inválida</v>
        <stp/>
        <stp>BOOK0</stp>
        <stp>OVD</stp>
        <stp>226</stp>
        <tr r="C230" s="2"/>
      </tp>
      <tp t="s">
        <v>Ferramenta Inválida</v>
        <stp/>
        <stp>BOOK0</stp>
        <stp>OVD</stp>
        <stp>227</stp>
        <tr r="C231" s="2"/>
      </tp>
      <tp t="s">
        <v>Ferramenta Inválida</v>
        <stp/>
        <stp>BOOK0</stp>
        <stp>OVD</stp>
        <stp>224</stp>
        <tr r="C228" s="2"/>
      </tp>
      <tp t="s">
        <v>Ferramenta Inválida</v>
        <stp/>
        <stp>BOOK0</stp>
        <stp>OVD</stp>
        <stp>225</stp>
        <tr r="C229" s="2"/>
      </tp>
      <tp t="s">
        <v>Ferramenta Inválida</v>
        <stp/>
        <stp>BOOK0</stp>
        <stp>OVD</stp>
        <stp>222</stp>
        <tr r="C226" s="2"/>
      </tp>
      <tp t="s">
        <v>Ferramenta Inválida</v>
        <stp/>
        <stp>BOOK0</stp>
        <stp>OVD</stp>
        <stp>223</stp>
        <tr r="C227" s="2"/>
      </tp>
      <tp t="s">
        <v>Ferramenta Inválida</v>
        <stp/>
        <stp>BOOK0</stp>
        <stp>OVD</stp>
        <stp>220</stp>
        <tr r="C224" s="2"/>
      </tp>
      <tp t="s">
        <v>Ferramenta Inválida</v>
        <stp/>
        <stp>BOOK0</stp>
        <stp>OVD</stp>
        <stp>221</stp>
        <tr r="C225" s="2"/>
      </tp>
      <tp t="s">
        <v>Ferramenta Inválida</v>
        <stp/>
        <stp>BOOK0</stp>
        <stp>OVD</stp>
        <stp>238</stp>
        <tr r="C242" s="2"/>
      </tp>
      <tp t="s">
        <v>Ferramenta Inválida</v>
        <stp/>
        <stp>BOOK0</stp>
        <stp>OVD</stp>
        <stp>239</stp>
        <tr r="C243" s="2"/>
      </tp>
      <tp t="s">
        <v>Ferramenta Inválida</v>
        <stp/>
        <stp>BOOK0</stp>
        <stp>OVD</stp>
        <stp>236</stp>
        <tr r="C240" s="2"/>
      </tp>
      <tp t="s">
        <v>Ferramenta Inválida</v>
        <stp/>
        <stp>BOOK0</stp>
        <stp>OVD</stp>
        <stp>237</stp>
        <tr r="C241" s="2"/>
      </tp>
      <tp t="s">
        <v>Ferramenta Inválida</v>
        <stp/>
        <stp>BOOK0</stp>
        <stp>OVD</stp>
        <stp>234</stp>
        <tr r="C238" s="2"/>
      </tp>
      <tp t="s">
        <v>Ferramenta Inválida</v>
        <stp/>
        <stp>BOOK0</stp>
        <stp>OVD</stp>
        <stp>235</stp>
        <tr r="C239" s="2"/>
      </tp>
      <tp t="s">
        <v>Ferramenta Inválida</v>
        <stp/>
        <stp>BOOK0</stp>
        <stp>OVD</stp>
        <stp>232</stp>
        <tr r="C236" s="2"/>
      </tp>
      <tp t="s">
        <v>Ferramenta Inválida</v>
        <stp/>
        <stp>BOOK0</stp>
        <stp>OVD</stp>
        <stp>233</stp>
        <tr r="C237" s="2"/>
      </tp>
      <tp t="s">
        <v>Ferramenta Inválida</v>
        <stp/>
        <stp>BOOK0</stp>
        <stp>OVD</stp>
        <stp>230</stp>
        <tr r="C234" s="2"/>
      </tp>
      <tp t="s">
        <v>Ferramenta Inválida</v>
        <stp/>
        <stp>BOOK0</stp>
        <stp>OVD</stp>
        <stp>231</stp>
        <tr r="C235" s="2"/>
      </tp>
      <tp t="s">
        <v>Ferramenta Inválida</v>
        <stp/>
        <stp>BOOK0</stp>
        <stp>OVD</stp>
        <stp>248</stp>
        <tr r="C252" s="2"/>
      </tp>
      <tp t="s">
        <v>Ferramenta Inválida</v>
        <stp/>
        <stp>BOOK0</stp>
        <stp>OVD</stp>
        <stp>249</stp>
        <tr r="C253" s="2"/>
      </tp>
      <tp t="s">
        <v>Ferramenta Inválida</v>
        <stp/>
        <stp>BOOK0</stp>
        <stp>OVD</stp>
        <stp>246</stp>
        <tr r="C250" s="2"/>
      </tp>
      <tp t="s">
        <v>Ferramenta Inválida</v>
        <stp/>
        <stp>BOOK0</stp>
        <stp>OVD</stp>
        <stp>247</stp>
        <tr r="C251" s="2"/>
      </tp>
      <tp t="s">
        <v>Ferramenta Inválida</v>
        <stp/>
        <stp>BOOK0</stp>
        <stp>OVD</stp>
        <stp>244</stp>
        <tr r="C248" s="2"/>
      </tp>
      <tp t="s">
        <v>Ferramenta Inválida</v>
        <stp/>
        <stp>BOOK0</stp>
        <stp>OVD</stp>
        <stp>245</stp>
        <tr r="C249" s="2"/>
      </tp>
      <tp t="s">
        <v>Ferramenta Inválida</v>
        <stp/>
        <stp>BOOK0</stp>
        <stp>OVD</stp>
        <stp>242</stp>
        <tr r="C246" s="2"/>
      </tp>
      <tp t="s">
        <v>Ferramenta Inválida</v>
        <stp/>
        <stp>BOOK0</stp>
        <stp>OVD</stp>
        <stp>243</stp>
        <tr r="C247" s="2"/>
      </tp>
      <tp t="s">
        <v>Ferramenta Inválida</v>
        <stp/>
        <stp>BOOK0</stp>
        <stp>OVD</stp>
        <stp>240</stp>
        <tr r="C244" s="2"/>
      </tp>
      <tp t="s">
        <v>Ferramenta Inválida</v>
        <stp/>
        <stp>BOOK0</stp>
        <stp>OVD</stp>
        <stp>241</stp>
        <tr r="C245" s="2"/>
      </tp>
      <tp t="s">
        <v>Ferramenta Inválida</v>
        <stp/>
        <stp>BOOK0</stp>
        <stp>OVD</stp>
        <stp>258</stp>
        <tr r="C262" s="2"/>
      </tp>
      <tp t="s">
        <v>Ferramenta Inválida</v>
        <stp/>
        <stp>BOOK0</stp>
        <stp>OVD</stp>
        <stp>259</stp>
        <tr r="C263" s="2"/>
      </tp>
      <tp t="s">
        <v>Ferramenta Inválida</v>
        <stp/>
        <stp>BOOK0</stp>
        <stp>OVD</stp>
        <stp>256</stp>
        <tr r="C260" s="2"/>
      </tp>
      <tp t="s">
        <v>Ferramenta Inválida</v>
        <stp/>
        <stp>BOOK0</stp>
        <stp>OVD</stp>
        <stp>257</stp>
        <tr r="C261" s="2"/>
      </tp>
      <tp t="s">
        <v>Ferramenta Inválida</v>
        <stp/>
        <stp>BOOK0</stp>
        <stp>OVD</stp>
        <stp>254</stp>
        <tr r="C258" s="2"/>
      </tp>
      <tp t="s">
        <v>Ferramenta Inválida</v>
        <stp/>
        <stp>BOOK0</stp>
        <stp>OVD</stp>
        <stp>255</stp>
        <tr r="C259" s="2"/>
      </tp>
      <tp t="s">
        <v>Ferramenta Inválida</v>
        <stp/>
        <stp>BOOK0</stp>
        <stp>OVD</stp>
        <stp>252</stp>
        <tr r="C256" s="2"/>
      </tp>
      <tp t="s">
        <v>Ferramenta Inválida</v>
        <stp/>
        <stp>BOOK0</stp>
        <stp>OVD</stp>
        <stp>253</stp>
        <tr r="C257" s="2"/>
      </tp>
      <tp t="s">
        <v>Ferramenta Inválida</v>
        <stp/>
        <stp>BOOK0</stp>
        <stp>OVD</stp>
        <stp>250</stp>
        <tr r="C254" s="2"/>
      </tp>
      <tp t="s">
        <v>Ferramenta Inválida</v>
        <stp/>
        <stp>BOOK0</stp>
        <stp>OVD</stp>
        <stp>251</stp>
        <tr r="C255" s="2"/>
      </tp>
      <tp t="s">
        <v>Ferramenta Inválida</v>
        <stp/>
        <stp>BOOK0</stp>
        <stp>OVD</stp>
        <stp>268</stp>
        <tr r="C272" s="2"/>
      </tp>
      <tp t="s">
        <v>Ferramenta Inválida</v>
        <stp/>
        <stp>BOOK0</stp>
        <stp>OVD</stp>
        <stp>269</stp>
        <tr r="C273" s="2"/>
      </tp>
      <tp t="s">
        <v>Ferramenta Inválida</v>
        <stp/>
        <stp>BOOK0</stp>
        <stp>OVD</stp>
        <stp>266</stp>
        <tr r="C270" s="2"/>
      </tp>
      <tp t="s">
        <v>Ferramenta Inválida</v>
        <stp/>
        <stp>BOOK0</stp>
        <stp>OVD</stp>
        <stp>267</stp>
        <tr r="C271" s="2"/>
      </tp>
      <tp t="s">
        <v>Ferramenta Inválida</v>
        <stp/>
        <stp>BOOK0</stp>
        <stp>OVD</stp>
        <stp>264</stp>
        <tr r="C268" s="2"/>
      </tp>
      <tp t="s">
        <v>Ferramenta Inválida</v>
        <stp/>
        <stp>BOOK0</stp>
        <stp>OVD</stp>
        <stp>265</stp>
        <tr r="C269" s="2"/>
      </tp>
      <tp t="s">
        <v>Ferramenta Inválida</v>
        <stp/>
        <stp>BOOK0</stp>
        <stp>OVD</stp>
        <stp>262</stp>
        <tr r="C266" s="2"/>
      </tp>
      <tp t="s">
        <v>Ferramenta Inválida</v>
        <stp/>
        <stp>BOOK0</stp>
        <stp>OVD</stp>
        <stp>263</stp>
        <tr r="C267" s="2"/>
      </tp>
      <tp t="s">
        <v>Ferramenta Inválida</v>
        <stp/>
        <stp>BOOK0</stp>
        <stp>OVD</stp>
        <stp>260</stp>
        <tr r="C264" s="2"/>
      </tp>
      <tp t="s">
        <v>Ferramenta Inválida</v>
        <stp/>
        <stp>BOOK0</stp>
        <stp>OVD</stp>
        <stp>261</stp>
        <tr r="C265" s="2"/>
      </tp>
      <tp t="s">
        <v>Ferramenta Inválida</v>
        <stp/>
        <stp>BOOK0</stp>
        <stp>OVD</stp>
        <stp>278</stp>
        <tr r="C282" s="2"/>
      </tp>
      <tp t="s">
        <v>Ferramenta Inválida</v>
        <stp/>
        <stp>BOOK0</stp>
        <stp>OVD</stp>
        <stp>279</stp>
        <tr r="C283" s="2"/>
      </tp>
      <tp t="s">
        <v>Ferramenta Inválida</v>
        <stp/>
        <stp>BOOK0</stp>
        <stp>OVD</stp>
        <stp>276</stp>
        <tr r="C280" s="2"/>
      </tp>
      <tp t="s">
        <v>Ferramenta Inválida</v>
        <stp/>
        <stp>BOOK0</stp>
        <stp>OVD</stp>
        <stp>277</stp>
        <tr r="C281" s="2"/>
      </tp>
      <tp t="s">
        <v>Ferramenta Inválida</v>
        <stp/>
        <stp>BOOK0</stp>
        <stp>OVD</stp>
        <stp>274</stp>
        <tr r="C278" s="2"/>
      </tp>
      <tp t="s">
        <v>Ferramenta Inválida</v>
        <stp/>
        <stp>BOOK0</stp>
        <stp>OVD</stp>
        <stp>275</stp>
        <tr r="C279" s="2"/>
      </tp>
      <tp t="s">
        <v>Ferramenta Inválida</v>
        <stp/>
        <stp>BOOK0</stp>
        <stp>OVD</stp>
        <stp>272</stp>
        <tr r="C276" s="2"/>
      </tp>
      <tp t="s">
        <v>Ferramenta Inválida</v>
        <stp/>
        <stp>BOOK0</stp>
        <stp>OVD</stp>
        <stp>273</stp>
        <tr r="C277" s="2"/>
      </tp>
      <tp t="s">
        <v>Ferramenta Inválida</v>
        <stp/>
        <stp>BOOK0</stp>
        <stp>OVD</stp>
        <stp>270</stp>
        <tr r="C274" s="2"/>
      </tp>
      <tp t="s">
        <v>Ferramenta Inválida</v>
        <stp/>
        <stp>BOOK0</stp>
        <stp>OVD</stp>
        <stp>271</stp>
        <tr r="C275" s="2"/>
      </tp>
      <tp t="s">
        <v>Ferramenta Inválida</v>
        <stp/>
        <stp>BOOK0</stp>
        <stp>OCP</stp>
        <stp>298</stp>
        <tr r="B302" s="2"/>
      </tp>
      <tp t="s">
        <v>Ferramenta Inválida</v>
        <stp/>
        <stp>BOOK0</stp>
        <stp>OCP</stp>
        <stp>299</stp>
        <tr r="B303" s="2"/>
      </tp>
      <tp t="s">
        <v>Ferramenta Inválida</v>
        <stp/>
        <stp>BOOK0</stp>
        <stp>OCP</stp>
        <stp>292</stp>
        <tr r="B296" s="2"/>
      </tp>
      <tp t="s">
        <v>Ferramenta Inválida</v>
        <stp/>
        <stp>BOOK0</stp>
        <stp>OCP</stp>
        <stp>293</stp>
        <tr r="B297" s="2"/>
      </tp>
      <tp t="s">
        <v>Ferramenta Inválida</v>
        <stp/>
        <stp>BOOK0</stp>
        <stp>OCP</stp>
        <stp>290</stp>
        <tr r="B294" s="2"/>
      </tp>
      <tp t="s">
        <v>Ferramenta Inválida</v>
        <stp/>
        <stp>BOOK0</stp>
        <stp>OCP</stp>
        <stp>291</stp>
        <tr r="B295" s="2"/>
      </tp>
      <tp t="s">
        <v>Ferramenta Inválida</v>
        <stp/>
        <stp>BOOK0</stp>
        <stp>OCP</stp>
        <stp>296</stp>
        <tr r="B300" s="2"/>
      </tp>
      <tp t="s">
        <v>Ferramenta Inválida</v>
        <stp/>
        <stp>BOOK0</stp>
        <stp>OCP</stp>
        <stp>297</stp>
        <tr r="B301" s="2"/>
      </tp>
      <tp t="s">
        <v>Ferramenta Inválida</v>
        <stp/>
        <stp>BOOK0</stp>
        <stp>OCP</stp>
        <stp>294</stp>
        <tr r="B298" s="2"/>
      </tp>
      <tp t="s">
        <v>Ferramenta Inválida</v>
        <stp/>
        <stp>BOOK0</stp>
        <stp>OCP</stp>
        <stp>295</stp>
        <tr r="B299" s="2"/>
      </tp>
      <tp t="s">
        <v>Ferramenta Inválida</v>
        <stp/>
        <stp>BOOK0</stp>
        <stp>OCP</stp>
        <stp>288</stp>
        <tr r="B292" s="2"/>
      </tp>
      <tp t="s">
        <v>Ferramenta Inválida</v>
        <stp/>
        <stp>BOOK0</stp>
        <stp>OCP</stp>
        <stp>289</stp>
        <tr r="B293" s="2"/>
      </tp>
      <tp t="s">
        <v>Ferramenta Inválida</v>
        <stp/>
        <stp>BOOK0</stp>
        <stp>OCP</stp>
        <stp>282</stp>
        <tr r="B286" s="2"/>
      </tp>
      <tp t="s">
        <v>Ferramenta Inválida</v>
        <stp/>
        <stp>BOOK0</stp>
        <stp>OCP</stp>
        <stp>283</stp>
        <tr r="B287" s="2"/>
      </tp>
      <tp t="s">
        <v>Ferramenta Inválida</v>
        <stp/>
        <stp>BOOK0</stp>
        <stp>OCP</stp>
        <stp>280</stp>
        <tr r="B284" s="2"/>
      </tp>
      <tp t="s">
        <v>Ferramenta Inválida</v>
        <stp/>
        <stp>BOOK0</stp>
        <stp>OCP</stp>
        <stp>281</stp>
        <tr r="B285" s="2"/>
      </tp>
      <tp t="s">
        <v>Ferramenta Inválida</v>
        <stp/>
        <stp>BOOK0</stp>
        <stp>OCP</stp>
        <stp>286</stp>
        <tr r="B290" s="2"/>
      </tp>
      <tp t="s">
        <v>Ferramenta Inválida</v>
        <stp/>
        <stp>BOOK0</stp>
        <stp>OCP</stp>
        <stp>287</stp>
        <tr r="B291" s="2"/>
      </tp>
      <tp t="s">
        <v>Ferramenta Inválida</v>
        <stp/>
        <stp>BOOK0</stp>
        <stp>OCP</stp>
        <stp>284</stp>
        <tr r="B288" s="2"/>
      </tp>
      <tp t="s">
        <v>Ferramenta Inválida</v>
        <stp/>
        <stp>BOOK0</stp>
        <stp>OCP</stp>
        <stp>285</stp>
        <tr r="B289" s="2"/>
      </tp>
      <tp t="s">
        <v>Ferramenta Inválida</v>
        <stp/>
        <stp>BOOK0</stp>
        <stp>OCP</stp>
        <stp>258</stp>
        <tr r="B262" s="2"/>
      </tp>
      <tp t="s">
        <v>Ferramenta Inválida</v>
        <stp/>
        <stp>BOOK0</stp>
        <stp>OCP</stp>
        <stp>259</stp>
        <tr r="B263" s="2"/>
      </tp>
      <tp t="s">
        <v>Ferramenta Inválida</v>
        <stp/>
        <stp>BOOK0</stp>
        <stp>OCP</stp>
        <stp>252</stp>
        <tr r="B256" s="2"/>
      </tp>
      <tp t="s">
        <v>Ferramenta Inválida</v>
        <stp/>
        <stp>BOOK0</stp>
        <stp>OCP</stp>
        <stp>253</stp>
        <tr r="B257" s="2"/>
      </tp>
      <tp t="s">
        <v>Ferramenta Inválida</v>
        <stp/>
        <stp>BOOK0</stp>
        <stp>OCP</stp>
        <stp>250</stp>
        <tr r="B254" s="2"/>
      </tp>
      <tp t="s">
        <v>Ferramenta Inválida</v>
        <stp/>
        <stp>BOOK0</stp>
        <stp>OCP</stp>
        <stp>251</stp>
        <tr r="B255" s="2"/>
      </tp>
      <tp t="s">
        <v>Ferramenta Inválida</v>
        <stp/>
        <stp>BOOK0</stp>
        <stp>OCP</stp>
        <stp>256</stp>
        <tr r="B260" s="2"/>
      </tp>
      <tp t="s">
        <v>Ferramenta Inválida</v>
        <stp/>
        <stp>BOOK0</stp>
        <stp>OCP</stp>
        <stp>257</stp>
        <tr r="B261" s="2"/>
      </tp>
      <tp t="s">
        <v>Ferramenta Inválida</v>
        <stp/>
        <stp>BOOK0</stp>
        <stp>OCP</stp>
        <stp>254</stp>
        <tr r="B258" s="2"/>
      </tp>
      <tp t="s">
        <v>Ferramenta Inválida</v>
        <stp/>
        <stp>BOOK0</stp>
        <stp>OCP</stp>
        <stp>255</stp>
        <tr r="B259" s="2"/>
      </tp>
      <tp t="s">
        <v>Ferramenta Inválida</v>
        <stp/>
        <stp>BOOK0</stp>
        <stp>OCP</stp>
        <stp>248</stp>
        <tr r="B252" s="2"/>
      </tp>
      <tp t="s">
        <v>Ferramenta Inválida</v>
        <stp/>
        <stp>BOOK0</stp>
        <stp>OCP</stp>
        <stp>249</stp>
        <tr r="B253" s="2"/>
      </tp>
      <tp t="s">
        <v>Ferramenta Inválida</v>
        <stp/>
        <stp>BOOK0</stp>
        <stp>OCP</stp>
        <stp>242</stp>
        <tr r="B246" s="2"/>
      </tp>
      <tp t="s">
        <v>Ferramenta Inválida</v>
        <stp/>
        <stp>BOOK0</stp>
        <stp>OCP</stp>
        <stp>243</stp>
        <tr r="B247" s="2"/>
      </tp>
      <tp t="s">
        <v>Ferramenta Inválida</v>
        <stp/>
        <stp>BOOK0</stp>
        <stp>OCP</stp>
        <stp>240</stp>
        <tr r="B244" s="2"/>
      </tp>
      <tp t="s">
        <v>Ferramenta Inválida</v>
        <stp/>
        <stp>BOOK0</stp>
        <stp>OCP</stp>
        <stp>241</stp>
        <tr r="B245" s="2"/>
      </tp>
      <tp t="s">
        <v>Ferramenta Inválida</v>
        <stp/>
        <stp>BOOK0</stp>
        <stp>OCP</stp>
        <stp>246</stp>
        <tr r="B250" s="2"/>
      </tp>
      <tp t="s">
        <v>Ferramenta Inválida</v>
        <stp/>
        <stp>BOOK0</stp>
        <stp>OCP</stp>
        <stp>247</stp>
        <tr r="B251" s="2"/>
      </tp>
      <tp t="s">
        <v>Ferramenta Inválida</v>
        <stp/>
        <stp>BOOK0</stp>
        <stp>OCP</stp>
        <stp>244</stp>
        <tr r="B248" s="2"/>
      </tp>
      <tp t="s">
        <v>Ferramenta Inválida</v>
        <stp/>
        <stp>BOOK0</stp>
        <stp>OCP</stp>
        <stp>245</stp>
        <tr r="B249" s="2"/>
      </tp>
      <tp t="s">
        <v>Ferramenta Inválida</v>
        <stp/>
        <stp>BOOK0</stp>
        <stp>OCP</stp>
        <stp>278</stp>
        <tr r="B282" s="2"/>
      </tp>
      <tp t="s">
        <v>Ferramenta Inválida</v>
        <stp/>
        <stp>BOOK0</stp>
        <stp>OCP</stp>
        <stp>279</stp>
        <tr r="B283" s="2"/>
      </tp>
      <tp t="s">
        <v>Ferramenta Inválida</v>
        <stp/>
        <stp>BOOK0</stp>
        <stp>OCP</stp>
        <stp>272</stp>
        <tr r="B276" s="2"/>
      </tp>
      <tp t="s">
        <v>Ferramenta Inválida</v>
        <stp/>
        <stp>BOOK0</stp>
        <stp>OCP</stp>
        <stp>273</stp>
        <tr r="B277" s="2"/>
      </tp>
      <tp t="s">
        <v>Ferramenta Inválida</v>
        <stp/>
        <stp>BOOK0</stp>
        <stp>OCP</stp>
        <stp>270</stp>
        <tr r="B274" s="2"/>
      </tp>
      <tp t="s">
        <v>Ferramenta Inválida</v>
        <stp/>
        <stp>BOOK0</stp>
        <stp>OCP</stp>
        <stp>271</stp>
        <tr r="B275" s="2"/>
      </tp>
      <tp t="s">
        <v>Ferramenta Inválida</v>
        <stp/>
        <stp>BOOK0</stp>
        <stp>OCP</stp>
        <stp>276</stp>
        <tr r="B280" s="2"/>
      </tp>
      <tp t="s">
        <v>Ferramenta Inválida</v>
        <stp/>
        <stp>BOOK0</stp>
        <stp>OCP</stp>
        <stp>277</stp>
        <tr r="B281" s="2"/>
      </tp>
      <tp t="s">
        <v>Ferramenta Inválida</v>
        <stp/>
        <stp>BOOK0</stp>
        <stp>OCP</stp>
        <stp>274</stp>
        <tr r="B278" s="2"/>
      </tp>
      <tp t="s">
        <v>Ferramenta Inválida</v>
        <stp/>
        <stp>BOOK0</stp>
        <stp>OCP</stp>
        <stp>275</stp>
        <tr r="B279" s="2"/>
      </tp>
      <tp t="s">
        <v>Ferramenta Inválida</v>
        <stp/>
        <stp>BOOK0</stp>
        <stp>OCP</stp>
        <stp>268</stp>
        <tr r="B272" s="2"/>
      </tp>
      <tp t="s">
        <v>Ferramenta Inválida</v>
        <stp/>
        <stp>BOOK0</stp>
        <stp>OCP</stp>
        <stp>269</stp>
        <tr r="B273" s="2"/>
      </tp>
      <tp t="s">
        <v>Ferramenta Inválida</v>
        <stp/>
        <stp>BOOK0</stp>
        <stp>OCP</stp>
        <stp>262</stp>
        <tr r="B266" s="2"/>
      </tp>
      <tp t="s">
        <v>Ferramenta Inválida</v>
        <stp/>
        <stp>BOOK0</stp>
        <stp>OCP</stp>
        <stp>263</stp>
        <tr r="B267" s="2"/>
      </tp>
      <tp t="s">
        <v>Ferramenta Inválida</v>
        <stp/>
        <stp>BOOK0</stp>
        <stp>OCP</stp>
        <stp>260</stp>
        <tr r="B264" s="2"/>
      </tp>
      <tp t="s">
        <v>Ferramenta Inválida</v>
        <stp/>
        <stp>BOOK0</stp>
        <stp>OCP</stp>
        <stp>261</stp>
        <tr r="B265" s="2"/>
      </tp>
      <tp t="s">
        <v>Ferramenta Inválida</v>
        <stp/>
        <stp>BOOK0</stp>
        <stp>OCP</stp>
        <stp>266</stp>
        <tr r="B270" s="2"/>
      </tp>
      <tp t="s">
        <v>Ferramenta Inválida</v>
        <stp/>
        <stp>BOOK0</stp>
        <stp>OCP</stp>
        <stp>267</stp>
        <tr r="B271" s="2"/>
      </tp>
      <tp t="s">
        <v>Ferramenta Inválida</v>
        <stp/>
        <stp>BOOK0</stp>
        <stp>OCP</stp>
        <stp>264</stp>
        <tr r="B268" s="2"/>
      </tp>
      <tp t="s">
        <v>Ferramenta Inválida</v>
        <stp/>
        <stp>BOOK0</stp>
        <stp>OCP</stp>
        <stp>265</stp>
        <tr r="B269" s="2"/>
      </tp>
      <tp t="s">
        <v>Ferramenta Inválida</v>
        <stp/>
        <stp>BOOK0</stp>
        <stp>OCP</stp>
        <stp>218</stp>
        <tr r="B222" s="2"/>
      </tp>
      <tp t="s">
        <v>Ferramenta Inválida</v>
        <stp/>
        <stp>BOOK0</stp>
        <stp>OCP</stp>
        <stp>219</stp>
        <tr r="B223" s="2"/>
      </tp>
      <tp t="s">
        <v>Ferramenta Inválida</v>
        <stp/>
        <stp>BOOK0</stp>
        <stp>OCP</stp>
        <stp>212</stp>
        <tr r="B216" s="2"/>
      </tp>
      <tp t="s">
        <v>Ferramenta Inválida</v>
        <stp/>
        <stp>BOOK0</stp>
        <stp>OCP</stp>
        <stp>213</stp>
        <tr r="B217" s="2"/>
      </tp>
      <tp t="s">
        <v>Ferramenta Inválida</v>
        <stp/>
        <stp>BOOK0</stp>
        <stp>OCP</stp>
        <stp>210</stp>
        <tr r="B214" s="2"/>
      </tp>
      <tp t="s">
        <v>Ferramenta Inválida</v>
        <stp/>
        <stp>BOOK0</stp>
        <stp>OCP</stp>
        <stp>211</stp>
        <tr r="B215" s="2"/>
      </tp>
      <tp t="s">
        <v>Ferramenta Inválida</v>
        <stp/>
        <stp>BOOK0</stp>
        <stp>OCP</stp>
        <stp>216</stp>
        <tr r="B220" s="2"/>
      </tp>
      <tp t="s">
        <v>Ferramenta Inválida</v>
        <stp/>
        <stp>BOOK0</stp>
        <stp>OCP</stp>
        <stp>217</stp>
        <tr r="B221" s="2"/>
      </tp>
      <tp t="s">
        <v>Ferramenta Inválida</v>
        <stp/>
        <stp>BOOK0</stp>
        <stp>OCP</stp>
        <stp>214</stp>
        <tr r="B218" s="2"/>
      </tp>
      <tp t="s">
        <v>Ferramenta Inválida</v>
        <stp/>
        <stp>BOOK0</stp>
        <stp>OCP</stp>
        <stp>215</stp>
        <tr r="B219" s="2"/>
      </tp>
      <tp t="s">
        <v>Ferramenta Inválida</v>
        <stp/>
        <stp>BOOK0</stp>
        <stp>OCP</stp>
        <stp>208</stp>
        <tr r="B212" s="2"/>
      </tp>
      <tp t="s">
        <v>Ferramenta Inválida</v>
        <stp/>
        <stp>BOOK0</stp>
        <stp>OCP</stp>
        <stp>209</stp>
        <tr r="B213" s="2"/>
      </tp>
      <tp t="s">
        <v>Ferramenta Inválida</v>
        <stp/>
        <stp>BOOK0</stp>
        <stp>OCP</stp>
        <stp>202</stp>
        <tr r="B206" s="2"/>
      </tp>
      <tp t="s">
        <v>Ferramenta Inválida</v>
        <stp/>
        <stp>BOOK0</stp>
        <stp>OCP</stp>
        <stp>203</stp>
        <tr r="B207" s="2"/>
      </tp>
      <tp t="s">
        <v>Ferramenta Inválida</v>
        <stp/>
        <stp>BOOK0</stp>
        <stp>OCP</stp>
        <stp>200</stp>
        <tr r="B204" s="2"/>
      </tp>
      <tp t="s">
        <v>Ferramenta Inválida</v>
        <stp/>
        <stp>BOOK0</stp>
        <stp>OCP</stp>
        <stp>201</stp>
        <tr r="B205" s="2"/>
      </tp>
      <tp t="s">
        <v>Ferramenta Inválida</v>
        <stp/>
        <stp>BOOK0</stp>
        <stp>OCP</stp>
        <stp>206</stp>
        <tr r="B210" s="2"/>
      </tp>
      <tp t="s">
        <v>Ferramenta Inválida</v>
        <stp/>
        <stp>BOOK0</stp>
        <stp>OCP</stp>
        <stp>207</stp>
        <tr r="B211" s="2"/>
      </tp>
      <tp t="s">
        <v>Ferramenta Inválida</v>
        <stp/>
        <stp>BOOK0</stp>
        <stp>OCP</stp>
        <stp>204</stp>
        <tr r="B208" s="2"/>
      </tp>
      <tp t="s">
        <v>Ferramenta Inválida</v>
        <stp/>
        <stp>BOOK0</stp>
        <stp>OCP</stp>
        <stp>205</stp>
        <tr r="B209" s="2"/>
      </tp>
      <tp t="s">
        <v>Ferramenta Inválida</v>
        <stp/>
        <stp>BOOK0</stp>
        <stp>OCP</stp>
        <stp>238</stp>
        <tr r="B242" s="2"/>
      </tp>
      <tp t="s">
        <v>Ferramenta Inválida</v>
        <stp/>
        <stp>BOOK0</stp>
        <stp>OCP</stp>
        <stp>239</stp>
        <tr r="B243" s="2"/>
      </tp>
      <tp t="s">
        <v>Ferramenta Inválida</v>
        <stp/>
        <stp>BOOK0</stp>
        <stp>OCP</stp>
        <stp>232</stp>
        <tr r="B236" s="2"/>
      </tp>
      <tp t="s">
        <v>Ferramenta Inválida</v>
        <stp/>
        <stp>BOOK0</stp>
        <stp>OCP</stp>
        <stp>233</stp>
        <tr r="B237" s="2"/>
      </tp>
      <tp t="s">
        <v>Ferramenta Inválida</v>
        <stp/>
        <stp>BOOK0</stp>
        <stp>OCP</stp>
        <stp>230</stp>
        <tr r="B234" s="2"/>
      </tp>
      <tp t="s">
        <v>Ferramenta Inválida</v>
        <stp/>
        <stp>BOOK0</stp>
        <stp>OCP</stp>
        <stp>231</stp>
        <tr r="B235" s="2"/>
      </tp>
      <tp t="s">
        <v>Ferramenta Inválida</v>
        <stp/>
        <stp>BOOK0</stp>
        <stp>OCP</stp>
        <stp>236</stp>
        <tr r="B240" s="2"/>
      </tp>
      <tp t="s">
        <v>Ferramenta Inválida</v>
        <stp/>
        <stp>BOOK0</stp>
        <stp>OCP</stp>
        <stp>237</stp>
        <tr r="B241" s="2"/>
      </tp>
      <tp t="s">
        <v>Ferramenta Inválida</v>
        <stp/>
        <stp>BOOK0</stp>
        <stp>OCP</stp>
        <stp>234</stp>
        <tr r="B238" s="2"/>
      </tp>
      <tp t="s">
        <v>Ferramenta Inválida</v>
        <stp/>
        <stp>BOOK0</stp>
        <stp>OCP</stp>
        <stp>235</stp>
        <tr r="B239" s="2"/>
      </tp>
      <tp t="s">
        <v>Ferramenta Inválida</v>
        <stp/>
        <stp>BOOK0</stp>
        <stp>OCP</stp>
        <stp>228</stp>
        <tr r="B232" s="2"/>
      </tp>
      <tp t="s">
        <v>Ferramenta Inválida</v>
        <stp/>
        <stp>BOOK0</stp>
        <stp>OCP</stp>
        <stp>229</stp>
        <tr r="B233" s="2"/>
      </tp>
      <tp t="s">
        <v>Ferramenta Inválida</v>
        <stp/>
        <stp>BOOK0</stp>
        <stp>OCP</stp>
        <stp>222</stp>
        <tr r="B226" s="2"/>
      </tp>
      <tp t="s">
        <v>Ferramenta Inválida</v>
        <stp/>
        <stp>BOOK0</stp>
        <stp>OCP</stp>
        <stp>223</stp>
        <tr r="B227" s="2"/>
      </tp>
      <tp t="s">
        <v>Ferramenta Inválida</v>
        <stp/>
        <stp>BOOK0</stp>
        <stp>OCP</stp>
        <stp>220</stp>
        <tr r="B224" s="2"/>
      </tp>
      <tp t="s">
        <v>Ferramenta Inválida</v>
        <stp/>
        <stp>BOOK0</stp>
        <stp>OCP</stp>
        <stp>221</stp>
        <tr r="B225" s="2"/>
      </tp>
      <tp t="s">
        <v>Ferramenta Inválida</v>
        <stp/>
        <stp>BOOK0</stp>
        <stp>OCP</stp>
        <stp>226</stp>
        <tr r="B230" s="2"/>
      </tp>
      <tp t="s">
        <v>Ferramenta Inválida</v>
        <stp/>
        <stp>BOOK0</stp>
        <stp>OCP</stp>
        <stp>227</stp>
        <tr r="B231" s="2"/>
      </tp>
      <tp t="s">
        <v>Ferramenta Inválida</v>
        <stp/>
        <stp>BOOK0</stp>
        <stp>OCP</stp>
        <stp>224</stp>
        <tr r="B228" s="2"/>
      </tp>
      <tp t="s">
        <v>Ferramenta Inválida</v>
        <stp/>
        <stp>BOOK0</stp>
        <stp>OCP</stp>
        <stp>225</stp>
        <tr r="B229" s="2"/>
      </tp>
      <tp t="s">
        <v>Ferramenta Inválida</v>
        <stp/>
        <stp>BOOK0</stp>
        <stp>OVD</stp>
        <stp>388</stp>
        <tr r="C392" s="2"/>
      </tp>
      <tp t="s">
        <v>Ferramenta Inválida</v>
        <stp/>
        <stp>BOOK0</stp>
        <stp>OVD</stp>
        <stp>389</stp>
        <tr r="C393" s="2"/>
      </tp>
      <tp t="s">
        <v>Ferramenta Inválida</v>
        <stp/>
        <stp>BOOK0</stp>
        <stp>OVD</stp>
        <stp>386</stp>
        <tr r="C390" s="2"/>
      </tp>
      <tp t="s">
        <v>Ferramenta Inválida</v>
        <stp/>
        <stp>BOOK0</stp>
        <stp>OVD</stp>
        <stp>387</stp>
        <tr r="C391" s="2"/>
      </tp>
      <tp t="s">
        <v>Ferramenta Inválida</v>
        <stp/>
        <stp>BOOK0</stp>
        <stp>OVD</stp>
        <stp>384</stp>
        <tr r="C388" s="2"/>
      </tp>
      <tp t="s">
        <v>Ferramenta Inválida</v>
        <stp/>
        <stp>BOOK0</stp>
        <stp>OVD</stp>
        <stp>385</stp>
        <tr r="C389" s="2"/>
      </tp>
      <tp t="s">
        <v>Ferramenta Inválida</v>
        <stp/>
        <stp>BOOK0</stp>
        <stp>OVD</stp>
        <stp>382</stp>
        <tr r="C386" s="2"/>
      </tp>
      <tp t="s">
        <v>Ferramenta Inválida</v>
        <stp/>
        <stp>BOOK0</stp>
        <stp>OVD</stp>
        <stp>383</stp>
        <tr r="C387" s="2"/>
      </tp>
      <tp t="s">
        <v>Ferramenta Inválida</v>
        <stp/>
        <stp>BOOK0</stp>
        <stp>OVD</stp>
        <stp>380</stp>
        <tr r="C384" s="2"/>
      </tp>
      <tp t="s">
        <v>Ferramenta Inválida</v>
        <stp/>
        <stp>BOOK0</stp>
        <stp>OVD</stp>
        <stp>381</stp>
        <tr r="C385" s="2"/>
      </tp>
      <tp t="s">
        <v>Ferramenta Inválida</v>
        <stp/>
        <stp>BOOK0</stp>
        <stp>OVD</stp>
        <stp>398</stp>
        <tr r="C402" s="2"/>
      </tp>
      <tp t="s">
        <v>Ferramenta Inválida</v>
        <stp/>
        <stp>BOOK0</stp>
        <stp>OVD</stp>
        <stp>399</stp>
        <tr r="C403" s="2"/>
      </tp>
      <tp t="s">
        <v>Ferramenta Inválida</v>
        <stp/>
        <stp>BOOK0</stp>
        <stp>OVD</stp>
        <stp>396</stp>
        <tr r="C400" s="2"/>
      </tp>
      <tp t="s">
        <v>Ferramenta Inválida</v>
        <stp/>
        <stp>BOOK0</stp>
        <stp>OVD</stp>
        <stp>397</stp>
        <tr r="C401" s="2"/>
      </tp>
      <tp t="s">
        <v>Ferramenta Inválida</v>
        <stp/>
        <stp>BOOK0</stp>
        <stp>OVD</stp>
        <stp>394</stp>
        <tr r="C398" s="2"/>
      </tp>
      <tp t="s">
        <v>Ferramenta Inválida</v>
        <stp/>
        <stp>BOOK0</stp>
        <stp>OVD</stp>
        <stp>395</stp>
        <tr r="C399" s="2"/>
      </tp>
      <tp t="s">
        <v>Ferramenta Inválida</v>
        <stp/>
        <stp>BOOK0</stp>
        <stp>OVD</stp>
        <stp>392</stp>
        <tr r="C396" s="2"/>
      </tp>
      <tp t="s">
        <v>Ferramenta Inválida</v>
        <stp/>
        <stp>BOOK0</stp>
        <stp>OVD</stp>
        <stp>393</stp>
        <tr r="C397" s="2"/>
      </tp>
      <tp t="s">
        <v>Ferramenta Inválida</v>
        <stp/>
        <stp>BOOK0</stp>
        <stp>OVD</stp>
        <stp>390</stp>
        <tr r="C394" s="2"/>
      </tp>
      <tp t="s">
        <v>Ferramenta Inválida</v>
        <stp/>
        <stp>BOOK0</stp>
        <stp>OVD</stp>
        <stp>391</stp>
        <tr r="C395" s="2"/>
      </tp>
      <tp t="s">
        <v>Ferramenta Inválida</v>
        <stp/>
        <stp>BOOK0</stp>
        <stp>OVD</stp>
        <stp>308</stp>
        <tr r="C312" s="2"/>
      </tp>
      <tp t="s">
        <v>Ferramenta Inválida</v>
        <stp/>
        <stp>BOOK0</stp>
        <stp>OVD</stp>
        <stp>309</stp>
        <tr r="C313" s="2"/>
      </tp>
      <tp t="s">
        <v>Ferramenta Inválida</v>
        <stp/>
        <stp>BOOK0</stp>
        <stp>OVD</stp>
        <stp>306</stp>
        <tr r="C310" s="2"/>
      </tp>
      <tp t="s">
        <v>Ferramenta Inválida</v>
        <stp/>
        <stp>BOOK0</stp>
        <stp>OVD</stp>
        <stp>307</stp>
        <tr r="C311" s="2"/>
      </tp>
      <tp t="s">
        <v>Ferramenta Inválida</v>
        <stp/>
        <stp>BOOK0</stp>
        <stp>OVD</stp>
        <stp>304</stp>
        <tr r="C308" s="2"/>
      </tp>
      <tp t="s">
        <v>Ferramenta Inválida</v>
        <stp/>
        <stp>BOOK0</stp>
        <stp>OVD</stp>
        <stp>305</stp>
        <tr r="C309" s="2"/>
      </tp>
      <tp t="s">
        <v>Ferramenta Inválida</v>
        <stp/>
        <stp>BOOK0</stp>
        <stp>OVD</stp>
        <stp>302</stp>
        <tr r="C306" s="2"/>
      </tp>
      <tp t="s">
        <v>Ferramenta Inválida</v>
        <stp/>
        <stp>BOOK0</stp>
        <stp>OVD</stp>
        <stp>303</stp>
        <tr r="C307" s="2"/>
      </tp>
      <tp t="s">
        <v>Ferramenta Inválida</v>
        <stp/>
        <stp>BOOK0</stp>
        <stp>OVD</stp>
        <stp>300</stp>
        <tr r="C304" s="2"/>
      </tp>
      <tp t="s">
        <v>Ferramenta Inválida</v>
        <stp/>
        <stp>BOOK0</stp>
        <stp>OVD</stp>
        <stp>301</stp>
        <tr r="C305" s="2"/>
      </tp>
      <tp t="s">
        <v>Ferramenta Inválida</v>
        <stp/>
        <stp>BOOK0</stp>
        <stp>OVD</stp>
        <stp>318</stp>
        <tr r="C322" s="2"/>
      </tp>
      <tp t="s">
        <v>Ferramenta Inválida</v>
        <stp/>
        <stp>BOOK0</stp>
        <stp>OVD</stp>
        <stp>319</stp>
        <tr r="C323" s="2"/>
      </tp>
      <tp t="s">
        <v>Ferramenta Inválida</v>
        <stp/>
        <stp>BOOK0</stp>
        <stp>OVD</stp>
        <stp>316</stp>
        <tr r="C320" s="2"/>
      </tp>
      <tp t="s">
        <v>Ferramenta Inválida</v>
        <stp/>
        <stp>BOOK0</stp>
        <stp>OVD</stp>
        <stp>317</stp>
        <tr r="C321" s="2"/>
      </tp>
      <tp t="s">
        <v>Ferramenta Inválida</v>
        <stp/>
        <stp>BOOK0</stp>
        <stp>OVD</stp>
        <stp>314</stp>
        <tr r="C318" s="2"/>
      </tp>
      <tp t="s">
        <v>Ferramenta Inválida</v>
        <stp/>
        <stp>BOOK0</stp>
        <stp>OVD</stp>
        <stp>315</stp>
        <tr r="C319" s="2"/>
      </tp>
      <tp t="s">
        <v>Ferramenta Inválida</v>
        <stp/>
        <stp>BOOK0</stp>
        <stp>OVD</stp>
        <stp>312</stp>
        <tr r="C316" s="2"/>
      </tp>
      <tp t="s">
        <v>Ferramenta Inválida</v>
        <stp/>
        <stp>BOOK0</stp>
        <stp>OVD</stp>
        <stp>313</stp>
        <tr r="C317" s="2"/>
      </tp>
      <tp t="s">
        <v>Ferramenta Inválida</v>
        <stp/>
        <stp>BOOK0</stp>
        <stp>OVD</stp>
        <stp>310</stp>
        <tr r="C314" s="2"/>
      </tp>
      <tp t="s">
        <v>Ferramenta Inválida</v>
        <stp/>
        <stp>BOOK0</stp>
        <stp>OVD</stp>
        <stp>311</stp>
        <tr r="C315" s="2"/>
      </tp>
      <tp t="s">
        <v>Ferramenta Inválida</v>
        <stp/>
        <stp>BOOK0</stp>
        <stp>OVD</stp>
        <stp>328</stp>
        <tr r="C332" s="2"/>
      </tp>
      <tp t="s">
        <v>Ferramenta Inválida</v>
        <stp/>
        <stp>BOOK0</stp>
        <stp>OVD</stp>
        <stp>329</stp>
        <tr r="C333" s="2"/>
      </tp>
      <tp t="s">
        <v>Ferramenta Inválida</v>
        <stp/>
        <stp>BOOK0</stp>
        <stp>OVD</stp>
        <stp>326</stp>
        <tr r="C330" s="2"/>
      </tp>
      <tp t="s">
        <v>Ferramenta Inválida</v>
        <stp/>
        <stp>BOOK0</stp>
        <stp>OVD</stp>
        <stp>327</stp>
        <tr r="C331" s="2"/>
      </tp>
      <tp t="s">
        <v>Ferramenta Inválida</v>
        <stp/>
        <stp>BOOK0</stp>
        <stp>OVD</stp>
        <stp>324</stp>
        <tr r="C328" s="2"/>
      </tp>
      <tp t="s">
        <v>Ferramenta Inválida</v>
        <stp/>
        <stp>BOOK0</stp>
        <stp>OVD</stp>
        <stp>325</stp>
        <tr r="C329" s="2"/>
      </tp>
      <tp t="s">
        <v>Ferramenta Inválida</v>
        <stp/>
        <stp>BOOK0</stp>
        <stp>OVD</stp>
        <stp>322</stp>
        <tr r="C326" s="2"/>
      </tp>
      <tp t="s">
        <v>Ferramenta Inválida</v>
        <stp/>
        <stp>BOOK0</stp>
        <stp>OVD</stp>
        <stp>323</stp>
        <tr r="C327" s="2"/>
      </tp>
      <tp t="s">
        <v>Ferramenta Inválida</v>
        <stp/>
        <stp>BOOK0</stp>
        <stp>OVD</stp>
        <stp>320</stp>
        <tr r="C324" s="2"/>
      </tp>
      <tp t="s">
        <v>Ferramenta Inválida</v>
        <stp/>
        <stp>BOOK0</stp>
        <stp>OVD</stp>
        <stp>321</stp>
        <tr r="C325" s="2"/>
      </tp>
      <tp t="s">
        <v>Ferramenta Inválida</v>
        <stp/>
        <stp>BOOK0</stp>
        <stp>OVD</stp>
        <stp>338</stp>
        <tr r="C342" s="2"/>
      </tp>
      <tp t="s">
        <v>Ferramenta Inválida</v>
        <stp/>
        <stp>BOOK0</stp>
        <stp>OVD</stp>
        <stp>339</stp>
        <tr r="C343" s="2"/>
      </tp>
      <tp t="s">
        <v>Ferramenta Inválida</v>
        <stp/>
        <stp>BOOK0</stp>
        <stp>OVD</stp>
        <stp>336</stp>
        <tr r="C340" s="2"/>
      </tp>
      <tp t="s">
        <v>Ferramenta Inválida</v>
        <stp/>
        <stp>BOOK0</stp>
        <stp>OVD</stp>
        <stp>337</stp>
        <tr r="C341" s="2"/>
      </tp>
      <tp t="s">
        <v>Ferramenta Inválida</v>
        <stp/>
        <stp>BOOK0</stp>
        <stp>OVD</stp>
        <stp>334</stp>
        <tr r="C338" s="2"/>
      </tp>
      <tp t="s">
        <v>Ferramenta Inválida</v>
        <stp/>
        <stp>BOOK0</stp>
        <stp>OVD</stp>
        <stp>335</stp>
        <tr r="C339" s="2"/>
      </tp>
      <tp t="s">
        <v>Ferramenta Inválida</v>
        <stp/>
        <stp>BOOK0</stp>
        <stp>OVD</stp>
        <stp>332</stp>
        <tr r="C336" s="2"/>
      </tp>
      <tp t="s">
        <v>Ferramenta Inválida</v>
        <stp/>
        <stp>BOOK0</stp>
        <stp>OVD</stp>
        <stp>333</stp>
        <tr r="C337" s="2"/>
      </tp>
      <tp t="s">
        <v>Ferramenta Inválida</v>
        <stp/>
        <stp>BOOK0</stp>
        <stp>OVD</stp>
        <stp>330</stp>
        <tr r="C334" s="2"/>
      </tp>
      <tp t="s">
        <v>Ferramenta Inválida</v>
        <stp/>
        <stp>BOOK0</stp>
        <stp>OVD</stp>
        <stp>331</stp>
        <tr r="C335" s="2"/>
      </tp>
      <tp t="s">
        <v>Ferramenta Inválida</v>
        <stp/>
        <stp>BOOK0</stp>
        <stp>OVD</stp>
        <stp>348</stp>
        <tr r="C352" s="2"/>
      </tp>
      <tp t="s">
        <v>Ferramenta Inválida</v>
        <stp/>
        <stp>BOOK0</stp>
        <stp>OVD</stp>
        <stp>349</stp>
        <tr r="C353" s="2"/>
      </tp>
      <tp t="s">
        <v>Ferramenta Inválida</v>
        <stp/>
        <stp>BOOK0</stp>
        <stp>OVD</stp>
        <stp>346</stp>
        <tr r="C350" s="2"/>
      </tp>
      <tp t="s">
        <v>Ferramenta Inválida</v>
        <stp/>
        <stp>BOOK0</stp>
        <stp>OVD</stp>
        <stp>347</stp>
        <tr r="C351" s="2"/>
      </tp>
      <tp t="s">
        <v>Ferramenta Inválida</v>
        <stp/>
        <stp>BOOK0</stp>
        <stp>OVD</stp>
        <stp>344</stp>
        <tr r="C348" s="2"/>
      </tp>
      <tp t="s">
        <v>Ferramenta Inválida</v>
        <stp/>
        <stp>BOOK0</stp>
        <stp>OVD</stp>
        <stp>345</stp>
        <tr r="C349" s="2"/>
      </tp>
      <tp t="s">
        <v>Ferramenta Inválida</v>
        <stp/>
        <stp>BOOK0</stp>
        <stp>OVD</stp>
        <stp>342</stp>
        <tr r="C346" s="2"/>
      </tp>
      <tp t="s">
        <v>Ferramenta Inválida</v>
        <stp/>
        <stp>BOOK0</stp>
        <stp>OVD</stp>
        <stp>343</stp>
        <tr r="C347" s="2"/>
      </tp>
      <tp t="s">
        <v>Ferramenta Inválida</v>
        <stp/>
        <stp>BOOK0</stp>
        <stp>OVD</stp>
        <stp>340</stp>
        <tr r="C344" s="2"/>
      </tp>
      <tp t="s">
        <v>Ferramenta Inválida</v>
        <stp/>
        <stp>BOOK0</stp>
        <stp>OVD</stp>
        <stp>341</stp>
        <tr r="C345" s="2"/>
      </tp>
      <tp t="s">
        <v>Ferramenta Inválida</v>
        <stp/>
        <stp>BOOK0</stp>
        <stp>OVD</stp>
        <stp>358</stp>
        <tr r="C362" s="2"/>
      </tp>
      <tp t="s">
        <v>Ferramenta Inválida</v>
        <stp/>
        <stp>BOOK0</stp>
        <stp>OVD</stp>
        <stp>359</stp>
        <tr r="C363" s="2"/>
      </tp>
      <tp t="s">
        <v>Ferramenta Inválida</v>
        <stp/>
        <stp>BOOK0</stp>
        <stp>OVD</stp>
        <stp>356</stp>
        <tr r="C360" s="2"/>
      </tp>
      <tp t="s">
        <v>Ferramenta Inválida</v>
        <stp/>
        <stp>BOOK0</stp>
        <stp>OVD</stp>
        <stp>357</stp>
        <tr r="C361" s="2"/>
      </tp>
      <tp t="s">
        <v>Ferramenta Inválida</v>
        <stp/>
        <stp>BOOK0</stp>
        <stp>OVD</stp>
        <stp>354</stp>
        <tr r="C358" s="2"/>
      </tp>
      <tp t="s">
        <v>Ferramenta Inválida</v>
        <stp/>
        <stp>BOOK0</stp>
        <stp>OVD</stp>
        <stp>355</stp>
        <tr r="C359" s="2"/>
      </tp>
      <tp t="s">
        <v>Ferramenta Inválida</v>
        <stp/>
        <stp>BOOK0</stp>
        <stp>OVD</stp>
        <stp>352</stp>
        <tr r="C356" s="2"/>
      </tp>
      <tp t="s">
        <v>Ferramenta Inválida</v>
        <stp/>
        <stp>BOOK0</stp>
        <stp>OVD</stp>
        <stp>353</stp>
        <tr r="C357" s="2"/>
      </tp>
      <tp t="s">
        <v>Ferramenta Inválida</v>
        <stp/>
        <stp>BOOK0</stp>
        <stp>OVD</stp>
        <stp>350</stp>
        <tr r="C354" s="2"/>
      </tp>
      <tp t="s">
        <v>Ferramenta Inválida</v>
        <stp/>
        <stp>BOOK0</stp>
        <stp>OVD</stp>
        <stp>351</stp>
        <tr r="C355" s="2"/>
      </tp>
      <tp t="s">
        <v>Ferramenta Inválida</v>
        <stp/>
        <stp>BOOK0</stp>
        <stp>OVD</stp>
        <stp>368</stp>
        <tr r="C372" s="2"/>
      </tp>
      <tp t="s">
        <v>Ferramenta Inválida</v>
        <stp/>
        <stp>BOOK0</stp>
        <stp>OVD</stp>
        <stp>369</stp>
        <tr r="C373" s="2"/>
      </tp>
      <tp t="s">
        <v>Ferramenta Inválida</v>
        <stp/>
        <stp>BOOK0</stp>
        <stp>OVD</stp>
        <stp>366</stp>
        <tr r="C370" s="2"/>
      </tp>
      <tp t="s">
        <v>Ferramenta Inválida</v>
        <stp/>
        <stp>BOOK0</stp>
        <stp>OVD</stp>
        <stp>367</stp>
        <tr r="C371" s="2"/>
      </tp>
      <tp t="s">
        <v>Ferramenta Inválida</v>
        <stp/>
        <stp>BOOK0</stp>
        <stp>OVD</stp>
        <stp>364</stp>
        <tr r="C368" s="2"/>
      </tp>
      <tp t="s">
        <v>Ferramenta Inválida</v>
        <stp/>
        <stp>BOOK0</stp>
        <stp>OVD</stp>
        <stp>365</stp>
        <tr r="C369" s="2"/>
      </tp>
      <tp t="s">
        <v>Ferramenta Inválida</v>
        <stp/>
        <stp>BOOK0</stp>
        <stp>OVD</stp>
        <stp>362</stp>
        <tr r="C366" s="2"/>
      </tp>
      <tp t="s">
        <v>Ferramenta Inválida</v>
        <stp/>
        <stp>BOOK0</stp>
        <stp>OVD</stp>
        <stp>363</stp>
        <tr r="C367" s="2"/>
      </tp>
      <tp t="s">
        <v>Ferramenta Inválida</v>
        <stp/>
        <stp>BOOK0</stp>
        <stp>OVD</stp>
        <stp>360</stp>
        <tr r="C364" s="2"/>
      </tp>
      <tp t="s">
        <v>Ferramenta Inválida</v>
        <stp/>
        <stp>BOOK0</stp>
        <stp>OVD</stp>
        <stp>361</stp>
        <tr r="C365" s="2"/>
      </tp>
      <tp t="s">
        <v>Ferramenta Inválida</v>
        <stp/>
        <stp>BOOK0</stp>
        <stp>OVD</stp>
        <stp>378</stp>
        <tr r="C382" s="2"/>
      </tp>
      <tp t="s">
        <v>Ferramenta Inválida</v>
        <stp/>
        <stp>BOOK0</stp>
        <stp>OVD</stp>
        <stp>379</stp>
        <tr r="C383" s="2"/>
      </tp>
      <tp t="s">
        <v>Ferramenta Inválida</v>
        <stp/>
        <stp>BOOK0</stp>
        <stp>OVD</stp>
        <stp>376</stp>
        <tr r="C380" s="2"/>
      </tp>
      <tp t="s">
        <v>Ferramenta Inválida</v>
        <stp/>
        <stp>BOOK0</stp>
        <stp>OVD</stp>
        <stp>377</stp>
        <tr r="C381" s="2"/>
      </tp>
      <tp t="s">
        <v>Ferramenta Inválida</v>
        <stp/>
        <stp>BOOK0</stp>
        <stp>OVD</stp>
        <stp>374</stp>
        <tr r="C378" s="2"/>
      </tp>
      <tp t="s">
        <v>Ferramenta Inválida</v>
        <stp/>
        <stp>BOOK0</stp>
        <stp>OVD</stp>
        <stp>375</stp>
        <tr r="C379" s="2"/>
      </tp>
      <tp t="s">
        <v>Ferramenta Inválida</v>
        <stp/>
        <stp>BOOK0</stp>
        <stp>OVD</stp>
        <stp>372</stp>
        <tr r="C376" s="2"/>
      </tp>
      <tp t="s">
        <v>Ferramenta Inválida</v>
        <stp/>
        <stp>BOOK0</stp>
        <stp>OVD</stp>
        <stp>373</stp>
        <tr r="C377" s="2"/>
      </tp>
      <tp t="s">
        <v>Ferramenta Inválida</v>
        <stp/>
        <stp>BOOK0</stp>
        <stp>OVD</stp>
        <stp>370</stp>
        <tr r="C374" s="2"/>
      </tp>
      <tp t="s">
        <v>Ferramenta Inválida</v>
        <stp/>
        <stp>BOOK0</stp>
        <stp>OVD</stp>
        <stp>371</stp>
        <tr r="C375" s="2"/>
      </tp>
      <tp t="s">
        <v>Ferramenta Inválida</v>
        <stp/>
        <stp>BOOK0</stp>
        <stp>OCP</stp>
        <stp>398</stp>
        <tr r="B402" s="2"/>
      </tp>
      <tp t="s">
        <v>Ferramenta Inválida</v>
        <stp/>
        <stp>BOOK0</stp>
        <stp>OCP</stp>
        <stp>399</stp>
        <tr r="B403" s="2"/>
      </tp>
      <tp t="s">
        <v>Ferramenta Inválida</v>
        <stp/>
        <stp>BOOK0</stp>
        <stp>OCP</stp>
        <stp>392</stp>
        <tr r="B396" s="2"/>
      </tp>
      <tp t="s">
        <v>Ferramenta Inválida</v>
        <stp/>
        <stp>BOOK0</stp>
        <stp>OCP</stp>
        <stp>393</stp>
        <tr r="B397" s="2"/>
      </tp>
      <tp t="s">
        <v>Ferramenta Inválida</v>
        <stp/>
        <stp>BOOK0</stp>
        <stp>OCP</stp>
        <stp>390</stp>
        <tr r="B394" s="2"/>
      </tp>
      <tp t="s">
        <v>Ferramenta Inválida</v>
        <stp/>
        <stp>BOOK0</stp>
        <stp>OCP</stp>
        <stp>391</stp>
        <tr r="B395" s="2"/>
      </tp>
      <tp t="s">
        <v>Ferramenta Inválida</v>
        <stp/>
        <stp>BOOK0</stp>
        <stp>OCP</stp>
        <stp>396</stp>
        <tr r="B400" s="2"/>
      </tp>
      <tp t="s">
        <v>Ferramenta Inválida</v>
        <stp/>
        <stp>BOOK0</stp>
        <stp>OCP</stp>
        <stp>397</stp>
        <tr r="B401" s="2"/>
      </tp>
      <tp t="s">
        <v>Ferramenta Inválida</v>
        <stp/>
        <stp>BOOK0</stp>
        <stp>OCP</stp>
        <stp>394</stp>
        <tr r="B398" s="2"/>
      </tp>
      <tp t="s">
        <v>Ferramenta Inválida</v>
        <stp/>
        <stp>BOOK0</stp>
        <stp>OCP</stp>
        <stp>395</stp>
        <tr r="B399" s="2"/>
      </tp>
      <tp t="s">
        <v>Ferramenta Inválida</v>
        <stp/>
        <stp>BOOK0</stp>
        <stp>OCP</stp>
        <stp>388</stp>
        <tr r="B392" s="2"/>
      </tp>
      <tp t="s">
        <v>Ferramenta Inválida</v>
        <stp/>
        <stp>BOOK0</stp>
        <stp>OCP</stp>
        <stp>389</stp>
        <tr r="B393" s="2"/>
      </tp>
      <tp t="s">
        <v>Ferramenta Inválida</v>
        <stp/>
        <stp>BOOK0</stp>
        <stp>OCP</stp>
        <stp>382</stp>
        <tr r="B386" s="2"/>
      </tp>
      <tp t="s">
        <v>Ferramenta Inválida</v>
        <stp/>
        <stp>BOOK0</stp>
        <stp>OCP</stp>
        <stp>383</stp>
        <tr r="B387" s="2"/>
      </tp>
      <tp t="s">
        <v>Ferramenta Inválida</v>
        <stp/>
        <stp>BOOK0</stp>
        <stp>OCP</stp>
        <stp>380</stp>
        <tr r="B384" s="2"/>
      </tp>
      <tp t="s">
        <v>Ferramenta Inválida</v>
        <stp/>
        <stp>BOOK0</stp>
        <stp>OCP</stp>
        <stp>381</stp>
        <tr r="B385" s="2"/>
      </tp>
      <tp t="s">
        <v>Ferramenta Inválida</v>
        <stp/>
        <stp>BOOK0</stp>
        <stp>OCP</stp>
        <stp>386</stp>
        <tr r="B390" s="2"/>
      </tp>
      <tp t="s">
        <v>Ferramenta Inválida</v>
        <stp/>
        <stp>BOOK0</stp>
        <stp>OCP</stp>
        <stp>387</stp>
        <tr r="B391" s="2"/>
      </tp>
      <tp t="s">
        <v>Ferramenta Inválida</v>
        <stp/>
        <stp>BOOK0</stp>
        <stp>OCP</stp>
        <stp>384</stp>
        <tr r="B388" s="2"/>
      </tp>
      <tp t="s">
        <v>Ferramenta Inválida</v>
        <stp/>
        <stp>BOOK0</stp>
        <stp>OCP</stp>
        <stp>385</stp>
        <tr r="B389" s="2"/>
      </tp>
      <tp t="s">
        <v>Ferramenta Inválida</v>
        <stp/>
        <stp>BOOK0</stp>
        <stp>OCP</stp>
        <stp>358</stp>
        <tr r="B362" s="2"/>
      </tp>
      <tp t="s">
        <v>Ferramenta Inválida</v>
        <stp/>
        <stp>BOOK0</stp>
        <stp>OCP</stp>
        <stp>359</stp>
        <tr r="B363" s="2"/>
      </tp>
      <tp t="s">
        <v>Ferramenta Inválida</v>
        <stp/>
        <stp>BOOK0</stp>
        <stp>OCP</stp>
        <stp>352</stp>
        <tr r="B356" s="2"/>
      </tp>
      <tp t="s">
        <v>Ferramenta Inválida</v>
        <stp/>
        <stp>BOOK0</stp>
        <stp>OCP</stp>
        <stp>353</stp>
        <tr r="B357" s="2"/>
      </tp>
      <tp t="s">
        <v>Ferramenta Inválida</v>
        <stp/>
        <stp>BOOK0</stp>
        <stp>OCP</stp>
        <stp>350</stp>
        <tr r="B354" s="2"/>
      </tp>
      <tp t="s">
        <v>Ferramenta Inválida</v>
        <stp/>
        <stp>BOOK0</stp>
        <stp>OCP</stp>
        <stp>351</stp>
        <tr r="B355" s="2"/>
      </tp>
      <tp t="s">
        <v>Ferramenta Inválida</v>
        <stp/>
        <stp>BOOK0</stp>
        <stp>OCP</stp>
        <stp>356</stp>
        <tr r="B360" s="2"/>
      </tp>
      <tp t="s">
        <v>Ferramenta Inválida</v>
        <stp/>
        <stp>BOOK0</stp>
        <stp>OCP</stp>
        <stp>357</stp>
        <tr r="B361" s="2"/>
      </tp>
      <tp t="s">
        <v>Ferramenta Inválida</v>
        <stp/>
        <stp>BOOK0</stp>
        <stp>OCP</stp>
        <stp>354</stp>
        <tr r="B358" s="2"/>
      </tp>
      <tp t="s">
        <v>Ferramenta Inválida</v>
        <stp/>
        <stp>BOOK0</stp>
        <stp>OCP</stp>
        <stp>355</stp>
        <tr r="B359" s="2"/>
      </tp>
      <tp t="s">
        <v>Ferramenta Inválida</v>
        <stp/>
        <stp>BOOK0</stp>
        <stp>OCP</stp>
        <stp>348</stp>
        <tr r="B352" s="2"/>
      </tp>
      <tp t="s">
        <v>Ferramenta Inválida</v>
        <stp/>
        <stp>BOOK0</stp>
        <stp>OCP</stp>
        <stp>349</stp>
        <tr r="B353" s="2"/>
      </tp>
      <tp t="s">
        <v>Ferramenta Inválida</v>
        <stp/>
        <stp>BOOK0</stp>
        <stp>OCP</stp>
        <stp>342</stp>
        <tr r="B346" s="2"/>
      </tp>
      <tp t="s">
        <v>Ferramenta Inválida</v>
        <stp/>
        <stp>BOOK0</stp>
        <stp>OCP</stp>
        <stp>343</stp>
        <tr r="B347" s="2"/>
      </tp>
      <tp t="s">
        <v>Ferramenta Inválida</v>
        <stp/>
        <stp>BOOK0</stp>
        <stp>OCP</stp>
        <stp>340</stp>
        <tr r="B344" s="2"/>
      </tp>
      <tp t="s">
        <v>Ferramenta Inválida</v>
        <stp/>
        <stp>BOOK0</stp>
        <stp>OCP</stp>
        <stp>341</stp>
        <tr r="B345" s="2"/>
      </tp>
      <tp t="s">
        <v>Ferramenta Inválida</v>
        <stp/>
        <stp>BOOK0</stp>
        <stp>OCP</stp>
        <stp>346</stp>
        <tr r="B350" s="2"/>
      </tp>
      <tp t="s">
        <v>Ferramenta Inválida</v>
        <stp/>
        <stp>BOOK0</stp>
        <stp>OCP</stp>
        <stp>347</stp>
        <tr r="B351" s="2"/>
      </tp>
      <tp t="s">
        <v>Ferramenta Inválida</v>
        <stp/>
        <stp>BOOK0</stp>
        <stp>OCP</stp>
        <stp>344</stp>
        <tr r="B348" s="2"/>
      </tp>
      <tp t="s">
        <v>Ferramenta Inválida</v>
        <stp/>
        <stp>BOOK0</stp>
        <stp>OCP</stp>
        <stp>345</stp>
        <tr r="B349" s="2"/>
      </tp>
      <tp t="s">
        <v>Ferramenta Inválida</v>
        <stp/>
        <stp>BOOK0</stp>
        <stp>OCP</stp>
        <stp>378</stp>
        <tr r="B382" s="2"/>
      </tp>
      <tp t="s">
        <v>Ferramenta Inválida</v>
        <stp/>
        <stp>BOOK0</stp>
        <stp>OCP</stp>
        <stp>379</stp>
        <tr r="B383" s="2"/>
      </tp>
      <tp t="s">
        <v>Ferramenta Inválida</v>
        <stp/>
        <stp>BOOK0</stp>
        <stp>OCP</stp>
        <stp>372</stp>
        <tr r="B376" s="2"/>
      </tp>
      <tp t="s">
        <v>Ferramenta Inválida</v>
        <stp/>
        <stp>BOOK0</stp>
        <stp>OCP</stp>
        <stp>373</stp>
        <tr r="B377" s="2"/>
      </tp>
      <tp t="s">
        <v>Ferramenta Inválida</v>
        <stp/>
        <stp>BOOK0</stp>
        <stp>OCP</stp>
        <stp>370</stp>
        <tr r="B374" s="2"/>
      </tp>
      <tp t="s">
        <v>Ferramenta Inválida</v>
        <stp/>
        <stp>BOOK0</stp>
        <stp>OCP</stp>
        <stp>371</stp>
        <tr r="B375" s="2"/>
      </tp>
      <tp t="s">
        <v>Ferramenta Inválida</v>
        <stp/>
        <stp>BOOK0</stp>
        <stp>OCP</stp>
        <stp>376</stp>
        <tr r="B380" s="2"/>
      </tp>
      <tp t="s">
        <v>Ferramenta Inválida</v>
        <stp/>
        <stp>BOOK0</stp>
        <stp>OCP</stp>
        <stp>377</stp>
        <tr r="B381" s="2"/>
      </tp>
      <tp t="s">
        <v>Ferramenta Inválida</v>
        <stp/>
        <stp>BOOK0</stp>
        <stp>OCP</stp>
        <stp>374</stp>
        <tr r="B378" s="2"/>
      </tp>
      <tp t="s">
        <v>Ferramenta Inválida</v>
        <stp/>
        <stp>BOOK0</stp>
        <stp>OCP</stp>
        <stp>375</stp>
        <tr r="B379" s="2"/>
      </tp>
      <tp t="s">
        <v>Ferramenta Inválida</v>
        <stp/>
        <stp>BOOK0</stp>
        <stp>OCP</stp>
        <stp>368</stp>
        <tr r="B372" s="2"/>
      </tp>
      <tp t="s">
        <v>Ferramenta Inválida</v>
        <stp/>
        <stp>BOOK0</stp>
        <stp>OCP</stp>
        <stp>369</stp>
        <tr r="B373" s="2"/>
      </tp>
      <tp t="s">
        <v>Ferramenta Inválida</v>
        <stp/>
        <stp>BOOK0</stp>
        <stp>OCP</stp>
        <stp>362</stp>
        <tr r="B366" s="2"/>
      </tp>
      <tp t="s">
        <v>Ferramenta Inválida</v>
        <stp/>
        <stp>BOOK0</stp>
        <stp>OCP</stp>
        <stp>363</stp>
        <tr r="B367" s="2"/>
      </tp>
      <tp t="s">
        <v>Ferramenta Inválida</v>
        <stp/>
        <stp>BOOK0</stp>
        <stp>OCP</stp>
        <stp>360</stp>
        <tr r="B364" s="2"/>
      </tp>
      <tp t="s">
        <v>Ferramenta Inválida</v>
        <stp/>
        <stp>BOOK0</stp>
        <stp>OCP</stp>
        <stp>361</stp>
        <tr r="B365" s="2"/>
      </tp>
      <tp t="s">
        <v>Ferramenta Inválida</v>
        <stp/>
        <stp>BOOK0</stp>
        <stp>OCP</stp>
        <stp>366</stp>
        <tr r="B370" s="2"/>
      </tp>
      <tp t="s">
        <v>Ferramenta Inválida</v>
        <stp/>
        <stp>BOOK0</stp>
        <stp>OCP</stp>
        <stp>367</stp>
        <tr r="B371" s="2"/>
      </tp>
      <tp t="s">
        <v>Ferramenta Inválida</v>
        <stp/>
        <stp>BOOK0</stp>
        <stp>OCP</stp>
        <stp>364</stp>
        <tr r="B368" s="2"/>
      </tp>
      <tp t="s">
        <v>Ferramenta Inválida</v>
        <stp/>
        <stp>BOOK0</stp>
        <stp>OCP</stp>
        <stp>365</stp>
        <tr r="B369" s="2"/>
      </tp>
      <tp t="s">
        <v>Ferramenta Inválida</v>
        <stp/>
        <stp>BOOK0</stp>
        <stp>OCP</stp>
        <stp>318</stp>
        <tr r="B322" s="2"/>
      </tp>
      <tp t="s">
        <v>Ferramenta Inválida</v>
        <stp/>
        <stp>BOOK0</stp>
        <stp>OCP</stp>
        <stp>319</stp>
        <tr r="B323" s="2"/>
      </tp>
      <tp t="s">
        <v>Ferramenta Inválida</v>
        <stp/>
        <stp>BOOK0</stp>
        <stp>OCP</stp>
        <stp>312</stp>
        <tr r="B316" s="2"/>
      </tp>
      <tp t="s">
        <v>Ferramenta Inválida</v>
        <stp/>
        <stp>BOOK0</stp>
        <stp>OCP</stp>
        <stp>313</stp>
        <tr r="B317" s="2"/>
      </tp>
      <tp t="s">
        <v>Ferramenta Inválida</v>
        <stp/>
        <stp>BOOK0</stp>
        <stp>OCP</stp>
        <stp>310</stp>
        <tr r="B314" s="2"/>
      </tp>
      <tp t="s">
        <v>Ferramenta Inválida</v>
        <stp/>
        <stp>BOOK0</stp>
        <stp>OCP</stp>
        <stp>311</stp>
        <tr r="B315" s="2"/>
      </tp>
      <tp t="s">
        <v>Ferramenta Inválida</v>
        <stp/>
        <stp>BOOK0</stp>
        <stp>OCP</stp>
        <stp>316</stp>
        <tr r="B320" s="2"/>
      </tp>
      <tp t="s">
        <v>Ferramenta Inválida</v>
        <stp/>
        <stp>BOOK0</stp>
        <stp>OCP</stp>
        <stp>317</stp>
        <tr r="B321" s="2"/>
      </tp>
      <tp t="s">
        <v>Ferramenta Inválida</v>
        <stp/>
        <stp>BOOK0</stp>
        <stp>OCP</stp>
        <stp>314</stp>
        <tr r="B318" s="2"/>
      </tp>
      <tp t="s">
        <v>Ferramenta Inválida</v>
        <stp/>
        <stp>BOOK0</stp>
        <stp>OCP</stp>
        <stp>315</stp>
        <tr r="B319" s="2"/>
      </tp>
      <tp t="s">
        <v>Ferramenta Inválida</v>
        <stp/>
        <stp>BOOK0</stp>
        <stp>OCP</stp>
        <stp>308</stp>
        <tr r="B312" s="2"/>
      </tp>
      <tp t="s">
        <v>Ferramenta Inválida</v>
        <stp/>
        <stp>BOOK0</stp>
        <stp>OCP</stp>
        <stp>309</stp>
        <tr r="B313" s="2"/>
      </tp>
      <tp t="s">
        <v>Ferramenta Inválida</v>
        <stp/>
        <stp>BOOK0</stp>
        <stp>OCP</stp>
        <stp>302</stp>
        <tr r="B306" s="2"/>
      </tp>
      <tp t="s">
        <v>Ferramenta Inválida</v>
        <stp/>
        <stp>BOOK0</stp>
        <stp>OCP</stp>
        <stp>303</stp>
        <tr r="B307" s="2"/>
      </tp>
      <tp t="s">
        <v>Ferramenta Inválida</v>
        <stp/>
        <stp>BOOK0</stp>
        <stp>OCP</stp>
        <stp>300</stp>
        <tr r="B304" s="2"/>
      </tp>
      <tp t="s">
        <v>Ferramenta Inválida</v>
        <stp/>
        <stp>BOOK0</stp>
        <stp>OCP</stp>
        <stp>301</stp>
        <tr r="B305" s="2"/>
      </tp>
      <tp t="s">
        <v>Ferramenta Inválida</v>
        <stp/>
        <stp>BOOK0</stp>
        <stp>OCP</stp>
        <stp>306</stp>
        <tr r="B310" s="2"/>
      </tp>
      <tp t="s">
        <v>Ferramenta Inválida</v>
        <stp/>
        <stp>BOOK0</stp>
        <stp>OCP</stp>
        <stp>307</stp>
        <tr r="B311" s="2"/>
      </tp>
      <tp t="s">
        <v>Ferramenta Inválida</v>
        <stp/>
        <stp>BOOK0</stp>
        <stp>OCP</stp>
        <stp>304</stp>
        <tr r="B308" s="2"/>
      </tp>
      <tp t="s">
        <v>Ferramenta Inválida</v>
        <stp/>
        <stp>BOOK0</stp>
        <stp>OCP</stp>
        <stp>305</stp>
        <tr r="B309" s="2"/>
      </tp>
      <tp t="s">
        <v>Ferramenta Inválida</v>
        <stp/>
        <stp>BOOK0</stp>
        <stp>OCP</stp>
        <stp>338</stp>
        <tr r="B342" s="2"/>
      </tp>
      <tp t="s">
        <v>Ferramenta Inválida</v>
        <stp/>
        <stp>BOOK0</stp>
        <stp>OCP</stp>
        <stp>339</stp>
        <tr r="B343" s="2"/>
      </tp>
      <tp t="s">
        <v>Ferramenta Inválida</v>
        <stp/>
        <stp>BOOK0</stp>
        <stp>OCP</stp>
        <stp>332</stp>
        <tr r="B336" s="2"/>
      </tp>
      <tp t="s">
        <v>Ferramenta Inválida</v>
        <stp/>
        <stp>BOOK0</stp>
        <stp>OCP</stp>
        <stp>333</stp>
        <tr r="B337" s="2"/>
      </tp>
      <tp t="s">
        <v>Ferramenta Inválida</v>
        <stp/>
        <stp>BOOK0</stp>
        <stp>OCP</stp>
        <stp>330</stp>
        <tr r="B334" s="2"/>
      </tp>
      <tp t="s">
        <v>Ferramenta Inválida</v>
        <stp/>
        <stp>BOOK0</stp>
        <stp>OCP</stp>
        <stp>331</stp>
        <tr r="B335" s="2"/>
      </tp>
      <tp t="s">
        <v>Ferramenta Inválida</v>
        <stp/>
        <stp>BOOK0</stp>
        <stp>OCP</stp>
        <stp>336</stp>
        <tr r="B340" s="2"/>
      </tp>
      <tp t="s">
        <v>Ferramenta Inválida</v>
        <stp/>
        <stp>BOOK0</stp>
        <stp>OCP</stp>
        <stp>337</stp>
        <tr r="B341" s="2"/>
      </tp>
      <tp t="s">
        <v>Ferramenta Inválida</v>
        <stp/>
        <stp>BOOK0</stp>
        <stp>OCP</stp>
        <stp>334</stp>
        <tr r="B338" s="2"/>
      </tp>
      <tp t="s">
        <v>Ferramenta Inválida</v>
        <stp/>
        <stp>BOOK0</stp>
        <stp>OCP</stp>
        <stp>335</stp>
        <tr r="B339" s="2"/>
      </tp>
      <tp t="s">
        <v>Ferramenta Inválida</v>
        <stp/>
        <stp>BOOK0</stp>
        <stp>OCP</stp>
        <stp>328</stp>
        <tr r="B332" s="2"/>
      </tp>
      <tp t="s">
        <v>Ferramenta Inválida</v>
        <stp/>
        <stp>BOOK0</stp>
        <stp>OCP</stp>
        <stp>329</stp>
        <tr r="B333" s="2"/>
      </tp>
      <tp t="s">
        <v>Ferramenta Inválida</v>
        <stp/>
        <stp>BOOK0</stp>
        <stp>OCP</stp>
        <stp>322</stp>
        <tr r="B326" s="2"/>
      </tp>
      <tp t="s">
        <v>Ferramenta Inválida</v>
        <stp/>
        <stp>BOOK0</stp>
        <stp>OCP</stp>
        <stp>323</stp>
        <tr r="B327" s="2"/>
      </tp>
      <tp t="s">
        <v>Ferramenta Inválida</v>
        <stp/>
        <stp>BOOK0</stp>
        <stp>OCP</stp>
        <stp>320</stp>
        <tr r="B324" s="2"/>
      </tp>
      <tp t="s">
        <v>Ferramenta Inválida</v>
        <stp/>
        <stp>BOOK0</stp>
        <stp>OCP</stp>
        <stp>321</stp>
        <tr r="B325" s="2"/>
      </tp>
      <tp t="s">
        <v>Ferramenta Inválida</v>
        <stp/>
        <stp>BOOK0</stp>
        <stp>OCP</stp>
        <stp>326</stp>
        <tr r="B330" s="2"/>
      </tp>
      <tp t="s">
        <v>Ferramenta Inválida</v>
        <stp/>
        <stp>BOOK0</stp>
        <stp>OCP</stp>
        <stp>327</stp>
        <tr r="B331" s="2"/>
      </tp>
      <tp t="s">
        <v>Ferramenta Inválida</v>
        <stp/>
        <stp>BOOK0</stp>
        <stp>OCP</stp>
        <stp>324</stp>
        <tr r="B328" s="2"/>
      </tp>
      <tp t="s">
        <v>Ferramenta Inválida</v>
        <stp/>
        <stp>BOOK0</stp>
        <stp>OCP</stp>
        <stp>325</stp>
        <tr r="B329" s="2"/>
      </tp>
      <tp t="s">
        <v>Ferramenta Inválida</v>
        <stp/>
        <stp>BOOK0</stp>
        <stp>OVD</stp>
        <stp>488</stp>
        <tr r="C492" s="2"/>
      </tp>
      <tp t="s">
        <v>Ferramenta Inválida</v>
        <stp/>
        <stp>BOOK0</stp>
        <stp>OVD</stp>
        <stp>489</stp>
        <tr r="C493" s="2"/>
      </tp>
      <tp t="s">
        <v>Ferramenta Inválida</v>
        <stp/>
        <stp>BOOK0</stp>
        <stp>OVD</stp>
        <stp>486</stp>
        <tr r="C490" s="2"/>
      </tp>
      <tp t="s">
        <v>Ferramenta Inválida</v>
        <stp/>
        <stp>BOOK0</stp>
        <stp>OVD</stp>
        <stp>487</stp>
        <tr r="C491" s="2"/>
      </tp>
      <tp t="s">
        <v>Ferramenta Inválida</v>
        <stp/>
        <stp>BOOK0</stp>
        <stp>OVD</stp>
        <stp>484</stp>
        <tr r="C488" s="2"/>
      </tp>
      <tp t="s">
        <v>Ferramenta Inválida</v>
        <stp/>
        <stp>BOOK0</stp>
        <stp>OVD</stp>
        <stp>485</stp>
        <tr r="C489" s="2"/>
      </tp>
      <tp t="s">
        <v>Ferramenta Inválida</v>
        <stp/>
        <stp>BOOK0</stp>
        <stp>OVD</stp>
        <stp>482</stp>
        <tr r="C486" s="2"/>
      </tp>
      <tp t="s">
        <v>Ferramenta Inválida</v>
        <stp/>
        <stp>BOOK0</stp>
        <stp>OVD</stp>
        <stp>483</stp>
        <tr r="C487" s="2"/>
      </tp>
      <tp t="s">
        <v>Ferramenta Inválida</v>
        <stp/>
        <stp>BOOK0</stp>
        <stp>OVD</stp>
        <stp>480</stp>
        <tr r="C484" s="2"/>
      </tp>
      <tp t="s">
        <v>Ferramenta Inválida</v>
        <stp/>
        <stp>BOOK0</stp>
        <stp>OVD</stp>
        <stp>481</stp>
        <tr r="C485" s="2"/>
      </tp>
      <tp t="s">
        <v>Ferramenta Inválida</v>
        <stp/>
        <stp>BOOK0</stp>
        <stp>OVD</stp>
        <stp>498</stp>
        <tr r="C502" s="2"/>
      </tp>
      <tp t="s">
        <v>Ferramenta Inválida</v>
        <stp/>
        <stp>BOOK0</stp>
        <stp>OVD</stp>
        <stp>499</stp>
        <tr r="C503" s="2"/>
      </tp>
      <tp t="s">
        <v>Ferramenta Inválida</v>
        <stp/>
        <stp>BOOK0</stp>
        <stp>OVD</stp>
        <stp>496</stp>
        <tr r="C500" s="2"/>
      </tp>
      <tp t="s">
        <v>Ferramenta Inválida</v>
        <stp/>
        <stp>BOOK0</stp>
        <stp>OVD</stp>
        <stp>497</stp>
        <tr r="C501" s="2"/>
      </tp>
      <tp t="s">
        <v>Ferramenta Inválida</v>
        <stp/>
        <stp>BOOK0</stp>
        <stp>OVD</stp>
        <stp>494</stp>
        <tr r="C498" s="2"/>
      </tp>
      <tp t="s">
        <v>Ferramenta Inválida</v>
        <stp/>
        <stp>BOOK0</stp>
        <stp>OVD</stp>
        <stp>495</stp>
        <tr r="C499" s="2"/>
      </tp>
      <tp t="s">
        <v>Ferramenta Inválida</v>
        <stp/>
        <stp>BOOK0</stp>
        <stp>OVD</stp>
        <stp>492</stp>
        <tr r="C496" s="2"/>
      </tp>
      <tp t="s">
        <v>Ferramenta Inválida</v>
        <stp/>
        <stp>BOOK0</stp>
        <stp>OVD</stp>
        <stp>493</stp>
        <tr r="C497" s="2"/>
      </tp>
      <tp t="s">
        <v>Ferramenta Inválida</v>
        <stp/>
        <stp>BOOK0</stp>
        <stp>OVD</stp>
        <stp>490</stp>
        <tr r="C494" s="2"/>
      </tp>
      <tp t="s">
        <v>Ferramenta Inválida</v>
        <stp/>
        <stp>BOOK0</stp>
        <stp>OVD</stp>
        <stp>491</stp>
        <tr r="C495" s="2"/>
      </tp>
      <tp t="s">
        <v>Ferramenta Inválida</v>
        <stp/>
        <stp>BOOK0</stp>
        <stp>OVD</stp>
        <stp>408</stp>
        <tr r="C412" s="2"/>
      </tp>
      <tp t="s">
        <v>Ferramenta Inválida</v>
        <stp/>
        <stp>BOOK0</stp>
        <stp>OVD</stp>
        <stp>409</stp>
        <tr r="C413" s="2"/>
      </tp>
      <tp t="s">
        <v>Ferramenta Inválida</v>
        <stp/>
        <stp>BOOK0</stp>
        <stp>OVD</stp>
        <stp>406</stp>
        <tr r="C410" s="2"/>
      </tp>
      <tp t="s">
        <v>Ferramenta Inválida</v>
        <stp/>
        <stp>BOOK0</stp>
        <stp>OVD</stp>
        <stp>407</stp>
        <tr r="C411" s="2"/>
      </tp>
      <tp t="s">
        <v>Ferramenta Inválida</v>
        <stp/>
        <stp>BOOK0</stp>
        <stp>OVD</stp>
        <stp>404</stp>
        <tr r="C408" s="2"/>
      </tp>
      <tp t="s">
        <v>Ferramenta Inválida</v>
        <stp/>
        <stp>BOOK0</stp>
        <stp>OVD</stp>
        <stp>405</stp>
        <tr r="C409" s="2"/>
      </tp>
      <tp t="s">
        <v>Ferramenta Inválida</v>
        <stp/>
        <stp>BOOK0</stp>
        <stp>OVD</stp>
        <stp>402</stp>
        <tr r="C406" s="2"/>
      </tp>
      <tp t="s">
        <v>Ferramenta Inválida</v>
        <stp/>
        <stp>BOOK0</stp>
        <stp>OVD</stp>
        <stp>403</stp>
        <tr r="C407" s="2"/>
      </tp>
      <tp t="s">
        <v>Ferramenta Inválida</v>
        <stp/>
        <stp>BOOK0</stp>
        <stp>OVD</stp>
        <stp>400</stp>
        <tr r="C404" s="2"/>
      </tp>
      <tp t="s">
        <v>Ferramenta Inválida</v>
        <stp/>
        <stp>BOOK0</stp>
        <stp>OVD</stp>
        <stp>401</stp>
        <tr r="C405" s="2"/>
      </tp>
      <tp t="s">
        <v>Ferramenta Inválida</v>
        <stp/>
        <stp>BOOK0</stp>
        <stp>OVD</stp>
        <stp>418</stp>
        <tr r="C422" s="2"/>
      </tp>
      <tp t="s">
        <v>Ferramenta Inválida</v>
        <stp/>
        <stp>BOOK0</stp>
        <stp>OVD</stp>
        <stp>419</stp>
        <tr r="C423" s="2"/>
      </tp>
      <tp t="s">
        <v>Ferramenta Inválida</v>
        <stp/>
        <stp>BOOK0</stp>
        <stp>OVD</stp>
        <stp>416</stp>
        <tr r="C420" s="2"/>
      </tp>
      <tp t="s">
        <v>Ferramenta Inválida</v>
        <stp/>
        <stp>BOOK0</stp>
        <stp>OVD</stp>
        <stp>417</stp>
        <tr r="C421" s="2"/>
      </tp>
      <tp t="s">
        <v>Ferramenta Inválida</v>
        <stp/>
        <stp>BOOK0</stp>
        <stp>OVD</stp>
        <stp>414</stp>
        <tr r="C418" s="2"/>
      </tp>
      <tp t="s">
        <v>Ferramenta Inválida</v>
        <stp/>
        <stp>BOOK0</stp>
        <stp>OVD</stp>
        <stp>415</stp>
        <tr r="C419" s="2"/>
      </tp>
      <tp t="s">
        <v>Ferramenta Inválida</v>
        <stp/>
        <stp>BOOK0</stp>
        <stp>OVD</stp>
        <stp>412</stp>
        <tr r="C416" s="2"/>
      </tp>
      <tp t="s">
        <v>Ferramenta Inválida</v>
        <stp/>
        <stp>BOOK0</stp>
        <stp>OVD</stp>
        <stp>413</stp>
        <tr r="C417" s="2"/>
      </tp>
      <tp t="s">
        <v>Ferramenta Inválida</v>
        <stp/>
        <stp>BOOK0</stp>
        <stp>OVD</stp>
        <stp>410</stp>
        <tr r="C414" s="2"/>
      </tp>
      <tp t="s">
        <v>Ferramenta Inválida</v>
        <stp/>
        <stp>BOOK0</stp>
        <stp>OVD</stp>
        <stp>411</stp>
        <tr r="C415" s="2"/>
      </tp>
      <tp t="s">
        <v>Ferramenta Inválida</v>
        <stp/>
        <stp>BOOK0</stp>
        <stp>OVD</stp>
        <stp>428</stp>
        <tr r="C432" s="2"/>
      </tp>
      <tp t="s">
        <v>Ferramenta Inválida</v>
        <stp/>
        <stp>BOOK0</stp>
        <stp>OVD</stp>
        <stp>429</stp>
        <tr r="C433" s="2"/>
      </tp>
      <tp t="s">
        <v>Ferramenta Inválida</v>
        <stp/>
        <stp>BOOK0</stp>
        <stp>OVD</stp>
        <stp>426</stp>
        <tr r="C430" s="2"/>
      </tp>
      <tp t="s">
        <v>Ferramenta Inválida</v>
        <stp/>
        <stp>BOOK0</stp>
        <stp>OVD</stp>
        <stp>427</stp>
        <tr r="C431" s="2"/>
      </tp>
      <tp t="s">
        <v>Ferramenta Inválida</v>
        <stp/>
        <stp>BOOK0</stp>
        <stp>OVD</stp>
        <stp>424</stp>
        <tr r="C428" s="2"/>
      </tp>
      <tp t="s">
        <v>Ferramenta Inválida</v>
        <stp/>
        <stp>BOOK0</stp>
        <stp>OVD</stp>
        <stp>425</stp>
        <tr r="C429" s="2"/>
      </tp>
      <tp t="s">
        <v>Ferramenta Inválida</v>
        <stp/>
        <stp>BOOK0</stp>
        <stp>OVD</stp>
        <stp>422</stp>
        <tr r="C426" s="2"/>
      </tp>
      <tp t="s">
        <v>Ferramenta Inválida</v>
        <stp/>
        <stp>BOOK0</stp>
        <stp>OVD</stp>
        <stp>423</stp>
        <tr r="C427" s="2"/>
      </tp>
      <tp t="s">
        <v>Ferramenta Inválida</v>
        <stp/>
        <stp>BOOK0</stp>
        <stp>OVD</stp>
        <stp>420</stp>
        <tr r="C424" s="2"/>
      </tp>
      <tp t="s">
        <v>Ferramenta Inválida</v>
        <stp/>
        <stp>BOOK0</stp>
        <stp>OVD</stp>
        <stp>421</stp>
        <tr r="C425" s="2"/>
      </tp>
      <tp t="s">
        <v>Ferramenta Inválida</v>
        <stp/>
        <stp>BOOK0</stp>
        <stp>OVD</stp>
        <stp>438</stp>
        <tr r="C442" s="2"/>
      </tp>
      <tp t="s">
        <v>Ferramenta Inválida</v>
        <stp/>
        <stp>BOOK0</stp>
        <stp>OVD</stp>
        <stp>439</stp>
        <tr r="C443" s="2"/>
      </tp>
      <tp t="s">
        <v>Ferramenta Inválida</v>
        <stp/>
        <stp>BOOK0</stp>
        <stp>OVD</stp>
        <stp>436</stp>
        <tr r="C440" s="2"/>
      </tp>
      <tp t="s">
        <v>Ferramenta Inválida</v>
        <stp/>
        <stp>BOOK0</stp>
        <stp>OVD</stp>
        <stp>437</stp>
        <tr r="C441" s="2"/>
      </tp>
      <tp t="s">
        <v>Ferramenta Inválida</v>
        <stp/>
        <stp>BOOK0</stp>
        <stp>OVD</stp>
        <stp>434</stp>
        <tr r="C438" s="2"/>
      </tp>
      <tp t="s">
        <v>Ferramenta Inválida</v>
        <stp/>
        <stp>BOOK0</stp>
        <stp>OVD</stp>
        <stp>435</stp>
        <tr r="C439" s="2"/>
      </tp>
      <tp t="s">
        <v>Ferramenta Inválida</v>
        <stp/>
        <stp>BOOK0</stp>
        <stp>OVD</stp>
        <stp>432</stp>
        <tr r="C436" s="2"/>
      </tp>
      <tp t="s">
        <v>Ferramenta Inválida</v>
        <stp/>
        <stp>BOOK0</stp>
        <stp>OVD</stp>
        <stp>433</stp>
        <tr r="C437" s="2"/>
      </tp>
      <tp t="s">
        <v>Ferramenta Inválida</v>
        <stp/>
        <stp>BOOK0</stp>
        <stp>OVD</stp>
        <stp>430</stp>
        <tr r="C434" s="2"/>
      </tp>
      <tp t="s">
        <v>Ferramenta Inválida</v>
        <stp/>
        <stp>BOOK0</stp>
        <stp>OVD</stp>
        <stp>431</stp>
        <tr r="C435" s="2"/>
      </tp>
      <tp t="s">
        <v>Ferramenta Inválida</v>
        <stp/>
        <stp>BOOK0</stp>
        <stp>OVD</stp>
        <stp>448</stp>
        <tr r="C452" s="2"/>
      </tp>
      <tp t="s">
        <v>Ferramenta Inválida</v>
        <stp/>
        <stp>BOOK0</stp>
        <stp>OVD</stp>
        <stp>449</stp>
        <tr r="C453" s="2"/>
      </tp>
      <tp t="s">
        <v>Ferramenta Inválida</v>
        <stp/>
        <stp>BOOK0</stp>
        <stp>OVD</stp>
        <stp>446</stp>
        <tr r="C450" s="2"/>
      </tp>
      <tp t="s">
        <v>Ferramenta Inválida</v>
        <stp/>
        <stp>BOOK0</stp>
        <stp>OVD</stp>
        <stp>447</stp>
        <tr r="C451" s="2"/>
      </tp>
      <tp t="s">
        <v>Ferramenta Inválida</v>
        <stp/>
        <stp>BOOK0</stp>
        <stp>OVD</stp>
        <stp>444</stp>
        <tr r="C448" s="2"/>
      </tp>
      <tp t="s">
        <v>Ferramenta Inválida</v>
        <stp/>
        <stp>BOOK0</stp>
        <stp>OVD</stp>
        <stp>445</stp>
        <tr r="C449" s="2"/>
      </tp>
      <tp t="s">
        <v>Ferramenta Inválida</v>
        <stp/>
        <stp>BOOK0</stp>
        <stp>OVD</stp>
        <stp>442</stp>
        <tr r="C446" s="2"/>
      </tp>
      <tp t="s">
        <v>Ferramenta Inválida</v>
        <stp/>
        <stp>BOOK0</stp>
        <stp>OVD</stp>
        <stp>443</stp>
        <tr r="C447" s="2"/>
      </tp>
      <tp t="s">
        <v>Ferramenta Inválida</v>
        <stp/>
        <stp>BOOK0</stp>
        <stp>OVD</stp>
        <stp>440</stp>
        <tr r="C444" s="2"/>
      </tp>
      <tp t="s">
        <v>Ferramenta Inválida</v>
        <stp/>
        <stp>BOOK0</stp>
        <stp>OVD</stp>
        <stp>441</stp>
        <tr r="C445" s="2"/>
      </tp>
      <tp t="s">
        <v>Ferramenta Inválida</v>
        <stp/>
        <stp>BOOK0</stp>
        <stp>OVD</stp>
        <stp>458</stp>
        <tr r="C462" s="2"/>
      </tp>
      <tp t="s">
        <v>Ferramenta Inválida</v>
        <stp/>
        <stp>BOOK0</stp>
        <stp>OVD</stp>
        <stp>459</stp>
        <tr r="C463" s="2"/>
      </tp>
      <tp t="s">
        <v>Ferramenta Inválida</v>
        <stp/>
        <stp>BOOK0</stp>
        <stp>OVD</stp>
        <stp>456</stp>
        <tr r="C460" s="2"/>
      </tp>
      <tp t="s">
        <v>Ferramenta Inválida</v>
        <stp/>
        <stp>BOOK0</stp>
        <stp>OVD</stp>
        <stp>457</stp>
        <tr r="C461" s="2"/>
      </tp>
      <tp t="s">
        <v>Ferramenta Inválida</v>
        <stp/>
        <stp>BOOK0</stp>
        <stp>OVD</stp>
        <stp>454</stp>
        <tr r="C458" s="2"/>
      </tp>
      <tp t="s">
        <v>Ferramenta Inválida</v>
        <stp/>
        <stp>BOOK0</stp>
        <stp>OVD</stp>
        <stp>455</stp>
        <tr r="C459" s="2"/>
      </tp>
      <tp t="s">
        <v>Ferramenta Inválida</v>
        <stp/>
        <stp>BOOK0</stp>
        <stp>OVD</stp>
        <stp>452</stp>
        <tr r="C456" s="2"/>
      </tp>
      <tp t="s">
        <v>Ferramenta Inválida</v>
        <stp/>
        <stp>BOOK0</stp>
        <stp>OVD</stp>
        <stp>453</stp>
        <tr r="C457" s="2"/>
      </tp>
      <tp t="s">
        <v>Ferramenta Inválida</v>
        <stp/>
        <stp>BOOK0</stp>
        <stp>OVD</stp>
        <stp>450</stp>
        <tr r="C454" s="2"/>
      </tp>
      <tp t="s">
        <v>Ferramenta Inválida</v>
        <stp/>
        <stp>BOOK0</stp>
        <stp>OVD</stp>
        <stp>451</stp>
        <tr r="C455" s="2"/>
      </tp>
      <tp t="s">
        <v>Ferramenta Inválida</v>
        <stp/>
        <stp>BOOK0</stp>
        <stp>OVD</stp>
        <stp>468</stp>
        <tr r="C472" s="2"/>
      </tp>
      <tp t="s">
        <v>Ferramenta Inválida</v>
        <stp/>
        <stp>BOOK0</stp>
        <stp>OVD</stp>
        <stp>469</stp>
        <tr r="C473" s="2"/>
      </tp>
      <tp t="s">
        <v>Ferramenta Inválida</v>
        <stp/>
        <stp>BOOK0</stp>
        <stp>OVD</stp>
        <stp>466</stp>
        <tr r="C470" s="2"/>
      </tp>
      <tp t="s">
        <v>Ferramenta Inválida</v>
        <stp/>
        <stp>BOOK0</stp>
        <stp>OVD</stp>
        <stp>467</stp>
        <tr r="C471" s="2"/>
      </tp>
      <tp t="s">
        <v>Ferramenta Inválida</v>
        <stp/>
        <stp>BOOK0</stp>
        <stp>OVD</stp>
        <stp>464</stp>
        <tr r="C468" s="2"/>
      </tp>
      <tp t="s">
        <v>Ferramenta Inválida</v>
        <stp/>
        <stp>BOOK0</stp>
        <stp>OVD</stp>
        <stp>465</stp>
        <tr r="C469" s="2"/>
      </tp>
      <tp t="s">
        <v>Ferramenta Inválida</v>
        <stp/>
        <stp>BOOK0</stp>
        <stp>OVD</stp>
        <stp>462</stp>
        <tr r="C466" s="2"/>
      </tp>
      <tp t="s">
        <v>Ferramenta Inválida</v>
        <stp/>
        <stp>BOOK0</stp>
        <stp>OVD</stp>
        <stp>463</stp>
        <tr r="C467" s="2"/>
      </tp>
      <tp t="s">
        <v>Ferramenta Inválida</v>
        <stp/>
        <stp>BOOK0</stp>
        <stp>OVD</stp>
        <stp>460</stp>
        <tr r="C464" s="2"/>
      </tp>
      <tp t="s">
        <v>Ferramenta Inválida</v>
        <stp/>
        <stp>BOOK0</stp>
        <stp>OVD</stp>
        <stp>461</stp>
        <tr r="C465" s="2"/>
      </tp>
      <tp t="s">
        <v>Ferramenta Inválida</v>
        <stp/>
        <stp>BOOK0</stp>
        <stp>OVD</stp>
        <stp>478</stp>
        <tr r="C482" s="2"/>
      </tp>
      <tp t="s">
        <v>Ferramenta Inválida</v>
        <stp/>
        <stp>BOOK0</stp>
        <stp>OVD</stp>
        <stp>479</stp>
        <tr r="C483" s="2"/>
      </tp>
      <tp t="s">
        <v>Ferramenta Inválida</v>
        <stp/>
        <stp>BOOK0</stp>
        <stp>OVD</stp>
        <stp>476</stp>
        <tr r="C480" s="2"/>
      </tp>
      <tp t="s">
        <v>Ferramenta Inválida</v>
        <stp/>
        <stp>BOOK0</stp>
        <stp>OVD</stp>
        <stp>477</stp>
        <tr r="C481" s="2"/>
      </tp>
      <tp t="s">
        <v>Ferramenta Inválida</v>
        <stp/>
        <stp>BOOK0</stp>
        <stp>OVD</stp>
        <stp>474</stp>
        <tr r="C478" s="2"/>
      </tp>
      <tp t="s">
        <v>Ferramenta Inválida</v>
        <stp/>
        <stp>BOOK0</stp>
        <stp>OVD</stp>
        <stp>475</stp>
        <tr r="C479" s="2"/>
      </tp>
      <tp t="s">
        <v>Ferramenta Inválida</v>
        <stp/>
        <stp>BOOK0</stp>
        <stp>OVD</stp>
        <stp>472</stp>
        <tr r="C476" s="2"/>
      </tp>
      <tp t="s">
        <v>Ferramenta Inválida</v>
        <stp/>
        <stp>BOOK0</stp>
        <stp>OVD</stp>
        <stp>473</stp>
        <tr r="C477" s="2"/>
      </tp>
      <tp t="s">
        <v>Ferramenta Inválida</v>
        <stp/>
        <stp>BOOK0</stp>
        <stp>OVD</stp>
        <stp>470</stp>
        <tr r="C474" s="2"/>
      </tp>
      <tp t="s">
        <v>Ferramenta Inválida</v>
        <stp/>
        <stp>BOOK0</stp>
        <stp>OVD</stp>
        <stp>471</stp>
        <tr r="C475" s="2"/>
      </tp>
      <tp t="s">
        <v>Ferramenta Inválida</v>
        <stp/>
        <stp>BOOK0</stp>
        <stp>OCP</stp>
        <stp>498</stp>
        <tr r="B502" s="2"/>
      </tp>
      <tp t="s">
        <v>Ferramenta Inválida</v>
        <stp/>
        <stp>BOOK0</stp>
        <stp>OCP</stp>
        <stp>499</stp>
        <tr r="B503" s="2"/>
      </tp>
      <tp t="s">
        <v>Ferramenta Inválida</v>
        <stp/>
        <stp>BOOK0</stp>
        <stp>OCP</stp>
        <stp>492</stp>
        <tr r="B496" s="2"/>
      </tp>
      <tp t="s">
        <v>Ferramenta Inválida</v>
        <stp/>
        <stp>BOOK0</stp>
        <stp>OCP</stp>
        <stp>493</stp>
        <tr r="B497" s="2"/>
      </tp>
      <tp t="s">
        <v>Ferramenta Inválida</v>
        <stp/>
        <stp>BOOK0</stp>
        <stp>OCP</stp>
        <stp>490</stp>
        <tr r="B494" s="2"/>
      </tp>
      <tp t="s">
        <v>Ferramenta Inválida</v>
        <stp/>
        <stp>BOOK0</stp>
        <stp>OCP</stp>
        <stp>491</stp>
        <tr r="B495" s="2"/>
      </tp>
      <tp t="s">
        <v>Ferramenta Inválida</v>
        <stp/>
        <stp>BOOK0</stp>
        <stp>OCP</stp>
        <stp>496</stp>
        <tr r="B500" s="2"/>
      </tp>
      <tp t="s">
        <v>Ferramenta Inválida</v>
        <stp/>
        <stp>BOOK0</stp>
        <stp>OCP</stp>
        <stp>497</stp>
        <tr r="B501" s="2"/>
      </tp>
      <tp t="s">
        <v>Ferramenta Inválida</v>
        <stp/>
        <stp>BOOK0</stp>
        <stp>OCP</stp>
        <stp>494</stp>
        <tr r="B498" s="2"/>
      </tp>
      <tp t="s">
        <v>Ferramenta Inválida</v>
        <stp/>
        <stp>BOOK0</stp>
        <stp>OCP</stp>
        <stp>495</stp>
        <tr r="B499" s="2"/>
      </tp>
      <tp t="s">
        <v>Ferramenta Inválida</v>
        <stp/>
        <stp>BOOK0</stp>
        <stp>OCP</stp>
        <stp>488</stp>
        <tr r="B492" s="2"/>
      </tp>
      <tp t="s">
        <v>Ferramenta Inválida</v>
        <stp/>
        <stp>BOOK0</stp>
        <stp>OCP</stp>
        <stp>489</stp>
        <tr r="B493" s="2"/>
      </tp>
      <tp t="s">
        <v>Ferramenta Inválida</v>
        <stp/>
        <stp>BOOK0</stp>
        <stp>OCP</stp>
        <stp>482</stp>
        <tr r="B486" s="2"/>
      </tp>
      <tp t="s">
        <v>Ferramenta Inválida</v>
        <stp/>
        <stp>BOOK0</stp>
        <stp>OCP</stp>
        <stp>483</stp>
        <tr r="B487" s="2"/>
      </tp>
      <tp t="s">
        <v>Ferramenta Inválida</v>
        <stp/>
        <stp>BOOK0</stp>
        <stp>OCP</stp>
        <stp>480</stp>
        <tr r="B484" s="2"/>
      </tp>
      <tp t="s">
        <v>Ferramenta Inválida</v>
        <stp/>
        <stp>BOOK0</stp>
        <stp>OCP</stp>
        <stp>481</stp>
        <tr r="B485" s="2"/>
      </tp>
      <tp t="s">
        <v>Ferramenta Inválida</v>
        <stp/>
        <stp>BOOK0</stp>
        <stp>OCP</stp>
        <stp>486</stp>
        <tr r="B490" s="2"/>
      </tp>
      <tp t="s">
        <v>Ferramenta Inválida</v>
        <stp/>
        <stp>BOOK0</stp>
        <stp>OCP</stp>
        <stp>487</stp>
        <tr r="B491" s="2"/>
      </tp>
      <tp t="s">
        <v>Ferramenta Inválida</v>
        <stp/>
        <stp>BOOK0</stp>
        <stp>OCP</stp>
        <stp>484</stp>
        <tr r="B488" s="2"/>
      </tp>
      <tp t="s">
        <v>Ferramenta Inválida</v>
        <stp/>
        <stp>BOOK0</stp>
        <stp>OCP</stp>
        <stp>485</stp>
        <tr r="B489" s="2"/>
      </tp>
      <tp t="s">
        <v>Ferramenta Inválida</v>
        <stp/>
        <stp>BOOK0</stp>
        <stp>OCP</stp>
        <stp>458</stp>
        <tr r="B462" s="2"/>
      </tp>
      <tp t="s">
        <v>Ferramenta Inválida</v>
        <stp/>
        <stp>BOOK0</stp>
        <stp>OCP</stp>
        <stp>459</stp>
        <tr r="B463" s="2"/>
      </tp>
      <tp t="s">
        <v>Ferramenta Inválida</v>
        <stp/>
        <stp>BOOK0</stp>
        <stp>OCP</stp>
        <stp>452</stp>
        <tr r="B456" s="2"/>
      </tp>
      <tp t="s">
        <v>Ferramenta Inválida</v>
        <stp/>
        <stp>BOOK0</stp>
        <stp>OCP</stp>
        <stp>453</stp>
        <tr r="B457" s="2"/>
      </tp>
      <tp t="s">
        <v>Ferramenta Inválida</v>
        <stp/>
        <stp>BOOK0</stp>
        <stp>OCP</stp>
        <stp>450</stp>
        <tr r="B454" s="2"/>
      </tp>
      <tp t="s">
        <v>Ferramenta Inválida</v>
        <stp/>
        <stp>BOOK0</stp>
        <stp>OCP</stp>
        <stp>451</stp>
        <tr r="B455" s="2"/>
      </tp>
      <tp t="s">
        <v>Ferramenta Inválida</v>
        <stp/>
        <stp>BOOK0</stp>
        <stp>OCP</stp>
        <stp>456</stp>
        <tr r="B460" s="2"/>
      </tp>
      <tp t="s">
        <v>Ferramenta Inválida</v>
        <stp/>
        <stp>BOOK0</stp>
        <stp>OCP</stp>
        <stp>457</stp>
        <tr r="B461" s="2"/>
      </tp>
      <tp t="s">
        <v>Ferramenta Inválida</v>
        <stp/>
        <stp>BOOK0</stp>
        <stp>OCP</stp>
        <stp>454</stp>
        <tr r="B458" s="2"/>
      </tp>
      <tp t="s">
        <v>Ferramenta Inválida</v>
        <stp/>
        <stp>BOOK0</stp>
        <stp>OCP</stp>
        <stp>455</stp>
        <tr r="B459" s="2"/>
      </tp>
      <tp t="s">
        <v>Ferramenta Inválida</v>
        <stp/>
        <stp>BOOK0</stp>
        <stp>OCP</stp>
        <stp>448</stp>
        <tr r="B452" s="2"/>
      </tp>
      <tp t="s">
        <v>Ferramenta Inválida</v>
        <stp/>
        <stp>BOOK0</stp>
        <stp>OCP</stp>
        <stp>449</stp>
        <tr r="B453" s="2"/>
      </tp>
      <tp t="s">
        <v>Ferramenta Inválida</v>
        <stp/>
        <stp>BOOK0</stp>
        <stp>OCP</stp>
        <stp>442</stp>
        <tr r="B446" s="2"/>
      </tp>
      <tp t="s">
        <v>Ferramenta Inválida</v>
        <stp/>
        <stp>BOOK0</stp>
        <stp>OCP</stp>
        <stp>443</stp>
        <tr r="B447" s="2"/>
      </tp>
      <tp t="s">
        <v>Ferramenta Inválida</v>
        <stp/>
        <stp>BOOK0</stp>
        <stp>OCP</stp>
        <stp>440</stp>
        <tr r="B444" s="2"/>
      </tp>
      <tp t="s">
        <v>Ferramenta Inválida</v>
        <stp/>
        <stp>BOOK0</stp>
        <stp>OCP</stp>
        <stp>441</stp>
        <tr r="B445" s="2"/>
      </tp>
      <tp t="s">
        <v>Ferramenta Inválida</v>
        <stp/>
        <stp>BOOK0</stp>
        <stp>OCP</stp>
        <stp>446</stp>
        <tr r="B450" s="2"/>
      </tp>
      <tp t="s">
        <v>Ferramenta Inválida</v>
        <stp/>
        <stp>BOOK0</stp>
        <stp>OCP</stp>
        <stp>447</stp>
        <tr r="B451" s="2"/>
      </tp>
      <tp t="s">
        <v>Ferramenta Inválida</v>
        <stp/>
        <stp>BOOK0</stp>
        <stp>OCP</stp>
        <stp>444</stp>
        <tr r="B448" s="2"/>
      </tp>
      <tp t="s">
        <v>Ferramenta Inválida</v>
        <stp/>
        <stp>BOOK0</stp>
        <stp>OCP</stp>
        <stp>445</stp>
        <tr r="B449" s="2"/>
      </tp>
      <tp t="s">
        <v>Ferramenta Inválida</v>
        <stp/>
        <stp>BOOK0</stp>
        <stp>OCP</stp>
        <stp>478</stp>
        <tr r="B482" s="2"/>
      </tp>
      <tp t="s">
        <v>Ferramenta Inválida</v>
        <stp/>
        <stp>BOOK0</stp>
        <stp>OCP</stp>
        <stp>479</stp>
        <tr r="B483" s="2"/>
      </tp>
      <tp t="s">
        <v>Ferramenta Inválida</v>
        <stp/>
        <stp>BOOK0</stp>
        <stp>OCP</stp>
        <stp>472</stp>
        <tr r="B476" s="2"/>
      </tp>
      <tp t="s">
        <v>Ferramenta Inválida</v>
        <stp/>
        <stp>BOOK0</stp>
        <stp>OCP</stp>
        <stp>473</stp>
        <tr r="B477" s="2"/>
      </tp>
      <tp t="s">
        <v>Ferramenta Inválida</v>
        <stp/>
        <stp>BOOK0</stp>
        <stp>OCP</stp>
        <stp>470</stp>
        <tr r="B474" s="2"/>
      </tp>
      <tp t="s">
        <v>Ferramenta Inválida</v>
        <stp/>
        <stp>BOOK0</stp>
        <stp>OCP</stp>
        <stp>471</stp>
        <tr r="B475" s="2"/>
      </tp>
      <tp t="s">
        <v>Ferramenta Inválida</v>
        <stp/>
        <stp>BOOK0</stp>
        <stp>OCP</stp>
        <stp>476</stp>
        <tr r="B480" s="2"/>
      </tp>
      <tp t="s">
        <v>Ferramenta Inválida</v>
        <stp/>
        <stp>BOOK0</stp>
        <stp>OCP</stp>
        <stp>477</stp>
        <tr r="B481" s="2"/>
      </tp>
      <tp t="s">
        <v>Ferramenta Inválida</v>
        <stp/>
        <stp>BOOK0</stp>
        <stp>OCP</stp>
        <stp>474</stp>
        <tr r="B478" s="2"/>
      </tp>
      <tp t="s">
        <v>Ferramenta Inválida</v>
        <stp/>
        <stp>BOOK0</stp>
        <stp>OCP</stp>
        <stp>475</stp>
        <tr r="B479" s="2"/>
      </tp>
      <tp t="s">
        <v>Ferramenta Inválida</v>
        <stp/>
        <stp>BOOK0</stp>
        <stp>OCP</stp>
        <stp>468</stp>
        <tr r="B472" s="2"/>
      </tp>
      <tp t="s">
        <v>Ferramenta Inválida</v>
        <stp/>
        <stp>BOOK0</stp>
        <stp>OCP</stp>
        <stp>469</stp>
        <tr r="B473" s="2"/>
      </tp>
      <tp t="s">
        <v>Ferramenta Inválida</v>
        <stp/>
        <stp>BOOK0</stp>
        <stp>OCP</stp>
        <stp>462</stp>
        <tr r="B466" s="2"/>
      </tp>
      <tp t="s">
        <v>Ferramenta Inválida</v>
        <stp/>
        <stp>BOOK0</stp>
        <stp>OCP</stp>
        <stp>463</stp>
        <tr r="B467" s="2"/>
      </tp>
      <tp t="s">
        <v>Ferramenta Inválida</v>
        <stp/>
        <stp>BOOK0</stp>
        <stp>OCP</stp>
        <stp>460</stp>
        <tr r="B464" s="2"/>
      </tp>
      <tp t="s">
        <v>Ferramenta Inválida</v>
        <stp/>
        <stp>BOOK0</stp>
        <stp>OCP</stp>
        <stp>461</stp>
        <tr r="B465" s="2"/>
      </tp>
      <tp t="s">
        <v>Ferramenta Inválida</v>
        <stp/>
        <stp>BOOK0</stp>
        <stp>OCP</stp>
        <stp>466</stp>
        <tr r="B470" s="2"/>
      </tp>
      <tp t="s">
        <v>Ferramenta Inválida</v>
        <stp/>
        <stp>BOOK0</stp>
        <stp>OCP</stp>
        <stp>467</stp>
        <tr r="B471" s="2"/>
      </tp>
      <tp t="s">
        <v>Ferramenta Inválida</v>
        <stp/>
        <stp>BOOK0</stp>
        <stp>OCP</stp>
        <stp>464</stp>
        <tr r="B468" s="2"/>
      </tp>
      <tp t="s">
        <v>Ferramenta Inválida</v>
        <stp/>
        <stp>BOOK0</stp>
        <stp>OCP</stp>
        <stp>465</stp>
        <tr r="B469" s="2"/>
      </tp>
      <tp t="s">
        <v>Ferramenta Inválida</v>
        <stp/>
        <stp>BOOK0</stp>
        <stp>OCP</stp>
        <stp>418</stp>
        <tr r="B422" s="2"/>
      </tp>
      <tp t="s">
        <v>Ferramenta Inválida</v>
        <stp/>
        <stp>BOOK0</stp>
        <stp>OCP</stp>
        <stp>419</stp>
        <tr r="B423" s="2"/>
      </tp>
      <tp t="s">
        <v>Ferramenta Inválida</v>
        <stp/>
        <stp>BOOK0</stp>
        <stp>OCP</stp>
        <stp>412</stp>
        <tr r="B416" s="2"/>
      </tp>
      <tp t="s">
        <v>Ferramenta Inválida</v>
        <stp/>
        <stp>BOOK0</stp>
        <stp>OCP</stp>
        <stp>413</stp>
        <tr r="B417" s="2"/>
      </tp>
      <tp t="s">
        <v>Ferramenta Inválida</v>
        <stp/>
        <stp>BOOK0</stp>
        <stp>OCP</stp>
        <stp>410</stp>
        <tr r="B414" s="2"/>
      </tp>
      <tp t="s">
        <v>Ferramenta Inválida</v>
        <stp/>
        <stp>BOOK0</stp>
        <stp>OCP</stp>
        <stp>411</stp>
        <tr r="B415" s="2"/>
      </tp>
      <tp t="s">
        <v>Ferramenta Inválida</v>
        <stp/>
        <stp>BOOK0</stp>
        <stp>OCP</stp>
        <stp>416</stp>
        <tr r="B420" s="2"/>
      </tp>
      <tp t="s">
        <v>Ferramenta Inválida</v>
        <stp/>
        <stp>BOOK0</stp>
        <stp>OCP</stp>
        <stp>417</stp>
        <tr r="B421" s="2"/>
      </tp>
      <tp t="s">
        <v>Ferramenta Inválida</v>
        <stp/>
        <stp>BOOK0</stp>
        <stp>OCP</stp>
        <stp>414</stp>
        <tr r="B418" s="2"/>
      </tp>
      <tp t="s">
        <v>Ferramenta Inválida</v>
        <stp/>
        <stp>BOOK0</stp>
        <stp>OCP</stp>
        <stp>415</stp>
        <tr r="B419" s="2"/>
      </tp>
      <tp t="s">
        <v>Ferramenta Inválida</v>
        <stp/>
        <stp>BOOK0</stp>
        <stp>OCP</stp>
        <stp>408</stp>
        <tr r="B412" s="2"/>
      </tp>
      <tp t="s">
        <v>Ferramenta Inválida</v>
        <stp/>
        <stp>BOOK0</stp>
        <stp>OCP</stp>
        <stp>409</stp>
        <tr r="B413" s="2"/>
      </tp>
      <tp t="s">
        <v>Ferramenta Inválida</v>
        <stp/>
        <stp>BOOK0</stp>
        <stp>OCP</stp>
        <stp>402</stp>
        <tr r="B406" s="2"/>
      </tp>
      <tp t="s">
        <v>Ferramenta Inválida</v>
        <stp/>
        <stp>BOOK0</stp>
        <stp>OCP</stp>
        <stp>403</stp>
        <tr r="B407" s="2"/>
      </tp>
      <tp t="s">
        <v>Ferramenta Inválida</v>
        <stp/>
        <stp>BOOK0</stp>
        <stp>OCP</stp>
        <stp>400</stp>
        <tr r="B404" s="2"/>
      </tp>
      <tp t="s">
        <v>Ferramenta Inválida</v>
        <stp/>
        <stp>BOOK0</stp>
        <stp>OCP</stp>
        <stp>401</stp>
        <tr r="B405" s="2"/>
      </tp>
      <tp t="s">
        <v>Ferramenta Inválida</v>
        <stp/>
        <stp>BOOK0</stp>
        <stp>OCP</stp>
        <stp>406</stp>
        <tr r="B410" s="2"/>
      </tp>
      <tp t="s">
        <v>Ferramenta Inválida</v>
        <stp/>
        <stp>BOOK0</stp>
        <stp>OCP</stp>
        <stp>407</stp>
        <tr r="B411" s="2"/>
      </tp>
      <tp t="s">
        <v>Ferramenta Inválida</v>
        <stp/>
        <stp>BOOK0</stp>
        <stp>OCP</stp>
        <stp>404</stp>
        <tr r="B408" s="2"/>
      </tp>
      <tp t="s">
        <v>Ferramenta Inválida</v>
        <stp/>
        <stp>BOOK0</stp>
        <stp>OCP</stp>
        <stp>405</stp>
        <tr r="B409" s="2"/>
      </tp>
      <tp t="s">
        <v>Ferramenta Inválida</v>
        <stp/>
        <stp>BOOK0</stp>
        <stp>OCP</stp>
        <stp>438</stp>
        <tr r="B442" s="2"/>
      </tp>
      <tp t="s">
        <v>Ferramenta Inválida</v>
        <stp/>
        <stp>BOOK0</stp>
        <stp>OCP</stp>
        <stp>439</stp>
        <tr r="B443" s="2"/>
      </tp>
      <tp t="s">
        <v>Ferramenta Inválida</v>
        <stp/>
        <stp>BOOK0</stp>
        <stp>OCP</stp>
        <stp>432</stp>
        <tr r="B436" s="2"/>
      </tp>
      <tp t="s">
        <v>Ferramenta Inválida</v>
        <stp/>
        <stp>BOOK0</stp>
        <stp>OCP</stp>
        <stp>433</stp>
        <tr r="B437" s="2"/>
      </tp>
      <tp t="s">
        <v>Ferramenta Inválida</v>
        <stp/>
        <stp>BOOK0</stp>
        <stp>OCP</stp>
        <stp>430</stp>
        <tr r="B434" s="2"/>
      </tp>
      <tp t="s">
        <v>Ferramenta Inválida</v>
        <stp/>
        <stp>BOOK0</stp>
        <stp>OCP</stp>
        <stp>431</stp>
        <tr r="B435" s="2"/>
      </tp>
      <tp t="s">
        <v>Ferramenta Inválida</v>
        <stp/>
        <stp>BOOK0</stp>
        <stp>OCP</stp>
        <stp>436</stp>
        <tr r="B440" s="2"/>
      </tp>
      <tp t="s">
        <v>Ferramenta Inválida</v>
        <stp/>
        <stp>BOOK0</stp>
        <stp>OCP</stp>
        <stp>437</stp>
        <tr r="B441" s="2"/>
      </tp>
      <tp t="s">
        <v>Ferramenta Inválida</v>
        <stp/>
        <stp>BOOK0</stp>
        <stp>OCP</stp>
        <stp>434</stp>
        <tr r="B438" s="2"/>
      </tp>
      <tp t="s">
        <v>Ferramenta Inválida</v>
        <stp/>
        <stp>BOOK0</stp>
        <stp>OCP</stp>
        <stp>435</stp>
        <tr r="B439" s="2"/>
      </tp>
      <tp t="s">
        <v>Ferramenta Inválida</v>
        <stp/>
        <stp>BOOK0</stp>
        <stp>OCP</stp>
        <stp>428</stp>
        <tr r="B432" s="2"/>
      </tp>
      <tp t="s">
        <v>Ferramenta Inválida</v>
        <stp/>
        <stp>BOOK0</stp>
        <stp>OCP</stp>
        <stp>429</stp>
        <tr r="B433" s="2"/>
      </tp>
      <tp t="s">
        <v>Ferramenta Inválida</v>
        <stp/>
        <stp>BOOK0</stp>
        <stp>OCP</stp>
        <stp>422</stp>
        <tr r="B426" s="2"/>
      </tp>
      <tp t="s">
        <v>Ferramenta Inválida</v>
        <stp/>
        <stp>BOOK0</stp>
        <stp>OCP</stp>
        <stp>423</stp>
        <tr r="B427" s="2"/>
      </tp>
      <tp t="s">
        <v>Ferramenta Inválida</v>
        <stp/>
        <stp>BOOK0</stp>
        <stp>OCP</stp>
        <stp>420</stp>
        <tr r="B424" s="2"/>
      </tp>
      <tp t="s">
        <v>Ferramenta Inválida</v>
        <stp/>
        <stp>BOOK0</stp>
        <stp>OCP</stp>
        <stp>421</stp>
        <tr r="B425" s="2"/>
      </tp>
      <tp t="s">
        <v>Ferramenta Inválida</v>
        <stp/>
        <stp>BOOK0</stp>
        <stp>OCP</stp>
        <stp>426</stp>
        <tr r="B430" s="2"/>
      </tp>
      <tp t="s">
        <v>Ferramenta Inválida</v>
        <stp/>
        <stp>BOOK0</stp>
        <stp>OCP</stp>
        <stp>427</stp>
        <tr r="B431" s="2"/>
      </tp>
      <tp t="s">
        <v>Ferramenta Inválida</v>
        <stp/>
        <stp>BOOK0</stp>
        <stp>OCP</stp>
        <stp>424</stp>
        <tr r="B428" s="2"/>
      </tp>
      <tp t="s">
        <v>Ferramenta Inválida</v>
        <stp/>
        <stp>BOOK0</stp>
        <stp>OCP</stp>
        <stp>425</stp>
        <tr r="B429" s="2"/>
      </tp>
      <tp t="s">
        <v>Ferramenta Inválida</v>
        <stp/>
        <stp>BOOK0</stp>
        <stp>OVD</stp>
        <stp>588</stp>
        <tr r="C592" s="2"/>
      </tp>
      <tp t="s">
        <v>Ferramenta Inválida</v>
        <stp/>
        <stp>BOOK0</stp>
        <stp>OVD</stp>
        <stp>589</stp>
        <tr r="C593" s="2"/>
      </tp>
      <tp t="s">
        <v>Ferramenta Inválida</v>
        <stp/>
        <stp>BOOK0</stp>
        <stp>OVD</stp>
        <stp>586</stp>
        <tr r="C590" s="2"/>
      </tp>
      <tp t="s">
        <v>Ferramenta Inválida</v>
        <stp/>
        <stp>BOOK0</stp>
        <stp>OVD</stp>
        <stp>587</stp>
        <tr r="C591" s="2"/>
      </tp>
      <tp t="s">
        <v>Ferramenta Inválida</v>
        <stp/>
        <stp>BOOK0</stp>
        <stp>OVD</stp>
        <stp>584</stp>
        <tr r="C588" s="2"/>
      </tp>
      <tp t="s">
        <v>Ferramenta Inválida</v>
        <stp/>
        <stp>BOOK0</stp>
        <stp>OVD</stp>
        <stp>585</stp>
        <tr r="C589" s="2"/>
      </tp>
      <tp t="s">
        <v>Ferramenta Inválida</v>
        <stp/>
        <stp>BOOK0</stp>
        <stp>OVD</stp>
        <stp>582</stp>
        <tr r="C586" s="2"/>
      </tp>
      <tp t="s">
        <v>Ferramenta Inválida</v>
        <stp/>
        <stp>BOOK0</stp>
        <stp>OVD</stp>
        <stp>583</stp>
        <tr r="C587" s="2"/>
      </tp>
      <tp t="s">
        <v>Ferramenta Inválida</v>
        <stp/>
        <stp>BOOK0</stp>
        <stp>OVD</stp>
        <stp>580</stp>
        <tr r="C584" s="2"/>
      </tp>
      <tp t="s">
        <v>Ferramenta Inválida</v>
        <stp/>
        <stp>BOOK0</stp>
        <stp>OVD</stp>
        <stp>581</stp>
        <tr r="C585" s="2"/>
      </tp>
      <tp t="s">
        <v>Ferramenta Inválida</v>
        <stp/>
        <stp>BOOK0</stp>
        <stp>OVD</stp>
        <stp>598</stp>
        <tr r="C602" s="2"/>
      </tp>
      <tp t="s">
        <v>Ferramenta Inválida</v>
        <stp/>
        <stp>BOOK0</stp>
        <stp>OVD</stp>
        <stp>599</stp>
        <tr r="C603" s="2"/>
      </tp>
      <tp t="s">
        <v>Ferramenta Inválida</v>
        <stp/>
        <stp>BOOK0</stp>
        <stp>OVD</stp>
        <stp>596</stp>
        <tr r="C600" s="2"/>
      </tp>
      <tp t="s">
        <v>Ferramenta Inválida</v>
        <stp/>
        <stp>BOOK0</stp>
        <stp>OVD</stp>
        <stp>597</stp>
        <tr r="C601" s="2"/>
      </tp>
      <tp t="s">
        <v>Ferramenta Inválida</v>
        <stp/>
        <stp>BOOK0</stp>
        <stp>OVD</stp>
        <stp>594</stp>
        <tr r="C598" s="2"/>
      </tp>
      <tp t="s">
        <v>Ferramenta Inválida</v>
        <stp/>
        <stp>BOOK0</stp>
        <stp>OVD</stp>
        <stp>595</stp>
        <tr r="C599" s="2"/>
      </tp>
      <tp t="s">
        <v>Ferramenta Inválida</v>
        <stp/>
        <stp>BOOK0</stp>
        <stp>OVD</stp>
        <stp>592</stp>
        <tr r="C596" s="2"/>
      </tp>
      <tp t="s">
        <v>Ferramenta Inválida</v>
        <stp/>
        <stp>BOOK0</stp>
        <stp>OVD</stp>
        <stp>593</stp>
        <tr r="C597" s="2"/>
      </tp>
      <tp t="s">
        <v>Ferramenta Inválida</v>
        <stp/>
        <stp>BOOK0</stp>
        <stp>OVD</stp>
        <stp>590</stp>
        <tr r="C594" s="2"/>
      </tp>
      <tp t="s">
        <v>Ferramenta Inválida</v>
        <stp/>
        <stp>BOOK0</stp>
        <stp>OVD</stp>
        <stp>591</stp>
        <tr r="C595" s="2"/>
      </tp>
      <tp t="s">
        <v>Ferramenta Inválida</v>
        <stp/>
        <stp>BOOK0</stp>
        <stp>OVD</stp>
        <stp>508</stp>
        <tr r="C512" s="2"/>
      </tp>
      <tp t="s">
        <v>Ferramenta Inválida</v>
        <stp/>
        <stp>BOOK0</stp>
        <stp>OVD</stp>
        <stp>509</stp>
        <tr r="C513" s="2"/>
      </tp>
      <tp t="s">
        <v>Ferramenta Inválida</v>
        <stp/>
        <stp>BOOK0</stp>
        <stp>OVD</stp>
        <stp>506</stp>
        <tr r="C510" s="2"/>
      </tp>
      <tp t="s">
        <v>Ferramenta Inválida</v>
        <stp/>
        <stp>BOOK0</stp>
        <stp>OVD</stp>
        <stp>507</stp>
        <tr r="C511" s="2"/>
      </tp>
      <tp t="s">
        <v>Ferramenta Inválida</v>
        <stp/>
        <stp>BOOK0</stp>
        <stp>OVD</stp>
        <stp>504</stp>
        <tr r="C508" s="2"/>
      </tp>
      <tp t="s">
        <v>Ferramenta Inválida</v>
        <stp/>
        <stp>BOOK0</stp>
        <stp>OVD</stp>
        <stp>505</stp>
        <tr r="C509" s="2"/>
      </tp>
      <tp t="s">
        <v>Ferramenta Inválida</v>
        <stp/>
        <stp>BOOK0</stp>
        <stp>OVD</stp>
        <stp>502</stp>
        <tr r="C506" s="2"/>
      </tp>
      <tp t="s">
        <v>Ferramenta Inválida</v>
        <stp/>
        <stp>BOOK0</stp>
        <stp>OVD</stp>
        <stp>503</stp>
        <tr r="C507" s="2"/>
      </tp>
      <tp t="s">
        <v>Ferramenta Inválida</v>
        <stp/>
        <stp>BOOK0</stp>
        <stp>OVD</stp>
        <stp>500</stp>
        <tr r="C504" s="2"/>
      </tp>
      <tp t="s">
        <v>Ferramenta Inválida</v>
        <stp/>
        <stp>BOOK0</stp>
        <stp>OVD</stp>
        <stp>501</stp>
        <tr r="C505" s="2"/>
      </tp>
      <tp t="s">
        <v>Ferramenta Inválida</v>
        <stp/>
        <stp>BOOK0</stp>
        <stp>OVD</stp>
        <stp>518</stp>
        <tr r="C522" s="2"/>
      </tp>
      <tp t="s">
        <v>Ferramenta Inválida</v>
        <stp/>
        <stp>BOOK0</stp>
        <stp>OVD</stp>
        <stp>519</stp>
        <tr r="C523" s="2"/>
      </tp>
      <tp t="s">
        <v>Ferramenta Inválida</v>
        <stp/>
        <stp>BOOK0</stp>
        <stp>OVD</stp>
        <stp>516</stp>
        <tr r="C520" s="2"/>
      </tp>
      <tp t="s">
        <v>Ferramenta Inválida</v>
        <stp/>
        <stp>BOOK0</stp>
        <stp>OVD</stp>
        <stp>517</stp>
        <tr r="C521" s="2"/>
      </tp>
      <tp t="s">
        <v>Ferramenta Inválida</v>
        <stp/>
        <stp>BOOK0</stp>
        <stp>OVD</stp>
        <stp>514</stp>
        <tr r="C518" s="2"/>
      </tp>
      <tp t="s">
        <v>Ferramenta Inválida</v>
        <stp/>
        <stp>BOOK0</stp>
        <stp>OVD</stp>
        <stp>515</stp>
        <tr r="C519" s="2"/>
      </tp>
      <tp t="s">
        <v>Ferramenta Inválida</v>
        <stp/>
        <stp>BOOK0</stp>
        <stp>OVD</stp>
        <stp>512</stp>
        <tr r="C516" s="2"/>
      </tp>
      <tp t="s">
        <v>Ferramenta Inválida</v>
        <stp/>
        <stp>BOOK0</stp>
        <stp>OVD</stp>
        <stp>513</stp>
        <tr r="C517" s="2"/>
      </tp>
      <tp t="s">
        <v>Ferramenta Inválida</v>
        <stp/>
        <stp>BOOK0</stp>
        <stp>OVD</stp>
        <stp>510</stp>
        <tr r="C514" s="2"/>
      </tp>
      <tp t="s">
        <v>Ferramenta Inválida</v>
        <stp/>
        <stp>BOOK0</stp>
        <stp>OVD</stp>
        <stp>511</stp>
        <tr r="C515" s="2"/>
      </tp>
      <tp t="s">
        <v>Ferramenta Inválida</v>
        <stp/>
        <stp>BOOK0</stp>
        <stp>OVD</stp>
        <stp>528</stp>
        <tr r="C532" s="2"/>
      </tp>
      <tp t="s">
        <v>Ferramenta Inválida</v>
        <stp/>
        <stp>BOOK0</stp>
        <stp>OVD</stp>
        <stp>529</stp>
        <tr r="C533" s="2"/>
      </tp>
      <tp t="s">
        <v>Ferramenta Inválida</v>
        <stp/>
        <stp>BOOK0</stp>
        <stp>OVD</stp>
        <stp>526</stp>
        <tr r="C530" s="2"/>
      </tp>
      <tp t="s">
        <v>Ferramenta Inválida</v>
        <stp/>
        <stp>BOOK0</stp>
        <stp>OVD</stp>
        <stp>527</stp>
        <tr r="C531" s="2"/>
      </tp>
      <tp t="s">
        <v>Ferramenta Inválida</v>
        <stp/>
        <stp>BOOK0</stp>
        <stp>OVD</stp>
        <stp>524</stp>
        <tr r="C528" s="2"/>
      </tp>
      <tp t="s">
        <v>Ferramenta Inválida</v>
        <stp/>
        <stp>BOOK0</stp>
        <stp>OVD</stp>
        <stp>525</stp>
        <tr r="C529" s="2"/>
      </tp>
      <tp t="s">
        <v>Ferramenta Inválida</v>
        <stp/>
        <stp>BOOK0</stp>
        <stp>OVD</stp>
        <stp>522</stp>
        <tr r="C526" s="2"/>
      </tp>
      <tp t="s">
        <v>Ferramenta Inválida</v>
        <stp/>
        <stp>BOOK0</stp>
        <stp>OVD</stp>
        <stp>523</stp>
        <tr r="C527" s="2"/>
      </tp>
      <tp t="s">
        <v>Ferramenta Inválida</v>
        <stp/>
        <stp>BOOK0</stp>
        <stp>OVD</stp>
        <stp>520</stp>
        <tr r="C524" s="2"/>
      </tp>
      <tp t="s">
        <v>Ferramenta Inválida</v>
        <stp/>
        <stp>BOOK0</stp>
        <stp>OVD</stp>
        <stp>521</stp>
        <tr r="C525" s="2"/>
      </tp>
      <tp t="s">
        <v>Ferramenta Inválida</v>
        <stp/>
        <stp>BOOK0</stp>
        <stp>OVD</stp>
        <stp>538</stp>
        <tr r="C542" s="2"/>
      </tp>
      <tp t="s">
        <v>Ferramenta Inválida</v>
        <stp/>
        <stp>BOOK0</stp>
        <stp>OVD</stp>
        <stp>539</stp>
        <tr r="C543" s="2"/>
      </tp>
      <tp t="s">
        <v>Ferramenta Inválida</v>
        <stp/>
        <stp>BOOK0</stp>
        <stp>OVD</stp>
        <stp>536</stp>
        <tr r="C540" s="2"/>
      </tp>
      <tp t="s">
        <v>Ferramenta Inválida</v>
        <stp/>
        <stp>BOOK0</stp>
        <stp>OVD</stp>
        <stp>537</stp>
        <tr r="C541" s="2"/>
      </tp>
      <tp t="s">
        <v>Ferramenta Inválida</v>
        <stp/>
        <stp>BOOK0</stp>
        <stp>OVD</stp>
        <stp>534</stp>
        <tr r="C538" s="2"/>
      </tp>
      <tp t="s">
        <v>Ferramenta Inválida</v>
        <stp/>
        <stp>BOOK0</stp>
        <stp>OVD</stp>
        <stp>535</stp>
        <tr r="C539" s="2"/>
      </tp>
      <tp t="s">
        <v>Ferramenta Inválida</v>
        <stp/>
        <stp>BOOK0</stp>
        <stp>OVD</stp>
        <stp>532</stp>
        <tr r="C536" s="2"/>
      </tp>
      <tp t="s">
        <v>Ferramenta Inválida</v>
        <stp/>
        <stp>BOOK0</stp>
        <stp>OVD</stp>
        <stp>533</stp>
        <tr r="C537" s="2"/>
      </tp>
      <tp t="s">
        <v>Ferramenta Inválida</v>
        <stp/>
        <stp>BOOK0</stp>
        <stp>OVD</stp>
        <stp>530</stp>
        <tr r="C534" s="2"/>
      </tp>
      <tp t="s">
        <v>Ferramenta Inválida</v>
        <stp/>
        <stp>BOOK0</stp>
        <stp>OVD</stp>
        <stp>531</stp>
        <tr r="C535" s="2"/>
      </tp>
      <tp t="s">
        <v>Ferramenta Inválida</v>
        <stp/>
        <stp>BOOK0</stp>
        <stp>OVD</stp>
        <stp>548</stp>
        <tr r="C552" s="2"/>
      </tp>
      <tp t="s">
        <v>Ferramenta Inválida</v>
        <stp/>
        <stp>BOOK0</stp>
        <stp>OVD</stp>
        <stp>549</stp>
        <tr r="C553" s="2"/>
      </tp>
      <tp t="s">
        <v>Ferramenta Inválida</v>
        <stp/>
        <stp>BOOK0</stp>
        <stp>OVD</stp>
        <stp>546</stp>
        <tr r="C550" s="2"/>
      </tp>
      <tp t="s">
        <v>Ferramenta Inválida</v>
        <stp/>
        <stp>BOOK0</stp>
        <stp>OVD</stp>
        <stp>547</stp>
        <tr r="C551" s="2"/>
      </tp>
      <tp t="s">
        <v>Ferramenta Inválida</v>
        <stp/>
        <stp>BOOK0</stp>
        <stp>OVD</stp>
        <stp>544</stp>
        <tr r="C548" s="2"/>
      </tp>
      <tp t="s">
        <v>Ferramenta Inválida</v>
        <stp/>
        <stp>BOOK0</stp>
        <stp>OVD</stp>
        <stp>545</stp>
        <tr r="C549" s="2"/>
      </tp>
      <tp t="s">
        <v>Ferramenta Inválida</v>
        <stp/>
        <stp>BOOK0</stp>
        <stp>OVD</stp>
        <stp>542</stp>
        <tr r="C546" s="2"/>
      </tp>
      <tp t="s">
        <v>Ferramenta Inválida</v>
        <stp/>
        <stp>BOOK0</stp>
        <stp>OVD</stp>
        <stp>543</stp>
        <tr r="C547" s="2"/>
      </tp>
      <tp t="s">
        <v>Ferramenta Inválida</v>
        <stp/>
        <stp>BOOK0</stp>
        <stp>OVD</stp>
        <stp>540</stp>
        <tr r="C544" s="2"/>
      </tp>
      <tp t="s">
        <v>Ferramenta Inválida</v>
        <stp/>
        <stp>BOOK0</stp>
        <stp>OVD</stp>
        <stp>541</stp>
        <tr r="C545" s="2"/>
      </tp>
      <tp t="s">
        <v>Ferramenta Inválida</v>
        <stp/>
        <stp>BOOK0</stp>
        <stp>OVD</stp>
        <stp>558</stp>
        <tr r="C562" s="2"/>
      </tp>
      <tp t="s">
        <v>Ferramenta Inválida</v>
        <stp/>
        <stp>BOOK0</stp>
        <stp>OVD</stp>
        <stp>559</stp>
        <tr r="C563" s="2"/>
      </tp>
      <tp t="s">
        <v>Ferramenta Inválida</v>
        <stp/>
        <stp>BOOK0</stp>
        <stp>OVD</stp>
        <stp>556</stp>
        <tr r="C560" s="2"/>
      </tp>
      <tp t="s">
        <v>Ferramenta Inválida</v>
        <stp/>
        <stp>BOOK0</stp>
        <stp>OVD</stp>
        <stp>557</stp>
        <tr r="C561" s="2"/>
      </tp>
      <tp t="s">
        <v>Ferramenta Inválida</v>
        <stp/>
        <stp>BOOK0</stp>
        <stp>OVD</stp>
        <stp>554</stp>
        <tr r="C558" s="2"/>
      </tp>
      <tp t="s">
        <v>Ferramenta Inválida</v>
        <stp/>
        <stp>BOOK0</stp>
        <stp>OVD</stp>
        <stp>555</stp>
        <tr r="C559" s="2"/>
      </tp>
      <tp t="s">
        <v>Ferramenta Inválida</v>
        <stp/>
        <stp>BOOK0</stp>
        <stp>OVD</stp>
        <stp>552</stp>
        <tr r="C556" s="2"/>
      </tp>
      <tp t="s">
        <v>Ferramenta Inválida</v>
        <stp/>
        <stp>BOOK0</stp>
        <stp>OVD</stp>
        <stp>553</stp>
        <tr r="C557" s="2"/>
      </tp>
      <tp t="s">
        <v>Ferramenta Inválida</v>
        <stp/>
        <stp>BOOK0</stp>
        <stp>OVD</stp>
        <stp>550</stp>
        <tr r="C554" s="2"/>
      </tp>
      <tp t="s">
        <v>Ferramenta Inválida</v>
        <stp/>
        <stp>BOOK0</stp>
        <stp>OVD</stp>
        <stp>551</stp>
        <tr r="C555" s="2"/>
      </tp>
      <tp t="s">
        <v>Ferramenta Inválida</v>
        <stp/>
        <stp>BOOK0</stp>
        <stp>OVD</stp>
        <stp>568</stp>
        <tr r="C572" s="2"/>
      </tp>
      <tp t="s">
        <v>Ferramenta Inválida</v>
        <stp/>
        <stp>BOOK0</stp>
        <stp>OVD</stp>
        <stp>569</stp>
        <tr r="C573" s="2"/>
      </tp>
      <tp t="s">
        <v>Ferramenta Inválida</v>
        <stp/>
        <stp>BOOK0</stp>
        <stp>OVD</stp>
        <stp>566</stp>
        <tr r="C570" s="2"/>
      </tp>
      <tp t="s">
        <v>Ferramenta Inválida</v>
        <stp/>
        <stp>BOOK0</stp>
        <stp>OVD</stp>
        <stp>567</stp>
        <tr r="C571" s="2"/>
      </tp>
      <tp t="s">
        <v>Ferramenta Inválida</v>
        <stp/>
        <stp>BOOK0</stp>
        <stp>OVD</stp>
        <stp>564</stp>
        <tr r="C568" s="2"/>
      </tp>
      <tp t="s">
        <v>Ferramenta Inválida</v>
        <stp/>
        <stp>BOOK0</stp>
        <stp>OVD</stp>
        <stp>565</stp>
        <tr r="C569" s="2"/>
      </tp>
      <tp t="s">
        <v>Ferramenta Inválida</v>
        <stp/>
        <stp>BOOK0</stp>
        <stp>OVD</stp>
        <stp>562</stp>
        <tr r="C566" s="2"/>
      </tp>
      <tp t="s">
        <v>Ferramenta Inválida</v>
        <stp/>
        <stp>BOOK0</stp>
        <stp>OVD</stp>
        <stp>563</stp>
        <tr r="C567" s="2"/>
      </tp>
      <tp t="s">
        <v>Ferramenta Inválida</v>
        <stp/>
        <stp>BOOK0</stp>
        <stp>OVD</stp>
        <stp>560</stp>
        <tr r="C564" s="2"/>
      </tp>
      <tp t="s">
        <v>Ferramenta Inválida</v>
        <stp/>
        <stp>BOOK0</stp>
        <stp>OVD</stp>
        <stp>561</stp>
        <tr r="C565" s="2"/>
      </tp>
      <tp t="s">
        <v>Ferramenta Inválida</v>
        <stp/>
        <stp>BOOK0</stp>
        <stp>OVD</stp>
        <stp>578</stp>
        <tr r="C582" s="2"/>
      </tp>
      <tp t="s">
        <v>Ferramenta Inválida</v>
        <stp/>
        <stp>BOOK0</stp>
        <stp>OVD</stp>
        <stp>579</stp>
        <tr r="C583" s="2"/>
      </tp>
      <tp t="s">
        <v>Ferramenta Inválida</v>
        <stp/>
        <stp>BOOK0</stp>
        <stp>OVD</stp>
        <stp>576</stp>
        <tr r="C580" s="2"/>
      </tp>
      <tp t="s">
        <v>Ferramenta Inválida</v>
        <stp/>
        <stp>BOOK0</stp>
        <stp>OVD</stp>
        <stp>577</stp>
        <tr r="C581" s="2"/>
      </tp>
      <tp t="s">
        <v>Ferramenta Inválida</v>
        <stp/>
        <stp>BOOK0</stp>
        <stp>OVD</stp>
        <stp>574</stp>
        <tr r="C578" s="2"/>
      </tp>
      <tp t="s">
        <v>Ferramenta Inválida</v>
        <stp/>
        <stp>BOOK0</stp>
        <stp>OVD</stp>
        <stp>575</stp>
        <tr r="C579" s="2"/>
      </tp>
      <tp t="s">
        <v>Ferramenta Inválida</v>
        <stp/>
        <stp>BOOK0</stp>
        <stp>OVD</stp>
        <stp>572</stp>
        <tr r="C576" s="2"/>
      </tp>
      <tp t="s">
        <v>Ferramenta Inválida</v>
        <stp/>
        <stp>BOOK0</stp>
        <stp>OVD</stp>
        <stp>573</stp>
        <tr r="C577" s="2"/>
      </tp>
      <tp t="s">
        <v>Ferramenta Inválida</v>
        <stp/>
        <stp>BOOK0</stp>
        <stp>OVD</stp>
        <stp>570</stp>
        <tr r="C574" s="2"/>
      </tp>
      <tp t="s">
        <v>Ferramenta Inválida</v>
        <stp/>
        <stp>BOOK0</stp>
        <stp>OVD</stp>
        <stp>571</stp>
        <tr r="C575" s="2"/>
      </tp>
      <tp t="s">
        <v>Ferramenta Inválida</v>
        <stp/>
        <stp>BOOK0</stp>
        <stp>OCP</stp>
        <stp>598</stp>
        <tr r="B602" s="2"/>
      </tp>
      <tp t="s">
        <v>Ferramenta Inválida</v>
        <stp/>
        <stp>BOOK0</stp>
        <stp>OCP</stp>
        <stp>599</stp>
        <tr r="B603" s="2"/>
      </tp>
      <tp t="s">
        <v>Ferramenta Inválida</v>
        <stp/>
        <stp>BOOK0</stp>
        <stp>OCP</stp>
        <stp>592</stp>
        <tr r="B596" s="2"/>
      </tp>
      <tp t="s">
        <v>Ferramenta Inválida</v>
        <stp/>
        <stp>BOOK0</stp>
        <stp>OCP</stp>
        <stp>593</stp>
        <tr r="B597" s="2"/>
      </tp>
      <tp t="s">
        <v>Ferramenta Inválida</v>
        <stp/>
        <stp>BOOK0</stp>
        <stp>OCP</stp>
        <stp>590</stp>
        <tr r="B594" s="2"/>
      </tp>
      <tp t="s">
        <v>Ferramenta Inválida</v>
        <stp/>
        <stp>BOOK0</stp>
        <stp>OCP</stp>
        <stp>591</stp>
        <tr r="B595" s="2"/>
      </tp>
      <tp t="s">
        <v>Ferramenta Inválida</v>
        <stp/>
        <stp>BOOK0</stp>
        <stp>OCP</stp>
        <stp>596</stp>
        <tr r="B600" s="2"/>
      </tp>
      <tp t="s">
        <v>Ferramenta Inválida</v>
        <stp/>
        <stp>BOOK0</stp>
        <stp>OCP</stp>
        <stp>597</stp>
        <tr r="B601" s="2"/>
      </tp>
      <tp t="s">
        <v>Ferramenta Inválida</v>
        <stp/>
        <stp>BOOK0</stp>
        <stp>OCP</stp>
        <stp>594</stp>
        <tr r="B598" s="2"/>
      </tp>
      <tp t="s">
        <v>Ferramenta Inválida</v>
        <stp/>
        <stp>BOOK0</stp>
        <stp>OCP</stp>
        <stp>595</stp>
        <tr r="B599" s="2"/>
      </tp>
      <tp t="s">
        <v>Ferramenta Inválida</v>
        <stp/>
        <stp>BOOK0</stp>
        <stp>OCP</stp>
        <stp>588</stp>
        <tr r="B592" s="2"/>
      </tp>
      <tp t="s">
        <v>Ferramenta Inválida</v>
        <stp/>
        <stp>BOOK0</stp>
        <stp>OCP</stp>
        <stp>589</stp>
        <tr r="B593" s="2"/>
      </tp>
      <tp t="s">
        <v>Ferramenta Inválida</v>
        <stp/>
        <stp>BOOK0</stp>
        <stp>OCP</stp>
        <stp>582</stp>
        <tr r="B586" s="2"/>
      </tp>
      <tp t="s">
        <v>Ferramenta Inválida</v>
        <stp/>
        <stp>BOOK0</stp>
        <stp>OCP</stp>
        <stp>583</stp>
        <tr r="B587" s="2"/>
      </tp>
      <tp t="s">
        <v>Ferramenta Inválida</v>
        <stp/>
        <stp>BOOK0</stp>
        <stp>OCP</stp>
        <stp>580</stp>
        <tr r="B584" s="2"/>
      </tp>
      <tp t="s">
        <v>Ferramenta Inválida</v>
        <stp/>
        <stp>BOOK0</stp>
        <stp>OCP</stp>
        <stp>581</stp>
        <tr r="B585" s="2"/>
      </tp>
      <tp t="s">
        <v>Ferramenta Inválida</v>
        <stp/>
        <stp>BOOK0</stp>
        <stp>OCP</stp>
        <stp>586</stp>
        <tr r="B590" s="2"/>
      </tp>
      <tp t="s">
        <v>Ferramenta Inválida</v>
        <stp/>
        <stp>BOOK0</stp>
        <stp>OCP</stp>
        <stp>587</stp>
        <tr r="B591" s="2"/>
      </tp>
      <tp t="s">
        <v>Ferramenta Inválida</v>
        <stp/>
        <stp>BOOK0</stp>
        <stp>OCP</stp>
        <stp>584</stp>
        <tr r="B588" s="2"/>
      </tp>
      <tp t="s">
        <v>Ferramenta Inválida</v>
        <stp/>
        <stp>BOOK0</stp>
        <stp>OCP</stp>
        <stp>585</stp>
        <tr r="B589" s="2"/>
      </tp>
      <tp t="s">
        <v>Ferramenta Inválida</v>
        <stp/>
        <stp>BOOK0</stp>
        <stp>OCP</stp>
        <stp>558</stp>
        <tr r="B562" s="2"/>
      </tp>
      <tp t="s">
        <v>Ferramenta Inválida</v>
        <stp/>
        <stp>BOOK0</stp>
        <stp>OCP</stp>
        <stp>559</stp>
        <tr r="B563" s="2"/>
      </tp>
      <tp t="s">
        <v>Ferramenta Inválida</v>
        <stp/>
        <stp>BOOK0</stp>
        <stp>OCP</stp>
        <stp>552</stp>
        <tr r="B556" s="2"/>
      </tp>
      <tp t="s">
        <v>Ferramenta Inválida</v>
        <stp/>
        <stp>BOOK0</stp>
        <stp>OCP</stp>
        <stp>553</stp>
        <tr r="B557" s="2"/>
      </tp>
      <tp t="s">
        <v>Ferramenta Inválida</v>
        <stp/>
        <stp>BOOK0</stp>
        <stp>OCP</stp>
        <stp>550</stp>
        <tr r="B554" s="2"/>
      </tp>
      <tp t="s">
        <v>Ferramenta Inválida</v>
        <stp/>
        <stp>BOOK0</stp>
        <stp>OCP</stp>
        <stp>551</stp>
        <tr r="B555" s="2"/>
      </tp>
      <tp t="s">
        <v>Ferramenta Inválida</v>
        <stp/>
        <stp>BOOK0</stp>
        <stp>OCP</stp>
        <stp>556</stp>
        <tr r="B560" s="2"/>
      </tp>
      <tp t="s">
        <v>Ferramenta Inválida</v>
        <stp/>
        <stp>BOOK0</stp>
        <stp>OCP</stp>
        <stp>557</stp>
        <tr r="B561" s="2"/>
      </tp>
      <tp t="s">
        <v>Ferramenta Inválida</v>
        <stp/>
        <stp>BOOK0</stp>
        <stp>OCP</stp>
        <stp>554</stp>
        <tr r="B558" s="2"/>
      </tp>
      <tp t="s">
        <v>Ferramenta Inválida</v>
        <stp/>
        <stp>BOOK0</stp>
        <stp>OCP</stp>
        <stp>555</stp>
        <tr r="B559" s="2"/>
      </tp>
      <tp t="s">
        <v>Ferramenta Inválida</v>
        <stp/>
        <stp>BOOK0</stp>
        <stp>OCP</stp>
        <stp>548</stp>
        <tr r="B552" s="2"/>
      </tp>
      <tp t="s">
        <v>Ferramenta Inválida</v>
        <stp/>
        <stp>BOOK0</stp>
        <stp>OCP</stp>
        <stp>549</stp>
        <tr r="B553" s="2"/>
      </tp>
      <tp t="s">
        <v>Ferramenta Inválida</v>
        <stp/>
        <stp>BOOK0</stp>
        <stp>OCP</stp>
        <stp>542</stp>
        <tr r="B546" s="2"/>
      </tp>
      <tp t="s">
        <v>Ferramenta Inválida</v>
        <stp/>
        <stp>BOOK0</stp>
        <stp>OCP</stp>
        <stp>543</stp>
        <tr r="B547" s="2"/>
      </tp>
      <tp t="s">
        <v>Ferramenta Inválida</v>
        <stp/>
        <stp>BOOK0</stp>
        <stp>OCP</stp>
        <stp>540</stp>
        <tr r="B544" s="2"/>
      </tp>
      <tp t="s">
        <v>Ferramenta Inválida</v>
        <stp/>
        <stp>BOOK0</stp>
        <stp>OCP</stp>
        <stp>541</stp>
        <tr r="B545" s="2"/>
      </tp>
      <tp t="s">
        <v>Ferramenta Inválida</v>
        <stp/>
        <stp>BOOK0</stp>
        <stp>OCP</stp>
        <stp>546</stp>
        <tr r="B550" s="2"/>
      </tp>
      <tp t="s">
        <v>Ferramenta Inválida</v>
        <stp/>
        <stp>BOOK0</stp>
        <stp>OCP</stp>
        <stp>547</stp>
        <tr r="B551" s="2"/>
      </tp>
      <tp t="s">
        <v>Ferramenta Inválida</v>
        <stp/>
        <stp>BOOK0</stp>
        <stp>OCP</stp>
        <stp>544</stp>
        <tr r="B548" s="2"/>
      </tp>
      <tp t="s">
        <v>Ferramenta Inválida</v>
        <stp/>
        <stp>BOOK0</stp>
        <stp>OCP</stp>
        <stp>545</stp>
        <tr r="B549" s="2"/>
      </tp>
      <tp t="s">
        <v>Ferramenta Inválida</v>
        <stp/>
        <stp>BOOK0</stp>
        <stp>OCP</stp>
        <stp>578</stp>
        <tr r="B582" s="2"/>
      </tp>
      <tp t="s">
        <v>Ferramenta Inválida</v>
        <stp/>
        <stp>BOOK0</stp>
        <stp>OCP</stp>
        <stp>579</stp>
        <tr r="B583" s="2"/>
      </tp>
      <tp t="s">
        <v>Ferramenta Inválida</v>
        <stp/>
        <stp>BOOK0</stp>
        <stp>OCP</stp>
        <stp>572</stp>
        <tr r="B576" s="2"/>
      </tp>
      <tp t="s">
        <v>Ferramenta Inválida</v>
        <stp/>
        <stp>BOOK0</stp>
        <stp>OCP</stp>
        <stp>573</stp>
        <tr r="B577" s="2"/>
      </tp>
      <tp t="s">
        <v>Ferramenta Inválida</v>
        <stp/>
        <stp>BOOK0</stp>
        <stp>OCP</stp>
        <stp>570</stp>
        <tr r="B574" s="2"/>
      </tp>
      <tp t="s">
        <v>Ferramenta Inválida</v>
        <stp/>
        <stp>BOOK0</stp>
        <stp>OCP</stp>
        <stp>571</stp>
        <tr r="B575" s="2"/>
      </tp>
      <tp t="s">
        <v>Ferramenta Inválida</v>
        <stp/>
        <stp>BOOK0</stp>
        <stp>OCP</stp>
        <stp>576</stp>
        <tr r="B580" s="2"/>
      </tp>
      <tp t="s">
        <v>Ferramenta Inválida</v>
        <stp/>
        <stp>BOOK0</stp>
        <stp>OCP</stp>
        <stp>577</stp>
        <tr r="B581" s="2"/>
      </tp>
      <tp t="s">
        <v>Ferramenta Inválida</v>
        <stp/>
        <stp>BOOK0</stp>
        <stp>OCP</stp>
        <stp>574</stp>
        <tr r="B578" s="2"/>
      </tp>
      <tp t="s">
        <v>Ferramenta Inválida</v>
        <stp/>
        <stp>BOOK0</stp>
        <stp>OCP</stp>
        <stp>575</stp>
        <tr r="B579" s="2"/>
      </tp>
      <tp t="s">
        <v>Ferramenta Inválida</v>
        <stp/>
        <stp>BOOK0</stp>
        <stp>OCP</stp>
        <stp>568</stp>
        <tr r="B572" s="2"/>
      </tp>
      <tp t="s">
        <v>Ferramenta Inválida</v>
        <stp/>
        <stp>BOOK0</stp>
        <stp>OCP</stp>
        <stp>569</stp>
        <tr r="B573" s="2"/>
      </tp>
      <tp t="s">
        <v>Ferramenta Inválida</v>
        <stp/>
        <stp>BOOK0</stp>
        <stp>OCP</stp>
        <stp>562</stp>
        <tr r="B566" s="2"/>
      </tp>
      <tp t="s">
        <v>Ferramenta Inválida</v>
        <stp/>
        <stp>BOOK0</stp>
        <stp>OCP</stp>
        <stp>563</stp>
        <tr r="B567" s="2"/>
      </tp>
      <tp t="s">
        <v>Ferramenta Inválida</v>
        <stp/>
        <stp>BOOK0</stp>
        <stp>OCP</stp>
        <stp>560</stp>
        <tr r="B564" s="2"/>
      </tp>
      <tp t="s">
        <v>Ferramenta Inválida</v>
        <stp/>
        <stp>BOOK0</stp>
        <stp>OCP</stp>
        <stp>561</stp>
        <tr r="B565" s="2"/>
      </tp>
      <tp t="s">
        <v>Ferramenta Inválida</v>
        <stp/>
        <stp>BOOK0</stp>
        <stp>OCP</stp>
        <stp>566</stp>
        <tr r="B570" s="2"/>
      </tp>
      <tp t="s">
        <v>Ferramenta Inválida</v>
        <stp/>
        <stp>BOOK0</stp>
        <stp>OCP</stp>
        <stp>567</stp>
        <tr r="B571" s="2"/>
      </tp>
      <tp t="s">
        <v>Ferramenta Inválida</v>
        <stp/>
        <stp>BOOK0</stp>
        <stp>OCP</stp>
        <stp>564</stp>
        <tr r="B568" s="2"/>
      </tp>
      <tp t="s">
        <v>Ferramenta Inválida</v>
        <stp/>
        <stp>BOOK0</stp>
        <stp>OCP</stp>
        <stp>565</stp>
        <tr r="B569" s="2"/>
      </tp>
      <tp t="s">
        <v>Ferramenta Inválida</v>
        <stp/>
        <stp>BOOK0</stp>
        <stp>OCP</stp>
        <stp>518</stp>
        <tr r="B522" s="2"/>
      </tp>
      <tp t="s">
        <v>Ferramenta Inválida</v>
        <stp/>
        <stp>BOOK0</stp>
        <stp>OCP</stp>
        <stp>519</stp>
        <tr r="B523" s="2"/>
      </tp>
      <tp t="s">
        <v>Ferramenta Inválida</v>
        <stp/>
        <stp>BOOK0</stp>
        <stp>OCP</stp>
        <stp>512</stp>
        <tr r="B516" s="2"/>
      </tp>
      <tp t="s">
        <v>Ferramenta Inválida</v>
        <stp/>
        <stp>BOOK0</stp>
        <stp>OCP</stp>
        <stp>513</stp>
        <tr r="B517" s="2"/>
      </tp>
      <tp t="s">
        <v>Ferramenta Inválida</v>
        <stp/>
        <stp>BOOK0</stp>
        <stp>OCP</stp>
        <stp>510</stp>
        <tr r="B514" s="2"/>
      </tp>
      <tp t="s">
        <v>Ferramenta Inválida</v>
        <stp/>
        <stp>BOOK0</stp>
        <stp>OCP</stp>
        <stp>511</stp>
        <tr r="B515" s="2"/>
      </tp>
      <tp t="s">
        <v>Ferramenta Inválida</v>
        <stp/>
        <stp>BOOK0</stp>
        <stp>OCP</stp>
        <stp>516</stp>
        <tr r="B520" s="2"/>
      </tp>
      <tp t="s">
        <v>Ferramenta Inválida</v>
        <stp/>
        <stp>BOOK0</stp>
        <stp>OCP</stp>
        <stp>517</stp>
        <tr r="B521" s="2"/>
      </tp>
      <tp t="s">
        <v>Ferramenta Inválida</v>
        <stp/>
        <stp>BOOK0</stp>
        <stp>OCP</stp>
        <stp>514</stp>
        <tr r="B518" s="2"/>
      </tp>
      <tp t="s">
        <v>Ferramenta Inválida</v>
        <stp/>
        <stp>BOOK0</stp>
        <stp>OCP</stp>
        <stp>515</stp>
        <tr r="B519" s="2"/>
      </tp>
      <tp t="s">
        <v>Ferramenta Inválida</v>
        <stp/>
        <stp>BOOK0</stp>
        <stp>OCP</stp>
        <stp>508</stp>
        <tr r="B512" s="2"/>
      </tp>
      <tp t="s">
        <v>Ferramenta Inválida</v>
        <stp/>
        <stp>BOOK0</stp>
        <stp>OCP</stp>
        <stp>509</stp>
        <tr r="B513" s="2"/>
      </tp>
      <tp t="s">
        <v>Ferramenta Inválida</v>
        <stp/>
        <stp>BOOK0</stp>
        <stp>OCP</stp>
        <stp>502</stp>
        <tr r="B506" s="2"/>
      </tp>
      <tp t="s">
        <v>Ferramenta Inválida</v>
        <stp/>
        <stp>BOOK0</stp>
        <stp>OCP</stp>
        <stp>503</stp>
        <tr r="B507" s="2"/>
      </tp>
      <tp t="s">
        <v>Ferramenta Inválida</v>
        <stp/>
        <stp>BOOK0</stp>
        <stp>OCP</stp>
        <stp>500</stp>
        <tr r="B504" s="2"/>
      </tp>
      <tp t="s">
        <v>Ferramenta Inválida</v>
        <stp/>
        <stp>BOOK0</stp>
        <stp>OCP</stp>
        <stp>501</stp>
        <tr r="B505" s="2"/>
      </tp>
      <tp t="s">
        <v>Ferramenta Inválida</v>
        <stp/>
        <stp>BOOK0</stp>
        <stp>OCP</stp>
        <stp>506</stp>
        <tr r="B510" s="2"/>
      </tp>
      <tp t="s">
        <v>Ferramenta Inválida</v>
        <stp/>
        <stp>BOOK0</stp>
        <stp>OCP</stp>
        <stp>507</stp>
        <tr r="B511" s="2"/>
      </tp>
      <tp t="s">
        <v>Ferramenta Inválida</v>
        <stp/>
        <stp>BOOK0</stp>
        <stp>OCP</stp>
        <stp>504</stp>
        <tr r="B508" s="2"/>
      </tp>
      <tp t="s">
        <v>Ferramenta Inválida</v>
        <stp/>
        <stp>BOOK0</stp>
        <stp>OCP</stp>
        <stp>505</stp>
        <tr r="B509" s="2"/>
      </tp>
      <tp t="s">
        <v>Ferramenta Inválida</v>
        <stp/>
        <stp>BOOK0</stp>
        <stp>OCP</stp>
        <stp>538</stp>
        <tr r="B542" s="2"/>
      </tp>
      <tp t="s">
        <v>Ferramenta Inválida</v>
        <stp/>
        <stp>BOOK0</stp>
        <stp>OCP</stp>
        <stp>539</stp>
        <tr r="B543" s="2"/>
      </tp>
      <tp t="s">
        <v>Ferramenta Inválida</v>
        <stp/>
        <stp>BOOK0</stp>
        <stp>OCP</stp>
        <stp>532</stp>
        <tr r="B536" s="2"/>
      </tp>
      <tp t="s">
        <v>Ferramenta Inválida</v>
        <stp/>
        <stp>BOOK0</stp>
        <stp>OCP</stp>
        <stp>533</stp>
        <tr r="B537" s="2"/>
      </tp>
      <tp t="s">
        <v>Ferramenta Inválida</v>
        <stp/>
        <stp>BOOK0</stp>
        <stp>OCP</stp>
        <stp>530</stp>
        <tr r="B534" s="2"/>
      </tp>
      <tp t="s">
        <v>Ferramenta Inválida</v>
        <stp/>
        <stp>BOOK0</stp>
        <stp>OCP</stp>
        <stp>531</stp>
        <tr r="B535" s="2"/>
      </tp>
      <tp t="s">
        <v>Ferramenta Inválida</v>
        <stp/>
        <stp>BOOK0</stp>
        <stp>OCP</stp>
        <stp>536</stp>
        <tr r="B540" s="2"/>
      </tp>
      <tp t="s">
        <v>Ferramenta Inválida</v>
        <stp/>
        <stp>BOOK0</stp>
        <stp>OCP</stp>
        <stp>537</stp>
        <tr r="B541" s="2"/>
      </tp>
      <tp t="s">
        <v>Ferramenta Inválida</v>
        <stp/>
        <stp>BOOK0</stp>
        <stp>OCP</stp>
        <stp>534</stp>
        <tr r="B538" s="2"/>
      </tp>
      <tp t="s">
        <v>Ferramenta Inválida</v>
        <stp/>
        <stp>BOOK0</stp>
        <stp>OCP</stp>
        <stp>535</stp>
        <tr r="B539" s="2"/>
      </tp>
      <tp t="s">
        <v>Ferramenta Inválida</v>
        <stp/>
        <stp>BOOK0</stp>
        <stp>OCP</stp>
        <stp>528</stp>
        <tr r="B532" s="2"/>
      </tp>
      <tp t="s">
        <v>Ferramenta Inválida</v>
        <stp/>
        <stp>BOOK0</stp>
        <stp>OCP</stp>
        <stp>529</stp>
        <tr r="B533" s="2"/>
      </tp>
      <tp t="s">
        <v>Ferramenta Inválida</v>
        <stp/>
        <stp>BOOK0</stp>
        <stp>OCP</stp>
        <stp>522</stp>
        <tr r="B526" s="2"/>
      </tp>
      <tp t="s">
        <v>Ferramenta Inválida</v>
        <stp/>
        <stp>BOOK0</stp>
        <stp>OCP</stp>
        <stp>523</stp>
        <tr r="B527" s="2"/>
      </tp>
      <tp t="s">
        <v>Ferramenta Inválida</v>
        <stp/>
        <stp>BOOK0</stp>
        <stp>OCP</stp>
        <stp>520</stp>
        <tr r="B524" s="2"/>
      </tp>
      <tp t="s">
        <v>Ferramenta Inválida</v>
        <stp/>
        <stp>BOOK0</stp>
        <stp>OCP</stp>
        <stp>521</stp>
        <tr r="B525" s="2"/>
      </tp>
      <tp t="s">
        <v>Ferramenta Inválida</v>
        <stp/>
        <stp>BOOK0</stp>
        <stp>OCP</stp>
        <stp>526</stp>
        <tr r="B530" s="2"/>
      </tp>
      <tp t="s">
        <v>Ferramenta Inválida</v>
        <stp/>
        <stp>BOOK0</stp>
        <stp>OCP</stp>
        <stp>527</stp>
        <tr r="B531" s="2"/>
      </tp>
      <tp t="s">
        <v>Ferramenta Inválida</v>
        <stp/>
        <stp>BOOK0</stp>
        <stp>OCP</stp>
        <stp>524</stp>
        <tr r="B528" s="2"/>
      </tp>
      <tp t="s">
        <v>Ferramenta Inválida</v>
        <stp/>
        <stp>BOOK0</stp>
        <stp>OCP</stp>
        <stp>525</stp>
        <tr r="B529" s="2"/>
      </tp>
      <tp t="s">
        <v>Ferramenta Inválida</v>
        <stp/>
        <stp>BOOK0</stp>
        <stp>OVD</stp>
        <stp>688</stp>
        <tr r="C692" s="2"/>
      </tp>
      <tp t="s">
        <v>Ferramenta Inválida</v>
        <stp/>
        <stp>BOOK0</stp>
        <stp>OVD</stp>
        <stp>689</stp>
        <tr r="C693" s="2"/>
      </tp>
      <tp t="s">
        <v>Ferramenta Inválida</v>
        <stp/>
        <stp>BOOK0</stp>
        <stp>OVD</stp>
        <stp>686</stp>
        <tr r="C690" s="2"/>
      </tp>
      <tp t="s">
        <v>Ferramenta Inválida</v>
        <stp/>
        <stp>BOOK0</stp>
        <stp>OVD</stp>
        <stp>687</stp>
        <tr r="C691" s="2"/>
      </tp>
      <tp t="s">
        <v>Ferramenta Inválida</v>
        <stp/>
        <stp>BOOK0</stp>
        <stp>OVD</stp>
        <stp>684</stp>
        <tr r="C688" s="2"/>
      </tp>
      <tp t="s">
        <v>Ferramenta Inválida</v>
        <stp/>
        <stp>BOOK0</stp>
        <stp>OVD</stp>
        <stp>685</stp>
        <tr r="C689" s="2"/>
      </tp>
      <tp t="s">
        <v>Ferramenta Inválida</v>
        <stp/>
        <stp>BOOK0</stp>
        <stp>OVD</stp>
        <stp>682</stp>
        <tr r="C686" s="2"/>
      </tp>
      <tp t="s">
        <v>Ferramenta Inválida</v>
        <stp/>
        <stp>BOOK0</stp>
        <stp>OVD</stp>
        <stp>683</stp>
        <tr r="C687" s="2"/>
      </tp>
      <tp t="s">
        <v>Ferramenta Inválida</v>
        <stp/>
        <stp>BOOK0</stp>
        <stp>OVD</stp>
        <stp>680</stp>
        <tr r="C684" s="2"/>
      </tp>
      <tp t="s">
        <v>Ferramenta Inválida</v>
        <stp/>
        <stp>BOOK0</stp>
        <stp>OVD</stp>
        <stp>681</stp>
        <tr r="C685" s="2"/>
      </tp>
      <tp t="s">
        <v>Ferramenta Inválida</v>
        <stp/>
        <stp>BOOK0</stp>
        <stp>OVD</stp>
        <stp>698</stp>
        <tr r="C702" s="2"/>
      </tp>
      <tp t="s">
        <v>Ferramenta Inválida</v>
        <stp/>
        <stp>BOOK0</stp>
        <stp>OVD</stp>
        <stp>699</stp>
        <tr r="C703" s="2"/>
      </tp>
      <tp t="s">
        <v>Ferramenta Inválida</v>
        <stp/>
        <stp>BOOK0</stp>
        <stp>OVD</stp>
        <stp>696</stp>
        <tr r="C700" s="2"/>
      </tp>
      <tp t="s">
        <v>Ferramenta Inválida</v>
        <stp/>
        <stp>BOOK0</stp>
        <stp>OVD</stp>
        <stp>697</stp>
        <tr r="C701" s="2"/>
      </tp>
      <tp t="s">
        <v>Ferramenta Inválida</v>
        <stp/>
        <stp>BOOK0</stp>
        <stp>OVD</stp>
        <stp>694</stp>
        <tr r="C698" s="2"/>
      </tp>
      <tp t="s">
        <v>Ferramenta Inválida</v>
        <stp/>
        <stp>BOOK0</stp>
        <stp>OVD</stp>
        <stp>695</stp>
        <tr r="C699" s="2"/>
      </tp>
      <tp t="s">
        <v>Ferramenta Inválida</v>
        <stp/>
        <stp>BOOK0</stp>
        <stp>OVD</stp>
        <stp>692</stp>
        <tr r="C696" s="2"/>
      </tp>
      <tp t="s">
        <v>Ferramenta Inválida</v>
        <stp/>
        <stp>BOOK0</stp>
        <stp>OVD</stp>
        <stp>693</stp>
        <tr r="C697" s="2"/>
      </tp>
      <tp t="s">
        <v>Ferramenta Inválida</v>
        <stp/>
        <stp>BOOK0</stp>
        <stp>OVD</stp>
        <stp>690</stp>
        <tr r="C694" s="2"/>
      </tp>
      <tp t="s">
        <v>Ferramenta Inválida</v>
        <stp/>
        <stp>BOOK0</stp>
        <stp>OVD</stp>
        <stp>691</stp>
        <tr r="C695" s="2"/>
      </tp>
      <tp t="s">
        <v>Ferramenta Inválida</v>
        <stp/>
        <stp>BOOK0</stp>
        <stp>OVD</stp>
        <stp>608</stp>
        <tr r="C612" s="2"/>
      </tp>
      <tp t="s">
        <v>Ferramenta Inválida</v>
        <stp/>
        <stp>BOOK0</stp>
        <stp>OVD</stp>
        <stp>609</stp>
        <tr r="C613" s="2"/>
      </tp>
      <tp t="s">
        <v>Ferramenta Inválida</v>
        <stp/>
        <stp>BOOK0</stp>
        <stp>OVD</stp>
        <stp>606</stp>
        <tr r="C610" s="2"/>
      </tp>
      <tp t="s">
        <v>Ferramenta Inválida</v>
        <stp/>
        <stp>BOOK0</stp>
        <stp>OVD</stp>
        <stp>607</stp>
        <tr r="C611" s="2"/>
      </tp>
      <tp t="s">
        <v>Ferramenta Inválida</v>
        <stp/>
        <stp>BOOK0</stp>
        <stp>OVD</stp>
        <stp>604</stp>
        <tr r="C608" s="2"/>
      </tp>
      <tp t="s">
        <v>Ferramenta Inválida</v>
        <stp/>
        <stp>BOOK0</stp>
        <stp>OVD</stp>
        <stp>605</stp>
        <tr r="C609" s="2"/>
      </tp>
      <tp t="s">
        <v>Ferramenta Inválida</v>
        <stp/>
        <stp>BOOK0</stp>
        <stp>OVD</stp>
        <stp>602</stp>
        <tr r="C606" s="2"/>
      </tp>
      <tp t="s">
        <v>Ferramenta Inválida</v>
        <stp/>
        <stp>BOOK0</stp>
        <stp>OVD</stp>
        <stp>603</stp>
        <tr r="C607" s="2"/>
      </tp>
      <tp t="s">
        <v>Ferramenta Inválida</v>
        <stp/>
        <stp>BOOK0</stp>
        <stp>OVD</stp>
        <stp>600</stp>
        <tr r="C604" s="2"/>
      </tp>
      <tp t="s">
        <v>Ferramenta Inválida</v>
        <stp/>
        <stp>BOOK0</stp>
        <stp>OVD</stp>
        <stp>601</stp>
        <tr r="C605" s="2"/>
      </tp>
      <tp t="s">
        <v>Ferramenta Inválida</v>
        <stp/>
        <stp>BOOK0</stp>
        <stp>OVD</stp>
        <stp>618</stp>
        <tr r="C622" s="2"/>
      </tp>
      <tp t="s">
        <v>Ferramenta Inválida</v>
        <stp/>
        <stp>BOOK0</stp>
        <stp>OVD</stp>
        <stp>619</stp>
        <tr r="C623" s="2"/>
      </tp>
      <tp t="s">
        <v>Ferramenta Inválida</v>
        <stp/>
        <stp>BOOK0</stp>
        <stp>OVD</stp>
        <stp>616</stp>
        <tr r="C620" s="2"/>
      </tp>
      <tp t="s">
        <v>Ferramenta Inválida</v>
        <stp/>
        <stp>BOOK0</stp>
        <stp>OVD</stp>
        <stp>617</stp>
        <tr r="C621" s="2"/>
      </tp>
      <tp t="s">
        <v>Ferramenta Inválida</v>
        <stp/>
        <stp>BOOK0</stp>
        <stp>OVD</stp>
        <stp>614</stp>
        <tr r="C618" s="2"/>
      </tp>
      <tp t="s">
        <v>Ferramenta Inválida</v>
        <stp/>
        <stp>BOOK0</stp>
        <stp>OVD</stp>
        <stp>615</stp>
        <tr r="C619" s="2"/>
      </tp>
      <tp t="s">
        <v>Ferramenta Inválida</v>
        <stp/>
        <stp>BOOK0</stp>
        <stp>OVD</stp>
        <stp>612</stp>
        <tr r="C616" s="2"/>
      </tp>
      <tp t="s">
        <v>Ferramenta Inválida</v>
        <stp/>
        <stp>BOOK0</stp>
        <stp>OVD</stp>
        <stp>613</stp>
        <tr r="C617" s="2"/>
      </tp>
      <tp t="s">
        <v>Ferramenta Inválida</v>
        <stp/>
        <stp>BOOK0</stp>
        <stp>OVD</stp>
        <stp>610</stp>
        <tr r="C614" s="2"/>
      </tp>
      <tp t="s">
        <v>Ferramenta Inválida</v>
        <stp/>
        <stp>BOOK0</stp>
        <stp>OVD</stp>
        <stp>611</stp>
        <tr r="C615" s="2"/>
      </tp>
      <tp t="s">
        <v>Ferramenta Inválida</v>
        <stp/>
        <stp>BOOK0</stp>
        <stp>OVD</stp>
        <stp>628</stp>
        <tr r="C632" s="2"/>
      </tp>
      <tp t="s">
        <v>Ferramenta Inválida</v>
        <stp/>
        <stp>BOOK0</stp>
        <stp>OVD</stp>
        <stp>629</stp>
        <tr r="C633" s="2"/>
      </tp>
      <tp t="s">
        <v>Ferramenta Inválida</v>
        <stp/>
        <stp>BOOK0</stp>
        <stp>OVD</stp>
        <stp>626</stp>
        <tr r="C630" s="2"/>
      </tp>
      <tp t="s">
        <v>Ferramenta Inválida</v>
        <stp/>
        <stp>BOOK0</stp>
        <stp>OVD</stp>
        <stp>627</stp>
        <tr r="C631" s="2"/>
      </tp>
      <tp t="s">
        <v>Ferramenta Inválida</v>
        <stp/>
        <stp>BOOK0</stp>
        <stp>OVD</stp>
        <stp>624</stp>
        <tr r="C628" s="2"/>
      </tp>
      <tp t="s">
        <v>Ferramenta Inválida</v>
        <stp/>
        <stp>BOOK0</stp>
        <stp>OVD</stp>
        <stp>625</stp>
        <tr r="C629" s="2"/>
      </tp>
      <tp t="s">
        <v>Ferramenta Inválida</v>
        <stp/>
        <stp>BOOK0</stp>
        <stp>OVD</stp>
        <stp>622</stp>
        <tr r="C626" s="2"/>
      </tp>
      <tp t="s">
        <v>Ferramenta Inválida</v>
        <stp/>
        <stp>BOOK0</stp>
        <stp>OVD</stp>
        <stp>623</stp>
        <tr r="C627" s="2"/>
      </tp>
      <tp t="s">
        <v>Ferramenta Inválida</v>
        <stp/>
        <stp>BOOK0</stp>
        <stp>OVD</stp>
        <stp>620</stp>
        <tr r="C624" s="2"/>
      </tp>
      <tp t="s">
        <v>Ferramenta Inválida</v>
        <stp/>
        <stp>BOOK0</stp>
        <stp>OVD</stp>
        <stp>621</stp>
        <tr r="C625" s="2"/>
      </tp>
      <tp t="s">
        <v>Ferramenta Inválida</v>
        <stp/>
        <stp>BOOK0</stp>
        <stp>OVD</stp>
        <stp>638</stp>
        <tr r="C642" s="2"/>
      </tp>
      <tp t="s">
        <v>Ferramenta Inválida</v>
        <stp/>
        <stp>BOOK0</stp>
        <stp>OVD</stp>
        <stp>639</stp>
        <tr r="C643" s="2"/>
      </tp>
      <tp t="s">
        <v>Ferramenta Inválida</v>
        <stp/>
        <stp>BOOK0</stp>
        <stp>OVD</stp>
        <stp>636</stp>
        <tr r="C640" s="2"/>
      </tp>
      <tp t="s">
        <v>Ferramenta Inválida</v>
        <stp/>
        <stp>BOOK0</stp>
        <stp>OVD</stp>
        <stp>637</stp>
        <tr r="C641" s="2"/>
      </tp>
      <tp t="s">
        <v>Ferramenta Inválida</v>
        <stp/>
        <stp>BOOK0</stp>
        <stp>OVD</stp>
        <stp>634</stp>
        <tr r="C638" s="2"/>
      </tp>
      <tp t="s">
        <v>Ferramenta Inválida</v>
        <stp/>
        <stp>BOOK0</stp>
        <stp>OVD</stp>
        <stp>635</stp>
        <tr r="C639" s="2"/>
      </tp>
      <tp t="s">
        <v>Ferramenta Inválida</v>
        <stp/>
        <stp>BOOK0</stp>
        <stp>OVD</stp>
        <stp>632</stp>
        <tr r="C636" s="2"/>
      </tp>
      <tp t="s">
        <v>Ferramenta Inválida</v>
        <stp/>
        <stp>BOOK0</stp>
        <stp>OVD</stp>
        <stp>633</stp>
        <tr r="C637" s="2"/>
      </tp>
      <tp t="s">
        <v>Ferramenta Inválida</v>
        <stp/>
        <stp>BOOK0</stp>
        <stp>OVD</stp>
        <stp>630</stp>
        <tr r="C634" s="2"/>
      </tp>
      <tp t="s">
        <v>Ferramenta Inválida</v>
        <stp/>
        <stp>BOOK0</stp>
        <stp>OVD</stp>
        <stp>631</stp>
        <tr r="C635" s="2"/>
      </tp>
      <tp t="s">
        <v>Ferramenta Inválida</v>
        <stp/>
        <stp>BOOK0</stp>
        <stp>OVD</stp>
        <stp>648</stp>
        <tr r="C652" s="2"/>
      </tp>
      <tp t="s">
        <v>Ferramenta Inválida</v>
        <stp/>
        <stp>BOOK0</stp>
        <stp>OVD</stp>
        <stp>649</stp>
        <tr r="C653" s="2"/>
      </tp>
      <tp t="s">
        <v>Ferramenta Inválida</v>
        <stp/>
        <stp>BOOK0</stp>
        <stp>OVD</stp>
        <stp>646</stp>
        <tr r="C650" s="2"/>
      </tp>
      <tp t="s">
        <v>Ferramenta Inválida</v>
        <stp/>
        <stp>BOOK0</stp>
        <stp>OVD</stp>
        <stp>647</stp>
        <tr r="C651" s="2"/>
      </tp>
      <tp t="s">
        <v>Ferramenta Inválida</v>
        <stp/>
        <stp>BOOK0</stp>
        <stp>OVD</stp>
        <stp>644</stp>
        <tr r="C648" s="2"/>
      </tp>
      <tp t="s">
        <v>Ferramenta Inválida</v>
        <stp/>
        <stp>BOOK0</stp>
        <stp>OVD</stp>
        <stp>645</stp>
        <tr r="C649" s="2"/>
      </tp>
      <tp t="s">
        <v>Ferramenta Inválida</v>
        <stp/>
        <stp>BOOK0</stp>
        <stp>OVD</stp>
        <stp>642</stp>
        <tr r="C646" s="2"/>
      </tp>
      <tp t="s">
        <v>Ferramenta Inválida</v>
        <stp/>
        <stp>BOOK0</stp>
        <stp>OVD</stp>
        <stp>643</stp>
        <tr r="C647" s="2"/>
      </tp>
      <tp t="s">
        <v>Ferramenta Inválida</v>
        <stp/>
        <stp>BOOK0</stp>
        <stp>OVD</stp>
        <stp>640</stp>
        <tr r="C644" s="2"/>
      </tp>
      <tp t="s">
        <v>Ferramenta Inválida</v>
        <stp/>
        <stp>BOOK0</stp>
        <stp>OVD</stp>
        <stp>641</stp>
        <tr r="C645" s="2"/>
      </tp>
      <tp t="s">
        <v>Ferramenta Inválida</v>
        <stp/>
        <stp>BOOK0</stp>
        <stp>OVD</stp>
        <stp>658</stp>
        <tr r="C662" s="2"/>
      </tp>
      <tp t="s">
        <v>Ferramenta Inválida</v>
        <stp/>
        <stp>BOOK0</stp>
        <stp>OVD</stp>
        <stp>659</stp>
        <tr r="C663" s="2"/>
      </tp>
      <tp t="s">
        <v>Ferramenta Inválida</v>
        <stp/>
        <stp>BOOK0</stp>
        <stp>OVD</stp>
        <stp>656</stp>
        <tr r="C660" s="2"/>
      </tp>
      <tp t="s">
        <v>Ferramenta Inválida</v>
        <stp/>
        <stp>BOOK0</stp>
        <stp>OVD</stp>
        <stp>657</stp>
        <tr r="C661" s="2"/>
      </tp>
      <tp t="s">
        <v>Ferramenta Inválida</v>
        <stp/>
        <stp>BOOK0</stp>
        <stp>OVD</stp>
        <stp>654</stp>
        <tr r="C658" s="2"/>
      </tp>
      <tp t="s">
        <v>Ferramenta Inválida</v>
        <stp/>
        <stp>BOOK0</stp>
        <stp>OVD</stp>
        <stp>655</stp>
        <tr r="C659" s="2"/>
      </tp>
      <tp t="s">
        <v>Ferramenta Inválida</v>
        <stp/>
        <stp>BOOK0</stp>
        <stp>OVD</stp>
        <stp>652</stp>
        <tr r="C656" s="2"/>
      </tp>
      <tp t="s">
        <v>Ferramenta Inválida</v>
        <stp/>
        <stp>BOOK0</stp>
        <stp>OVD</stp>
        <stp>653</stp>
        <tr r="C657" s="2"/>
      </tp>
      <tp t="s">
        <v>Ferramenta Inválida</v>
        <stp/>
        <stp>BOOK0</stp>
        <stp>OVD</stp>
        <stp>650</stp>
        <tr r="C654" s="2"/>
      </tp>
      <tp t="s">
        <v>Ferramenta Inválida</v>
        <stp/>
        <stp>BOOK0</stp>
        <stp>OVD</stp>
        <stp>651</stp>
        <tr r="C655" s="2"/>
      </tp>
      <tp t="s">
        <v>Ferramenta Inválida</v>
        <stp/>
        <stp>BOOK0</stp>
        <stp>OVD</stp>
        <stp>668</stp>
        <tr r="C672" s="2"/>
      </tp>
      <tp t="s">
        <v>Ferramenta Inválida</v>
        <stp/>
        <stp>BOOK0</stp>
        <stp>OVD</stp>
        <stp>669</stp>
        <tr r="C673" s="2"/>
      </tp>
      <tp t="s">
        <v>Ferramenta Inválida</v>
        <stp/>
        <stp>BOOK0</stp>
        <stp>OVD</stp>
        <stp>666</stp>
        <tr r="C670" s="2"/>
      </tp>
      <tp t="s">
        <v>Ferramenta Inválida</v>
        <stp/>
        <stp>BOOK0</stp>
        <stp>OVD</stp>
        <stp>667</stp>
        <tr r="C671" s="2"/>
      </tp>
      <tp t="s">
        <v>Ferramenta Inválida</v>
        <stp/>
        <stp>BOOK0</stp>
        <stp>OVD</stp>
        <stp>664</stp>
        <tr r="C668" s="2"/>
      </tp>
      <tp t="s">
        <v>Ferramenta Inválida</v>
        <stp/>
        <stp>BOOK0</stp>
        <stp>OVD</stp>
        <stp>665</stp>
        <tr r="C669" s="2"/>
      </tp>
      <tp t="s">
        <v>Ferramenta Inválida</v>
        <stp/>
        <stp>BOOK0</stp>
        <stp>OVD</stp>
        <stp>662</stp>
        <tr r="C666" s="2"/>
      </tp>
      <tp t="s">
        <v>Ferramenta Inválida</v>
        <stp/>
        <stp>BOOK0</stp>
        <stp>OVD</stp>
        <stp>663</stp>
        <tr r="C667" s="2"/>
      </tp>
      <tp t="s">
        <v>Ferramenta Inválida</v>
        <stp/>
        <stp>BOOK0</stp>
        <stp>OVD</stp>
        <stp>660</stp>
        <tr r="C664" s="2"/>
      </tp>
      <tp t="s">
        <v>Ferramenta Inválida</v>
        <stp/>
        <stp>BOOK0</stp>
        <stp>OVD</stp>
        <stp>661</stp>
        <tr r="C665" s="2"/>
      </tp>
      <tp t="s">
        <v>Ferramenta Inválida</v>
        <stp/>
        <stp>BOOK0</stp>
        <stp>OVD</stp>
        <stp>678</stp>
        <tr r="C682" s="2"/>
      </tp>
      <tp t="s">
        <v>Ferramenta Inválida</v>
        <stp/>
        <stp>BOOK0</stp>
        <stp>OVD</stp>
        <stp>679</stp>
        <tr r="C683" s="2"/>
      </tp>
      <tp t="s">
        <v>Ferramenta Inválida</v>
        <stp/>
        <stp>BOOK0</stp>
        <stp>OVD</stp>
        <stp>676</stp>
        <tr r="C680" s="2"/>
      </tp>
      <tp t="s">
        <v>Ferramenta Inválida</v>
        <stp/>
        <stp>BOOK0</stp>
        <stp>OVD</stp>
        <stp>677</stp>
        <tr r="C681" s="2"/>
      </tp>
      <tp t="s">
        <v>Ferramenta Inválida</v>
        <stp/>
        <stp>BOOK0</stp>
        <stp>OVD</stp>
        <stp>674</stp>
        <tr r="C678" s="2"/>
      </tp>
      <tp t="s">
        <v>Ferramenta Inválida</v>
        <stp/>
        <stp>BOOK0</stp>
        <stp>OVD</stp>
        <stp>675</stp>
        <tr r="C679" s="2"/>
      </tp>
      <tp t="s">
        <v>Ferramenta Inválida</v>
        <stp/>
        <stp>BOOK0</stp>
        <stp>OVD</stp>
        <stp>672</stp>
        <tr r="C676" s="2"/>
      </tp>
      <tp t="s">
        <v>Ferramenta Inválida</v>
        <stp/>
        <stp>BOOK0</stp>
        <stp>OVD</stp>
        <stp>673</stp>
        <tr r="C677" s="2"/>
      </tp>
      <tp t="s">
        <v>Ferramenta Inválida</v>
        <stp/>
        <stp>BOOK0</stp>
        <stp>OVD</stp>
        <stp>670</stp>
        <tr r="C674" s="2"/>
      </tp>
      <tp t="s">
        <v>Ferramenta Inválida</v>
        <stp/>
        <stp>BOOK0</stp>
        <stp>OVD</stp>
        <stp>671</stp>
        <tr r="C675" s="2"/>
      </tp>
      <tp t="s">
        <v>Ferramenta Inválida</v>
        <stp/>
        <stp>BOOK0</stp>
        <stp>OCP</stp>
        <stp>698</stp>
        <tr r="B702" s="2"/>
      </tp>
      <tp t="s">
        <v>Ferramenta Inválida</v>
        <stp/>
        <stp>BOOK0</stp>
        <stp>OCP</stp>
        <stp>699</stp>
        <tr r="B703" s="2"/>
      </tp>
      <tp t="s">
        <v>Ferramenta Inválida</v>
        <stp/>
        <stp>BOOK0</stp>
        <stp>OCP</stp>
        <stp>692</stp>
        <tr r="B696" s="2"/>
      </tp>
      <tp t="s">
        <v>Ferramenta Inválida</v>
        <stp/>
        <stp>BOOK0</stp>
        <stp>OCP</stp>
        <stp>693</stp>
        <tr r="B697" s="2"/>
      </tp>
      <tp t="s">
        <v>Ferramenta Inválida</v>
        <stp/>
        <stp>BOOK0</stp>
        <stp>OCP</stp>
        <stp>690</stp>
        <tr r="B694" s="2"/>
      </tp>
      <tp t="s">
        <v>Ferramenta Inválida</v>
        <stp/>
        <stp>BOOK0</stp>
        <stp>OCP</stp>
        <stp>691</stp>
        <tr r="B695" s="2"/>
      </tp>
      <tp t="s">
        <v>Ferramenta Inválida</v>
        <stp/>
        <stp>BOOK0</stp>
        <stp>OCP</stp>
        <stp>696</stp>
        <tr r="B700" s="2"/>
      </tp>
      <tp t="s">
        <v>Ferramenta Inválida</v>
        <stp/>
        <stp>BOOK0</stp>
        <stp>OCP</stp>
        <stp>697</stp>
        <tr r="B701" s="2"/>
      </tp>
      <tp t="s">
        <v>Ferramenta Inválida</v>
        <stp/>
        <stp>BOOK0</stp>
        <stp>OCP</stp>
        <stp>694</stp>
        <tr r="B698" s="2"/>
      </tp>
      <tp t="s">
        <v>Ferramenta Inválida</v>
        <stp/>
        <stp>BOOK0</stp>
        <stp>OCP</stp>
        <stp>695</stp>
        <tr r="B699" s="2"/>
      </tp>
      <tp t="s">
        <v>Ferramenta Inválida</v>
        <stp/>
        <stp>BOOK0</stp>
        <stp>OCP</stp>
        <stp>688</stp>
        <tr r="B692" s="2"/>
      </tp>
      <tp t="s">
        <v>Ferramenta Inválida</v>
        <stp/>
        <stp>BOOK0</stp>
        <stp>OCP</stp>
        <stp>689</stp>
        <tr r="B693" s="2"/>
      </tp>
      <tp t="s">
        <v>Ferramenta Inválida</v>
        <stp/>
        <stp>BOOK0</stp>
        <stp>OCP</stp>
        <stp>682</stp>
        <tr r="B686" s="2"/>
      </tp>
      <tp t="s">
        <v>Ferramenta Inválida</v>
        <stp/>
        <stp>BOOK0</stp>
        <stp>OCP</stp>
        <stp>683</stp>
        <tr r="B687" s="2"/>
      </tp>
      <tp t="s">
        <v>Ferramenta Inválida</v>
        <stp/>
        <stp>BOOK0</stp>
        <stp>OCP</stp>
        <stp>680</stp>
        <tr r="B684" s="2"/>
      </tp>
      <tp t="s">
        <v>Ferramenta Inválida</v>
        <stp/>
        <stp>BOOK0</stp>
        <stp>OCP</stp>
        <stp>681</stp>
        <tr r="B685" s="2"/>
      </tp>
      <tp t="s">
        <v>Ferramenta Inválida</v>
        <stp/>
        <stp>BOOK0</stp>
        <stp>OCP</stp>
        <stp>686</stp>
        <tr r="B690" s="2"/>
      </tp>
      <tp t="s">
        <v>Ferramenta Inválida</v>
        <stp/>
        <stp>BOOK0</stp>
        <stp>OCP</stp>
        <stp>687</stp>
        <tr r="B691" s="2"/>
      </tp>
      <tp t="s">
        <v>Ferramenta Inválida</v>
        <stp/>
        <stp>BOOK0</stp>
        <stp>OCP</stp>
        <stp>684</stp>
        <tr r="B688" s="2"/>
      </tp>
      <tp t="s">
        <v>Ferramenta Inválida</v>
        <stp/>
        <stp>BOOK0</stp>
        <stp>OCP</stp>
        <stp>685</stp>
        <tr r="B689" s="2"/>
      </tp>
      <tp t="s">
        <v>Ferramenta Inválida</v>
        <stp/>
        <stp>BOOK0</stp>
        <stp>OCP</stp>
        <stp>658</stp>
        <tr r="B662" s="2"/>
      </tp>
      <tp t="s">
        <v>Ferramenta Inválida</v>
        <stp/>
        <stp>BOOK0</stp>
        <stp>OCP</stp>
        <stp>659</stp>
        <tr r="B663" s="2"/>
      </tp>
      <tp t="s">
        <v>Ferramenta Inválida</v>
        <stp/>
        <stp>BOOK0</stp>
        <stp>OCP</stp>
        <stp>652</stp>
        <tr r="B656" s="2"/>
      </tp>
      <tp t="s">
        <v>Ferramenta Inválida</v>
        <stp/>
        <stp>BOOK0</stp>
        <stp>OCP</stp>
        <stp>653</stp>
        <tr r="B657" s="2"/>
      </tp>
      <tp t="s">
        <v>Ferramenta Inválida</v>
        <stp/>
        <stp>BOOK0</stp>
        <stp>OCP</stp>
        <stp>650</stp>
        <tr r="B654" s="2"/>
      </tp>
      <tp t="s">
        <v>Ferramenta Inválida</v>
        <stp/>
        <stp>BOOK0</stp>
        <stp>OCP</stp>
        <stp>651</stp>
        <tr r="B655" s="2"/>
      </tp>
      <tp t="s">
        <v>Ferramenta Inválida</v>
        <stp/>
        <stp>BOOK0</stp>
        <stp>OCP</stp>
        <stp>656</stp>
        <tr r="B660" s="2"/>
      </tp>
      <tp t="s">
        <v>Ferramenta Inválida</v>
        <stp/>
        <stp>BOOK0</stp>
        <stp>OCP</stp>
        <stp>657</stp>
        <tr r="B661" s="2"/>
      </tp>
      <tp t="s">
        <v>Ferramenta Inválida</v>
        <stp/>
        <stp>BOOK0</stp>
        <stp>OCP</stp>
        <stp>654</stp>
        <tr r="B658" s="2"/>
      </tp>
      <tp t="s">
        <v>Ferramenta Inválida</v>
        <stp/>
        <stp>BOOK0</stp>
        <stp>OCP</stp>
        <stp>655</stp>
        <tr r="B659" s="2"/>
      </tp>
      <tp t="s">
        <v>Ferramenta Inválida</v>
        <stp/>
        <stp>BOOK0</stp>
        <stp>OCP</stp>
        <stp>648</stp>
        <tr r="B652" s="2"/>
      </tp>
      <tp t="s">
        <v>Ferramenta Inválida</v>
        <stp/>
        <stp>BOOK0</stp>
        <stp>OCP</stp>
        <stp>649</stp>
        <tr r="B653" s="2"/>
      </tp>
      <tp t="s">
        <v>Ferramenta Inválida</v>
        <stp/>
        <stp>BOOK0</stp>
        <stp>OCP</stp>
        <stp>642</stp>
        <tr r="B646" s="2"/>
      </tp>
      <tp t="s">
        <v>Ferramenta Inválida</v>
        <stp/>
        <stp>BOOK0</stp>
        <stp>OCP</stp>
        <stp>643</stp>
        <tr r="B647" s="2"/>
      </tp>
      <tp t="s">
        <v>Ferramenta Inválida</v>
        <stp/>
        <stp>BOOK0</stp>
        <stp>OCP</stp>
        <stp>640</stp>
        <tr r="B644" s="2"/>
      </tp>
      <tp t="s">
        <v>Ferramenta Inválida</v>
        <stp/>
        <stp>BOOK0</stp>
        <stp>OCP</stp>
        <stp>641</stp>
        <tr r="B645" s="2"/>
      </tp>
      <tp t="s">
        <v>Ferramenta Inválida</v>
        <stp/>
        <stp>BOOK0</stp>
        <stp>OCP</stp>
        <stp>646</stp>
        <tr r="B650" s="2"/>
      </tp>
      <tp t="s">
        <v>Ferramenta Inválida</v>
        <stp/>
        <stp>BOOK0</stp>
        <stp>OCP</stp>
        <stp>647</stp>
        <tr r="B651" s="2"/>
      </tp>
      <tp t="s">
        <v>Ferramenta Inválida</v>
        <stp/>
        <stp>BOOK0</stp>
        <stp>OCP</stp>
        <stp>644</stp>
        <tr r="B648" s="2"/>
      </tp>
      <tp t="s">
        <v>Ferramenta Inválida</v>
        <stp/>
        <stp>BOOK0</stp>
        <stp>OCP</stp>
        <stp>645</stp>
        <tr r="B649" s="2"/>
      </tp>
      <tp t="s">
        <v>Ferramenta Inválida</v>
        <stp/>
        <stp>BOOK0</stp>
        <stp>OCP</stp>
        <stp>678</stp>
        <tr r="B682" s="2"/>
      </tp>
      <tp t="s">
        <v>Ferramenta Inválida</v>
        <stp/>
        <stp>BOOK0</stp>
        <stp>OCP</stp>
        <stp>679</stp>
        <tr r="B683" s="2"/>
      </tp>
      <tp t="s">
        <v>Ferramenta Inválida</v>
        <stp/>
        <stp>BOOK0</stp>
        <stp>OCP</stp>
        <stp>672</stp>
        <tr r="B676" s="2"/>
      </tp>
      <tp t="s">
        <v>Ferramenta Inválida</v>
        <stp/>
        <stp>BOOK0</stp>
        <stp>OCP</stp>
        <stp>673</stp>
        <tr r="B677" s="2"/>
      </tp>
      <tp t="s">
        <v>Ferramenta Inválida</v>
        <stp/>
        <stp>BOOK0</stp>
        <stp>OCP</stp>
        <stp>670</stp>
        <tr r="B674" s="2"/>
      </tp>
      <tp t="s">
        <v>Ferramenta Inválida</v>
        <stp/>
        <stp>BOOK0</stp>
        <stp>OCP</stp>
        <stp>671</stp>
        <tr r="B675" s="2"/>
      </tp>
      <tp t="s">
        <v>Ferramenta Inválida</v>
        <stp/>
        <stp>BOOK0</stp>
        <stp>OCP</stp>
        <stp>676</stp>
        <tr r="B680" s="2"/>
      </tp>
      <tp t="s">
        <v>Ferramenta Inválida</v>
        <stp/>
        <stp>BOOK0</stp>
        <stp>OCP</stp>
        <stp>677</stp>
        <tr r="B681" s="2"/>
      </tp>
      <tp t="s">
        <v>Ferramenta Inválida</v>
        <stp/>
        <stp>BOOK0</stp>
        <stp>OCP</stp>
        <stp>674</stp>
        <tr r="B678" s="2"/>
      </tp>
      <tp t="s">
        <v>Ferramenta Inválida</v>
        <stp/>
        <stp>BOOK0</stp>
        <stp>OCP</stp>
        <stp>675</stp>
        <tr r="B679" s="2"/>
      </tp>
      <tp t="s">
        <v>Ferramenta Inválida</v>
        <stp/>
        <stp>BOOK0</stp>
        <stp>OCP</stp>
        <stp>668</stp>
        <tr r="B672" s="2"/>
      </tp>
      <tp t="s">
        <v>Ferramenta Inválida</v>
        <stp/>
        <stp>BOOK0</stp>
        <stp>OCP</stp>
        <stp>669</stp>
        <tr r="B673" s="2"/>
      </tp>
      <tp t="s">
        <v>Ferramenta Inválida</v>
        <stp/>
        <stp>BOOK0</stp>
        <stp>OCP</stp>
        <stp>662</stp>
        <tr r="B666" s="2"/>
      </tp>
      <tp t="s">
        <v>Ferramenta Inválida</v>
        <stp/>
        <stp>BOOK0</stp>
        <stp>OCP</stp>
        <stp>663</stp>
        <tr r="B667" s="2"/>
      </tp>
      <tp t="s">
        <v>Ferramenta Inválida</v>
        <stp/>
        <stp>BOOK0</stp>
        <stp>OCP</stp>
        <stp>660</stp>
        <tr r="B664" s="2"/>
      </tp>
      <tp t="s">
        <v>Ferramenta Inválida</v>
        <stp/>
        <stp>BOOK0</stp>
        <stp>OCP</stp>
        <stp>661</stp>
        <tr r="B665" s="2"/>
      </tp>
      <tp t="s">
        <v>Ferramenta Inválida</v>
        <stp/>
        <stp>BOOK0</stp>
        <stp>OCP</stp>
        <stp>666</stp>
        <tr r="B670" s="2"/>
      </tp>
      <tp t="s">
        <v>Ferramenta Inválida</v>
        <stp/>
        <stp>BOOK0</stp>
        <stp>OCP</stp>
        <stp>667</stp>
        <tr r="B671" s="2"/>
      </tp>
      <tp t="s">
        <v>Ferramenta Inválida</v>
        <stp/>
        <stp>BOOK0</stp>
        <stp>OCP</stp>
        <stp>664</stp>
        <tr r="B668" s="2"/>
      </tp>
      <tp t="s">
        <v>Ferramenta Inválida</v>
        <stp/>
        <stp>BOOK0</stp>
        <stp>OCP</stp>
        <stp>665</stp>
        <tr r="B669" s="2"/>
      </tp>
      <tp t="s">
        <v>Ferramenta Inválida</v>
        <stp/>
        <stp>BOOK0</stp>
        <stp>OCP</stp>
        <stp>618</stp>
        <tr r="B622" s="2"/>
      </tp>
      <tp t="s">
        <v>Ferramenta Inválida</v>
        <stp/>
        <stp>BOOK0</stp>
        <stp>OCP</stp>
        <stp>619</stp>
        <tr r="B623" s="2"/>
      </tp>
      <tp t="s">
        <v>Ferramenta Inválida</v>
        <stp/>
        <stp>BOOK0</stp>
        <stp>OCP</stp>
        <stp>612</stp>
        <tr r="B616" s="2"/>
      </tp>
      <tp t="s">
        <v>Ferramenta Inválida</v>
        <stp/>
        <stp>BOOK0</stp>
        <stp>OCP</stp>
        <stp>613</stp>
        <tr r="B617" s="2"/>
      </tp>
      <tp t="s">
        <v>Ferramenta Inválida</v>
        <stp/>
        <stp>BOOK0</stp>
        <stp>OCP</stp>
        <stp>610</stp>
        <tr r="B614" s="2"/>
      </tp>
      <tp t="s">
        <v>Ferramenta Inválida</v>
        <stp/>
        <stp>BOOK0</stp>
        <stp>OCP</stp>
        <stp>611</stp>
        <tr r="B615" s="2"/>
      </tp>
      <tp t="s">
        <v>Ferramenta Inválida</v>
        <stp/>
        <stp>BOOK0</stp>
        <stp>OCP</stp>
        <stp>616</stp>
        <tr r="B620" s="2"/>
      </tp>
      <tp t="s">
        <v>Ferramenta Inválida</v>
        <stp/>
        <stp>BOOK0</stp>
        <stp>OCP</stp>
        <stp>617</stp>
        <tr r="B621" s="2"/>
      </tp>
      <tp t="s">
        <v>Ferramenta Inválida</v>
        <stp/>
        <stp>BOOK0</stp>
        <stp>OCP</stp>
        <stp>614</stp>
        <tr r="B618" s="2"/>
      </tp>
      <tp t="s">
        <v>Ferramenta Inválida</v>
        <stp/>
        <stp>BOOK0</stp>
        <stp>OCP</stp>
        <stp>615</stp>
        <tr r="B619" s="2"/>
      </tp>
      <tp t="s">
        <v>Ferramenta Inválida</v>
        <stp/>
        <stp>BOOK0</stp>
        <stp>OCP</stp>
        <stp>608</stp>
        <tr r="B612" s="2"/>
      </tp>
      <tp t="s">
        <v>Ferramenta Inválida</v>
        <stp/>
        <stp>BOOK0</stp>
        <stp>OCP</stp>
        <stp>609</stp>
        <tr r="B613" s="2"/>
      </tp>
      <tp t="s">
        <v>Ferramenta Inválida</v>
        <stp/>
        <stp>BOOK0</stp>
        <stp>OCP</stp>
        <stp>602</stp>
        <tr r="B606" s="2"/>
      </tp>
      <tp t="s">
        <v>Ferramenta Inválida</v>
        <stp/>
        <stp>BOOK0</stp>
        <stp>OCP</stp>
        <stp>603</stp>
        <tr r="B607" s="2"/>
      </tp>
      <tp t="s">
        <v>Ferramenta Inválida</v>
        <stp/>
        <stp>BOOK0</stp>
        <stp>OCP</stp>
        <stp>600</stp>
        <tr r="B604" s="2"/>
      </tp>
      <tp t="s">
        <v>Ferramenta Inválida</v>
        <stp/>
        <stp>BOOK0</stp>
        <stp>OCP</stp>
        <stp>601</stp>
        <tr r="B605" s="2"/>
      </tp>
      <tp t="s">
        <v>Ferramenta Inválida</v>
        <stp/>
        <stp>BOOK0</stp>
        <stp>OCP</stp>
        <stp>606</stp>
        <tr r="B610" s="2"/>
      </tp>
      <tp t="s">
        <v>Ferramenta Inválida</v>
        <stp/>
        <stp>BOOK0</stp>
        <stp>OCP</stp>
        <stp>607</stp>
        <tr r="B611" s="2"/>
      </tp>
      <tp t="s">
        <v>Ferramenta Inválida</v>
        <stp/>
        <stp>BOOK0</stp>
        <stp>OCP</stp>
        <stp>604</stp>
        <tr r="B608" s="2"/>
      </tp>
      <tp t="s">
        <v>Ferramenta Inválida</v>
        <stp/>
        <stp>BOOK0</stp>
        <stp>OCP</stp>
        <stp>605</stp>
        <tr r="B609" s="2"/>
      </tp>
      <tp t="s">
        <v>Ferramenta Inválida</v>
        <stp/>
        <stp>BOOK0</stp>
        <stp>OCP</stp>
        <stp>638</stp>
        <tr r="B642" s="2"/>
      </tp>
      <tp t="s">
        <v>Ferramenta Inválida</v>
        <stp/>
        <stp>BOOK0</stp>
        <stp>OCP</stp>
        <stp>639</stp>
        <tr r="B643" s="2"/>
      </tp>
      <tp t="s">
        <v>Ferramenta Inválida</v>
        <stp/>
        <stp>BOOK0</stp>
        <stp>OCP</stp>
        <stp>632</stp>
        <tr r="B636" s="2"/>
      </tp>
      <tp t="s">
        <v>Ferramenta Inválida</v>
        <stp/>
        <stp>BOOK0</stp>
        <stp>OCP</stp>
        <stp>633</stp>
        <tr r="B637" s="2"/>
      </tp>
      <tp t="s">
        <v>Ferramenta Inválida</v>
        <stp/>
        <stp>BOOK0</stp>
        <stp>OCP</stp>
        <stp>630</stp>
        <tr r="B634" s="2"/>
      </tp>
      <tp t="s">
        <v>Ferramenta Inválida</v>
        <stp/>
        <stp>BOOK0</stp>
        <stp>OCP</stp>
        <stp>631</stp>
        <tr r="B635" s="2"/>
      </tp>
      <tp t="s">
        <v>Ferramenta Inválida</v>
        <stp/>
        <stp>BOOK0</stp>
        <stp>OCP</stp>
        <stp>636</stp>
        <tr r="B640" s="2"/>
      </tp>
      <tp t="s">
        <v>Ferramenta Inválida</v>
        <stp/>
        <stp>BOOK0</stp>
        <stp>OCP</stp>
        <stp>637</stp>
        <tr r="B641" s="2"/>
      </tp>
      <tp t="s">
        <v>Ferramenta Inválida</v>
        <stp/>
        <stp>BOOK0</stp>
        <stp>OCP</stp>
        <stp>634</stp>
        <tr r="B638" s="2"/>
      </tp>
      <tp t="s">
        <v>Ferramenta Inválida</v>
        <stp/>
        <stp>BOOK0</stp>
        <stp>OCP</stp>
        <stp>635</stp>
        <tr r="B639" s="2"/>
      </tp>
      <tp t="s">
        <v>Ferramenta Inválida</v>
        <stp/>
        <stp>BOOK0</stp>
        <stp>OCP</stp>
        <stp>628</stp>
        <tr r="B632" s="2"/>
      </tp>
      <tp t="s">
        <v>Ferramenta Inválida</v>
        <stp/>
        <stp>BOOK0</stp>
        <stp>OCP</stp>
        <stp>629</stp>
        <tr r="B633" s="2"/>
      </tp>
      <tp t="s">
        <v>Ferramenta Inválida</v>
        <stp/>
        <stp>BOOK0</stp>
        <stp>OCP</stp>
        <stp>622</stp>
        <tr r="B626" s="2"/>
      </tp>
      <tp t="s">
        <v>Ferramenta Inválida</v>
        <stp/>
        <stp>BOOK0</stp>
        <stp>OCP</stp>
        <stp>623</stp>
        <tr r="B627" s="2"/>
      </tp>
      <tp t="s">
        <v>Ferramenta Inválida</v>
        <stp/>
        <stp>BOOK0</stp>
        <stp>OCP</stp>
        <stp>620</stp>
        <tr r="B624" s="2"/>
      </tp>
      <tp t="s">
        <v>Ferramenta Inválida</v>
        <stp/>
        <stp>BOOK0</stp>
        <stp>OCP</stp>
        <stp>621</stp>
        <tr r="B625" s="2"/>
      </tp>
      <tp t="s">
        <v>Ferramenta Inválida</v>
        <stp/>
        <stp>BOOK0</stp>
        <stp>OCP</stp>
        <stp>626</stp>
        <tr r="B630" s="2"/>
      </tp>
      <tp t="s">
        <v>Ferramenta Inválida</v>
        <stp/>
        <stp>BOOK0</stp>
        <stp>OCP</stp>
        <stp>627</stp>
        <tr r="B631" s="2"/>
      </tp>
      <tp t="s">
        <v>Ferramenta Inválida</v>
        <stp/>
        <stp>BOOK0</stp>
        <stp>OCP</stp>
        <stp>624</stp>
        <tr r="B628" s="2"/>
      </tp>
      <tp t="s">
        <v>Ferramenta Inválida</v>
        <stp/>
        <stp>BOOK0</stp>
        <stp>OCP</stp>
        <stp>625</stp>
        <tr r="B629" s="2"/>
      </tp>
      <tp t="s">
        <v>Ferramenta Inválida</v>
        <stp/>
        <stp>BOOK0</stp>
        <stp>OVD</stp>
        <stp>788</stp>
        <tr r="C792" s="2"/>
      </tp>
      <tp t="s">
        <v>Ferramenta Inválida</v>
        <stp/>
        <stp>BOOK0</stp>
        <stp>OVD</stp>
        <stp>789</stp>
        <tr r="C793" s="2"/>
      </tp>
      <tp t="s">
        <v>Ferramenta Inválida</v>
        <stp/>
        <stp>BOOK0</stp>
        <stp>OVD</stp>
        <stp>786</stp>
        <tr r="C790" s="2"/>
      </tp>
      <tp t="s">
        <v>Ferramenta Inválida</v>
        <stp/>
        <stp>BOOK0</stp>
        <stp>OVD</stp>
        <stp>787</stp>
        <tr r="C791" s="2"/>
      </tp>
      <tp t="s">
        <v>Ferramenta Inválida</v>
        <stp/>
        <stp>BOOK0</stp>
        <stp>OVD</stp>
        <stp>784</stp>
        <tr r="C788" s="2"/>
      </tp>
      <tp t="s">
        <v>Ferramenta Inválida</v>
        <stp/>
        <stp>BOOK0</stp>
        <stp>OVD</stp>
        <stp>785</stp>
        <tr r="C789" s="2"/>
      </tp>
      <tp t="s">
        <v>Ferramenta Inválida</v>
        <stp/>
        <stp>BOOK0</stp>
        <stp>OVD</stp>
        <stp>782</stp>
        <tr r="C786" s="2"/>
      </tp>
      <tp t="s">
        <v>Ferramenta Inválida</v>
        <stp/>
        <stp>BOOK0</stp>
        <stp>OVD</stp>
        <stp>783</stp>
        <tr r="C787" s="2"/>
      </tp>
      <tp t="s">
        <v>Ferramenta Inválida</v>
        <stp/>
        <stp>BOOK0</stp>
        <stp>OVD</stp>
        <stp>780</stp>
        <tr r="C784" s="2"/>
      </tp>
      <tp t="s">
        <v>Ferramenta Inválida</v>
        <stp/>
        <stp>BOOK0</stp>
        <stp>OVD</stp>
        <stp>781</stp>
        <tr r="C785" s="2"/>
      </tp>
      <tp t="s">
        <v>Ferramenta Inválida</v>
        <stp/>
        <stp>BOOK0</stp>
        <stp>OVD</stp>
        <stp>798</stp>
        <tr r="C802" s="2"/>
      </tp>
      <tp t="s">
        <v>Ferramenta Inválida</v>
        <stp/>
        <stp>BOOK0</stp>
        <stp>OVD</stp>
        <stp>799</stp>
        <tr r="C803" s="2"/>
      </tp>
      <tp t="s">
        <v>Ferramenta Inválida</v>
        <stp/>
        <stp>BOOK0</stp>
        <stp>OVD</stp>
        <stp>796</stp>
        <tr r="C800" s="2"/>
      </tp>
      <tp t="s">
        <v>Ferramenta Inválida</v>
        <stp/>
        <stp>BOOK0</stp>
        <stp>OVD</stp>
        <stp>797</stp>
        <tr r="C801" s="2"/>
      </tp>
      <tp t="s">
        <v>Ferramenta Inválida</v>
        <stp/>
        <stp>BOOK0</stp>
        <stp>OVD</stp>
        <stp>794</stp>
        <tr r="C798" s="2"/>
      </tp>
      <tp t="s">
        <v>Ferramenta Inválida</v>
        <stp/>
        <stp>BOOK0</stp>
        <stp>OVD</stp>
        <stp>795</stp>
        <tr r="C799" s="2"/>
      </tp>
      <tp t="s">
        <v>Ferramenta Inválida</v>
        <stp/>
        <stp>BOOK0</stp>
        <stp>OVD</stp>
        <stp>792</stp>
        <tr r="C796" s="2"/>
      </tp>
      <tp t="s">
        <v>Ferramenta Inválida</v>
        <stp/>
        <stp>BOOK0</stp>
        <stp>OVD</stp>
        <stp>793</stp>
        <tr r="C797" s="2"/>
      </tp>
      <tp t="s">
        <v>Ferramenta Inválida</v>
        <stp/>
        <stp>BOOK0</stp>
        <stp>OVD</stp>
        <stp>790</stp>
        <tr r="C794" s="2"/>
      </tp>
      <tp t="s">
        <v>Ferramenta Inválida</v>
        <stp/>
        <stp>BOOK0</stp>
        <stp>OVD</stp>
        <stp>791</stp>
        <tr r="C795" s="2"/>
      </tp>
      <tp t="s">
        <v>Ferramenta Inválida</v>
        <stp/>
        <stp>BOOK0</stp>
        <stp>OVD</stp>
        <stp>708</stp>
        <tr r="C712" s="2"/>
      </tp>
      <tp t="s">
        <v>Ferramenta Inválida</v>
        <stp/>
        <stp>BOOK0</stp>
        <stp>OVD</stp>
        <stp>709</stp>
        <tr r="C713" s="2"/>
      </tp>
      <tp t="s">
        <v>Ferramenta Inválida</v>
        <stp/>
        <stp>BOOK0</stp>
        <stp>OVD</stp>
        <stp>706</stp>
        <tr r="C710" s="2"/>
      </tp>
      <tp t="s">
        <v>Ferramenta Inválida</v>
        <stp/>
        <stp>BOOK0</stp>
        <stp>OVD</stp>
        <stp>707</stp>
        <tr r="C711" s="2"/>
      </tp>
      <tp t="s">
        <v>Ferramenta Inválida</v>
        <stp/>
        <stp>BOOK0</stp>
        <stp>OVD</stp>
        <stp>704</stp>
        <tr r="C708" s="2"/>
      </tp>
      <tp t="s">
        <v>Ferramenta Inválida</v>
        <stp/>
        <stp>BOOK0</stp>
        <stp>OVD</stp>
        <stp>705</stp>
        <tr r="C709" s="2"/>
      </tp>
      <tp t="s">
        <v>Ferramenta Inválida</v>
        <stp/>
        <stp>BOOK0</stp>
        <stp>OVD</stp>
        <stp>702</stp>
        <tr r="C706" s="2"/>
      </tp>
      <tp t="s">
        <v>Ferramenta Inválida</v>
        <stp/>
        <stp>BOOK0</stp>
        <stp>OVD</stp>
        <stp>703</stp>
        <tr r="C707" s="2"/>
      </tp>
      <tp t="s">
        <v>Ferramenta Inválida</v>
        <stp/>
        <stp>BOOK0</stp>
        <stp>OVD</stp>
        <stp>700</stp>
        <tr r="C704" s="2"/>
      </tp>
      <tp t="s">
        <v>Ferramenta Inválida</v>
        <stp/>
        <stp>BOOK0</stp>
        <stp>OVD</stp>
        <stp>701</stp>
        <tr r="C705" s="2"/>
      </tp>
      <tp t="s">
        <v>Ferramenta Inválida</v>
        <stp/>
        <stp>BOOK0</stp>
        <stp>OVD</stp>
        <stp>718</stp>
        <tr r="C722" s="2"/>
      </tp>
      <tp t="s">
        <v>Ferramenta Inválida</v>
        <stp/>
        <stp>BOOK0</stp>
        <stp>OVD</stp>
        <stp>719</stp>
        <tr r="C723" s="2"/>
      </tp>
      <tp t="s">
        <v>Ferramenta Inválida</v>
        <stp/>
        <stp>BOOK0</stp>
        <stp>OVD</stp>
        <stp>716</stp>
        <tr r="C720" s="2"/>
      </tp>
      <tp t="s">
        <v>Ferramenta Inválida</v>
        <stp/>
        <stp>BOOK0</stp>
        <stp>OVD</stp>
        <stp>717</stp>
        <tr r="C721" s="2"/>
      </tp>
      <tp t="s">
        <v>Ferramenta Inválida</v>
        <stp/>
        <stp>BOOK0</stp>
        <stp>OVD</stp>
        <stp>714</stp>
        <tr r="C718" s="2"/>
      </tp>
      <tp t="s">
        <v>Ferramenta Inválida</v>
        <stp/>
        <stp>BOOK0</stp>
        <stp>OVD</stp>
        <stp>715</stp>
        <tr r="C719" s="2"/>
      </tp>
      <tp t="s">
        <v>Ferramenta Inválida</v>
        <stp/>
        <stp>BOOK0</stp>
        <stp>OVD</stp>
        <stp>712</stp>
        <tr r="C716" s="2"/>
      </tp>
      <tp t="s">
        <v>Ferramenta Inválida</v>
        <stp/>
        <stp>BOOK0</stp>
        <stp>OVD</stp>
        <stp>713</stp>
        <tr r="C717" s="2"/>
      </tp>
      <tp t="s">
        <v>Ferramenta Inválida</v>
        <stp/>
        <stp>BOOK0</stp>
        <stp>OVD</stp>
        <stp>710</stp>
        <tr r="C714" s="2"/>
      </tp>
      <tp t="s">
        <v>Ferramenta Inválida</v>
        <stp/>
        <stp>BOOK0</stp>
        <stp>OVD</stp>
        <stp>711</stp>
        <tr r="C715" s="2"/>
      </tp>
      <tp t="s">
        <v>Ferramenta Inválida</v>
        <stp/>
        <stp>BOOK0</stp>
        <stp>OVD</stp>
        <stp>728</stp>
        <tr r="C732" s="2"/>
      </tp>
      <tp t="s">
        <v>Ferramenta Inválida</v>
        <stp/>
        <stp>BOOK0</stp>
        <stp>OVD</stp>
        <stp>729</stp>
        <tr r="C733" s="2"/>
      </tp>
      <tp t="s">
        <v>Ferramenta Inválida</v>
        <stp/>
        <stp>BOOK0</stp>
        <stp>OVD</stp>
        <stp>726</stp>
        <tr r="C730" s="2"/>
      </tp>
      <tp t="s">
        <v>Ferramenta Inválida</v>
        <stp/>
        <stp>BOOK0</stp>
        <stp>OVD</stp>
        <stp>727</stp>
        <tr r="C731" s="2"/>
      </tp>
      <tp t="s">
        <v>Ferramenta Inválida</v>
        <stp/>
        <stp>BOOK0</stp>
        <stp>OVD</stp>
        <stp>724</stp>
        <tr r="C728" s="2"/>
      </tp>
      <tp t="s">
        <v>Ferramenta Inválida</v>
        <stp/>
        <stp>BOOK0</stp>
        <stp>OVD</stp>
        <stp>725</stp>
        <tr r="C729" s="2"/>
      </tp>
      <tp t="s">
        <v>Ferramenta Inválida</v>
        <stp/>
        <stp>BOOK0</stp>
        <stp>OVD</stp>
        <stp>722</stp>
        <tr r="C726" s="2"/>
      </tp>
      <tp t="s">
        <v>Ferramenta Inválida</v>
        <stp/>
        <stp>BOOK0</stp>
        <stp>OVD</stp>
        <stp>723</stp>
        <tr r="C727" s="2"/>
      </tp>
      <tp t="s">
        <v>Ferramenta Inválida</v>
        <stp/>
        <stp>BOOK0</stp>
        <stp>OVD</stp>
        <stp>720</stp>
        <tr r="C724" s="2"/>
      </tp>
      <tp t="s">
        <v>Ferramenta Inválida</v>
        <stp/>
        <stp>BOOK0</stp>
        <stp>OVD</stp>
        <stp>721</stp>
        <tr r="C725" s="2"/>
      </tp>
      <tp t="s">
        <v>Ferramenta Inválida</v>
        <stp/>
        <stp>BOOK0</stp>
        <stp>OVD</stp>
        <stp>738</stp>
        <tr r="C742" s="2"/>
      </tp>
      <tp t="s">
        <v>Ferramenta Inválida</v>
        <stp/>
        <stp>BOOK0</stp>
        <stp>OVD</stp>
        <stp>739</stp>
        <tr r="C743" s="2"/>
      </tp>
      <tp t="s">
        <v>Ferramenta Inválida</v>
        <stp/>
        <stp>BOOK0</stp>
        <stp>OVD</stp>
        <stp>736</stp>
        <tr r="C740" s="2"/>
      </tp>
      <tp t="s">
        <v>Ferramenta Inválida</v>
        <stp/>
        <stp>BOOK0</stp>
        <stp>OVD</stp>
        <stp>737</stp>
        <tr r="C741" s="2"/>
      </tp>
      <tp t="s">
        <v>Ferramenta Inválida</v>
        <stp/>
        <stp>BOOK0</stp>
        <stp>OVD</stp>
        <stp>734</stp>
        <tr r="C738" s="2"/>
      </tp>
      <tp t="s">
        <v>Ferramenta Inválida</v>
        <stp/>
        <stp>BOOK0</stp>
        <stp>OVD</stp>
        <stp>735</stp>
        <tr r="C739" s="2"/>
      </tp>
      <tp t="s">
        <v>Ferramenta Inválida</v>
        <stp/>
        <stp>BOOK0</stp>
        <stp>OVD</stp>
        <stp>732</stp>
        <tr r="C736" s="2"/>
      </tp>
      <tp t="s">
        <v>Ferramenta Inválida</v>
        <stp/>
        <stp>BOOK0</stp>
        <stp>OVD</stp>
        <stp>733</stp>
        <tr r="C737" s="2"/>
      </tp>
      <tp t="s">
        <v>Ferramenta Inválida</v>
        <stp/>
        <stp>BOOK0</stp>
        <stp>OVD</stp>
        <stp>730</stp>
        <tr r="C734" s="2"/>
      </tp>
      <tp t="s">
        <v>Ferramenta Inválida</v>
        <stp/>
        <stp>BOOK0</stp>
        <stp>OVD</stp>
        <stp>731</stp>
        <tr r="C735" s="2"/>
      </tp>
      <tp t="s">
        <v>Ferramenta Inválida</v>
        <stp/>
        <stp>BOOK0</stp>
        <stp>OVD</stp>
        <stp>748</stp>
        <tr r="C752" s="2"/>
      </tp>
      <tp t="s">
        <v>Ferramenta Inválida</v>
        <stp/>
        <stp>BOOK0</stp>
        <stp>OVD</stp>
        <stp>749</stp>
        <tr r="C753" s="2"/>
      </tp>
      <tp t="s">
        <v>Ferramenta Inválida</v>
        <stp/>
        <stp>BOOK0</stp>
        <stp>OVD</stp>
        <stp>746</stp>
        <tr r="C750" s="2"/>
      </tp>
      <tp t="s">
        <v>Ferramenta Inválida</v>
        <stp/>
        <stp>BOOK0</stp>
        <stp>OVD</stp>
        <stp>747</stp>
        <tr r="C751" s="2"/>
      </tp>
      <tp t="s">
        <v>Ferramenta Inválida</v>
        <stp/>
        <stp>BOOK0</stp>
        <stp>OVD</stp>
        <stp>744</stp>
        <tr r="C748" s="2"/>
      </tp>
      <tp t="s">
        <v>Ferramenta Inválida</v>
        <stp/>
        <stp>BOOK0</stp>
        <stp>OVD</stp>
        <stp>745</stp>
        <tr r="C749" s="2"/>
      </tp>
      <tp t="s">
        <v>Ferramenta Inválida</v>
        <stp/>
        <stp>BOOK0</stp>
        <stp>OVD</stp>
        <stp>742</stp>
        <tr r="C746" s="2"/>
      </tp>
      <tp t="s">
        <v>Ferramenta Inválida</v>
        <stp/>
        <stp>BOOK0</stp>
        <stp>OVD</stp>
        <stp>743</stp>
        <tr r="C747" s="2"/>
      </tp>
      <tp t="s">
        <v>Ferramenta Inválida</v>
        <stp/>
        <stp>BOOK0</stp>
        <stp>OVD</stp>
        <stp>740</stp>
        <tr r="C744" s="2"/>
      </tp>
      <tp t="s">
        <v>Ferramenta Inválida</v>
        <stp/>
        <stp>BOOK0</stp>
        <stp>OVD</stp>
        <stp>741</stp>
        <tr r="C745" s="2"/>
      </tp>
      <tp t="s">
        <v>Ferramenta Inválida</v>
        <stp/>
        <stp>BOOK0</stp>
        <stp>OVD</stp>
        <stp>758</stp>
        <tr r="C762" s="2"/>
      </tp>
      <tp t="s">
        <v>Ferramenta Inválida</v>
        <stp/>
        <stp>BOOK0</stp>
        <stp>OVD</stp>
        <stp>759</stp>
        <tr r="C763" s="2"/>
      </tp>
      <tp t="s">
        <v>Ferramenta Inválida</v>
        <stp/>
        <stp>BOOK0</stp>
        <stp>OVD</stp>
        <stp>756</stp>
        <tr r="C760" s="2"/>
      </tp>
      <tp t="s">
        <v>Ferramenta Inválida</v>
        <stp/>
        <stp>BOOK0</stp>
        <stp>OVD</stp>
        <stp>757</stp>
        <tr r="C761" s="2"/>
      </tp>
      <tp t="s">
        <v>Ferramenta Inválida</v>
        <stp/>
        <stp>BOOK0</stp>
        <stp>OVD</stp>
        <stp>754</stp>
        <tr r="C758" s="2"/>
      </tp>
      <tp t="s">
        <v>Ferramenta Inválida</v>
        <stp/>
        <stp>BOOK0</stp>
        <stp>OVD</stp>
        <stp>755</stp>
        <tr r="C759" s="2"/>
      </tp>
      <tp t="s">
        <v>Ferramenta Inválida</v>
        <stp/>
        <stp>BOOK0</stp>
        <stp>OVD</stp>
        <stp>752</stp>
        <tr r="C756" s="2"/>
      </tp>
      <tp t="s">
        <v>Ferramenta Inválida</v>
        <stp/>
        <stp>BOOK0</stp>
        <stp>OVD</stp>
        <stp>753</stp>
        <tr r="C757" s="2"/>
      </tp>
      <tp t="s">
        <v>Ferramenta Inválida</v>
        <stp/>
        <stp>BOOK0</stp>
        <stp>OVD</stp>
        <stp>750</stp>
        <tr r="C754" s="2"/>
      </tp>
      <tp t="s">
        <v>Ferramenta Inválida</v>
        <stp/>
        <stp>BOOK0</stp>
        <stp>OVD</stp>
        <stp>751</stp>
        <tr r="C755" s="2"/>
      </tp>
      <tp t="s">
        <v>Ferramenta Inválida</v>
        <stp/>
        <stp>BOOK0</stp>
        <stp>OVD</stp>
        <stp>768</stp>
        <tr r="C772" s="2"/>
      </tp>
      <tp t="s">
        <v>Ferramenta Inválida</v>
        <stp/>
        <stp>BOOK0</stp>
        <stp>OVD</stp>
        <stp>769</stp>
        <tr r="C773" s="2"/>
      </tp>
      <tp t="s">
        <v>Ferramenta Inválida</v>
        <stp/>
        <stp>BOOK0</stp>
        <stp>OVD</stp>
        <stp>766</stp>
        <tr r="C770" s="2"/>
      </tp>
      <tp t="s">
        <v>Ferramenta Inválida</v>
        <stp/>
        <stp>BOOK0</stp>
        <stp>OVD</stp>
        <stp>767</stp>
        <tr r="C771" s="2"/>
      </tp>
      <tp t="s">
        <v>Ferramenta Inválida</v>
        <stp/>
        <stp>BOOK0</stp>
        <stp>OVD</stp>
        <stp>764</stp>
        <tr r="C768" s="2"/>
      </tp>
      <tp t="s">
        <v>Ferramenta Inválida</v>
        <stp/>
        <stp>BOOK0</stp>
        <stp>OVD</stp>
        <stp>765</stp>
        <tr r="C769" s="2"/>
      </tp>
      <tp t="s">
        <v>Ferramenta Inválida</v>
        <stp/>
        <stp>BOOK0</stp>
        <stp>OVD</stp>
        <stp>762</stp>
        <tr r="C766" s="2"/>
      </tp>
      <tp t="s">
        <v>Ferramenta Inválida</v>
        <stp/>
        <stp>BOOK0</stp>
        <stp>OVD</stp>
        <stp>763</stp>
        <tr r="C767" s="2"/>
      </tp>
      <tp t="s">
        <v>Ferramenta Inválida</v>
        <stp/>
        <stp>BOOK0</stp>
        <stp>OVD</stp>
        <stp>760</stp>
        <tr r="C764" s="2"/>
      </tp>
      <tp t="s">
        <v>Ferramenta Inválida</v>
        <stp/>
        <stp>BOOK0</stp>
        <stp>OVD</stp>
        <stp>761</stp>
        <tr r="C765" s="2"/>
      </tp>
      <tp t="s">
        <v>Ferramenta Inválida</v>
        <stp/>
        <stp>BOOK0</stp>
        <stp>OVD</stp>
        <stp>778</stp>
        <tr r="C782" s="2"/>
      </tp>
      <tp t="s">
        <v>Ferramenta Inválida</v>
        <stp/>
        <stp>BOOK0</stp>
        <stp>OVD</stp>
        <stp>779</stp>
        <tr r="C783" s="2"/>
      </tp>
      <tp t="s">
        <v>Ferramenta Inválida</v>
        <stp/>
        <stp>BOOK0</stp>
        <stp>OVD</stp>
        <stp>776</stp>
        <tr r="C780" s="2"/>
      </tp>
      <tp t="s">
        <v>Ferramenta Inválida</v>
        <stp/>
        <stp>BOOK0</stp>
        <stp>OVD</stp>
        <stp>777</stp>
        <tr r="C781" s="2"/>
      </tp>
      <tp t="s">
        <v>Ferramenta Inválida</v>
        <stp/>
        <stp>BOOK0</stp>
        <stp>OVD</stp>
        <stp>774</stp>
        <tr r="C778" s="2"/>
      </tp>
      <tp t="s">
        <v>Ferramenta Inválida</v>
        <stp/>
        <stp>BOOK0</stp>
        <stp>OVD</stp>
        <stp>775</stp>
        <tr r="C779" s="2"/>
      </tp>
      <tp t="s">
        <v>Ferramenta Inválida</v>
        <stp/>
        <stp>BOOK0</stp>
        <stp>OVD</stp>
        <stp>772</stp>
        <tr r="C776" s="2"/>
      </tp>
      <tp t="s">
        <v>Ferramenta Inválida</v>
        <stp/>
        <stp>BOOK0</stp>
        <stp>OVD</stp>
        <stp>773</stp>
        <tr r="C777" s="2"/>
      </tp>
      <tp t="s">
        <v>Ferramenta Inválida</v>
        <stp/>
        <stp>BOOK0</stp>
        <stp>OVD</stp>
        <stp>770</stp>
        <tr r="C774" s="2"/>
      </tp>
      <tp t="s">
        <v>Ferramenta Inválida</v>
        <stp/>
        <stp>BOOK0</stp>
        <stp>OVD</stp>
        <stp>771</stp>
        <tr r="C775" s="2"/>
      </tp>
      <tp t="s">
        <v>Ferramenta Inválida</v>
        <stp/>
        <stp>BOOK0</stp>
        <stp>OCP</stp>
        <stp>798</stp>
        <tr r="B802" s="2"/>
      </tp>
      <tp t="s">
        <v>Ferramenta Inválida</v>
        <stp/>
        <stp>BOOK0</stp>
        <stp>OCP</stp>
        <stp>799</stp>
        <tr r="B803" s="2"/>
      </tp>
      <tp t="s">
        <v>Ferramenta Inválida</v>
        <stp/>
        <stp>BOOK0</stp>
        <stp>OCP</stp>
        <stp>792</stp>
        <tr r="B796" s="2"/>
      </tp>
      <tp t="s">
        <v>Ferramenta Inválida</v>
        <stp/>
        <stp>BOOK0</stp>
        <stp>OCP</stp>
        <stp>793</stp>
        <tr r="B797" s="2"/>
      </tp>
      <tp t="s">
        <v>Ferramenta Inválida</v>
        <stp/>
        <stp>BOOK0</stp>
        <stp>OCP</stp>
        <stp>790</stp>
        <tr r="B794" s="2"/>
      </tp>
      <tp t="s">
        <v>Ferramenta Inválida</v>
        <stp/>
        <stp>BOOK0</stp>
        <stp>OCP</stp>
        <stp>791</stp>
        <tr r="B795" s="2"/>
      </tp>
      <tp t="s">
        <v>Ferramenta Inválida</v>
        <stp/>
        <stp>BOOK0</stp>
        <stp>OCP</stp>
        <stp>796</stp>
        <tr r="B800" s="2"/>
      </tp>
      <tp t="s">
        <v>Ferramenta Inválida</v>
        <stp/>
        <stp>BOOK0</stp>
        <stp>OCP</stp>
        <stp>797</stp>
        <tr r="B801" s="2"/>
      </tp>
      <tp t="s">
        <v>Ferramenta Inválida</v>
        <stp/>
        <stp>BOOK0</stp>
        <stp>OCP</stp>
        <stp>794</stp>
        <tr r="B798" s="2"/>
      </tp>
      <tp t="s">
        <v>Ferramenta Inválida</v>
        <stp/>
        <stp>BOOK0</stp>
        <stp>OCP</stp>
        <stp>795</stp>
        <tr r="B799" s="2"/>
      </tp>
      <tp t="s">
        <v>Ferramenta Inválida</v>
        <stp/>
        <stp>BOOK0</stp>
        <stp>OCP</stp>
        <stp>788</stp>
        <tr r="B792" s="2"/>
      </tp>
      <tp t="s">
        <v>Ferramenta Inválida</v>
        <stp/>
        <stp>BOOK0</stp>
        <stp>OCP</stp>
        <stp>789</stp>
        <tr r="B793" s="2"/>
      </tp>
      <tp t="s">
        <v>Ferramenta Inválida</v>
        <stp/>
        <stp>BOOK0</stp>
        <stp>OCP</stp>
        <stp>782</stp>
        <tr r="B786" s="2"/>
      </tp>
      <tp t="s">
        <v>Ferramenta Inválida</v>
        <stp/>
        <stp>BOOK0</stp>
        <stp>OCP</stp>
        <stp>783</stp>
        <tr r="B787" s="2"/>
      </tp>
      <tp t="s">
        <v>Ferramenta Inválida</v>
        <stp/>
        <stp>BOOK0</stp>
        <stp>OCP</stp>
        <stp>780</stp>
        <tr r="B784" s="2"/>
      </tp>
      <tp t="s">
        <v>Ferramenta Inválida</v>
        <stp/>
        <stp>BOOK0</stp>
        <stp>OCP</stp>
        <stp>781</stp>
        <tr r="B785" s="2"/>
      </tp>
      <tp t="s">
        <v>Ferramenta Inválida</v>
        <stp/>
        <stp>BOOK0</stp>
        <stp>OCP</stp>
        <stp>786</stp>
        <tr r="B790" s="2"/>
      </tp>
      <tp t="s">
        <v>Ferramenta Inválida</v>
        <stp/>
        <stp>BOOK0</stp>
        <stp>OCP</stp>
        <stp>787</stp>
        <tr r="B791" s="2"/>
      </tp>
      <tp t="s">
        <v>Ferramenta Inválida</v>
        <stp/>
        <stp>BOOK0</stp>
        <stp>OCP</stp>
        <stp>784</stp>
        <tr r="B788" s="2"/>
      </tp>
      <tp t="s">
        <v>Ferramenta Inválida</v>
        <stp/>
        <stp>BOOK0</stp>
        <stp>OCP</stp>
        <stp>785</stp>
        <tr r="B789" s="2"/>
      </tp>
      <tp t="s">
        <v>Ferramenta Inválida</v>
        <stp/>
        <stp>BOOK0</stp>
        <stp>OCP</stp>
        <stp>758</stp>
        <tr r="B762" s="2"/>
      </tp>
      <tp t="s">
        <v>Ferramenta Inválida</v>
        <stp/>
        <stp>BOOK0</stp>
        <stp>OCP</stp>
        <stp>759</stp>
        <tr r="B763" s="2"/>
      </tp>
      <tp t="s">
        <v>Ferramenta Inválida</v>
        <stp/>
        <stp>BOOK0</stp>
        <stp>OCP</stp>
        <stp>752</stp>
        <tr r="B756" s="2"/>
      </tp>
      <tp t="s">
        <v>Ferramenta Inválida</v>
        <stp/>
        <stp>BOOK0</stp>
        <stp>OCP</stp>
        <stp>753</stp>
        <tr r="B757" s="2"/>
      </tp>
      <tp t="s">
        <v>Ferramenta Inválida</v>
        <stp/>
        <stp>BOOK0</stp>
        <stp>OCP</stp>
        <stp>750</stp>
        <tr r="B754" s="2"/>
      </tp>
      <tp t="s">
        <v>Ferramenta Inválida</v>
        <stp/>
        <stp>BOOK0</stp>
        <stp>OCP</stp>
        <stp>751</stp>
        <tr r="B755" s="2"/>
      </tp>
      <tp t="s">
        <v>Ferramenta Inválida</v>
        <stp/>
        <stp>BOOK0</stp>
        <stp>OCP</stp>
        <stp>756</stp>
        <tr r="B760" s="2"/>
      </tp>
      <tp t="s">
        <v>Ferramenta Inválida</v>
        <stp/>
        <stp>BOOK0</stp>
        <stp>OCP</stp>
        <stp>757</stp>
        <tr r="B761" s="2"/>
      </tp>
      <tp t="s">
        <v>Ferramenta Inválida</v>
        <stp/>
        <stp>BOOK0</stp>
        <stp>OCP</stp>
        <stp>754</stp>
        <tr r="B758" s="2"/>
      </tp>
      <tp t="s">
        <v>Ferramenta Inválida</v>
        <stp/>
        <stp>BOOK0</stp>
        <stp>OCP</stp>
        <stp>755</stp>
        <tr r="B759" s="2"/>
      </tp>
      <tp t="s">
        <v>Ferramenta Inválida</v>
        <stp/>
        <stp>BOOK0</stp>
        <stp>OCP</stp>
        <stp>748</stp>
        <tr r="B752" s="2"/>
      </tp>
      <tp t="s">
        <v>Ferramenta Inválida</v>
        <stp/>
        <stp>BOOK0</stp>
        <stp>OCP</stp>
        <stp>749</stp>
        <tr r="B753" s="2"/>
      </tp>
      <tp t="s">
        <v>Ferramenta Inválida</v>
        <stp/>
        <stp>BOOK0</stp>
        <stp>OCP</stp>
        <stp>742</stp>
        <tr r="B746" s="2"/>
      </tp>
      <tp t="s">
        <v>Ferramenta Inválida</v>
        <stp/>
        <stp>BOOK0</stp>
        <stp>OCP</stp>
        <stp>743</stp>
        <tr r="B747" s="2"/>
      </tp>
      <tp t="s">
        <v>Ferramenta Inválida</v>
        <stp/>
        <stp>BOOK0</stp>
        <stp>OCP</stp>
        <stp>740</stp>
        <tr r="B744" s="2"/>
      </tp>
      <tp t="s">
        <v>Ferramenta Inválida</v>
        <stp/>
        <stp>BOOK0</stp>
        <stp>OCP</stp>
        <stp>741</stp>
        <tr r="B745" s="2"/>
      </tp>
      <tp t="s">
        <v>Ferramenta Inválida</v>
        <stp/>
        <stp>BOOK0</stp>
        <stp>OCP</stp>
        <stp>746</stp>
        <tr r="B750" s="2"/>
      </tp>
      <tp t="s">
        <v>Ferramenta Inválida</v>
        <stp/>
        <stp>BOOK0</stp>
        <stp>OCP</stp>
        <stp>747</stp>
        <tr r="B751" s="2"/>
      </tp>
      <tp t="s">
        <v>Ferramenta Inválida</v>
        <stp/>
        <stp>BOOK0</stp>
        <stp>OCP</stp>
        <stp>744</stp>
        <tr r="B748" s="2"/>
      </tp>
      <tp t="s">
        <v>Ferramenta Inválida</v>
        <stp/>
        <stp>BOOK0</stp>
        <stp>OCP</stp>
        <stp>745</stp>
        <tr r="B749" s="2"/>
      </tp>
      <tp t="s">
        <v>Ferramenta Inválida</v>
        <stp/>
        <stp>BOOK0</stp>
        <stp>OCP</stp>
        <stp>778</stp>
        <tr r="B782" s="2"/>
      </tp>
      <tp t="s">
        <v>Ferramenta Inválida</v>
        <stp/>
        <stp>BOOK0</stp>
        <stp>OCP</stp>
        <stp>779</stp>
        <tr r="B783" s="2"/>
      </tp>
      <tp t="s">
        <v>Ferramenta Inválida</v>
        <stp/>
        <stp>BOOK0</stp>
        <stp>OCP</stp>
        <stp>772</stp>
        <tr r="B776" s="2"/>
      </tp>
      <tp t="s">
        <v>Ferramenta Inválida</v>
        <stp/>
        <stp>BOOK0</stp>
        <stp>OCP</stp>
        <stp>773</stp>
        <tr r="B777" s="2"/>
      </tp>
      <tp t="s">
        <v>Ferramenta Inválida</v>
        <stp/>
        <stp>BOOK0</stp>
        <stp>OCP</stp>
        <stp>770</stp>
        <tr r="B774" s="2"/>
      </tp>
      <tp t="s">
        <v>Ferramenta Inválida</v>
        <stp/>
        <stp>BOOK0</stp>
        <stp>OCP</stp>
        <stp>771</stp>
        <tr r="B775" s="2"/>
      </tp>
      <tp t="s">
        <v>Ferramenta Inválida</v>
        <stp/>
        <stp>BOOK0</stp>
        <stp>OCP</stp>
        <stp>776</stp>
        <tr r="B780" s="2"/>
      </tp>
      <tp t="s">
        <v>Ferramenta Inválida</v>
        <stp/>
        <stp>BOOK0</stp>
        <stp>OCP</stp>
        <stp>777</stp>
        <tr r="B781" s="2"/>
      </tp>
      <tp t="s">
        <v>Ferramenta Inválida</v>
        <stp/>
        <stp>BOOK0</stp>
        <stp>OCP</stp>
        <stp>774</stp>
        <tr r="B778" s="2"/>
      </tp>
      <tp t="s">
        <v>Ferramenta Inválida</v>
        <stp/>
        <stp>BOOK0</stp>
        <stp>OCP</stp>
        <stp>775</stp>
        <tr r="B779" s="2"/>
      </tp>
      <tp t="s">
        <v>Ferramenta Inválida</v>
        <stp/>
        <stp>BOOK0</stp>
        <stp>OCP</stp>
        <stp>768</stp>
        <tr r="B772" s="2"/>
      </tp>
      <tp t="s">
        <v>Ferramenta Inválida</v>
        <stp/>
        <stp>BOOK0</stp>
        <stp>OCP</stp>
        <stp>769</stp>
        <tr r="B773" s="2"/>
      </tp>
      <tp t="s">
        <v>Ferramenta Inválida</v>
        <stp/>
        <stp>BOOK0</stp>
        <stp>OCP</stp>
        <stp>762</stp>
        <tr r="B766" s="2"/>
      </tp>
      <tp t="s">
        <v>Ferramenta Inválida</v>
        <stp/>
        <stp>BOOK0</stp>
        <stp>OCP</stp>
        <stp>763</stp>
        <tr r="B767" s="2"/>
      </tp>
      <tp t="s">
        <v>Ferramenta Inválida</v>
        <stp/>
        <stp>BOOK0</stp>
        <stp>OCP</stp>
        <stp>760</stp>
        <tr r="B764" s="2"/>
      </tp>
      <tp t="s">
        <v>Ferramenta Inválida</v>
        <stp/>
        <stp>BOOK0</stp>
        <stp>OCP</stp>
        <stp>761</stp>
        <tr r="B765" s="2"/>
      </tp>
      <tp t="s">
        <v>Ferramenta Inválida</v>
        <stp/>
        <stp>BOOK0</stp>
        <stp>OCP</stp>
        <stp>766</stp>
        <tr r="B770" s="2"/>
      </tp>
      <tp t="s">
        <v>Ferramenta Inválida</v>
        <stp/>
        <stp>BOOK0</stp>
        <stp>OCP</stp>
        <stp>767</stp>
        <tr r="B771" s="2"/>
      </tp>
      <tp t="s">
        <v>Ferramenta Inválida</v>
        <stp/>
        <stp>BOOK0</stp>
        <stp>OCP</stp>
        <stp>764</stp>
        <tr r="B768" s="2"/>
      </tp>
      <tp t="s">
        <v>Ferramenta Inválida</v>
        <stp/>
        <stp>BOOK0</stp>
        <stp>OCP</stp>
        <stp>765</stp>
        <tr r="B769" s="2"/>
      </tp>
      <tp t="s">
        <v>Ferramenta Inválida</v>
        <stp/>
        <stp>BOOK0</stp>
        <stp>OCP</stp>
        <stp>718</stp>
        <tr r="B722" s="2"/>
      </tp>
      <tp t="s">
        <v>Ferramenta Inválida</v>
        <stp/>
        <stp>BOOK0</stp>
        <stp>OCP</stp>
        <stp>719</stp>
        <tr r="B723" s="2"/>
      </tp>
      <tp t="s">
        <v>Ferramenta Inválida</v>
        <stp/>
        <stp>BOOK0</stp>
        <stp>OCP</stp>
        <stp>712</stp>
        <tr r="B716" s="2"/>
      </tp>
      <tp t="s">
        <v>Ferramenta Inválida</v>
        <stp/>
        <stp>BOOK0</stp>
        <stp>OCP</stp>
        <stp>713</stp>
        <tr r="B717" s="2"/>
      </tp>
      <tp t="s">
        <v>Ferramenta Inválida</v>
        <stp/>
        <stp>BOOK0</stp>
        <stp>OCP</stp>
        <stp>710</stp>
        <tr r="B714" s="2"/>
      </tp>
      <tp t="s">
        <v>Ferramenta Inválida</v>
        <stp/>
        <stp>BOOK0</stp>
        <stp>OCP</stp>
        <stp>711</stp>
        <tr r="B715" s="2"/>
      </tp>
      <tp t="s">
        <v>Ferramenta Inválida</v>
        <stp/>
        <stp>BOOK0</stp>
        <stp>OCP</stp>
        <stp>716</stp>
        <tr r="B720" s="2"/>
      </tp>
      <tp t="s">
        <v>Ferramenta Inválida</v>
        <stp/>
        <stp>BOOK0</stp>
        <stp>OCP</stp>
        <stp>717</stp>
        <tr r="B721" s="2"/>
      </tp>
      <tp t="s">
        <v>Ferramenta Inválida</v>
        <stp/>
        <stp>BOOK0</stp>
        <stp>OCP</stp>
        <stp>714</stp>
        <tr r="B718" s="2"/>
      </tp>
      <tp t="s">
        <v>Ferramenta Inválida</v>
        <stp/>
        <stp>BOOK0</stp>
        <stp>OCP</stp>
        <stp>715</stp>
        <tr r="B719" s="2"/>
      </tp>
      <tp t="s">
        <v>Ferramenta Inválida</v>
        <stp/>
        <stp>BOOK0</stp>
        <stp>OCP</stp>
        <stp>708</stp>
        <tr r="B712" s="2"/>
      </tp>
      <tp t="s">
        <v>Ferramenta Inválida</v>
        <stp/>
        <stp>BOOK0</stp>
        <stp>OCP</stp>
        <stp>709</stp>
        <tr r="B713" s="2"/>
      </tp>
      <tp t="s">
        <v>Ferramenta Inválida</v>
        <stp/>
        <stp>BOOK0</stp>
        <stp>OCP</stp>
        <stp>702</stp>
        <tr r="B706" s="2"/>
      </tp>
      <tp t="s">
        <v>Ferramenta Inválida</v>
        <stp/>
        <stp>BOOK0</stp>
        <stp>OCP</stp>
        <stp>703</stp>
        <tr r="B707" s="2"/>
      </tp>
      <tp t="s">
        <v>Ferramenta Inválida</v>
        <stp/>
        <stp>BOOK0</stp>
        <stp>OCP</stp>
        <stp>700</stp>
        <tr r="B704" s="2"/>
      </tp>
      <tp t="s">
        <v>Ferramenta Inválida</v>
        <stp/>
        <stp>BOOK0</stp>
        <stp>OCP</stp>
        <stp>701</stp>
        <tr r="B705" s="2"/>
      </tp>
      <tp t="s">
        <v>Ferramenta Inválida</v>
        <stp/>
        <stp>BOOK0</stp>
        <stp>OCP</stp>
        <stp>706</stp>
        <tr r="B710" s="2"/>
      </tp>
      <tp t="s">
        <v>Ferramenta Inválida</v>
        <stp/>
        <stp>BOOK0</stp>
        <stp>OCP</stp>
        <stp>707</stp>
        <tr r="B711" s="2"/>
      </tp>
      <tp t="s">
        <v>Ferramenta Inválida</v>
        <stp/>
        <stp>BOOK0</stp>
        <stp>OCP</stp>
        <stp>704</stp>
        <tr r="B708" s="2"/>
      </tp>
      <tp t="s">
        <v>Ferramenta Inválida</v>
        <stp/>
        <stp>BOOK0</stp>
        <stp>OCP</stp>
        <stp>705</stp>
        <tr r="B709" s="2"/>
      </tp>
      <tp t="s">
        <v>Ferramenta Inválida</v>
        <stp/>
        <stp>BOOK0</stp>
        <stp>OCP</stp>
        <stp>738</stp>
        <tr r="B742" s="2"/>
      </tp>
      <tp t="s">
        <v>Ferramenta Inválida</v>
        <stp/>
        <stp>BOOK0</stp>
        <stp>OCP</stp>
        <stp>739</stp>
        <tr r="B743" s="2"/>
      </tp>
      <tp t="s">
        <v>Ferramenta Inválida</v>
        <stp/>
        <stp>BOOK0</stp>
        <stp>OCP</stp>
        <stp>732</stp>
        <tr r="B736" s="2"/>
      </tp>
      <tp t="s">
        <v>Ferramenta Inválida</v>
        <stp/>
        <stp>BOOK0</stp>
        <stp>OCP</stp>
        <stp>733</stp>
        <tr r="B737" s="2"/>
      </tp>
      <tp t="s">
        <v>Ferramenta Inválida</v>
        <stp/>
        <stp>BOOK0</stp>
        <stp>OCP</stp>
        <stp>730</stp>
        <tr r="B734" s="2"/>
      </tp>
      <tp t="s">
        <v>Ferramenta Inválida</v>
        <stp/>
        <stp>BOOK0</stp>
        <stp>OCP</stp>
        <stp>731</stp>
        <tr r="B735" s="2"/>
      </tp>
      <tp t="s">
        <v>Ferramenta Inválida</v>
        <stp/>
        <stp>BOOK0</stp>
        <stp>OCP</stp>
        <stp>736</stp>
        <tr r="B740" s="2"/>
      </tp>
      <tp t="s">
        <v>Ferramenta Inválida</v>
        <stp/>
        <stp>BOOK0</stp>
        <stp>OCP</stp>
        <stp>737</stp>
        <tr r="B741" s="2"/>
      </tp>
      <tp t="s">
        <v>Ferramenta Inválida</v>
        <stp/>
        <stp>BOOK0</stp>
        <stp>OCP</stp>
        <stp>734</stp>
        <tr r="B738" s="2"/>
      </tp>
      <tp t="s">
        <v>Ferramenta Inválida</v>
        <stp/>
        <stp>BOOK0</stp>
        <stp>OCP</stp>
        <stp>735</stp>
        <tr r="B739" s="2"/>
      </tp>
      <tp t="s">
        <v>Ferramenta Inválida</v>
        <stp/>
        <stp>BOOK0</stp>
        <stp>OCP</stp>
        <stp>728</stp>
        <tr r="B732" s="2"/>
      </tp>
      <tp t="s">
        <v>Ferramenta Inválida</v>
        <stp/>
        <stp>BOOK0</stp>
        <stp>OCP</stp>
        <stp>729</stp>
        <tr r="B733" s="2"/>
      </tp>
      <tp t="s">
        <v>Ferramenta Inválida</v>
        <stp/>
        <stp>BOOK0</stp>
        <stp>OCP</stp>
        <stp>722</stp>
        <tr r="B726" s="2"/>
      </tp>
      <tp t="s">
        <v>Ferramenta Inválida</v>
        <stp/>
        <stp>BOOK0</stp>
        <stp>OCP</stp>
        <stp>723</stp>
        <tr r="B727" s="2"/>
      </tp>
      <tp t="s">
        <v>Ferramenta Inválida</v>
        <stp/>
        <stp>BOOK0</stp>
        <stp>OCP</stp>
        <stp>720</stp>
        <tr r="B724" s="2"/>
      </tp>
      <tp t="s">
        <v>Ferramenta Inválida</v>
        <stp/>
        <stp>BOOK0</stp>
        <stp>OCP</stp>
        <stp>721</stp>
        <tr r="B725" s="2"/>
      </tp>
      <tp t="s">
        <v>Ferramenta Inválida</v>
        <stp/>
        <stp>BOOK0</stp>
        <stp>OCP</stp>
        <stp>726</stp>
        <tr r="B730" s="2"/>
      </tp>
      <tp t="s">
        <v>Ferramenta Inválida</v>
        <stp/>
        <stp>BOOK0</stp>
        <stp>OCP</stp>
        <stp>727</stp>
        <tr r="B731" s="2"/>
      </tp>
      <tp t="s">
        <v>Ferramenta Inválida</v>
        <stp/>
        <stp>BOOK0</stp>
        <stp>OCP</stp>
        <stp>724</stp>
        <tr r="B728" s="2"/>
      </tp>
      <tp t="s">
        <v>Ferramenta Inválida</v>
        <stp/>
        <stp>BOOK0</stp>
        <stp>OCP</stp>
        <stp>725</stp>
        <tr r="B72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1003"/>
  <sheetViews>
    <sheetView tabSelected="1" topLeftCell="S1" zoomScale="85" zoomScaleNormal="85" workbookViewId="0">
      <selection activeCell="Y20" sqref="Y20"/>
    </sheetView>
  </sheetViews>
  <sheetFormatPr defaultRowHeight="15.75" x14ac:dyDescent="0.25"/>
  <cols>
    <col min="1" max="4" width="14.28515625" style="1" bestFit="1" customWidth="1"/>
    <col min="5" max="5" width="3.140625" style="1" customWidth="1"/>
    <col min="6" max="6" width="5.85546875" style="1" bestFit="1" customWidth="1"/>
    <col min="7" max="7" width="8.5703125" style="1" bestFit="1" customWidth="1"/>
    <col min="8" max="8" width="8.85546875" style="1" bestFit="1" customWidth="1"/>
    <col min="9" max="9" width="5.85546875" style="1" bestFit="1" customWidth="1"/>
    <col min="10" max="10" width="3.140625" style="1" customWidth="1"/>
    <col min="11" max="12" width="10" style="1" bestFit="1" customWidth="1"/>
    <col min="13" max="13" width="3.140625" style="1" customWidth="1"/>
    <col min="14" max="14" width="3.5703125" style="1" bestFit="1" customWidth="1"/>
    <col min="15" max="16" width="10" style="1" bestFit="1" customWidth="1"/>
    <col min="17" max="17" width="2.28515625" style="1" bestFit="1" customWidth="1"/>
    <col min="18" max="18" width="3.140625" style="1" customWidth="1"/>
    <col min="19" max="19" width="10.85546875" style="1" customWidth="1"/>
    <col min="20" max="21" width="12.5703125" style="1" bestFit="1" customWidth="1"/>
    <col min="22" max="22" width="11.28515625" style="1" customWidth="1"/>
    <col min="23" max="23" width="12" style="2" customWidth="1"/>
    <col min="24" max="24" width="12" style="2" bestFit="1" customWidth="1"/>
  </cols>
  <sheetData>
    <row r="1" spans="1:252" x14ac:dyDescent="0.25">
      <c r="A1" s="29" t="str">
        <f>RTD("rtdtrading.rtdserver",, "BOOK0", "INFO", "ATV")</f>
        <v>Ferramenta Inválida</v>
      </c>
      <c r="B1" s="31"/>
      <c r="C1" s="31"/>
      <c r="D1" s="30"/>
      <c r="F1" s="29" t="str">
        <f>RTD("rtdtrading.rtdserver",, "BOOK0", "INFO", "ATV")</f>
        <v>Ferramenta Inválida</v>
      </c>
      <c r="G1" s="31"/>
      <c r="H1" s="31"/>
      <c r="I1" s="30"/>
      <c r="K1" s="29" t="s">
        <v>4</v>
      </c>
      <c r="L1" s="30"/>
      <c r="N1" s="29" t="str">
        <f>RTD("rtdtrading.rtdserver",, "BOOK0", "INFO", "ATV")</f>
        <v>Ferramenta Inválida</v>
      </c>
      <c r="O1" s="31"/>
      <c r="P1" s="31"/>
      <c r="Q1" s="30"/>
      <c r="S1" s="29" t="str">
        <f>RTD("rtdtrading.rtdserver",, "BOOK0", "INFO", "ATV")</f>
        <v>Ferramenta Inválida</v>
      </c>
      <c r="T1" s="31"/>
      <c r="U1" s="31"/>
      <c r="V1" s="30"/>
      <c r="W1" s="11"/>
      <c r="X1" s="11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</row>
    <row r="2" spans="1:252" x14ac:dyDescent="0.25">
      <c r="A2" s="1" t="s">
        <v>0</v>
      </c>
      <c r="B2" s="1" t="s">
        <v>1</v>
      </c>
      <c r="C2" s="1" t="s">
        <v>2</v>
      </c>
      <c r="D2" s="1" t="s">
        <v>0</v>
      </c>
      <c r="F2" s="1" t="s">
        <v>0</v>
      </c>
      <c r="G2" s="1" t="s">
        <v>1</v>
      </c>
      <c r="H2" s="1" t="s">
        <v>2</v>
      </c>
      <c r="I2" s="1" t="s">
        <v>0</v>
      </c>
      <c r="K2" s="1" t="s">
        <v>1</v>
      </c>
      <c r="L2" s="1" t="s">
        <v>2</v>
      </c>
      <c r="O2" s="1" t="s">
        <v>1</v>
      </c>
      <c r="P2" s="1" t="s">
        <v>2</v>
      </c>
      <c r="S2" s="1" t="s">
        <v>8</v>
      </c>
      <c r="T2" s="29" t="s">
        <v>3</v>
      </c>
      <c r="U2" s="30"/>
      <c r="V2" s="1" t="s">
        <v>8</v>
      </c>
      <c r="W2" s="14">
        <v>44228</v>
      </c>
      <c r="X2" s="12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</row>
    <row r="3" spans="1:252" x14ac:dyDescent="0.25">
      <c r="A3" s="3" t="str">
        <f>RTD("rtdtrading.rtdserver",, "BOOK0", "VOC", 0)</f>
        <v>Ferramenta Inválida</v>
      </c>
      <c r="B3" s="3" t="str">
        <f>RTD("rtdtrading.rtdserver",, "BOOK0", "OCP", 0)</f>
        <v>Ferramenta Inválida</v>
      </c>
      <c r="C3" s="4" t="str">
        <f>RTD("rtdtrading.rtdserver",, "BOOK0", "OVD", 0)</f>
        <v>Ferramenta Inválida</v>
      </c>
      <c r="D3" s="4" t="str">
        <f>RTD("rtdtrading.rtdserver",, "BOOK0", "VOV", 0)</f>
        <v>Ferramenta Inválida</v>
      </c>
      <c r="F3" s="3" t="e">
        <f>IF(AND(A3&lt;&gt;"-",A3&lt;&gt;""),INT(A3),0)</f>
        <v>#VALUE!</v>
      </c>
      <c r="G3" s="5" t="e">
        <f>IF(AND(B3&lt;&gt;"-",B3&lt;&gt;""),INT(B3),0)</f>
        <v>#VALUE!</v>
      </c>
      <c r="H3" s="6" t="e">
        <f>IF(AND(C3&lt;&gt;"-",C3&lt;&gt;""),INT(C3),0)</f>
        <v>#VALUE!</v>
      </c>
      <c r="I3" s="4" t="e">
        <f>IF(AND(D3&lt;&gt;"-",D3&lt;&gt;""),INT(D3),0)</f>
        <v>#VALUE!</v>
      </c>
      <c r="K3" s="5" t="e">
        <f>F3*G3</f>
        <v>#VALUE!</v>
      </c>
      <c r="L3" s="6" t="e">
        <f>I3*H3</f>
        <v>#VALUE!</v>
      </c>
      <c r="N3" s="3" t="e">
        <f>SUM(F3:F103)</f>
        <v>#VALUE!</v>
      </c>
      <c r="O3" s="5" t="e">
        <f>SUM(K3:K103)</f>
        <v>#VALUE!</v>
      </c>
      <c r="P3" s="6" t="e">
        <f>SUM(L3:L103)</f>
        <v>#VALUE!</v>
      </c>
      <c r="Q3" s="4" t="e">
        <f>SUM(I3:I103)</f>
        <v>#VALUE!</v>
      </c>
      <c r="S3" s="7" t="e">
        <f>N3</f>
        <v>#VALUE!</v>
      </c>
      <c r="T3" s="8" t="e">
        <f>O3/N3</f>
        <v>#VALUE!</v>
      </c>
      <c r="U3" s="9" t="e">
        <f>P3/Q3</f>
        <v>#VALUE!</v>
      </c>
      <c r="V3" s="10" t="e">
        <f>Q3</f>
        <v>#VALUE!</v>
      </c>
      <c r="W3" s="14" t="s">
        <v>13</v>
      </c>
      <c r="X3" s="12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</row>
    <row r="4" spans="1:252" x14ac:dyDescent="0.25">
      <c r="A4" s="3" t="str">
        <f>RTD("rtdtrading.rtdserver",, "BOOK0", "VOC", 1)</f>
        <v>Ferramenta Inválida</v>
      </c>
      <c r="B4" s="3" t="str">
        <f>RTD("rtdtrading.rtdserver",, "BOOK0", "OCP", 1)</f>
        <v>Ferramenta Inválida</v>
      </c>
      <c r="C4" s="4" t="str">
        <f>RTD("rtdtrading.rtdserver",, "BOOK0", "OVD", 1)</f>
        <v>Ferramenta Inválida</v>
      </c>
      <c r="D4" s="4" t="str">
        <f>RTD("rtdtrading.rtdserver",, "BOOK0", "VOV", 1)</f>
        <v>Ferramenta Inválida</v>
      </c>
      <c r="F4" s="3" t="e">
        <f t="shared" ref="F4:I33" si="0">IF(AND(A4&lt;&gt;"-",A4&lt;&gt;""),INT(A4),0)</f>
        <v>#VALUE!</v>
      </c>
      <c r="G4" s="5" t="e">
        <f t="shared" si="0"/>
        <v>#VALUE!</v>
      </c>
      <c r="H4" s="6" t="e">
        <f t="shared" si="0"/>
        <v>#VALUE!</v>
      </c>
      <c r="I4" s="4" t="e">
        <f t="shared" si="0"/>
        <v>#VALUE!</v>
      </c>
      <c r="K4" s="5" t="e">
        <f>F4*G4</f>
        <v>#VALUE!</v>
      </c>
      <c r="L4" s="6" t="e">
        <f t="shared" ref="L4:L32" si="1">I4*H4</f>
        <v>#VALUE!</v>
      </c>
      <c r="N4" s="3"/>
      <c r="O4" s="3"/>
      <c r="P4" s="4"/>
      <c r="Q4" s="4"/>
      <c r="S4" s="7"/>
      <c r="T4" s="8"/>
      <c r="U4" s="9"/>
      <c r="V4" s="10"/>
      <c r="W4" s="14"/>
      <c r="X4" s="12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</row>
    <row r="5" spans="1:252" x14ac:dyDescent="0.25">
      <c r="A5" s="3" t="str">
        <f>RTD("rtdtrading.rtdserver",, "BOOK0", "VOC", 2)</f>
        <v>Ferramenta Inválida</v>
      </c>
      <c r="B5" s="3" t="str">
        <f>RTD("rtdtrading.rtdserver",, "BOOK0", "OCP", 2)</f>
        <v>Ferramenta Inválida</v>
      </c>
      <c r="C5" s="4" t="str">
        <f>RTD("rtdtrading.rtdserver",, "BOOK0", "OVD", 2)</f>
        <v>Ferramenta Inválida</v>
      </c>
      <c r="D5" s="4" t="str">
        <f>RTD("rtdtrading.rtdserver",, "BOOK0", "VOV", 2)</f>
        <v>Ferramenta Inválida</v>
      </c>
      <c r="F5" s="3" t="e">
        <f t="shared" si="0"/>
        <v>#VALUE!</v>
      </c>
      <c r="G5" s="5" t="e">
        <f t="shared" si="0"/>
        <v>#VALUE!</v>
      </c>
      <c r="H5" s="6" t="e">
        <f t="shared" si="0"/>
        <v>#VALUE!</v>
      </c>
      <c r="I5" s="4" t="e">
        <f t="shared" si="0"/>
        <v>#VALUE!</v>
      </c>
      <c r="K5" s="5" t="e">
        <f>F5*G5</f>
        <v>#VALUE!</v>
      </c>
      <c r="L5" s="6" t="e">
        <f>I5*H5</f>
        <v>#VALUE!</v>
      </c>
      <c r="N5" s="3"/>
      <c r="O5" s="3"/>
      <c r="P5" s="4"/>
      <c r="Q5" s="4"/>
      <c r="S5" s="7"/>
      <c r="T5" s="8"/>
      <c r="U5" s="9"/>
      <c r="V5" s="10"/>
      <c r="W5" s="14"/>
      <c r="X5" s="12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</row>
    <row r="6" spans="1:252" ht="13.5" customHeight="1" x14ac:dyDescent="0.25">
      <c r="A6" s="3" t="str">
        <f>RTD("rtdtrading.rtdserver",, "BOOK0", "VOC", 3)</f>
        <v>Ferramenta Inválida</v>
      </c>
      <c r="B6" s="3" t="str">
        <f>RTD("rtdtrading.rtdserver",, "BOOK0", "OCP", 3)</f>
        <v>Ferramenta Inválida</v>
      </c>
      <c r="C6" s="4" t="str">
        <f>RTD("rtdtrading.rtdserver",, "BOOK0", "OVD", 3)</f>
        <v>Ferramenta Inválida</v>
      </c>
      <c r="D6" s="4" t="str">
        <f>RTD("rtdtrading.rtdserver",, "BOOK0", "VOV", 3)</f>
        <v>Ferramenta Inválida</v>
      </c>
      <c r="F6" s="3" t="e">
        <f t="shared" si="0"/>
        <v>#VALUE!</v>
      </c>
      <c r="G6" s="5" t="e">
        <f t="shared" si="0"/>
        <v>#VALUE!</v>
      </c>
      <c r="H6" s="6" t="e">
        <f t="shared" si="0"/>
        <v>#VALUE!</v>
      </c>
      <c r="I6" s="4" t="e">
        <f t="shared" si="0"/>
        <v>#VALUE!</v>
      </c>
      <c r="K6" s="5" t="e">
        <f t="shared" ref="K6:K70" si="2">F6*G6</f>
        <v>#VALUE!</v>
      </c>
      <c r="L6" s="6" t="e">
        <f t="shared" si="1"/>
        <v>#VALUE!</v>
      </c>
      <c r="N6" s="3"/>
      <c r="O6" s="3"/>
      <c r="P6" s="4"/>
      <c r="Q6" s="4"/>
      <c r="S6" s="7"/>
      <c r="T6" s="8"/>
      <c r="U6" s="9"/>
      <c r="V6" s="10"/>
    </row>
    <row r="7" spans="1:252" ht="13.5" customHeight="1" x14ac:dyDescent="0.25">
      <c r="A7" s="3" t="str">
        <f>RTD("rtdtrading.rtdserver",, "BOOK0", "VOC", 4)</f>
        <v>Ferramenta Inválida</v>
      </c>
      <c r="B7" s="3" t="str">
        <f>RTD("rtdtrading.rtdserver",, "BOOK0", "OCP", 4)</f>
        <v>Ferramenta Inválida</v>
      </c>
      <c r="C7" s="4" t="str">
        <f>RTD("rtdtrading.rtdserver",, "BOOK0", "OVD", 4)</f>
        <v>Ferramenta Inválida</v>
      </c>
      <c r="D7" s="4" t="str">
        <f>RTD("rtdtrading.rtdserver",, "BOOK0", "VOV", 4)</f>
        <v>Ferramenta Inválida</v>
      </c>
      <c r="F7" s="3" t="e">
        <f t="shared" si="0"/>
        <v>#VALUE!</v>
      </c>
      <c r="G7" s="5" t="e">
        <f t="shared" si="0"/>
        <v>#VALUE!</v>
      </c>
      <c r="H7" s="6" t="e">
        <f t="shared" si="0"/>
        <v>#VALUE!</v>
      </c>
      <c r="I7" s="4" t="e">
        <f t="shared" si="0"/>
        <v>#VALUE!</v>
      </c>
      <c r="K7" s="5" t="e">
        <f t="shared" si="2"/>
        <v>#VALUE!</v>
      </c>
      <c r="L7" s="6" t="e">
        <f t="shared" si="1"/>
        <v>#VALUE!</v>
      </c>
      <c r="N7" s="3"/>
      <c r="O7" s="3"/>
      <c r="P7" s="4"/>
      <c r="Q7" s="4"/>
      <c r="S7" s="7"/>
      <c r="T7" s="8"/>
      <c r="U7" s="9"/>
      <c r="V7" s="10"/>
      <c r="W7"/>
      <c r="X7"/>
    </row>
    <row r="8" spans="1:252" ht="13.5" customHeight="1" x14ac:dyDescent="0.25">
      <c r="A8" s="3" t="str">
        <f>RTD("rtdtrading.rtdserver",, "BOOK0", "VOC", 5)</f>
        <v>Ferramenta Inválida</v>
      </c>
      <c r="B8" s="3" t="str">
        <f>RTD("rtdtrading.rtdserver",, "BOOK0", "OCP", 5)</f>
        <v>Ferramenta Inválida</v>
      </c>
      <c r="C8" s="4" t="str">
        <f>RTD("rtdtrading.rtdserver",, "BOOK0", "OVD", 5)</f>
        <v>Ferramenta Inválida</v>
      </c>
      <c r="D8" s="4" t="str">
        <f>RTD("rtdtrading.rtdserver",, "BOOK0", "VOV", 5)</f>
        <v>Ferramenta Inválida</v>
      </c>
      <c r="F8" s="3" t="e">
        <f t="shared" si="0"/>
        <v>#VALUE!</v>
      </c>
      <c r="G8" s="5" t="e">
        <f t="shared" si="0"/>
        <v>#VALUE!</v>
      </c>
      <c r="H8" s="6" t="e">
        <f t="shared" si="0"/>
        <v>#VALUE!</v>
      </c>
      <c r="I8" s="4" t="e">
        <f t="shared" si="0"/>
        <v>#VALUE!</v>
      </c>
      <c r="K8" s="5" t="e">
        <f t="shared" si="2"/>
        <v>#VALUE!</v>
      </c>
      <c r="L8" s="6" t="e">
        <f t="shared" si="1"/>
        <v>#VALUE!</v>
      </c>
      <c r="N8" s="3"/>
      <c r="O8" s="3"/>
      <c r="P8" s="4"/>
      <c r="Q8" s="4"/>
      <c r="S8" s="7"/>
      <c r="T8" s="8"/>
      <c r="U8" s="9"/>
      <c r="V8" s="10"/>
      <c r="W8"/>
      <c r="X8"/>
    </row>
    <row r="9" spans="1:252" ht="13.5" customHeight="1" x14ac:dyDescent="0.25">
      <c r="A9" s="3" t="str">
        <f>RTD("rtdtrading.rtdserver",, "BOOK0", "VOC", 6)</f>
        <v>Ferramenta Inválida</v>
      </c>
      <c r="B9" s="3" t="str">
        <f>RTD("rtdtrading.rtdserver",, "BOOK0", "OCP", 6)</f>
        <v>Ferramenta Inválida</v>
      </c>
      <c r="C9" s="4" t="str">
        <f>RTD("rtdtrading.rtdserver",, "BOOK0", "OVD", 6)</f>
        <v>Ferramenta Inválida</v>
      </c>
      <c r="D9" s="4" t="str">
        <f>RTD("rtdtrading.rtdserver",, "BOOK0", "VOV", 6)</f>
        <v>Ferramenta Inválida</v>
      </c>
      <c r="F9" s="3" t="e">
        <f t="shared" si="0"/>
        <v>#VALUE!</v>
      </c>
      <c r="G9" s="5" t="e">
        <f t="shared" si="0"/>
        <v>#VALUE!</v>
      </c>
      <c r="H9" s="6" t="e">
        <f t="shared" si="0"/>
        <v>#VALUE!</v>
      </c>
      <c r="I9" s="4" t="e">
        <f t="shared" si="0"/>
        <v>#VALUE!</v>
      </c>
      <c r="K9" s="5" t="e">
        <f t="shared" si="2"/>
        <v>#VALUE!</v>
      </c>
      <c r="L9" s="6" t="e">
        <f t="shared" si="1"/>
        <v>#VALUE!</v>
      </c>
      <c r="N9" s="3"/>
      <c r="O9" s="3"/>
      <c r="P9" s="4"/>
      <c r="Q9" s="4"/>
      <c r="S9" s="7"/>
      <c r="T9" s="8"/>
      <c r="U9" s="9"/>
      <c r="V9" s="10"/>
      <c r="W9"/>
      <c r="X9"/>
      <c r="Y9" s="15"/>
      <c r="Z9" s="15"/>
      <c r="AA9" s="15"/>
      <c r="AB9" s="15"/>
      <c r="AC9" s="15"/>
      <c r="AD9" s="15"/>
    </row>
    <row r="10" spans="1:252" ht="12.75" customHeight="1" x14ac:dyDescent="0.25">
      <c r="A10" s="3" t="str">
        <f>RTD("rtdtrading.rtdserver",, "BOOK0", "VOC", 7)</f>
        <v>Ferramenta Inválida</v>
      </c>
      <c r="B10" s="3" t="str">
        <f>RTD("rtdtrading.rtdserver",, "BOOK0", "OCP", 7)</f>
        <v>Ferramenta Inválida</v>
      </c>
      <c r="C10" s="4" t="str">
        <f>RTD("rtdtrading.rtdserver",, "BOOK0", "OVD", 7)</f>
        <v>Ferramenta Inválida</v>
      </c>
      <c r="D10" s="4" t="str">
        <f>RTD("rtdtrading.rtdserver",, "BOOK0", "VOV", 7)</f>
        <v>Ferramenta Inválida</v>
      </c>
      <c r="F10" s="3" t="e">
        <f t="shared" si="0"/>
        <v>#VALUE!</v>
      </c>
      <c r="G10" s="5" t="e">
        <f t="shared" si="0"/>
        <v>#VALUE!</v>
      </c>
      <c r="H10" s="6" t="e">
        <f t="shared" si="0"/>
        <v>#VALUE!</v>
      </c>
      <c r="I10" s="4" t="e">
        <f t="shared" si="0"/>
        <v>#VALUE!</v>
      </c>
      <c r="K10" s="5" t="e">
        <f t="shared" si="2"/>
        <v>#VALUE!</v>
      </c>
      <c r="L10" s="6" t="e">
        <f t="shared" si="1"/>
        <v>#VALUE!</v>
      </c>
      <c r="N10" s="3"/>
      <c r="O10" s="3"/>
      <c r="P10" s="4"/>
      <c r="Q10" s="4"/>
      <c r="S10" s="7"/>
      <c r="T10" s="8"/>
      <c r="U10" s="9"/>
      <c r="V10" s="10"/>
      <c r="W10"/>
      <c r="X10"/>
      <c r="Y10" s="13"/>
      <c r="Z10" s="13"/>
      <c r="AA10" s="13"/>
      <c r="AB10" s="13"/>
      <c r="AC10" s="13"/>
      <c r="AD10" s="13"/>
    </row>
    <row r="11" spans="1:252" ht="13.5" customHeight="1" x14ac:dyDescent="0.25">
      <c r="A11" s="3" t="str">
        <f>RTD("rtdtrading.rtdserver",, "BOOK0", "VOC", 8)</f>
        <v>Ferramenta Inválida</v>
      </c>
      <c r="B11" s="3" t="str">
        <f>RTD("rtdtrading.rtdserver",, "BOOK0", "OCP", 8)</f>
        <v>Ferramenta Inválida</v>
      </c>
      <c r="C11" s="4" t="str">
        <f>RTD("rtdtrading.rtdserver",, "BOOK0", "OVD", 8)</f>
        <v>Ferramenta Inválida</v>
      </c>
      <c r="D11" s="4" t="str">
        <f>RTD("rtdtrading.rtdserver",, "BOOK0", "VOV", 8)</f>
        <v>Ferramenta Inválida</v>
      </c>
      <c r="F11" s="3" t="e">
        <f t="shared" si="0"/>
        <v>#VALUE!</v>
      </c>
      <c r="G11" s="5" t="e">
        <f t="shared" si="0"/>
        <v>#VALUE!</v>
      </c>
      <c r="H11" s="6" t="e">
        <f t="shared" si="0"/>
        <v>#VALUE!</v>
      </c>
      <c r="I11" s="4" t="e">
        <f t="shared" si="0"/>
        <v>#VALUE!</v>
      </c>
      <c r="K11" s="5" t="e">
        <f t="shared" si="2"/>
        <v>#VALUE!</v>
      </c>
      <c r="L11" s="6" t="e">
        <f t="shared" si="1"/>
        <v>#VALUE!</v>
      </c>
      <c r="N11" s="3"/>
      <c r="O11" s="3"/>
      <c r="P11" s="4"/>
      <c r="Q11" s="4"/>
      <c r="S11" s="7"/>
      <c r="T11" s="8"/>
      <c r="U11" s="9"/>
      <c r="V11" s="10"/>
      <c r="W11"/>
      <c r="X11"/>
      <c r="Y11" s="13"/>
      <c r="Z11" s="13"/>
      <c r="AA11" s="13"/>
      <c r="AB11" s="13"/>
      <c r="AC11" s="13"/>
      <c r="AD11" s="13"/>
    </row>
    <row r="12" spans="1:252" ht="13.5" customHeight="1" x14ac:dyDescent="0.25">
      <c r="A12" s="3" t="str">
        <f>RTD("rtdtrading.rtdserver",, "BOOK0", "VOC", 9)</f>
        <v>Ferramenta Inválida</v>
      </c>
      <c r="B12" s="3" t="str">
        <f>RTD("rtdtrading.rtdserver",, "BOOK0", "OCP", 9)</f>
        <v>Ferramenta Inválida</v>
      </c>
      <c r="C12" s="4" t="str">
        <f>RTD("rtdtrading.rtdserver",, "BOOK0", "OVD", 9)</f>
        <v>Ferramenta Inválida</v>
      </c>
      <c r="D12" s="4" t="str">
        <f>RTD("rtdtrading.rtdserver",, "BOOK0", "VOV", 9)</f>
        <v>Ferramenta Inválida</v>
      </c>
      <c r="F12" s="3" t="e">
        <f t="shared" si="0"/>
        <v>#VALUE!</v>
      </c>
      <c r="G12" s="5" t="e">
        <f t="shared" si="0"/>
        <v>#VALUE!</v>
      </c>
      <c r="H12" s="6" t="e">
        <f t="shared" si="0"/>
        <v>#VALUE!</v>
      </c>
      <c r="I12" s="4" t="e">
        <f t="shared" si="0"/>
        <v>#VALUE!</v>
      </c>
      <c r="K12" s="5" t="e">
        <f t="shared" si="2"/>
        <v>#VALUE!</v>
      </c>
      <c r="L12" s="6" t="e">
        <f t="shared" si="1"/>
        <v>#VALUE!</v>
      </c>
      <c r="N12" s="3"/>
      <c r="O12" s="3"/>
      <c r="P12" s="4"/>
      <c r="Q12" s="4"/>
      <c r="S12" s="7"/>
      <c r="T12" s="8"/>
      <c r="U12" s="9"/>
      <c r="V12" s="10"/>
      <c r="W12"/>
      <c r="X12"/>
      <c r="Y12" s="13"/>
      <c r="Z12" s="13"/>
      <c r="AA12" s="13"/>
      <c r="AB12" s="13"/>
      <c r="AC12" s="13"/>
      <c r="AD12" s="13"/>
    </row>
    <row r="13" spans="1:252" ht="13.5" customHeight="1" x14ac:dyDescent="0.25">
      <c r="A13" s="3" t="str">
        <f>RTD("rtdtrading.rtdserver",, "BOOK0", "VOC", 10)</f>
        <v>Ferramenta Inválida</v>
      </c>
      <c r="B13" s="3" t="str">
        <f>RTD("rtdtrading.rtdserver",, "BOOK0", "OCP", 10)</f>
        <v>Ferramenta Inválida</v>
      </c>
      <c r="C13" s="4" t="str">
        <f>RTD("rtdtrading.rtdserver",, "BOOK0", "OVD", 10)</f>
        <v>Ferramenta Inválida</v>
      </c>
      <c r="D13" s="4" t="str">
        <f>RTD("rtdtrading.rtdserver",, "BOOK0", "VOV", 10)</f>
        <v>Ferramenta Inválida</v>
      </c>
      <c r="F13" s="3" t="e">
        <f t="shared" si="0"/>
        <v>#VALUE!</v>
      </c>
      <c r="G13" s="5" t="e">
        <f t="shared" si="0"/>
        <v>#VALUE!</v>
      </c>
      <c r="H13" s="6" t="e">
        <f t="shared" si="0"/>
        <v>#VALUE!</v>
      </c>
      <c r="I13" s="4" t="e">
        <f t="shared" si="0"/>
        <v>#VALUE!</v>
      </c>
      <c r="K13" s="5" t="e">
        <f t="shared" si="2"/>
        <v>#VALUE!</v>
      </c>
      <c r="L13" s="6" t="e">
        <f t="shared" si="1"/>
        <v>#VALUE!</v>
      </c>
      <c r="N13" s="3"/>
      <c r="O13" s="3"/>
      <c r="P13" s="4"/>
      <c r="Q13" s="4"/>
      <c r="S13" s="7"/>
      <c r="T13" s="8"/>
      <c r="U13" s="9"/>
      <c r="V13" s="10"/>
      <c r="W13"/>
      <c r="X13"/>
      <c r="Y13" s="13"/>
      <c r="Z13" s="13"/>
      <c r="AA13" s="13"/>
      <c r="AB13" s="13"/>
      <c r="AC13" s="13"/>
      <c r="AD13" s="13"/>
    </row>
    <row r="14" spans="1:252" ht="13.5" customHeight="1" x14ac:dyDescent="0.25">
      <c r="A14" s="3" t="str">
        <f>RTD("rtdtrading.rtdserver",, "BOOK0", "VOC", 11)</f>
        <v>Ferramenta Inválida</v>
      </c>
      <c r="B14" s="3" t="str">
        <f>RTD("rtdtrading.rtdserver",, "BOOK0", "OCP", 11)</f>
        <v>Ferramenta Inválida</v>
      </c>
      <c r="C14" s="4" t="str">
        <f>RTD("rtdtrading.rtdserver",, "BOOK0", "OVD", 11)</f>
        <v>Ferramenta Inválida</v>
      </c>
      <c r="D14" s="4" t="str">
        <f>RTD("rtdtrading.rtdserver",, "BOOK0", "VOV", 11)</f>
        <v>Ferramenta Inválida</v>
      </c>
      <c r="F14" s="3" t="e">
        <f t="shared" si="0"/>
        <v>#VALUE!</v>
      </c>
      <c r="G14" s="5" t="e">
        <f t="shared" si="0"/>
        <v>#VALUE!</v>
      </c>
      <c r="H14" s="6" t="e">
        <f t="shared" si="0"/>
        <v>#VALUE!</v>
      </c>
      <c r="I14" s="4" t="e">
        <f t="shared" si="0"/>
        <v>#VALUE!</v>
      </c>
      <c r="K14" s="5" t="e">
        <f t="shared" si="2"/>
        <v>#VALUE!</v>
      </c>
      <c r="L14" s="6" t="e">
        <f t="shared" si="1"/>
        <v>#VALUE!</v>
      </c>
      <c r="N14" s="3"/>
      <c r="O14" s="3"/>
      <c r="P14" s="4"/>
      <c r="Q14" s="4"/>
      <c r="S14" s="7"/>
      <c r="T14" s="8"/>
      <c r="U14" s="9"/>
      <c r="V14" s="10"/>
      <c r="W14"/>
      <c r="X14"/>
    </row>
    <row r="15" spans="1:252" ht="13.5" customHeight="1" x14ac:dyDescent="0.25">
      <c r="A15" s="3" t="str">
        <f>RTD("rtdtrading.rtdserver",, "BOOK0", "VOC", 12)</f>
        <v>Ferramenta Inválida</v>
      </c>
      <c r="B15" s="3" t="str">
        <f>RTD("rtdtrading.rtdserver",, "BOOK0", "OCP", 12)</f>
        <v>Ferramenta Inválida</v>
      </c>
      <c r="C15" s="4" t="str">
        <f>RTD("rtdtrading.rtdserver",, "BOOK0", "OVD", 12)</f>
        <v>Ferramenta Inválida</v>
      </c>
      <c r="D15" s="4" t="str">
        <f>RTD("rtdtrading.rtdserver",, "BOOK0", "VOV", 12)</f>
        <v>Ferramenta Inválida</v>
      </c>
      <c r="F15" s="3" t="e">
        <f t="shared" si="0"/>
        <v>#VALUE!</v>
      </c>
      <c r="G15" s="5" t="e">
        <f t="shared" si="0"/>
        <v>#VALUE!</v>
      </c>
      <c r="H15" s="6" t="e">
        <f t="shared" si="0"/>
        <v>#VALUE!</v>
      </c>
      <c r="I15" s="4" t="e">
        <f t="shared" si="0"/>
        <v>#VALUE!</v>
      </c>
      <c r="K15" s="5" t="e">
        <f t="shared" si="2"/>
        <v>#VALUE!</v>
      </c>
      <c r="L15" s="6" t="e">
        <f t="shared" si="1"/>
        <v>#VALUE!</v>
      </c>
      <c r="N15" s="3"/>
      <c r="O15" s="3"/>
      <c r="P15" s="4"/>
      <c r="Q15" s="4"/>
      <c r="S15" s="7"/>
      <c r="T15" s="8"/>
      <c r="U15" s="9"/>
      <c r="V15" s="10"/>
      <c r="W15"/>
      <c r="X15"/>
    </row>
    <row r="16" spans="1:252" ht="13.5" customHeight="1" x14ac:dyDescent="0.25">
      <c r="A16" s="3" t="str">
        <f>RTD("rtdtrading.rtdserver",, "BOOK0", "VOC", 13)</f>
        <v>Ferramenta Inválida</v>
      </c>
      <c r="B16" s="3" t="str">
        <f>RTD("rtdtrading.rtdserver",, "BOOK0", "OCP", 13)</f>
        <v>Ferramenta Inválida</v>
      </c>
      <c r="C16" s="4" t="str">
        <f>RTD("rtdtrading.rtdserver",, "BOOK0", "OVD", 13)</f>
        <v>Ferramenta Inválida</v>
      </c>
      <c r="D16" s="4" t="str">
        <f>RTD("rtdtrading.rtdserver",, "BOOK0", "VOV", 13)</f>
        <v>Ferramenta Inválida</v>
      </c>
      <c r="F16" s="3" t="e">
        <f t="shared" si="0"/>
        <v>#VALUE!</v>
      </c>
      <c r="G16" s="5" t="e">
        <f t="shared" si="0"/>
        <v>#VALUE!</v>
      </c>
      <c r="H16" s="6" t="e">
        <f t="shared" si="0"/>
        <v>#VALUE!</v>
      </c>
      <c r="I16" s="4" t="e">
        <f t="shared" si="0"/>
        <v>#VALUE!</v>
      </c>
      <c r="K16" s="5" t="e">
        <f t="shared" si="2"/>
        <v>#VALUE!</v>
      </c>
      <c r="L16" s="6" t="e">
        <f t="shared" si="1"/>
        <v>#VALUE!</v>
      </c>
      <c r="N16" s="3"/>
      <c r="O16" s="3"/>
      <c r="P16" s="4"/>
      <c r="Q16" s="4"/>
      <c r="S16" s="7"/>
      <c r="T16" s="8"/>
      <c r="U16" s="9"/>
      <c r="V16" s="10"/>
      <c r="W16"/>
      <c r="X16"/>
    </row>
    <row r="17" spans="1:24" ht="13.5" customHeight="1" x14ac:dyDescent="0.25">
      <c r="A17" s="3" t="str">
        <f>RTD("rtdtrading.rtdserver",, "BOOK0", "VOC", 14)</f>
        <v>Ferramenta Inválida</v>
      </c>
      <c r="B17" s="3" t="str">
        <f>RTD("rtdtrading.rtdserver",, "BOOK0", "OCP", 14)</f>
        <v>Ferramenta Inválida</v>
      </c>
      <c r="C17" s="4" t="str">
        <f>RTD("rtdtrading.rtdserver",, "BOOK0", "OVD", 14)</f>
        <v>Ferramenta Inválida</v>
      </c>
      <c r="D17" s="4" t="str">
        <f>RTD("rtdtrading.rtdserver",, "BOOK0", "VOV", 14)</f>
        <v>Ferramenta Inválida</v>
      </c>
      <c r="F17" s="3" t="e">
        <f t="shared" si="0"/>
        <v>#VALUE!</v>
      </c>
      <c r="G17" s="5" t="e">
        <f t="shared" si="0"/>
        <v>#VALUE!</v>
      </c>
      <c r="H17" s="6" t="e">
        <f t="shared" si="0"/>
        <v>#VALUE!</v>
      </c>
      <c r="I17" s="4" t="e">
        <f t="shared" si="0"/>
        <v>#VALUE!</v>
      </c>
      <c r="K17" s="5" t="e">
        <f t="shared" si="2"/>
        <v>#VALUE!</v>
      </c>
      <c r="L17" s="6" t="e">
        <f t="shared" si="1"/>
        <v>#VALUE!</v>
      </c>
      <c r="N17" s="3"/>
      <c r="O17" s="3"/>
      <c r="P17" s="4"/>
      <c r="Q17" s="4"/>
      <c r="S17" s="7"/>
      <c r="T17" s="8"/>
      <c r="U17" s="9"/>
      <c r="V17" s="10"/>
      <c r="W17"/>
      <c r="X17"/>
    </row>
    <row r="18" spans="1:24" ht="13.5" customHeight="1" x14ac:dyDescent="0.25">
      <c r="A18" s="3" t="str">
        <f>RTD("rtdtrading.rtdserver",, "BOOK0", "VOC", 15)</f>
        <v>Ferramenta Inválida</v>
      </c>
      <c r="B18" s="3" t="str">
        <f>RTD("rtdtrading.rtdserver",, "BOOK0", "OCP", 15)</f>
        <v>Ferramenta Inválida</v>
      </c>
      <c r="C18" s="4" t="str">
        <f>RTD("rtdtrading.rtdserver",, "BOOK0", "OVD", 15)</f>
        <v>Ferramenta Inválida</v>
      </c>
      <c r="D18" s="4" t="str">
        <f>RTD("rtdtrading.rtdserver",, "BOOK0", "VOV", 15)</f>
        <v>Ferramenta Inválida</v>
      </c>
      <c r="F18" s="3" t="e">
        <f t="shared" si="0"/>
        <v>#VALUE!</v>
      </c>
      <c r="G18" s="5" t="e">
        <f t="shared" si="0"/>
        <v>#VALUE!</v>
      </c>
      <c r="H18" s="6" t="e">
        <f t="shared" si="0"/>
        <v>#VALUE!</v>
      </c>
      <c r="I18" s="4" t="e">
        <f t="shared" si="0"/>
        <v>#VALUE!</v>
      </c>
      <c r="K18" s="5" t="e">
        <f t="shared" si="2"/>
        <v>#VALUE!</v>
      </c>
      <c r="L18" s="6" t="e">
        <f t="shared" si="1"/>
        <v>#VALUE!</v>
      </c>
      <c r="N18" s="3"/>
      <c r="O18" s="3"/>
      <c r="P18" s="4"/>
      <c r="Q18" s="4"/>
      <c r="S18" s="7"/>
      <c r="T18" s="8"/>
      <c r="U18" s="9"/>
      <c r="V18" s="10"/>
      <c r="W18"/>
      <c r="X18"/>
    </row>
    <row r="19" spans="1:24" ht="13.5" customHeight="1" x14ac:dyDescent="0.25">
      <c r="A19" s="3" t="str">
        <f>RTD("rtdtrading.rtdserver",, "BOOK0", "VOC", 16)</f>
        <v>Ferramenta Inválida</v>
      </c>
      <c r="B19" s="3" t="str">
        <f>RTD("rtdtrading.rtdserver",, "BOOK0", "OCP", 16)</f>
        <v>Ferramenta Inválida</v>
      </c>
      <c r="C19" s="4" t="str">
        <f>RTD("rtdtrading.rtdserver",, "BOOK0", "OVD", 16)</f>
        <v>Ferramenta Inválida</v>
      </c>
      <c r="D19" s="4" t="str">
        <f>RTD("rtdtrading.rtdserver",, "BOOK0", "VOV", 16)</f>
        <v>Ferramenta Inválida</v>
      </c>
      <c r="F19" s="3" t="e">
        <f t="shared" si="0"/>
        <v>#VALUE!</v>
      </c>
      <c r="G19" s="5" t="e">
        <f t="shared" si="0"/>
        <v>#VALUE!</v>
      </c>
      <c r="H19" s="6" t="e">
        <f t="shared" si="0"/>
        <v>#VALUE!</v>
      </c>
      <c r="I19" s="4" t="e">
        <f t="shared" si="0"/>
        <v>#VALUE!</v>
      </c>
      <c r="K19" s="5" t="e">
        <f t="shared" si="2"/>
        <v>#VALUE!</v>
      </c>
      <c r="L19" s="6" t="e">
        <f t="shared" si="1"/>
        <v>#VALUE!</v>
      </c>
      <c r="N19" s="3"/>
      <c r="O19" s="3"/>
      <c r="P19" s="4"/>
      <c r="Q19" s="4"/>
      <c r="S19" s="7"/>
      <c r="T19" s="8"/>
      <c r="U19" s="9"/>
      <c r="V19" s="10"/>
      <c r="W19"/>
      <c r="X19"/>
    </row>
    <row r="20" spans="1:24" ht="13.5" customHeight="1" x14ac:dyDescent="0.25">
      <c r="A20" s="3"/>
      <c r="B20" s="3"/>
      <c r="C20" s="4"/>
      <c r="D20" s="4"/>
      <c r="F20" s="3"/>
      <c r="G20" s="5"/>
      <c r="H20" s="6"/>
      <c r="I20" s="4"/>
      <c r="K20" s="5"/>
      <c r="L20" s="6"/>
      <c r="N20" s="3"/>
      <c r="O20" s="3"/>
      <c r="P20" s="4"/>
      <c r="Q20" s="4"/>
      <c r="S20" s="7"/>
      <c r="T20" s="8"/>
      <c r="U20" s="9"/>
      <c r="V20" s="10"/>
      <c r="W20"/>
      <c r="X20"/>
    </row>
    <row r="21" spans="1:24" ht="13.5" customHeight="1" x14ac:dyDescent="0.25">
      <c r="A21" s="3" t="str">
        <f>RTD("rtdtrading.rtdserver",, "BOOK0", "VOC", 17)</f>
        <v>Ferramenta Inválida</v>
      </c>
      <c r="B21" s="3" t="str">
        <f>RTD("rtdtrading.rtdserver",, "BOOK0", "OCP", 17)</f>
        <v>Ferramenta Inválida</v>
      </c>
      <c r="C21" s="4" t="str">
        <f>RTD("rtdtrading.rtdserver",, "BOOK0", "OVD", 17)</f>
        <v>Ferramenta Inválida</v>
      </c>
      <c r="D21" s="4" t="str">
        <f>RTD("rtdtrading.rtdserver",, "BOOK0", "VOV", 17)</f>
        <v>Ferramenta Inválida</v>
      </c>
      <c r="F21" s="3" t="e">
        <f t="shared" si="0"/>
        <v>#VALUE!</v>
      </c>
      <c r="G21" s="5" t="e">
        <f t="shared" si="0"/>
        <v>#VALUE!</v>
      </c>
      <c r="H21" s="6" t="e">
        <f t="shared" si="0"/>
        <v>#VALUE!</v>
      </c>
      <c r="I21" s="4" t="e">
        <f t="shared" si="0"/>
        <v>#VALUE!</v>
      </c>
      <c r="K21" s="5" t="e">
        <f t="shared" si="2"/>
        <v>#VALUE!</v>
      </c>
      <c r="L21" s="6" t="e">
        <f t="shared" si="1"/>
        <v>#VALUE!</v>
      </c>
      <c r="N21" s="3"/>
      <c r="O21" s="3"/>
      <c r="P21" s="4"/>
      <c r="Q21" s="4"/>
      <c r="S21" s="7"/>
      <c r="T21" s="8"/>
      <c r="U21" s="9"/>
      <c r="V21" s="10"/>
      <c r="W21"/>
      <c r="X21"/>
    </row>
    <row r="22" spans="1:24" ht="13.5" customHeight="1" x14ac:dyDescent="0.25">
      <c r="A22" s="3" t="str">
        <f>RTD("rtdtrading.rtdserver",, "BOOK0", "VOC", 18)</f>
        <v>Ferramenta Inválida</v>
      </c>
      <c r="B22" s="3" t="str">
        <f>RTD("rtdtrading.rtdserver",, "BOOK0", "OCP", 18)</f>
        <v>Ferramenta Inválida</v>
      </c>
      <c r="C22" s="4" t="str">
        <f>RTD("rtdtrading.rtdserver",, "BOOK0", "OVD", 18)</f>
        <v>Ferramenta Inválida</v>
      </c>
      <c r="D22" s="4" t="str">
        <f>RTD("rtdtrading.rtdserver",, "BOOK0", "VOV", 18)</f>
        <v>Ferramenta Inválida</v>
      </c>
      <c r="F22" s="3" t="e">
        <f t="shared" si="0"/>
        <v>#VALUE!</v>
      </c>
      <c r="G22" s="5" t="e">
        <f t="shared" si="0"/>
        <v>#VALUE!</v>
      </c>
      <c r="H22" s="6" t="e">
        <f t="shared" si="0"/>
        <v>#VALUE!</v>
      </c>
      <c r="I22" s="4" t="e">
        <f t="shared" si="0"/>
        <v>#VALUE!</v>
      </c>
      <c r="K22" s="5" t="e">
        <f t="shared" si="2"/>
        <v>#VALUE!</v>
      </c>
      <c r="L22" s="6" t="e">
        <f t="shared" si="1"/>
        <v>#VALUE!</v>
      </c>
      <c r="N22" s="3"/>
      <c r="O22" s="3"/>
      <c r="P22" s="4"/>
      <c r="Q22" s="4"/>
      <c r="S22" s="7"/>
      <c r="T22" s="8"/>
      <c r="U22" s="9"/>
      <c r="V22" s="10"/>
      <c r="W22"/>
      <c r="X22"/>
    </row>
    <row r="23" spans="1:24" ht="13.5" customHeight="1" x14ac:dyDescent="0.25">
      <c r="A23" s="3" t="str">
        <f>RTD("rtdtrading.rtdserver",, "BOOK0", "VOC", 19)</f>
        <v>Ferramenta Inválida</v>
      </c>
      <c r="B23" s="3" t="str">
        <f>RTD("rtdtrading.rtdserver",, "BOOK0", "OCP", 19)</f>
        <v>Ferramenta Inválida</v>
      </c>
      <c r="C23" s="4" t="str">
        <f>RTD("rtdtrading.rtdserver",, "BOOK0", "OVD", 19)</f>
        <v>Ferramenta Inválida</v>
      </c>
      <c r="D23" s="4" t="str">
        <f>RTD("rtdtrading.rtdserver",, "BOOK0", "VOV", 19)</f>
        <v>Ferramenta Inválida</v>
      </c>
      <c r="F23" s="3" t="e">
        <f t="shared" si="0"/>
        <v>#VALUE!</v>
      </c>
      <c r="G23" s="5" t="e">
        <f t="shared" si="0"/>
        <v>#VALUE!</v>
      </c>
      <c r="H23" s="6" t="e">
        <f t="shared" si="0"/>
        <v>#VALUE!</v>
      </c>
      <c r="I23" s="4" t="e">
        <f t="shared" si="0"/>
        <v>#VALUE!</v>
      </c>
      <c r="K23" s="5" t="e">
        <f t="shared" si="2"/>
        <v>#VALUE!</v>
      </c>
      <c r="L23" s="6" t="e">
        <f t="shared" si="1"/>
        <v>#VALUE!</v>
      </c>
      <c r="N23" s="3"/>
      <c r="O23" s="3"/>
      <c r="P23" s="4"/>
      <c r="Q23" s="4"/>
      <c r="S23" s="7"/>
      <c r="T23" s="8"/>
      <c r="U23" s="9"/>
      <c r="V23" s="10"/>
      <c r="W23"/>
      <c r="X23"/>
    </row>
    <row r="24" spans="1:24" ht="13.5" customHeight="1" x14ac:dyDescent="0.25">
      <c r="A24" s="3" t="str">
        <f>RTD("rtdtrading.rtdserver",, "BOOK0", "VOC", 20)</f>
        <v>Ferramenta Inválida</v>
      </c>
      <c r="B24" s="3" t="str">
        <f>RTD("rtdtrading.rtdserver",, "BOOK0", "OCP", 20)</f>
        <v>Ferramenta Inválida</v>
      </c>
      <c r="C24" s="4" t="str">
        <f>RTD("rtdtrading.rtdserver",, "BOOK0", "OVD", 20)</f>
        <v>Ferramenta Inválida</v>
      </c>
      <c r="D24" s="4" t="str">
        <f>RTD("rtdtrading.rtdserver",, "BOOK0", "VOV", 20)</f>
        <v>Ferramenta Inválida</v>
      </c>
      <c r="F24" s="3" t="e">
        <f t="shared" si="0"/>
        <v>#VALUE!</v>
      </c>
      <c r="G24" s="5" t="e">
        <f t="shared" si="0"/>
        <v>#VALUE!</v>
      </c>
      <c r="H24" s="6" t="e">
        <f t="shared" si="0"/>
        <v>#VALUE!</v>
      </c>
      <c r="I24" s="4" t="e">
        <f t="shared" si="0"/>
        <v>#VALUE!</v>
      </c>
      <c r="K24" s="5" t="e">
        <f t="shared" si="2"/>
        <v>#VALUE!</v>
      </c>
      <c r="L24" s="6" t="e">
        <f t="shared" si="1"/>
        <v>#VALUE!</v>
      </c>
      <c r="N24" s="3"/>
      <c r="O24" s="3"/>
      <c r="P24" s="4"/>
      <c r="Q24" s="4"/>
      <c r="S24" s="7"/>
      <c r="T24" s="8"/>
      <c r="U24" s="9"/>
      <c r="V24" s="10"/>
      <c r="W24"/>
      <c r="X24"/>
    </row>
    <row r="25" spans="1:24" ht="13.5" customHeight="1" x14ac:dyDescent="0.25">
      <c r="A25" s="3" t="str">
        <f>RTD("rtdtrading.rtdserver",, "BOOK0", "VOC", 21)</f>
        <v>Ferramenta Inválida</v>
      </c>
      <c r="B25" s="3" t="str">
        <f>RTD("rtdtrading.rtdserver",, "BOOK0", "OCP", 21)</f>
        <v>Ferramenta Inválida</v>
      </c>
      <c r="C25" s="4" t="str">
        <f>RTD("rtdtrading.rtdserver",, "BOOK0", "OVD", 21)</f>
        <v>Ferramenta Inválida</v>
      </c>
      <c r="D25" s="4" t="str">
        <f>RTD("rtdtrading.rtdserver",, "BOOK0", "VOV", 21)</f>
        <v>Ferramenta Inválida</v>
      </c>
      <c r="F25" s="3" t="e">
        <f t="shared" si="0"/>
        <v>#VALUE!</v>
      </c>
      <c r="G25" s="5" t="e">
        <f t="shared" si="0"/>
        <v>#VALUE!</v>
      </c>
      <c r="H25" s="6" t="e">
        <f t="shared" si="0"/>
        <v>#VALUE!</v>
      </c>
      <c r="I25" s="4" t="e">
        <f t="shared" si="0"/>
        <v>#VALUE!</v>
      </c>
      <c r="K25" s="5" t="e">
        <f t="shared" si="2"/>
        <v>#VALUE!</v>
      </c>
      <c r="L25" s="6" t="e">
        <f t="shared" si="1"/>
        <v>#VALUE!</v>
      </c>
      <c r="N25" s="3"/>
      <c r="O25" s="3"/>
      <c r="P25" s="4"/>
      <c r="Q25" s="4"/>
      <c r="S25" s="7"/>
      <c r="T25" s="8"/>
      <c r="U25" s="9"/>
      <c r="V25" s="10"/>
      <c r="W25"/>
      <c r="X25"/>
    </row>
    <row r="26" spans="1:24" ht="13.5" customHeight="1" x14ac:dyDescent="0.25">
      <c r="A26" s="3" t="str">
        <f>RTD("rtdtrading.rtdserver",, "BOOK0", "VOC", 22)</f>
        <v>Ferramenta Inválida</v>
      </c>
      <c r="B26" s="3" t="str">
        <f>RTD("rtdtrading.rtdserver",, "BOOK0", "OCP", 22)</f>
        <v>Ferramenta Inválida</v>
      </c>
      <c r="C26" s="4" t="str">
        <f>RTD("rtdtrading.rtdserver",, "BOOK0", "OVD", 22)</f>
        <v>Ferramenta Inválida</v>
      </c>
      <c r="D26" s="4" t="str">
        <f>RTD("rtdtrading.rtdserver",, "BOOK0", "VOV", 22)</f>
        <v>Ferramenta Inválida</v>
      </c>
      <c r="F26" s="3" t="e">
        <f t="shared" si="0"/>
        <v>#VALUE!</v>
      </c>
      <c r="G26" s="5" t="e">
        <f t="shared" si="0"/>
        <v>#VALUE!</v>
      </c>
      <c r="H26" s="6" t="e">
        <f t="shared" si="0"/>
        <v>#VALUE!</v>
      </c>
      <c r="I26" s="4" t="e">
        <f t="shared" si="0"/>
        <v>#VALUE!</v>
      </c>
      <c r="K26" s="5" t="e">
        <f t="shared" si="2"/>
        <v>#VALUE!</v>
      </c>
      <c r="L26" s="6" t="e">
        <f t="shared" si="1"/>
        <v>#VALUE!</v>
      </c>
      <c r="N26" s="3"/>
      <c r="O26" s="3"/>
      <c r="P26" s="4"/>
      <c r="Q26" s="4"/>
      <c r="S26" s="7"/>
      <c r="T26" s="8"/>
      <c r="U26" s="9"/>
      <c r="V26" s="10"/>
      <c r="W26"/>
      <c r="X26"/>
    </row>
    <row r="27" spans="1:24" ht="13.5" customHeight="1" x14ac:dyDescent="0.25">
      <c r="A27" s="3" t="str">
        <f>RTD("rtdtrading.rtdserver",, "BOOK0", "VOC", 23)</f>
        <v>Ferramenta Inválida</v>
      </c>
      <c r="B27" s="3" t="str">
        <f>RTD("rtdtrading.rtdserver",, "BOOK0", "OCP", 23)</f>
        <v>Ferramenta Inválida</v>
      </c>
      <c r="C27" s="4" t="str">
        <f>RTD("rtdtrading.rtdserver",, "BOOK0", "OVD", 23)</f>
        <v>Ferramenta Inválida</v>
      </c>
      <c r="D27" s="4" t="str">
        <f>RTD("rtdtrading.rtdserver",, "BOOK0", "VOV", 23)</f>
        <v>Ferramenta Inválida</v>
      </c>
      <c r="F27" s="3" t="e">
        <f t="shared" si="0"/>
        <v>#VALUE!</v>
      </c>
      <c r="G27" s="5" t="e">
        <f t="shared" si="0"/>
        <v>#VALUE!</v>
      </c>
      <c r="H27" s="6" t="e">
        <f t="shared" si="0"/>
        <v>#VALUE!</v>
      </c>
      <c r="I27" s="4" t="e">
        <f t="shared" si="0"/>
        <v>#VALUE!</v>
      </c>
      <c r="K27" s="5" t="e">
        <f t="shared" si="2"/>
        <v>#VALUE!</v>
      </c>
      <c r="L27" s="6" t="e">
        <f t="shared" si="1"/>
        <v>#VALUE!</v>
      </c>
      <c r="N27" s="3"/>
      <c r="O27" s="3"/>
      <c r="P27" s="4"/>
      <c r="Q27" s="4"/>
      <c r="S27" s="7"/>
      <c r="T27" s="8"/>
      <c r="U27" s="9"/>
      <c r="V27" s="10"/>
      <c r="W27"/>
      <c r="X27"/>
    </row>
    <row r="28" spans="1:24" ht="13.5" customHeight="1" x14ac:dyDescent="0.25">
      <c r="A28" s="3" t="str">
        <f>RTD("rtdtrading.rtdserver",, "BOOK0", "VOC", 24)</f>
        <v>Ferramenta Inválida</v>
      </c>
      <c r="B28" s="3" t="str">
        <f>RTD("rtdtrading.rtdserver",, "BOOK0", "OCP", 24)</f>
        <v>Ferramenta Inválida</v>
      </c>
      <c r="C28" s="4" t="str">
        <f>RTD("rtdtrading.rtdserver",, "BOOK0", "OVD", 24)</f>
        <v>Ferramenta Inválida</v>
      </c>
      <c r="D28" s="4" t="str">
        <f>RTD("rtdtrading.rtdserver",, "BOOK0", "VOV", 24)</f>
        <v>Ferramenta Inválida</v>
      </c>
      <c r="F28" s="3" t="e">
        <f t="shared" si="0"/>
        <v>#VALUE!</v>
      </c>
      <c r="G28" s="5" t="e">
        <f t="shared" si="0"/>
        <v>#VALUE!</v>
      </c>
      <c r="H28" s="6" t="e">
        <f t="shared" si="0"/>
        <v>#VALUE!</v>
      </c>
      <c r="I28" s="4" t="e">
        <f t="shared" si="0"/>
        <v>#VALUE!</v>
      </c>
      <c r="K28" s="5" t="e">
        <f t="shared" si="2"/>
        <v>#VALUE!</v>
      </c>
      <c r="L28" s="6" t="e">
        <f t="shared" si="1"/>
        <v>#VALUE!</v>
      </c>
      <c r="N28" s="3"/>
      <c r="O28" s="3"/>
      <c r="P28" s="4"/>
      <c r="Q28" s="4"/>
      <c r="S28" s="7"/>
      <c r="T28" s="8"/>
      <c r="U28" s="9"/>
      <c r="V28" s="10"/>
      <c r="W28"/>
      <c r="X28"/>
    </row>
    <row r="29" spans="1:24" ht="13.5" customHeight="1" x14ac:dyDescent="0.25">
      <c r="A29" s="3" t="str">
        <f>RTD("rtdtrading.rtdserver",, "BOOK0", "VOC", 25)</f>
        <v>Ferramenta Inválida</v>
      </c>
      <c r="B29" s="3" t="str">
        <f>RTD("rtdtrading.rtdserver",, "BOOK0", "OCP", 25)</f>
        <v>Ferramenta Inválida</v>
      </c>
      <c r="C29" s="4" t="str">
        <f>RTD("rtdtrading.rtdserver",, "BOOK0", "OVD", 25)</f>
        <v>Ferramenta Inválida</v>
      </c>
      <c r="D29" s="4" t="str">
        <f>RTD("rtdtrading.rtdserver",, "BOOK0", "VOV", 25)</f>
        <v>Ferramenta Inválida</v>
      </c>
      <c r="F29" s="3" t="e">
        <f t="shared" si="0"/>
        <v>#VALUE!</v>
      </c>
      <c r="G29" s="5" t="e">
        <f t="shared" si="0"/>
        <v>#VALUE!</v>
      </c>
      <c r="H29" s="6" t="e">
        <f t="shared" si="0"/>
        <v>#VALUE!</v>
      </c>
      <c r="I29" s="4" t="e">
        <f t="shared" si="0"/>
        <v>#VALUE!</v>
      </c>
      <c r="K29" s="5" t="e">
        <f t="shared" si="2"/>
        <v>#VALUE!</v>
      </c>
      <c r="L29" s="6" t="e">
        <f t="shared" si="1"/>
        <v>#VALUE!</v>
      </c>
      <c r="N29" s="3"/>
      <c r="O29" s="3"/>
      <c r="P29" s="4"/>
      <c r="Q29" s="4"/>
      <c r="S29" s="7"/>
      <c r="T29" s="8"/>
      <c r="U29" s="9"/>
      <c r="V29" s="10"/>
      <c r="W29"/>
      <c r="X29"/>
    </row>
    <row r="30" spans="1:24" ht="13.5" customHeight="1" x14ac:dyDescent="0.25">
      <c r="A30" s="3" t="str">
        <f>RTD("rtdtrading.rtdserver",, "BOOK0", "VOC", 26)</f>
        <v>Ferramenta Inválida</v>
      </c>
      <c r="B30" s="3" t="str">
        <f>RTD("rtdtrading.rtdserver",, "BOOK0", "OCP", 26)</f>
        <v>Ferramenta Inválida</v>
      </c>
      <c r="C30" s="4" t="str">
        <f>RTD("rtdtrading.rtdserver",, "BOOK0", "OVD", 26)</f>
        <v>Ferramenta Inválida</v>
      </c>
      <c r="D30" s="4" t="str">
        <f>RTD("rtdtrading.rtdserver",, "BOOK0", "VOV", 26)</f>
        <v>Ferramenta Inválida</v>
      </c>
      <c r="F30" s="3" t="e">
        <f t="shared" si="0"/>
        <v>#VALUE!</v>
      </c>
      <c r="G30" s="5" t="e">
        <f t="shared" si="0"/>
        <v>#VALUE!</v>
      </c>
      <c r="H30" s="6" t="e">
        <f t="shared" si="0"/>
        <v>#VALUE!</v>
      </c>
      <c r="I30" s="4" t="e">
        <f t="shared" si="0"/>
        <v>#VALUE!</v>
      </c>
      <c r="K30" s="5" t="e">
        <f t="shared" si="2"/>
        <v>#VALUE!</v>
      </c>
      <c r="L30" s="6" t="e">
        <f t="shared" si="1"/>
        <v>#VALUE!</v>
      </c>
      <c r="N30" s="3"/>
      <c r="O30" s="3"/>
      <c r="P30" s="4"/>
      <c r="Q30" s="4"/>
      <c r="S30" s="7"/>
      <c r="T30" s="8"/>
      <c r="U30" s="9"/>
      <c r="V30" s="10"/>
      <c r="W30"/>
      <c r="X30"/>
    </row>
    <row r="31" spans="1:24" ht="13.5" customHeight="1" x14ac:dyDescent="0.25">
      <c r="A31" s="3" t="str">
        <f>RTD("rtdtrading.rtdserver",, "BOOK0", "VOC", 27)</f>
        <v>Ferramenta Inválida</v>
      </c>
      <c r="B31" s="3" t="str">
        <f>RTD("rtdtrading.rtdserver",, "BOOK0", "OCP", 27)</f>
        <v>Ferramenta Inválida</v>
      </c>
      <c r="C31" s="4" t="str">
        <f>RTD("rtdtrading.rtdserver",, "BOOK0", "OVD", 27)</f>
        <v>Ferramenta Inválida</v>
      </c>
      <c r="D31" s="4" t="str">
        <f>RTD("rtdtrading.rtdserver",, "BOOK0", "VOV", 27)</f>
        <v>Ferramenta Inválida</v>
      </c>
      <c r="F31" s="3" t="e">
        <f t="shared" si="0"/>
        <v>#VALUE!</v>
      </c>
      <c r="G31" s="5" t="e">
        <f t="shared" si="0"/>
        <v>#VALUE!</v>
      </c>
      <c r="H31" s="6" t="e">
        <f t="shared" si="0"/>
        <v>#VALUE!</v>
      </c>
      <c r="I31" s="4" t="e">
        <f t="shared" si="0"/>
        <v>#VALUE!</v>
      </c>
      <c r="K31" s="5" t="e">
        <f t="shared" si="2"/>
        <v>#VALUE!</v>
      </c>
      <c r="L31" s="6" t="e">
        <f t="shared" si="1"/>
        <v>#VALUE!</v>
      </c>
      <c r="N31" s="3"/>
      <c r="O31" s="3"/>
      <c r="P31" s="4"/>
      <c r="Q31" s="4"/>
      <c r="S31" s="7"/>
      <c r="T31" s="8"/>
      <c r="U31" s="9"/>
      <c r="V31" s="10"/>
      <c r="W31"/>
      <c r="X31"/>
    </row>
    <row r="32" spans="1:24" x14ac:dyDescent="0.25">
      <c r="A32" s="3" t="str">
        <f>RTD("rtdtrading.rtdserver",, "BOOK0", "VOC", 28)</f>
        <v>Ferramenta Inválida</v>
      </c>
      <c r="B32" s="3" t="str">
        <f>RTD("rtdtrading.rtdserver",, "BOOK0", "OCP", 28)</f>
        <v>Ferramenta Inválida</v>
      </c>
      <c r="C32" s="4" t="str">
        <f>RTD("rtdtrading.rtdserver",, "BOOK0", "OVD", 28)</f>
        <v>Ferramenta Inválida</v>
      </c>
      <c r="D32" s="4" t="str">
        <f>RTD("rtdtrading.rtdserver",, "BOOK0", "VOV", 28)</f>
        <v>Ferramenta Inválida</v>
      </c>
      <c r="F32" s="3" t="e">
        <f t="shared" si="0"/>
        <v>#VALUE!</v>
      </c>
      <c r="G32" s="5" t="e">
        <f t="shared" si="0"/>
        <v>#VALUE!</v>
      </c>
      <c r="H32" s="6" t="e">
        <f t="shared" si="0"/>
        <v>#VALUE!</v>
      </c>
      <c r="I32" s="4" t="e">
        <f t="shared" si="0"/>
        <v>#VALUE!</v>
      </c>
      <c r="K32" s="5" t="e">
        <f t="shared" si="2"/>
        <v>#VALUE!</v>
      </c>
      <c r="L32" s="6" t="e">
        <f t="shared" si="1"/>
        <v>#VALUE!</v>
      </c>
      <c r="N32" s="3"/>
      <c r="O32" s="3"/>
      <c r="P32" s="4"/>
      <c r="Q32" s="4"/>
      <c r="S32" s="7"/>
      <c r="T32" s="8"/>
      <c r="U32" s="9"/>
      <c r="V32" s="10"/>
      <c r="W32"/>
      <c r="X32"/>
    </row>
    <row r="33" spans="1:24" x14ac:dyDescent="0.25">
      <c r="A33" s="3" t="str">
        <f>RTD("rtdtrading.rtdserver",, "BOOK0", "VOC", 29)</f>
        <v>Ferramenta Inválida</v>
      </c>
      <c r="B33" s="3" t="str">
        <f>RTD("rtdtrading.rtdserver",, "BOOK0", "OCP", 29)</f>
        <v>Ferramenta Inválida</v>
      </c>
      <c r="C33" s="4" t="str">
        <f>RTD("rtdtrading.rtdserver",, "BOOK0", "OVD", 29)</f>
        <v>Ferramenta Inválida</v>
      </c>
      <c r="D33" s="4" t="str">
        <f>RTD("rtdtrading.rtdserver",, "BOOK0", "VOV", 29)</f>
        <v>Ferramenta Inválida</v>
      </c>
      <c r="F33" s="3" t="e">
        <f t="shared" si="0"/>
        <v>#VALUE!</v>
      </c>
      <c r="G33" s="5" t="e">
        <f t="shared" si="0"/>
        <v>#VALUE!</v>
      </c>
      <c r="H33" s="6" t="e">
        <f t="shared" si="0"/>
        <v>#VALUE!</v>
      </c>
      <c r="I33" s="4" t="e">
        <f t="shared" si="0"/>
        <v>#VALUE!</v>
      </c>
      <c r="K33" s="5" t="e">
        <f t="shared" si="2"/>
        <v>#VALUE!</v>
      </c>
      <c r="L33" s="6" t="e">
        <f>I33*H33</f>
        <v>#VALUE!</v>
      </c>
      <c r="N33" s="3"/>
      <c r="O33" s="3"/>
      <c r="P33" s="4"/>
      <c r="Q33" s="4"/>
      <c r="S33" s="7"/>
      <c r="T33" s="8"/>
      <c r="U33" s="9"/>
      <c r="V33" s="10"/>
      <c r="W33"/>
      <c r="X33"/>
    </row>
    <row r="34" spans="1:24" x14ac:dyDescent="0.25">
      <c r="A34" s="3" t="str">
        <f>RTD("rtdtrading.rtdserver",, "BOOK0", "VOC", 30)</f>
        <v>Ferramenta Inválida</v>
      </c>
      <c r="B34" s="3" t="str">
        <f>RTD("rtdtrading.rtdserver",, "BOOK0", "OCP", 30)</f>
        <v>Ferramenta Inválida</v>
      </c>
      <c r="C34" s="4" t="str">
        <f>RTD("rtdtrading.rtdserver",, "BOOK0", "OVD", 30)</f>
        <v>Ferramenta Inválida</v>
      </c>
      <c r="D34" s="4" t="str">
        <f>RTD("rtdtrading.rtdserver",, "BOOK0", "VOV", 30)</f>
        <v>Ferramenta Inválida</v>
      </c>
      <c r="F34" s="3" t="e">
        <f t="shared" ref="F34:I49" si="3">IF(AND(A34&lt;&gt;"-",A34&lt;&gt;""),INT(A34),0)</f>
        <v>#VALUE!</v>
      </c>
      <c r="G34" s="5" t="e">
        <f t="shared" si="3"/>
        <v>#VALUE!</v>
      </c>
      <c r="H34" s="6" t="e">
        <f t="shared" si="3"/>
        <v>#VALUE!</v>
      </c>
      <c r="I34" s="4" t="e">
        <f t="shared" si="3"/>
        <v>#VALUE!</v>
      </c>
      <c r="K34" s="5" t="e">
        <f t="shared" si="2"/>
        <v>#VALUE!</v>
      </c>
      <c r="L34" s="6" t="e">
        <f>I34*H34</f>
        <v>#VALUE!</v>
      </c>
      <c r="N34" s="3"/>
      <c r="O34" s="3"/>
      <c r="P34" s="4"/>
      <c r="Q34" s="4"/>
      <c r="S34" s="7"/>
      <c r="T34" s="8"/>
      <c r="U34" s="9"/>
      <c r="V34" s="10"/>
      <c r="W34"/>
      <c r="X34"/>
    </row>
    <row r="35" spans="1:24" x14ac:dyDescent="0.25">
      <c r="A35" s="3" t="str">
        <f>RTD("rtdtrading.rtdserver",, "BOOK0", "VOC", 31)</f>
        <v>Ferramenta Inválida</v>
      </c>
      <c r="B35" s="3" t="str">
        <f>RTD("rtdtrading.rtdserver",, "BOOK0", "OCP", 31)</f>
        <v>Ferramenta Inválida</v>
      </c>
      <c r="C35" s="4" t="str">
        <f>RTD("rtdtrading.rtdserver",, "BOOK0", "OVD", 31)</f>
        <v>Ferramenta Inválida</v>
      </c>
      <c r="D35" s="4" t="str">
        <f>RTD("rtdtrading.rtdserver",, "BOOK0", "VOV", 31)</f>
        <v>Ferramenta Inválida</v>
      </c>
      <c r="F35" s="3" t="e">
        <f t="shared" si="3"/>
        <v>#VALUE!</v>
      </c>
      <c r="G35" s="5" t="e">
        <f t="shared" si="3"/>
        <v>#VALUE!</v>
      </c>
      <c r="H35" s="6" t="e">
        <f t="shared" si="3"/>
        <v>#VALUE!</v>
      </c>
      <c r="I35" s="4" t="e">
        <f t="shared" si="3"/>
        <v>#VALUE!</v>
      </c>
      <c r="K35" s="5" t="e">
        <f t="shared" si="2"/>
        <v>#VALUE!</v>
      </c>
      <c r="L35" s="6" t="e">
        <f t="shared" ref="L35:L98" si="4">I35*H35</f>
        <v>#VALUE!</v>
      </c>
      <c r="N35" s="3"/>
      <c r="O35" s="3"/>
      <c r="P35" s="4"/>
      <c r="Q35" s="4"/>
      <c r="S35" s="7"/>
      <c r="T35" s="8"/>
      <c r="U35" s="9"/>
      <c r="V35" s="10"/>
    </row>
    <row r="36" spans="1:24" x14ac:dyDescent="0.25">
      <c r="A36" s="3" t="str">
        <f>RTD("rtdtrading.rtdserver",, "BOOK0", "VOC", 32)</f>
        <v>Ferramenta Inválida</v>
      </c>
      <c r="B36" s="3" t="str">
        <f>RTD("rtdtrading.rtdserver",, "BOOK0", "OCP", 32)</f>
        <v>Ferramenta Inválida</v>
      </c>
      <c r="C36" s="4" t="str">
        <f>RTD("rtdtrading.rtdserver",, "BOOK0", "OVD", 32)</f>
        <v>Ferramenta Inválida</v>
      </c>
      <c r="D36" s="4" t="str">
        <f>RTD("rtdtrading.rtdserver",, "BOOK0", "VOV", 32)</f>
        <v>Ferramenta Inválida</v>
      </c>
      <c r="F36" s="3" t="e">
        <f t="shared" si="3"/>
        <v>#VALUE!</v>
      </c>
      <c r="G36" s="5" t="e">
        <f t="shared" si="3"/>
        <v>#VALUE!</v>
      </c>
      <c r="H36" s="6" t="e">
        <f t="shared" si="3"/>
        <v>#VALUE!</v>
      </c>
      <c r="I36" s="4" t="e">
        <f t="shared" si="3"/>
        <v>#VALUE!</v>
      </c>
      <c r="K36" s="5" t="e">
        <f t="shared" si="2"/>
        <v>#VALUE!</v>
      </c>
      <c r="L36" s="6" t="e">
        <f t="shared" si="4"/>
        <v>#VALUE!</v>
      </c>
      <c r="N36" s="3"/>
      <c r="O36" s="3"/>
      <c r="P36" s="4"/>
      <c r="Q36" s="4"/>
      <c r="S36" s="7"/>
      <c r="T36" s="8"/>
      <c r="U36" s="9"/>
      <c r="V36" s="10"/>
    </row>
    <row r="37" spans="1:24" x14ac:dyDescent="0.25">
      <c r="A37" s="3" t="str">
        <f>RTD("rtdtrading.rtdserver",, "BOOK0", "VOC", 33)</f>
        <v>Ferramenta Inválida</v>
      </c>
      <c r="B37" s="3" t="str">
        <f>RTD("rtdtrading.rtdserver",, "BOOK0", "OCP", 33)</f>
        <v>Ferramenta Inválida</v>
      </c>
      <c r="C37" s="4" t="str">
        <f>RTD("rtdtrading.rtdserver",, "BOOK0", "OVD", 33)</f>
        <v>Ferramenta Inválida</v>
      </c>
      <c r="D37" s="4" t="str">
        <f>RTD("rtdtrading.rtdserver",, "BOOK0", "VOV", 33)</f>
        <v>Ferramenta Inválida</v>
      </c>
      <c r="F37" s="3" t="e">
        <f t="shared" si="3"/>
        <v>#VALUE!</v>
      </c>
      <c r="G37" s="5" t="e">
        <f t="shared" si="3"/>
        <v>#VALUE!</v>
      </c>
      <c r="H37" s="6" t="e">
        <f t="shared" si="3"/>
        <v>#VALUE!</v>
      </c>
      <c r="I37" s="4" t="e">
        <f t="shared" si="3"/>
        <v>#VALUE!</v>
      </c>
      <c r="K37" s="5" t="e">
        <f t="shared" si="2"/>
        <v>#VALUE!</v>
      </c>
      <c r="L37" s="6" t="e">
        <f t="shared" si="4"/>
        <v>#VALUE!</v>
      </c>
      <c r="N37" s="3"/>
      <c r="O37" s="3"/>
      <c r="P37" s="4"/>
      <c r="Q37" s="4"/>
      <c r="S37" s="7"/>
      <c r="T37" s="8"/>
      <c r="U37" s="9"/>
      <c r="V37" s="10"/>
    </row>
    <row r="38" spans="1:24" x14ac:dyDescent="0.25">
      <c r="A38" s="3" t="str">
        <f>RTD("rtdtrading.rtdserver",, "BOOK0", "VOC", 34)</f>
        <v>Ferramenta Inválida</v>
      </c>
      <c r="B38" s="3" t="str">
        <f>RTD("rtdtrading.rtdserver",, "BOOK0", "OCP", 34)</f>
        <v>Ferramenta Inválida</v>
      </c>
      <c r="C38" s="4" t="str">
        <f>RTD("rtdtrading.rtdserver",, "BOOK0", "OVD", 34)</f>
        <v>Ferramenta Inválida</v>
      </c>
      <c r="D38" s="4" t="str">
        <f>RTD("rtdtrading.rtdserver",, "BOOK0", "VOV", 34)</f>
        <v>Ferramenta Inválida</v>
      </c>
      <c r="F38" s="3" t="e">
        <f t="shared" si="3"/>
        <v>#VALUE!</v>
      </c>
      <c r="G38" s="5" t="e">
        <f t="shared" si="3"/>
        <v>#VALUE!</v>
      </c>
      <c r="H38" s="6" t="e">
        <f t="shared" si="3"/>
        <v>#VALUE!</v>
      </c>
      <c r="I38" s="4" t="e">
        <f t="shared" si="3"/>
        <v>#VALUE!</v>
      </c>
      <c r="K38" s="5" t="e">
        <f t="shared" si="2"/>
        <v>#VALUE!</v>
      </c>
      <c r="L38" s="6" t="e">
        <f t="shared" si="4"/>
        <v>#VALUE!</v>
      </c>
      <c r="N38" s="3"/>
      <c r="O38" s="3"/>
      <c r="P38" s="4"/>
      <c r="Q38" s="4"/>
      <c r="S38" s="7"/>
      <c r="T38" s="8"/>
      <c r="U38" s="9"/>
      <c r="V38" s="10"/>
    </row>
    <row r="39" spans="1:24" x14ac:dyDescent="0.25">
      <c r="A39" s="3" t="str">
        <f>RTD("rtdtrading.rtdserver",, "BOOK0", "VOC", 35)</f>
        <v>Ferramenta Inválida</v>
      </c>
      <c r="B39" s="3" t="str">
        <f>RTD("rtdtrading.rtdserver",, "BOOK0", "OCP", 35)</f>
        <v>Ferramenta Inválida</v>
      </c>
      <c r="C39" s="4" t="str">
        <f>RTD("rtdtrading.rtdserver",, "BOOK0", "OVD", 35)</f>
        <v>Ferramenta Inválida</v>
      </c>
      <c r="D39" s="4" t="str">
        <f>RTD("rtdtrading.rtdserver",, "BOOK0", "VOV", 35)</f>
        <v>Ferramenta Inválida</v>
      </c>
      <c r="F39" s="3" t="e">
        <f t="shared" si="3"/>
        <v>#VALUE!</v>
      </c>
      <c r="G39" s="5" t="e">
        <f t="shared" si="3"/>
        <v>#VALUE!</v>
      </c>
      <c r="H39" s="6" t="e">
        <f t="shared" si="3"/>
        <v>#VALUE!</v>
      </c>
      <c r="I39" s="4" t="e">
        <f t="shared" si="3"/>
        <v>#VALUE!</v>
      </c>
      <c r="K39" s="5" t="e">
        <f t="shared" si="2"/>
        <v>#VALUE!</v>
      </c>
      <c r="L39" s="6" t="e">
        <f t="shared" si="4"/>
        <v>#VALUE!</v>
      </c>
      <c r="N39" s="3"/>
      <c r="O39" s="3"/>
      <c r="P39" s="4"/>
      <c r="Q39" s="4"/>
      <c r="S39" s="7"/>
      <c r="T39" s="8"/>
      <c r="U39" s="9"/>
      <c r="V39" s="10"/>
    </row>
    <row r="40" spans="1:24" x14ac:dyDescent="0.25">
      <c r="A40" s="3" t="str">
        <f>RTD("rtdtrading.rtdserver",, "BOOK0", "VOC", 36)</f>
        <v>Ferramenta Inválida</v>
      </c>
      <c r="B40" s="3" t="str">
        <f>RTD("rtdtrading.rtdserver",, "BOOK0", "OCP", 36)</f>
        <v>Ferramenta Inválida</v>
      </c>
      <c r="C40" s="4" t="str">
        <f>RTD("rtdtrading.rtdserver",, "BOOK0", "OVD", 36)</f>
        <v>Ferramenta Inválida</v>
      </c>
      <c r="D40" s="4" t="str">
        <f>RTD("rtdtrading.rtdserver",, "BOOK0", "VOV", 36)</f>
        <v>Ferramenta Inválida</v>
      </c>
      <c r="F40" s="3" t="e">
        <f t="shared" si="3"/>
        <v>#VALUE!</v>
      </c>
      <c r="G40" s="5" t="e">
        <f t="shared" si="3"/>
        <v>#VALUE!</v>
      </c>
      <c r="H40" s="6" t="e">
        <f t="shared" si="3"/>
        <v>#VALUE!</v>
      </c>
      <c r="I40" s="4" t="e">
        <f t="shared" si="3"/>
        <v>#VALUE!</v>
      </c>
      <c r="K40" s="5" t="e">
        <f t="shared" si="2"/>
        <v>#VALUE!</v>
      </c>
      <c r="L40" s="6" t="e">
        <f t="shared" si="4"/>
        <v>#VALUE!</v>
      </c>
      <c r="N40" s="3"/>
      <c r="O40" s="3"/>
      <c r="P40" s="4"/>
      <c r="Q40" s="4"/>
      <c r="S40" s="3"/>
      <c r="T40" s="3"/>
      <c r="U40" s="4"/>
      <c r="V40" s="4"/>
    </row>
    <row r="41" spans="1:24" x14ac:dyDescent="0.25">
      <c r="A41" s="3" t="str">
        <f>RTD("rtdtrading.rtdserver",, "BOOK0", "VOC", 37)</f>
        <v>Ferramenta Inválida</v>
      </c>
      <c r="B41" s="3" t="str">
        <f>RTD("rtdtrading.rtdserver",, "BOOK0", "OCP", 37)</f>
        <v>Ferramenta Inválida</v>
      </c>
      <c r="C41" s="4" t="str">
        <f>RTD("rtdtrading.rtdserver",, "BOOK0", "OVD", 37)</f>
        <v>Ferramenta Inválida</v>
      </c>
      <c r="D41" s="4" t="str">
        <f>RTD("rtdtrading.rtdserver",, "BOOK0", "VOV", 37)</f>
        <v>Ferramenta Inválida</v>
      </c>
      <c r="F41" s="3" t="e">
        <f t="shared" si="3"/>
        <v>#VALUE!</v>
      </c>
      <c r="G41" s="5" t="e">
        <f t="shared" si="3"/>
        <v>#VALUE!</v>
      </c>
      <c r="H41" s="6" t="e">
        <f t="shared" si="3"/>
        <v>#VALUE!</v>
      </c>
      <c r="I41" s="4" t="e">
        <f t="shared" si="3"/>
        <v>#VALUE!</v>
      </c>
      <c r="K41" s="5" t="e">
        <f t="shared" si="2"/>
        <v>#VALUE!</v>
      </c>
      <c r="L41" s="6" t="e">
        <f t="shared" si="4"/>
        <v>#VALUE!</v>
      </c>
      <c r="N41" s="3"/>
      <c r="O41" s="3"/>
      <c r="P41" s="4"/>
      <c r="Q41" s="4"/>
      <c r="S41" s="3"/>
      <c r="T41" s="3"/>
      <c r="U41" s="4"/>
      <c r="V41" s="4"/>
    </row>
    <row r="42" spans="1:24" x14ac:dyDescent="0.25">
      <c r="A42" s="3" t="str">
        <f>RTD("rtdtrading.rtdserver",, "BOOK0", "VOC", 38)</f>
        <v>Ferramenta Inválida</v>
      </c>
      <c r="B42" s="3" t="str">
        <f>RTD("rtdtrading.rtdserver",, "BOOK0", "OCP", 38)</f>
        <v>Ferramenta Inválida</v>
      </c>
      <c r="C42" s="4" t="str">
        <f>RTD("rtdtrading.rtdserver",, "BOOK0", "OVD", 38)</f>
        <v>Ferramenta Inválida</v>
      </c>
      <c r="D42" s="4" t="str">
        <f>RTD("rtdtrading.rtdserver",, "BOOK0", "VOV", 38)</f>
        <v>Ferramenta Inválida</v>
      </c>
      <c r="F42" s="3" t="e">
        <f t="shared" si="3"/>
        <v>#VALUE!</v>
      </c>
      <c r="G42" s="5" t="e">
        <f t="shared" si="3"/>
        <v>#VALUE!</v>
      </c>
      <c r="H42" s="6" t="e">
        <f t="shared" si="3"/>
        <v>#VALUE!</v>
      </c>
      <c r="I42" s="4" t="e">
        <f t="shared" si="3"/>
        <v>#VALUE!</v>
      </c>
      <c r="K42" s="5" t="e">
        <f t="shared" si="2"/>
        <v>#VALUE!</v>
      </c>
      <c r="L42" s="6" t="e">
        <f t="shared" si="4"/>
        <v>#VALUE!</v>
      </c>
      <c r="N42" s="3"/>
      <c r="O42" s="3"/>
      <c r="P42" s="4"/>
      <c r="Q42" s="4"/>
      <c r="S42" s="3"/>
      <c r="T42" s="3"/>
      <c r="U42" s="4"/>
      <c r="V42" s="4"/>
    </row>
    <row r="43" spans="1:24" x14ac:dyDescent="0.25">
      <c r="A43" s="3" t="str">
        <f>RTD("rtdtrading.rtdserver",, "BOOK0", "VOC", 39)</f>
        <v>Ferramenta Inválida</v>
      </c>
      <c r="B43" s="3" t="str">
        <f>RTD("rtdtrading.rtdserver",, "BOOK0", "OCP", 39)</f>
        <v>Ferramenta Inválida</v>
      </c>
      <c r="C43" s="4" t="str">
        <f>RTD("rtdtrading.rtdserver",, "BOOK0", "OVD", 39)</f>
        <v>Ferramenta Inválida</v>
      </c>
      <c r="D43" s="4" t="str">
        <f>RTD("rtdtrading.rtdserver",, "BOOK0", "VOV", 39)</f>
        <v>Ferramenta Inválida</v>
      </c>
      <c r="F43" s="3" t="e">
        <f t="shared" si="3"/>
        <v>#VALUE!</v>
      </c>
      <c r="G43" s="5" t="e">
        <f t="shared" si="3"/>
        <v>#VALUE!</v>
      </c>
      <c r="H43" s="6" t="e">
        <f t="shared" si="3"/>
        <v>#VALUE!</v>
      </c>
      <c r="I43" s="4" t="e">
        <f t="shared" si="3"/>
        <v>#VALUE!</v>
      </c>
      <c r="K43" s="5" t="e">
        <f t="shared" si="2"/>
        <v>#VALUE!</v>
      </c>
      <c r="L43" s="6" t="e">
        <f t="shared" si="4"/>
        <v>#VALUE!</v>
      </c>
      <c r="N43" s="3"/>
      <c r="O43" s="3"/>
      <c r="P43" s="4"/>
      <c r="Q43" s="4"/>
      <c r="S43" s="3"/>
      <c r="T43" s="3"/>
      <c r="U43" s="4"/>
      <c r="V43" s="4"/>
    </row>
    <row r="44" spans="1:24" x14ac:dyDescent="0.25">
      <c r="A44" s="3" t="str">
        <f>RTD("rtdtrading.rtdserver",, "BOOK0", "VOC", 40)</f>
        <v>Ferramenta Inválida</v>
      </c>
      <c r="B44" s="3" t="str">
        <f>RTD("rtdtrading.rtdserver",, "BOOK0", "OCP", 40)</f>
        <v>Ferramenta Inválida</v>
      </c>
      <c r="C44" s="4" t="str">
        <f>RTD("rtdtrading.rtdserver",, "BOOK0", "OVD", 40)</f>
        <v>Ferramenta Inválida</v>
      </c>
      <c r="D44" s="4" t="str">
        <f>RTD("rtdtrading.rtdserver",, "BOOK0", "VOV", 40)</f>
        <v>Ferramenta Inválida</v>
      </c>
      <c r="F44" s="3" t="e">
        <f t="shared" si="3"/>
        <v>#VALUE!</v>
      </c>
      <c r="G44" s="5" t="e">
        <f t="shared" si="3"/>
        <v>#VALUE!</v>
      </c>
      <c r="H44" s="6" t="e">
        <f t="shared" si="3"/>
        <v>#VALUE!</v>
      </c>
      <c r="I44" s="4" t="e">
        <f t="shared" si="3"/>
        <v>#VALUE!</v>
      </c>
      <c r="K44" s="5" t="e">
        <f t="shared" si="2"/>
        <v>#VALUE!</v>
      </c>
      <c r="L44" s="6" t="e">
        <f t="shared" si="4"/>
        <v>#VALUE!</v>
      </c>
      <c r="N44" s="3"/>
      <c r="O44" s="3"/>
      <c r="P44" s="4"/>
      <c r="Q44" s="4"/>
      <c r="S44" s="3"/>
      <c r="T44" s="3"/>
      <c r="U44" s="4"/>
      <c r="V44" s="4"/>
    </row>
    <row r="45" spans="1:24" x14ac:dyDescent="0.25">
      <c r="A45" s="3" t="str">
        <f>RTD("rtdtrading.rtdserver",, "BOOK0", "VOC", 41)</f>
        <v>Ferramenta Inválida</v>
      </c>
      <c r="B45" s="3" t="str">
        <f>RTD("rtdtrading.rtdserver",, "BOOK0", "OCP", 41)</f>
        <v>Ferramenta Inválida</v>
      </c>
      <c r="C45" s="4" t="str">
        <f>RTD("rtdtrading.rtdserver",, "BOOK0", "OVD", 41)</f>
        <v>Ferramenta Inválida</v>
      </c>
      <c r="D45" s="4" t="str">
        <f>RTD("rtdtrading.rtdserver",, "BOOK0", "VOV", 41)</f>
        <v>Ferramenta Inválida</v>
      </c>
      <c r="F45" s="3" t="e">
        <f t="shared" si="3"/>
        <v>#VALUE!</v>
      </c>
      <c r="G45" s="5" t="e">
        <f t="shared" si="3"/>
        <v>#VALUE!</v>
      </c>
      <c r="H45" s="6" t="e">
        <f t="shared" si="3"/>
        <v>#VALUE!</v>
      </c>
      <c r="I45" s="4" t="e">
        <f t="shared" si="3"/>
        <v>#VALUE!</v>
      </c>
      <c r="K45" s="5" t="e">
        <f t="shared" si="2"/>
        <v>#VALUE!</v>
      </c>
      <c r="L45" s="6" t="e">
        <f t="shared" si="4"/>
        <v>#VALUE!</v>
      </c>
      <c r="N45" s="3"/>
      <c r="O45" s="3"/>
      <c r="P45" s="4"/>
      <c r="Q45" s="4"/>
      <c r="S45" s="3"/>
      <c r="T45" s="3"/>
      <c r="U45" s="4"/>
      <c r="V45" s="4"/>
    </row>
    <row r="46" spans="1:24" x14ac:dyDescent="0.25">
      <c r="A46" s="3" t="str">
        <f>RTD("rtdtrading.rtdserver",, "BOOK0", "VOC", 42)</f>
        <v>Ferramenta Inválida</v>
      </c>
      <c r="B46" s="3" t="str">
        <f>RTD("rtdtrading.rtdserver",, "BOOK0", "OCP", 42)</f>
        <v>Ferramenta Inválida</v>
      </c>
      <c r="C46" s="4" t="str">
        <f>RTD("rtdtrading.rtdserver",, "BOOK0", "OVD", 42)</f>
        <v>Ferramenta Inválida</v>
      </c>
      <c r="D46" s="4" t="str">
        <f>RTD("rtdtrading.rtdserver",, "BOOK0", "VOV", 42)</f>
        <v>Ferramenta Inválida</v>
      </c>
      <c r="F46" s="3" t="e">
        <f t="shared" si="3"/>
        <v>#VALUE!</v>
      </c>
      <c r="G46" s="5" t="e">
        <f t="shared" si="3"/>
        <v>#VALUE!</v>
      </c>
      <c r="H46" s="6" t="e">
        <f t="shared" si="3"/>
        <v>#VALUE!</v>
      </c>
      <c r="I46" s="4" t="e">
        <f t="shared" si="3"/>
        <v>#VALUE!</v>
      </c>
      <c r="K46" s="5" t="e">
        <f t="shared" si="2"/>
        <v>#VALUE!</v>
      </c>
      <c r="L46" s="6" t="e">
        <f t="shared" si="4"/>
        <v>#VALUE!</v>
      </c>
      <c r="N46" s="3"/>
      <c r="O46" s="3"/>
      <c r="P46" s="4"/>
      <c r="Q46" s="4"/>
      <c r="S46" s="3"/>
      <c r="T46" s="3"/>
      <c r="U46" s="4"/>
      <c r="V46" s="4"/>
    </row>
    <row r="47" spans="1:24" x14ac:dyDescent="0.25">
      <c r="A47" s="3" t="str">
        <f>RTD("rtdtrading.rtdserver",, "BOOK0", "VOC", 43)</f>
        <v>Ferramenta Inválida</v>
      </c>
      <c r="B47" s="3" t="str">
        <f>RTD("rtdtrading.rtdserver",, "BOOK0", "OCP", 43)</f>
        <v>Ferramenta Inválida</v>
      </c>
      <c r="C47" s="4" t="str">
        <f>RTD("rtdtrading.rtdserver",, "BOOK0", "OVD", 43)</f>
        <v>Ferramenta Inválida</v>
      </c>
      <c r="D47" s="4" t="str">
        <f>RTD("rtdtrading.rtdserver",, "BOOK0", "VOV", 43)</f>
        <v>Ferramenta Inválida</v>
      </c>
      <c r="F47" s="3" t="e">
        <f t="shared" si="3"/>
        <v>#VALUE!</v>
      </c>
      <c r="G47" s="5" t="e">
        <f t="shared" si="3"/>
        <v>#VALUE!</v>
      </c>
      <c r="H47" s="6" t="e">
        <f t="shared" si="3"/>
        <v>#VALUE!</v>
      </c>
      <c r="I47" s="4" t="e">
        <f t="shared" si="3"/>
        <v>#VALUE!</v>
      </c>
      <c r="K47" s="5" t="e">
        <f t="shared" si="2"/>
        <v>#VALUE!</v>
      </c>
      <c r="L47" s="6" t="e">
        <f t="shared" si="4"/>
        <v>#VALUE!</v>
      </c>
      <c r="N47" s="3"/>
      <c r="O47" s="3"/>
      <c r="P47" s="4"/>
      <c r="Q47" s="4"/>
      <c r="S47" s="3"/>
      <c r="T47" s="3"/>
      <c r="U47" s="4"/>
      <c r="V47" s="4"/>
    </row>
    <row r="48" spans="1:24" x14ac:dyDescent="0.25">
      <c r="A48" s="3" t="str">
        <f>RTD("rtdtrading.rtdserver",, "BOOK0", "VOC", 44)</f>
        <v>Ferramenta Inválida</v>
      </c>
      <c r="B48" s="3" t="str">
        <f>RTD("rtdtrading.rtdserver",, "BOOK0", "OCP", 44)</f>
        <v>Ferramenta Inválida</v>
      </c>
      <c r="C48" s="4" t="str">
        <f>RTD("rtdtrading.rtdserver",, "BOOK0", "OVD", 44)</f>
        <v>Ferramenta Inválida</v>
      </c>
      <c r="D48" s="4" t="str">
        <f>RTD("rtdtrading.rtdserver",, "BOOK0", "VOV", 44)</f>
        <v>Ferramenta Inválida</v>
      </c>
      <c r="F48" s="3" t="e">
        <f t="shared" si="3"/>
        <v>#VALUE!</v>
      </c>
      <c r="G48" s="5" t="e">
        <f t="shared" si="3"/>
        <v>#VALUE!</v>
      </c>
      <c r="H48" s="6" t="e">
        <f t="shared" si="3"/>
        <v>#VALUE!</v>
      </c>
      <c r="I48" s="4" t="e">
        <f t="shared" si="3"/>
        <v>#VALUE!</v>
      </c>
      <c r="K48" s="5" t="e">
        <f t="shared" si="2"/>
        <v>#VALUE!</v>
      </c>
      <c r="L48" s="6" t="e">
        <f t="shared" si="4"/>
        <v>#VALUE!</v>
      </c>
      <c r="N48" s="3"/>
      <c r="O48" s="3"/>
      <c r="P48" s="4"/>
      <c r="Q48" s="4"/>
      <c r="S48" s="3"/>
      <c r="T48" s="3"/>
      <c r="U48" s="4"/>
      <c r="V48" s="4"/>
    </row>
    <row r="49" spans="1:22" x14ac:dyDescent="0.25">
      <c r="A49" s="3" t="str">
        <f>RTD("rtdtrading.rtdserver",, "BOOK0", "VOC", 45)</f>
        <v>Ferramenta Inválida</v>
      </c>
      <c r="B49" s="3" t="str">
        <f>RTD("rtdtrading.rtdserver",, "BOOK0", "OCP", 45)</f>
        <v>Ferramenta Inválida</v>
      </c>
      <c r="C49" s="4" t="str">
        <f>RTD("rtdtrading.rtdserver",, "BOOK0", "OVD", 45)</f>
        <v>Ferramenta Inválida</v>
      </c>
      <c r="D49" s="4" t="str">
        <f>RTD("rtdtrading.rtdserver",, "BOOK0", "VOV", 45)</f>
        <v>Ferramenta Inválida</v>
      </c>
      <c r="F49" s="3" t="e">
        <f t="shared" si="3"/>
        <v>#VALUE!</v>
      </c>
      <c r="G49" s="5" t="e">
        <f t="shared" si="3"/>
        <v>#VALUE!</v>
      </c>
      <c r="H49" s="6" t="e">
        <f t="shared" si="3"/>
        <v>#VALUE!</v>
      </c>
      <c r="I49" s="4" t="e">
        <f t="shared" si="3"/>
        <v>#VALUE!</v>
      </c>
      <c r="K49" s="5" t="e">
        <f t="shared" si="2"/>
        <v>#VALUE!</v>
      </c>
      <c r="L49" s="6" t="e">
        <f t="shared" si="4"/>
        <v>#VALUE!</v>
      </c>
      <c r="N49" s="3"/>
      <c r="O49" s="3"/>
      <c r="P49" s="4"/>
      <c r="Q49" s="4"/>
      <c r="S49" s="3"/>
      <c r="T49" s="3"/>
      <c r="U49" s="4"/>
      <c r="V49" s="4"/>
    </row>
    <row r="50" spans="1:22" x14ac:dyDescent="0.25">
      <c r="A50" s="3" t="str">
        <f>RTD("rtdtrading.rtdserver",, "BOOK0", "VOC", 46)</f>
        <v>Ferramenta Inválida</v>
      </c>
      <c r="B50" s="3" t="str">
        <f>RTD("rtdtrading.rtdserver",, "BOOK0", "OCP", 46)</f>
        <v>Ferramenta Inválida</v>
      </c>
      <c r="C50" s="4" t="str">
        <f>RTD("rtdtrading.rtdserver",, "BOOK0", "OVD", 46)</f>
        <v>Ferramenta Inválida</v>
      </c>
      <c r="D50" s="4" t="str">
        <f>RTD("rtdtrading.rtdserver",, "BOOK0", "VOV", 46)</f>
        <v>Ferramenta Inválida</v>
      </c>
      <c r="F50" s="3" t="e">
        <f t="shared" ref="F50:I103" si="5">IF(AND(A50&lt;&gt;"-",A50&lt;&gt;""),INT(A50),0)</f>
        <v>#VALUE!</v>
      </c>
      <c r="G50" s="5" t="e">
        <f t="shared" si="5"/>
        <v>#VALUE!</v>
      </c>
      <c r="H50" s="6" t="e">
        <f t="shared" si="5"/>
        <v>#VALUE!</v>
      </c>
      <c r="I50" s="4" t="e">
        <f t="shared" si="5"/>
        <v>#VALUE!</v>
      </c>
      <c r="K50" s="5" t="e">
        <f t="shared" si="2"/>
        <v>#VALUE!</v>
      </c>
      <c r="L50" s="6" t="e">
        <f t="shared" si="4"/>
        <v>#VALUE!</v>
      </c>
      <c r="N50" s="3"/>
      <c r="O50" s="3"/>
      <c r="P50" s="4"/>
      <c r="Q50" s="4"/>
      <c r="S50" s="3"/>
      <c r="T50" s="3"/>
      <c r="U50" s="4"/>
      <c r="V50" s="4"/>
    </row>
    <row r="51" spans="1:22" x14ac:dyDescent="0.25">
      <c r="A51" s="3" t="str">
        <f>RTD("rtdtrading.rtdserver",, "BOOK0", "VOC", 47)</f>
        <v>Ferramenta Inválida</v>
      </c>
      <c r="B51" s="3" t="str">
        <f>RTD("rtdtrading.rtdserver",, "BOOK0", "OCP", 47)</f>
        <v>Ferramenta Inválida</v>
      </c>
      <c r="C51" s="4" t="str">
        <f>RTD("rtdtrading.rtdserver",, "BOOK0", "OVD", 47)</f>
        <v>Ferramenta Inválida</v>
      </c>
      <c r="D51" s="4" t="str">
        <f>RTD("rtdtrading.rtdserver",, "BOOK0", "VOV", 47)</f>
        <v>Ferramenta Inválida</v>
      </c>
      <c r="F51" s="3" t="e">
        <f t="shared" si="5"/>
        <v>#VALUE!</v>
      </c>
      <c r="G51" s="5" t="e">
        <f t="shared" si="5"/>
        <v>#VALUE!</v>
      </c>
      <c r="H51" s="6" t="e">
        <f t="shared" si="5"/>
        <v>#VALUE!</v>
      </c>
      <c r="I51" s="4" t="e">
        <f t="shared" si="5"/>
        <v>#VALUE!</v>
      </c>
      <c r="K51" s="5" t="e">
        <f t="shared" si="2"/>
        <v>#VALUE!</v>
      </c>
      <c r="L51" s="6" t="e">
        <f t="shared" si="4"/>
        <v>#VALUE!</v>
      </c>
      <c r="N51" s="3"/>
      <c r="O51" s="3"/>
      <c r="P51" s="4"/>
      <c r="Q51" s="4"/>
      <c r="S51" s="3"/>
      <c r="T51" s="3"/>
      <c r="U51" s="4"/>
      <c r="V51" s="4"/>
    </row>
    <row r="52" spans="1:22" x14ac:dyDescent="0.25">
      <c r="A52" s="3" t="str">
        <f>RTD("rtdtrading.rtdserver",, "BOOK0", "VOC", 48)</f>
        <v>Ferramenta Inválida</v>
      </c>
      <c r="B52" s="3" t="str">
        <f>RTD("rtdtrading.rtdserver",, "BOOK0", "OCP", 48)</f>
        <v>Ferramenta Inválida</v>
      </c>
      <c r="C52" s="4" t="str">
        <f>RTD("rtdtrading.rtdserver",, "BOOK0", "OVD", 48)</f>
        <v>Ferramenta Inválida</v>
      </c>
      <c r="D52" s="4" t="str">
        <f>RTD("rtdtrading.rtdserver",, "BOOK0", "VOV", 48)</f>
        <v>Ferramenta Inválida</v>
      </c>
      <c r="F52" s="3" t="e">
        <f t="shared" si="5"/>
        <v>#VALUE!</v>
      </c>
      <c r="G52" s="5" t="e">
        <f t="shared" si="5"/>
        <v>#VALUE!</v>
      </c>
      <c r="H52" s="6" t="e">
        <f t="shared" si="5"/>
        <v>#VALUE!</v>
      </c>
      <c r="I52" s="4" t="e">
        <f t="shared" si="5"/>
        <v>#VALUE!</v>
      </c>
      <c r="K52" s="5" t="e">
        <f t="shared" si="2"/>
        <v>#VALUE!</v>
      </c>
      <c r="L52" s="6" t="e">
        <f t="shared" si="4"/>
        <v>#VALUE!</v>
      </c>
      <c r="N52" s="3"/>
      <c r="O52" s="3"/>
      <c r="P52" s="4"/>
      <c r="Q52" s="4"/>
      <c r="S52" s="3"/>
      <c r="T52" s="3"/>
      <c r="U52" s="4"/>
      <c r="V52" s="4"/>
    </row>
    <row r="53" spans="1:22" x14ac:dyDescent="0.25">
      <c r="A53" s="3" t="str">
        <f>RTD("rtdtrading.rtdserver",, "BOOK0", "VOC", 49)</f>
        <v>Ferramenta Inválida</v>
      </c>
      <c r="B53" s="3" t="str">
        <f>RTD("rtdtrading.rtdserver",, "BOOK0", "OCP", 49)</f>
        <v>Ferramenta Inválida</v>
      </c>
      <c r="C53" s="4" t="str">
        <f>RTD("rtdtrading.rtdserver",, "BOOK0", "OVD", 49)</f>
        <v>Ferramenta Inválida</v>
      </c>
      <c r="D53" s="4" t="str">
        <f>RTD("rtdtrading.rtdserver",, "BOOK0", "VOV", 49)</f>
        <v>Ferramenta Inválida</v>
      </c>
      <c r="F53" s="3" t="e">
        <f t="shared" si="5"/>
        <v>#VALUE!</v>
      </c>
      <c r="G53" s="5" t="e">
        <f t="shared" si="5"/>
        <v>#VALUE!</v>
      </c>
      <c r="H53" s="6" t="e">
        <f t="shared" si="5"/>
        <v>#VALUE!</v>
      </c>
      <c r="I53" s="4" t="e">
        <f t="shared" si="5"/>
        <v>#VALUE!</v>
      </c>
      <c r="K53" s="5" t="e">
        <f t="shared" si="2"/>
        <v>#VALUE!</v>
      </c>
      <c r="L53" s="6" t="e">
        <f t="shared" si="4"/>
        <v>#VALUE!</v>
      </c>
      <c r="N53" s="3"/>
      <c r="O53" s="3"/>
      <c r="P53" s="4"/>
      <c r="Q53" s="4"/>
      <c r="S53" s="3"/>
      <c r="T53" s="3"/>
      <c r="U53" s="4"/>
      <c r="V53" s="4"/>
    </row>
    <row r="54" spans="1:22" x14ac:dyDescent="0.25">
      <c r="A54" s="3" t="str">
        <f>RTD("rtdtrading.rtdserver",, "BOOK0", "VOC", 50)</f>
        <v>Ferramenta Inválida</v>
      </c>
      <c r="B54" s="3" t="str">
        <f>RTD("rtdtrading.rtdserver",, "BOOK0", "OCP", 50)</f>
        <v>Ferramenta Inválida</v>
      </c>
      <c r="C54" s="4" t="str">
        <f>RTD("rtdtrading.rtdserver",, "BOOK0", "OVD", 50)</f>
        <v>Ferramenta Inválida</v>
      </c>
      <c r="D54" s="4" t="str">
        <f>RTD("rtdtrading.rtdserver",, "BOOK0", "VOV", 50)</f>
        <v>Ferramenta Inválida</v>
      </c>
      <c r="F54" s="3" t="e">
        <f t="shared" si="5"/>
        <v>#VALUE!</v>
      </c>
      <c r="G54" s="5" t="e">
        <f t="shared" si="5"/>
        <v>#VALUE!</v>
      </c>
      <c r="H54" s="6" t="e">
        <f t="shared" si="5"/>
        <v>#VALUE!</v>
      </c>
      <c r="I54" s="4" t="e">
        <f t="shared" si="5"/>
        <v>#VALUE!</v>
      </c>
      <c r="K54" s="5" t="e">
        <f t="shared" si="2"/>
        <v>#VALUE!</v>
      </c>
      <c r="L54" s="6" t="e">
        <f t="shared" si="4"/>
        <v>#VALUE!</v>
      </c>
      <c r="N54" s="3"/>
      <c r="O54" s="3"/>
      <c r="P54" s="4"/>
      <c r="Q54" s="4"/>
      <c r="S54" s="3"/>
      <c r="T54" s="3"/>
      <c r="U54" s="4"/>
      <c r="V54" s="4"/>
    </row>
    <row r="55" spans="1:22" x14ac:dyDescent="0.25">
      <c r="A55" s="3" t="str">
        <f>RTD("rtdtrading.rtdserver",, "BOOK0", "VOC", 51)</f>
        <v>Ferramenta Inválida</v>
      </c>
      <c r="B55" s="3" t="str">
        <f>RTD("rtdtrading.rtdserver",, "BOOK0", "OCP", 51)</f>
        <v>Ferramenta Inválida</v>
      </c>
      <c r="C55" s="4" t="str">
        <f>RTD("rtdtrading.rtdserver",, "BOOK0", "OVD", 51)</f>
        <v>Ferramenta Inválida</v>
      </c>
      <c r="D55" s="4" t="str">
        <f>RTD("rtdtrading.rtdserver",, "BOOK0", "VOV", 51)</f>
        <v>Ferramenta Inválida</v>
      </c>
      <c r="F55" s="3" t="e">
        <f t="shared" si="5"/>
        <v>#VALUE!</v>
      </c>
      <c r="G55" s="5" t="e">
        <f t="shared" si="5"/>
        <v>#VALUE!</v>
      </c>
      <c r="H55" s="6" t="e">
        <f t="shared" si="5"/>
        <v>#VALUE!</v>
      </c>
      <c r="I55" s="4" t="e">
        <f t="shared" si="5"/>
        <v>#VALUE!</v>
      </c>
      <c r="K55" s="5" t="e">
        <f t="shared" si="2"/>
        <v>#VALUE!</v>
      </c>
      <c r="L55" s="6" t="e">
        <f t="shared" si="4"/>
        <v>#VALUE!</v>
      </c>
      <c r="N55" s="3"/>
      <c r="O55" s="3"/>
      <c r="P55" s="4"/>
      <c r="Q55" s="4"/>
      <c r="S55" s="3"/>
      <c r="T55" s="3"/>
      <c r="U55" s="4"/>
      <c r="V55" s="4"/>
    </row>
    <row r="56" spans="1:22" x14ac:dyDescent="0.25">
      <c r="A56" s="3" t="str">
        <f>RTD("rtdtrading.rtdserver",, "BOOK0", "VOC", 52)</f>
        <v>Ferramenta Inválida</v>
      </c>
      <c r="B56" s="3" t="str">
        <f>RTD("rtdtrading.rtdserver",, "BOOK0", "OCP", 52)</f>
        <v>Ferramenta Inválida</v>
      </c>
      <c r="C56" s="4" t="str">
        <f>RTD("rtdtrading.rtdserver",, "BOOK0", "OVD", 52)</f>
        <v>Ferramenta Inválida</v>
      </c>
      <c r="D56" s="4" t="str">
        <f>RTD("rtdtrading.rtdserver",, "BOOK0", "VOV", 52)</f>
        <v>Ferramenta Inválida</v>
      </c>
      <c r="F56" s="3" t="e">
        <f t="shared" si="5"/>
        <v>#VALUE!</v>
      </c>
      <c r="G56" s="5" t="e">
        <f t="shared" si="5"/>
        <v>#VALUE!</v>
      </c>
      <c r="H56" s="6" t="e">
        <f t="shared" si="5"/>
        <v>#VALUE!</v>
      </c>
      <c r="I56" s="4" t="e">
        <f t="shared" si="5"/>
        <v>#VALUE!</v>
      </c>
      <c r="K56" s="5" t="e">
        <f t="shared" si="2"/>
        <v>#VALUE!</v>
      </c>
      <c r="L56" s="6" t="e">
        <f t="shared" si="4"/>
        <v>#VALUE!</v>
      </c>
      <c r="N56" s="3"/>
      <c r="O56" s="3"/>
      <c r="P56" s="4"/>
      <c r="Q56" s="4"/>
      <c r="S56" s="3"/>
      <c r="T56" s="3"/>
      <c r="U56" s="4"/>
      <c r="V56" s="4"/>
    </row>
    <row r="57" spans="1:22" x14ac:dyDescent="0.25">
      <c r="A57" s="3" t="str">
        <f>RTD("rtdtrading.rtdserver",, "BOOK0", "VOC", 53)</f>
        <v>Ferramenta Inválida</v>
      </c>
      <c r="B57" s="3" t="str">
        <f>RTD("rtdtrading.rtdserver",, "BOOK0", "OCP", 53)</f>
        <v>Ferramenta Inválida</v>
      </c>
      <c r="C57" s="4" t="str">
        <f>RTD("rtdtrading.rtdserver",, "BOOK0", "OVD", 53)</f>
        <v>Ferramenta Inválida</v>
      </c>
      <c r="D57" s="4" t="str">
        <f>RTD("rtdtrading.rtdserver",, "BOOK0", "VOV", 53)</f>
        <v>Ferramenta Inválida</v>
      </c>
      <c r="F57" s="3" t="e">
        <f t="shared" si="5"/>
        <v>#VALUE!</v>
      </c>
      <c r="G57" s="5" t="e">
        <f t="shared" si="5"/>
        <v>#VALUE!</v>
      </c>
      <c r="H57" s="6" t="e">
        <f t="shared" si="5"/>
        <v>#VALUE!</v>
      </c>
      <c r="I57" s="4" t="e">
        <f t="shared" si="5"/>
        <v>#VALUE!</v>
      </c>
      <c r="K57" s="5" t="e">
        <f t="shared" si="2"/>
        <v>#VALUE!</v>
      </c>
      <c r="L57" s="6" t="e">
        <f t="shared" si="4"/>
        <v>#VALUE!</v>
      </c>
      <c r="N57" s="3"/>
      <c r="O57" s="3"/>
      <c r="P57" s="4"/>
      <c r="Q57" s="4"/>
      <c r="S57" s="3"/>
      <c r="T57" s="3"/>
      <c r="U57" s="4"/>
      <c r="V57" s="4"/>
    </row>
    <row r="58" spans="1:22" x14ac:dyDescent="0.25">
      <c r="A58" s="3" t="str">
        <f>RTD("rtdtrading.rtdserver",, "BOOK0", "VOC", 54)</f>
        <v>Ferramenta Inválida</v>
      </c>
      <c r="B58" s="3" t="str">
        <f>RTD("rtdtrading.rtdserver",, "BOOK0", "OCP", 54)</f>
        <v>Ferramenta Inválida</v>
      </c>
      <c r="C58" s="4" t="str">
        <f>RTD("rtdtrading.rtdserver",, "BOOK0", "OVD", 54)</f>
        <v>Ferramenta Inválida</v>
      </c>
      <c r="D58" s="4" t="str">
        <f>RTD("rtdtrading.rtdserver",, "BOOK0", "VOV", 54)</f>
        <v>Ferramenta Inválida</v>
      </c>
      <c r="F58" s="3" t="e">
        <f t="shared" si="5"/>
        <v>#VALUE!</v>
      </c>
      <c r="G58" s="5" t="e">
        <f t="shared" si="5"/>
        <v>#VALUE!</v>
      </c>
      <c r="H58" s="6" t="e">
        <f t="shared" si="5"/>
        <v>#VALUE!</v>
      </c>
      <c r="I58" s="4" t="e">
        <f t="shared" si="5"/>
        <v>#VALUE!</v>
      </c>
      <c r="K58" s="5" t="e">
        <f t="shared" si="2"/>
        <v>#VALUE!</v>
      </c>
      <c r="L58" s="6" t="e">
        <f t="shared" si="4"/>
        <v>#VALUE!</v>
      </c>
      <c r="N58" s="3"/>
      <c r="O58" s="3"/>
      <c r="P58" s="4"/>
      <c r="Q58" s="4"/>
      <c r="S58" s="3"/>
      <c r="T58" s="3"/>
      <c r="U58" s="4"/>
      <c r="V58" s="4"/>
    </row>
    <row r="59" spans="1:22" x14ac:dyDescent="0.25">
      <c r="A59" s="3" t="str">
        <f>RTD("rtdtrading.rtdserver",, "BOOK0", "VOC", 55)</f>
        <v>Ferramenta Inválida</v>
      </c>
      <c r="B59" s="3" t="str">
        <f>RTD("rtdtrading.rtdserver",, "BOOK0", "OCP", 55)</f>
        <v>Ferramenta Inválida</v>
      </c>
      <c r="C59" s="4" t="str">
        <f>RTD("rtdtrading.rtdserver",, "BOOK0", "OVD", 55)</f>
        <v>Ferramenta Inválida</v>
      </c>
      <c r="D59" s="4" t="str">
        <f>RTD("rtdtrading.rtdserver",, "BOOK0", "VOV", 55)</f>
        <v>Ferramenta Inválida</v>
      </c>
      <c r="F59" s="3" t="e">
        <f t="shared" si="5"/>
        <v>#VALUE!</v>
      </c>
      <c r="G59" s="5" t="e">
        <f t="shared" si="5"/>
        <v>#VALUE!</v>
      </c>
      <c r="H59" s="6" t="e">
        <f t="shared" si="5"/>
        <v>#VALUE!</v>
      </c>
      <c r="I59" s="4" t="e">
        <f t="shared" si="5"/>
        <v>#VALUE!</v>
      </c>
      <c r="K59" s="5" t="e">
        <f t="shared" si="2"/>
        <v>#VALUE!</v>
      </c>
      <c r="L59" s="6" t="e">
        <f t="shared" si="4"/>
        <v>#VALUE!</v>
      </c>
      <c r="N59" s="3"/>
      <c r="O59" s="3"/>
      <c r="P59" s="4"/>
      <c r="Q59" s="4"/>
      <c r="S59" s="3"/>
      <c r="T59" s="3"/>
      <c r="U59" s="4"/>
      <c r="V59" s="4"/>
    </row>
    <row r="60" spans="1:22" x14ac:dyDescent="0.25">
      <c r="A60" s="3" t="str">
        <f>RTD("rtdtrading.rtdserver",, "BOOK0", "VOC", 56)</f>
        <v>Ferramenta Inválida</v>
      </c>
      <c r="B60" s="3" t="str">
        <f>RTD("rtdtrading.rtdserver",, "BOOK0", "OCP", 56)</f>
        <v>Ferramenta Inválida</v>
      </c>
      <c r="C60" s="4" t="str">
        <f>RTD("rtdtrading.rtdserver",, "BOOK0", "OVD", 56)</f>
        <v>Ferramenta Inválida</v>
      </c>
      <c r="D60" s="4" t="str">
        <f>RTD("rtdtrading.rtdserver",, "BOOK0", "VOV", 56)</f>
        <v>Ferramenta Inválida</v>
      </c>
      <c r="F60" s="3" t="e">
        <f t="shared" si="5"/>
        <v>#VALUE!</v>
      </c>
      <c r="G60" s="5" t="e">
        <f t="shared" si="5"/>
        <v>#VALUE!</v>
      </c>
      <c r="H60" s="6" t="e">
        <f t="shared" si="5"/>
        <v>#VALUE!</v>
      </c>
      <c r="I60" s="4" t="e">
        <f t="shared" si="5"/>
        <v>#VALUE!</v>
      </c>
      <c r="K60" s="5" t="e">
        <f t="shared" si="2"/>
        <v>#VALUE!</v>
      </c>
      <c r="L60" s="6" t="e">
        <f t="shared" si="4"/>
        <v>#VALUE!</v>
      </c>
      <c r="N60" s="3"/>
      <c r="O60" s="3"/>
      <c r="P60" s="4"/>
      <c r="Q60" s="4"/>
      <c r="S60" s="3"/>
      <c r="T60" s="3"/>
      <c r="U60" s="4"/>
      <c r="V60" s="4"/>
    </row>
    <row r="61" spans="1:22" x14ac:dyDescent="0.25">
      <c r="A61" s="3" t="str">
        <f>RTD("rtdtrading.rtdserver",, "BOOK0", "VOC", 57)</f>
        <v>Ferramenta Inválida</v>
      </c>
      <c r="B61" s="3" t="str">
        <f>RTD("rtdtrading.rtdserver",, "BOOK0", "OCP", 57)</f>
        <v>Ferramenta Inválida</v>
      </c>
      <c r="C61" s="4" t="str">
        <f>RTD("rtdtrading.rtdserver",, "BOOK0", "OVD", 57)</f>
        <v>Ferramenta Inválida</v>
      </c>
      <c r="D61" s="4" t="str">
        <f>RTD("rtdtrading.rtdserver",, "BOOK0", "VOV", 57)</f>
        <v>Ferramenta Inválida</v>
      </c>
      <c r="F61" s="3" t="e">
        <f t="shared" si="5"/>
        <v>#VALUE!</v>
      </c>
      <c r="G61" s="5" t="e">
        <f t="shared" si="5"/>
        <v>#VALUE!</v>
      </c>
      <c r="H61" s="6" t="e">
        <f t="shared" si="5"/>
        <v>#VALUE!</v>
      </c>
      <c r="I61" s="4" t="e">
        <f t="shared" si="5"/>
        <v>#VALUE!</v>
      </c>
      <c r="K61" s="5" t="e">
        <f t="shared" si="2"/>
        <v>#VALUE!</v>
      </c>
      <c r="L61" s="6" t="e">
        <f t="shared" si="4"/>
        <v>#VALUE!</v>
      </c>
      <c r="N61" s="3"/>
      <c r="O61" s="3"/>
      <c r="P61" s="4"/>
      <c r="Q61" s="4"/>
      <c r="S61" s="3"/>
      <c r="T61" s="3"/>
      <c r="U61" s="4"/>
      <c r="V61" s="4"/>
    </row>
    <row r="62" spans="1:22" x14ac:dyDescent="0.25">
      <c r="A62" s="3" t="str">
        <f>RTD("rtdtrading.rtdserver",, "BOOK0", "VOC", 58)</f>
        <v>Ferramenta Inválida</v>
      </c>
      <c r="B62" s="3" t="str">
        <f>RTD("rtdtrading.rtdserver",, "BOOK0", "OCP", 58)</f>
        <v>Ferramenta Inválida</v>
      </c>
      <c r="C62" s="4" t="str">
        <f>RTD("rtdtrading.rtdserver",, "BOOK0", "OVD", 58)</f>
        <v>Ferramenta Inválida</v>
      </c>
      <c r="D62" s="4" t="str">
        <f>RTD("rtdtrading.rtdserver",, "BOOK0", "VOV", 58)</f>
        <v>Ferramenta Inválida</v>
      </c>
      <c r="F62" s="3" t="e">
        <f t="shared" si="5"/>
        <v>#VALUE!</v>
      </c>
      <c r="G62" s="5" t="e">
        <f t="shared" si="5"/>
        <v>#VALUE!</v>
      </c>
      <c r="H62" s="6" t="e">
        <f t="shared" si="5"/>
        <v>#VALUE!</v>
      </c>
      <c r="I62" s="4" t="e">
        <f t="shared" si="5"/>
        <v>#VALUE!</v>
      </c>
      <c r="K62" s="5" t="e">
        <f t="shared" si="2"/>
        <v>#VALUE!</v>
      </c>
      <c r="L62" s="6" t="e">
        <f t="shared" si="4"/>
        <v>#VALUE!</v>
      </c>
      <c r="N62" s="3"/>
      <c r="O62" s="3"/>
      <c r="P62" s="4"/>
      <c r="Q62" s="4"/>
      <c r="S62" s="3"/>
      <c r="T62" s="3"/>
      <c r="U62" s="4"/>
      <c r="V62" s="4"/>
    </row>
    <row r="63" spans="1:22" x14ac:dyDescent="0.25">
      <c r="A63" s="3" t="str">
        <f>RTD("rtdtrading.rtdserver",, "BOOK0", "VOC", 59)</f>
        <v>Ferramenta Inválida</v>
      </c>
      <c r="B63" s="3" t="str">
        <f>RTD("rtdtrading.rtdserver",, "BOOK0", "OCP", 59)</f>
        <v>Ferramenta Inválida</v>
      </c>
      <c r="C63" s="4" t="str">
        <f>RTD("rtdtrading.rtdserver",, "BOOK0", "OVD", 59)</f>
        <v>Ferramenta Inválida</v>
      </c>
      <c r="D63" s="4" t="str">
        <f>RTD("rtdtrading.rtdserver",, "BOOK0", "VOV", 59)</f>
        <v>Ferramenta Inválida</v>
      </c>
      <c r="F63" s="3" t="e">
        <f t="shared" si="5"/>
        <v>#VALUE!</v>
      </c>
      <c r="G63" s="5" t="e">
        <f t="shared" si="5"/>
        <v>#VALUE!</v>
      </c>
      <c r="H63" s="6" t="e">
        <f t="shared" si="5"/>
        <v>#VALUE!</v>
      </c>
      <c r="I63" s="4" t="e">
        <f t="shared" si="5"/>
        <v>#VALUE!</v>
      </c>
      <c r="K63" s="5" t="e">
        <f t="shared" si="2"/>
        <v>#VALUE!</v>
      </c>
      <c r="L63" s="6" t="e">
        <f t="shared" si="4"/>
        <v>#VALUE!</v>
      </c>
      <c r="N63" s="3"/>
      <c r="O63" s="3"/>
      <c r="P63" s="4"/>
      <c r="Q63" s="4"/>
      <c r="S63" s="3"/>
      <c r="T63" s="3"/>
      <c r="U63" s="4"/>
      <c r="V63" s="4"/>
    </row>
    <row r="64" spans="1:22" x14ac:dyDescent="0.25">
      <c r="A64" s="3" t="str">
        <f>RTD("rtdtrading.rtdserver",, "BOOK0", "VOC", 60)</f>
        <v>Ferramenta Inválida</v>
      </c>
      <c r="B64" s="3" t="str">
        <f>RTD("rtdtrading.rtdserver",, "BOOK0", "OCP", 60)</f>
        <v>Ferramenta Inválida</v>
      </c>
      <c r="C64" s="4" t="str">
        <f>RTD("rtdtrading.rtdserver",, "BOOK0", "OVD", 60)</f>
        <v>Ferramenta Inválida</v>
      </c>
      <c r="D64" s="4" t="str">
        <f>RTD("rtdtrading.rtdserver",, "BOOK0", "VOV", 60)</f>
        <v>Ferramenta Inválida</v>
      </c>
      <c r="F64" s="3" t="e">
        <f t="shared" si="5"/>
        <v>#VALUE!</v>
      </c>
      <c r="G64" s="5" t="e">
        <f t="shared" si="5"/>
        <v>#VALUE!</v>
      </c>
      <c r="H64" s="6" t="e">
        <f t="shared" si="5"/>
        <v>#VALUE!</v>
      </c>
      <c r="I64" s="4" t="e">
        <f t="shared" si="5"/>
        <v>#VALUE!</v>
      </c>
      <c r="K64" s="5" t="e">
        <f t="shared" si="2"/>
        <v>#VALUE!</v>
      </c>
      <c r="L64" s="6" t="e">
        <f t="shared" si="4"/>
        <v>#VALUE!</v>
      </c>
      <c r="N64" s="3"/>
      <c r="O64" s="3"/>
      <c r="P64" s="4"/>
      <c r="Q64" s="4"/>
      <c r="S64" s="3"/>
      <c r="T64" s="3"/>
      <c r="U64" s="4"/>
      <c r="V64" s="4"/>
    </row>
    <row r="65" spans="1:22" x14ac:dyDescent="0.25">
      <c r="A65" s="3" t="str">
        <f>RTD("rtdtrading.rtdserver",, "BOOK0", "VOC", 61)</f>
        <v>Ferramenta Inválida</v>
      </c>
      <c r="B65" s="3" t="str">
        <f>RTD("rtdtrading.rtdserver",, "BOOK0", "OCP", 61)</f>
        <v>Ferramenta Inválida</v>
      </c>
      <c r="C65" s="4" t="str">
        <f>RTD("rtdtrading.rtdserver",, "BOOK0", "OVD", 61)</f>
        <v>Ferramenta Inválida</v>
      </c>
      <c r="D65" s="4" t="str">
        <f>RTD("rtdtrading.rtdserver",, "BOOK0", "VOV", 61)</f>
        <v>Ferramenta Inválida</v>
      </c>
      <c r="F65" s="3" t="e">
        <f t="shared" si="5"/>
        <v>#VALUE!</v>
      </c>
      <c r="G65" s="5" t="e">
        <f t="shared" si="5"/>
        <v>#VALUE!</v>
      </c>
      <c r="H65" s="6" t="e">
        <f t="shared" si="5"/>
        <v>#VALUE!</v>
      </c>
      <c r="I65" s="4" t="e">
        <f t="shared" si="5"/>
        <v>#VALUE!</v>
      </c>
      <c r="K65" s="5" t="e">
        <f t="shared" si="2"/>
        <v>#VALUE!</v>
      </c>
      <c r="L65" s="6" t="e">
        <f t="shared" si="4"/>
        <v>#VALUE!</v>
      </c>
      <c r="N65" s="3"/>
      <c r="O65" s="3"/>
      <c r="P65" s="4"/>
      <c r="Q65" s="4"/>
      <c r="S65" s="3"/>
      <c r="T65" s="3"/>
      <c r="U65" s="4"/>
      <c r="V65" s="4"/>
    </row>
    <row r="66" spans="1:22" x14ac:dyDescent="0.25">
      <c r="A66" s="3" t="str">
        <f>RTD("rtdtrading.rtdserver",, "BOOK0", "VOC", 62)</f>
        <v>Ferramenta Inválida</v>
      </c>
      <c r="B66" s="3" t="str">
        <f>RTD("rtdtrading.rtdserver",, "BOOK0", "OCP", 62)</f>
        <v>Ferramenta Inválida</v>
      </c>
      <c r="C66" s="4" t="str">
        <f>RTD("rtdtrading.rtdserver",, "BOOK0", "OVD", 62)</f>
        <v>Ferramenta Inválida</v>
      </c>
      <c r="D66" s="4" t="str">
        <f>RTD("rtdtrading.rtdserver",, "BOOK0", "VOV", 62)</f>
        <v>Ferramenta Inválida</v>
      </c>
      <c r="F66" s="3" t="e">
        <f t="shared" si="5"/>
        <v>#VALUE!</v>
      </c>
      <c r="G66" s="5" t="e">
        <f t="shared" si="5"/>
        <v>#VALUE!</v>
      </c>
      <c r="H66" s="6" t="e">
        <f t="shared" si="5"/>
        <v>#VALUE!</v>
      </c>
      <c r="I66" s="4" t="e">
        <f t="shared" si="5"/>
        <v>#VALUE!</v>
      </c>
      <c r="K66" s="5" t="e">
        <f t="shared" si="2"/>
        <v>#VALUE!</v>
      </c>
      <c r="L66" s="6" t="e">
        <f t="shared" si="4"/>
        <v>#VALUE!</v>
      </c>
      <c r="N66" s="3"/>
      <c r="O66" s="3"/>
      <c r="P66" s="4"/>
      <c r="Q66" s="4"/>
      <c r="S66" s="3"/>
      <c r="T66" s="3"/>
      <c r="U66" s="4"/>
      <c r="V66" s="4"/>
    </row>
    <row r="67" spans="1:22" x14ac:dyDescent="0.25">
      <c r="A67" s="3" t="str">
        <f>RTD("rtdtrading.rtdserver",, "BOOK0", "VOC", 63)</f>
        <v>Ferramenta Inválida</v>
      </c>
      <c r="B67" s="3" t="str">
        <f>RTD("rtdtrading.rtdserver",, "BOOK0", "OCP", 63)</f>
        <v>Ferramenta Inválida</v>
      </c>
      <c r="C67" s="4" t="str">
        <f>RTD("rtdtrading.rtdserver",, "BOOK0", "OVD", 63)</f>
        <v>Ferramenta Inválida</v>
      </c>
      <c r="D67" s="4" t="str">
        <f>RTD("rtdtrading.rtdserver",, "BOOK0", "VOV", 63)</f>
        <v>Ferramenta Inválida</v>
      </c>
      <c r="F67" s="3" t="e">
        <f t="shared" si="5"/>
        <v>#VALUE!</v>
      </c>
      <c r="G67" s="5" t="e">
        <f t="shared" si="5"/>
        <v>#VALUE!</v>
      </c>
      <c r="H67" s="6" t="e">
        <f t="shared" si="5"/>
        <v>#VALUE!</v>
      </c>
      <c r="I67" s="4" t="e">
        <f t="shared" si="5"/>
        <v>#VALUE!</v>
      </c>
      <c r="K67" s="5" t="e">
        <f t="shared" si="2"/>
        <v>#VALUE!</v>
      </c>
      <c r="L67" s="6" t="e">
        <f t="shared" si="4"/>
        <v>#VALUE!</v>
      </c>
      <c r="N67" s="3"/>
      <c r="O67" s="3"/>
      <c r="P67" s="4"/>
      <c r="Q67" s="4"/>
      <c r="S67" s="3"/>
      <c r="T67" s="3"/>
      <c r="U67" s="4"/>
      <c r="V67" s="4"/>
    </row>
    <row r="68" spans="1:22" x14ac:dyDescent="0.25">
      <c r="A68" s="3" t="str">
        <f>RTD("rtdtrading.rtdserver",, "BOOK0", "VOC", 64)</f>
        <v>Ferramenta Inválida</v>
      </c>
      <c r="B68" s="3" t="str">
        <f>RTD("rtdtrading.rtdserver",, "BOOK0", "OCP", 64)</f>
        <v>Ferramenta Inválida</v>
      </c>
      <c r="C68" s="4" t="str">
        <f>RTD("rtdtrading.rtdserver",, "BOOK0", "OVD", 64)</f>
        <v>Ferramenta Inválida</v>
      </c>
      <c r="D68" s="4" t="str">
        <f>RTD("rtdtrading.rtdserver",, "BOOK0", "VOV", 64)</f>
        <v>Ferramenta Inválida</v>
      </c>
      <c r="F68" s="3" t="e">
        <f t="shared" si="5"/>
        <v>#VALUE!</v>
      </c>
      <c r="G68" s="5" t="e">
        <f t="shared" si="5"/>
        <v>#VALUE!</v>
      </c>
      <c r="H68" s="6" t="e">
        <f t="shared" si="5"/>
        <v>#VALUE!</v>
      </c>
      <c r="I68" s="4" t="e">
        <f t="shared" si="5"/>
        <v>#VALUE!</v>
      </c>
      <c r="K68" s="5" t="e">
        <f t="shared" si="2"/>
        <v>#VALUE!</v>
      </c>
      <c r="L68" s="6" t="e">
        <f t="shared" si="4"/>
        <v>#VALUE!</v>
      </c>
      <c r="N68" s="3"/>
      <c r="O68" s="3"/>
      <c r="P68" s="4"/>
      <c r="Q68" s="4"/>
      <c r="S68" s="3"/>
      <c r="T68" s="3"/>
      <c r="U68" s="4"/>
      <c r="V68" s="4"/>
    </row>
    <row r="69" spans="1:22" x14ac:dyDescent="0.25">
      <c r="A69" s="3" t="str">
        <f>RTD("rtdtrading.rtdserver",, "BOOK0", "VOC", 65)</f>
        <v>Ferramenta Inválida</v>
      </c>
      <c r="B69" s="3" t="str">
        <f>RTD("rtdtrading.rtdserver",, "BOOK0", "OCP", 65)</f>
        <v>Ferramenta Inválida</v>
      </c>
      <c r="C69" s="4" t="str">
        <f>RTD("rtdtrading.rtdserver",, "BOOK0", "OVD", 65)</f>
        <v>Ferramenta Inválida</v>
      </c>
      <c r="D69" s="4" t="str">
        <f>RTD("rtdtrading.rtdserver",, "BOOK0", "VOV", 65)</f>
        <v>Ferramenta Inválida</v>
      </c>
      <c r="F69" s="3" t="e">
        <f t="shared" si="5"/>
        <v>#VALUE!</v>
      </c>
      <c r="G69" s="5" t="e">
        <f t="shared" si="5"/>
        <v>#VALUE!</v>
      </c>
      <c r="H69" s="6" t="e">
        <f t="shared" si="5"/>
        <v>#VALUE!</v>
      </c>
      <c r="I69" s="4" t="e">
        <f t="shared" si="5"/>
        <v>#VALUE!</v>
      </c>
      <c r="K69" s="5" t="e">
        <f t="shared" si="2"/>
        <v>#VALUE!</v>
      </c>
      <c r="L69" s="6" t="e">
        <f t="shared" si="4"/>
        <v>#VALUE!</v>
      </c>
      <c r="N69" s="3"/>
      <c r="O69" s="3"/>
      <c r="P69" s="4"/>
      <c r="Q69" s="4"/>
      <c r="S69" s="3"/>
      <c r="T69" s="3"/>
      <c r="U69" s="4"/>
      <c r="V69" s="4"/>
    </row>
    <row r="70" spans="1:22" x14ac:dyDescent="0.25">
      <c r="A70" s="3" t="str">
        <f>RTD("rtdtrading.rtdserver",, "BOOK0", "VOC", 66)</f>
        <v>Ferramenta Inválida</v>
      </c>
      <c r="B70" s="3" t="str">
        <f>RTD("rtdtrading.rtdserver",, "BOOK0", "OCP", 66)</f>
        <v>Ferramenta Inválida</v>
      </c>
      <c r="C70" s="4" t="str">
        <f>RTD("rtdtrading.rtdserver",, "BOOK0", "OVD", 66)</f>
        <v>Ferramenta Inválida</v>
      </c>
      <c r="D70" s="4" t="str">
        <f>RTD("rtdtrading.rtdserver",, "BOOK0", "VOV", 66)</f>
        <v>Ferramenta Inválida</v>
      </c>
      <c r="F70" s="3" t="e">
        <f t="shared" si="5"/>
        <v>#VALUE!</v>
      </c>
      <c r="G70" s="5" t="e">
        <f t="shared" si="5"/>
        <v>#VALUE!</v>
      </c>
      <c r="H70" s="6" t="e">
        <f t="shared" si="5"/>
        <v>#VALUE!</v>
      </c>
      <c r="I70" s="4" t="e">
        <f t="shared" si="5"/>
        <v>#VALUE!</v>
      </c>
      <c r="K70" s="5" t="e">
        <f t="shared" si="2"/>
        <v>#VALUE!</v>
      </c>
      <c r="L70" s="6" t="e">
        <f t="shared" si="4"/>
        <v>#VALUE!</v>
      </c>
      <c r="N70" s="3"/>
      <c r="O70" s="3"/>
      <c r="P70" s="4"/>
      <c r="Q70" s="4"/>
      <c r="S70" s="3"/>
      <c r="T70" s="3"/>
      <c r="U70" s="4"/>
      <c r="V70" s="4"/>
    </row>
    <row r="71" spans="1:22" x14ac:dyDescent="0.25">
      <c r="A71" s="3" t="str">
        <f>RTD("rtdtrading.rtdserver",, "BOOK0", "VOC", 67)</f>
        <v>Ferramenta Inválida</v>
      </c>
      <c r="B71" s="3" t="str">
        <f>RTD("rtdtrading.rtdserver",, "BOOK0", "OCP", 67)</f>
        <v>Ferramenta Inválida</v>
      </c>
      <c r="C71" s="4" t="str">
        <f>RTD("rtdtrading.rtdserver",, "BOOK0", "OVD", 67)</f>
        <v>Ferramenta Inválida</v>
      </c>
      <c r="D71" s="4" t="str">
        <f>RTD("rtdtrading.rtdserver",, "BOOK0", "VOV", 67)</f>
        <v>Ferramenta Inválida</v>
      </c>
      <c r="F71" s="3" t="e">
        <f t="shared" si="5"/>
        <v>#VALUE!</v>
      </c>
      <c r="G71" s="5" t="e">
        <f t="shared" si="5"/>
        <v>#VALUE!</v>
      </c>
      <c r="H71" s="6" t="e">
        <f t="shared" si="5"/>
        <v>#VALUE!</v>
      </c>
      <c r="I71" s="4" t="e">
        <f t="shared" si="5"/>
        <v>#VALUE!</v>
      </c>
      <c r="K71" s="5" t="e">
        <f t="shared" ref="K71:K103" si="6">F71*G71</f>
        <v>#VALUE!</v>
      </c>
      <c r="L71" s="6" t="e">
        <f t="shared" si="4"/>
        <v>#VALUE!</v>
      </c>
      <c r="N71" s="3"/>
      <c r="O71" s="3"/>
      <c r="P71" s="4"/>
      <c r="Q71" s="4"/>
      <c r="S71" s="3"/>
      <c r="T71" s="3"/>
      <c r="U71" s="4"/>
      <c r="V71" s="4"/>
    </row>
    <row r="72" spans="1:22" x14ac:dyDescent="0.25">
      <c r="A72" s="3" t="str">
        <f>RTD("rtdtrading.rtdserver",, "BOOK0", "VOC", 68)</f>
        <v>Ferramenta Inválida</v>
      </c>
      <c r="B72" s="3" t="str">
        <f>RTD("rtdtrading.rtdserver",, "BOOK0", "OCP", 68)</f>
        <v>Ferramenta Inválida</v>
      </c>
      <c r="C72" s="4" t="str">
        <f>RTD("rtdtrading.rtdserver",, "BOOK0", "OVD", 68)</f>
        <v>Ferramenta Inválida</v>
      </c>
      <c r="D72" s="4" t="str">
        <f>RTD("rtdtrading.rtdserver",, "BOOK0", "VOV", 68)</f>
        <v>Ferramenta Inválida</v>
      </c>
      <c r="F72" s="3" t="e">
        <f t="shared" si="5"/>
        <v>#VALUE!</v>
      </c>
      <c r="G72" s="5" t="e">
        <f t="shared" si="5"/>
        <v>#VALUE!</v>
      </c>
      <c r="H72" s="6" t="e">
        <f t="shared" si="5"/>
        <v>#VALUE!</v>
      </c>
      <c r="I72" s="4" t="e">
        <f t="shared" si="5"/>
        <v>#VALUE!</v>
      </c>
      <c r="K72" s="5" t="e">
        <f t="shared" si="6"/>
        <v>#VALUE!</v>
      </c>
      <c r="L72" s="6" t="e">
        <f t="shared" si="4"/>
        <v>#VALUE!</v>
      </c>
      <c r="N72" s="3"/>
      <c r="O72" s="3"/>
      <c r="P72" s="4"/>
      <c r="Q72" s="4"/>
      <c r="S72" s="3"/>
      <c r="T72" s="3"/>
      <c r="U72" s="4"/>
      <c r="V72" s="4"/>
    </row>
    <row r="73" spans="1:22" x14ac:dyDescent="0.25">
      <c r="A73" s="3" t="str">
        <f>RTD("rtdtrading.rtdserver",, "BOOK0", "VOC", 69)</f>
        <v>Ferramenta Inválida</v>
      </c>
      <c r="B73" s="3" t="str">
        <f>RTD("rtdtrading.rtdserver",, "BOOK0", "OCP", 69)</f>
        <v>Ferramenta Inválida</v>
      </c>
      <c r="C73" s="4" t="str">
        <f>RTD("rtdtrading.rtdserver",, "BOOK0", "OVD", 69)</f>
        <v>Ferramenta Inválida</v>
      </c>
      <c r="D73" s="4" t="str">
        <f>RTD("rtdtrading.rtdserver",, "BOOK0", "VOV", 69)</f>
        <v>Ferramenta Inválida</v>
      </c>
      <c r="F73" s="3" t="e">
        <f t="shared" si="5"/>
        <v>#VALUE!</v>
      </c>
      <c r="G73" s="5" t="e">
        <f t="shared" si="5"/>
        <v>#VALUE!</v>
      </c>
      <c r="H73" s="6" t="e">
        <f t="shared" si="5"/>
        <v>#VALUE!</v>
      </c>
      <c r="I73" s="4" t="e">
        <f t="shared" si="5"/>
        <v>#VALUE!</v>
      </c>
      <c r="K73" s="5" t="e">
        <f t="shared" si="6"/>
        <v>#VALUE!</v>
      </c>
      <c r="L73" s="6" t="e">
        <f t="shared" si="4"/>
        <v>#VALUE!</v>
      </c>
      <c r="N73" s="3"/>
      <c r="O73" s="3"/>
      <c r="P73" s="4"/>
      <c r="Q73" s="4"/>
      <c r="S73" s="3"/>
      <c r="T73" s="3"/>
      <c r="U73" s="4"/>
      <c r="V73" s="4"/>
    </row>
    <row r="74" spans="1:22" x14ac:dyDescent="0.25">
      <c r="A74" s="3" t="str">
        <f>RTD("rtdtrading.rtdserver",, "BOOK0", "VOC", 70)</f>
        <v>Ferramenta Inválida</v>
      </c>
      <c r="B74" s="3" t="str">
        <f>RTD("rtdtrading.rtdserver",, "BOOK0", "OCP", 70)</f>
        <v>Ferramenta Inválida</v>
      </c>
      <c r="C74" s="4" t="str">
        <f>RTD("rtdtrading.rtdserver",, "BOOK0", "OVD", 70)</f>
        <v>Ferramenta Inválida</v>
      </c>
      <c r="D74" s="4" t="str">
        <f>RTD("rtdtrading.rtdserver",, "BOOK0", "VOV", 70)</f>
        <v>Ferramenta Inválida</v>
      </c>
      <c r="F74" s="3" t="e">
        <f t="shared" si="5"/>
        <v>#VALUE!</v>
      </c>
      <c r="G74" s="5" t="e">
        <f t="shared" si="5"/>
        <v>#VALUE!</v>
      </c>
      <c r="H74" s="6" t="e">
        <f t="shared" si="5"/>
        <v>#VALUE!</v>
      </c>
      <c r="I74" s="4" t="e">
        <f t="shared" si="5"/>
        <v>#VALUE!</v>
      </c>
      <c r="K74" s="5" t="e">
        <f t="shared" si="6"/>
        <v>#VALUE!</v>
      </c>
      <c r="L74" s="6" t="e">
        <f t="shared" si="4"/>
        <v>#VALUE!</v>
      </c>
      <c r="N74" s="3"/>
      <c r="O74" s="3"/>
      <c r="P74" s="4"/>
      <c r="Q74" s="4"/>
      <c r="S74" s="3"/>
      <c r="T74" s="3"/>
      <c r="U74" s="4"/>
      <c r="V74" s="4"/>
    </row>
    <row r="75" spans="1:22" x14ac:dyDescent="0.25">
      <c r="A75" s="3" t="str">
        <f>RTD("rtdtrading.rtdserver",, "BOOK0", "VOC", 71)</f>
        <v>Ferramenta Inválida</v>
      </c>
      <c r="B75" s="3" t="str">
        <f>RTD("rtdtrading.rtdserver",, "BOOK0", "OCP", 71)</f>
        <v>Ferramenta Inválida</v>
      </c>
      <c r="C75" s="4" t="str">
        <f>RTD("rtdtrading.rtdserver",, "BOOK0", "OVD", 71)</f>
        <v>Ferramenta Inválida</v>
      </c>
      <c r="D75" s="4" t="str">
        <f>RTD("rtdtrading.rtdserver",, "BOOK0", "VOV", 71)</f>
        <v>Ferramenta Inválida</v>
      </c>
      <c r="F75" s="3" t="e">
        <f t="shared" si="5"/>
        <v>#VALUE!</v>
      </c>
      <c r="G75" s="5" t="e">
        <f t="shared" si="5"/>
        <v>#VALUE!</v>
      </c>
      <c r="H75" s="6" t="e">
        <f t="shared" si="5"/>
        <v>#VALUE!</v>
      </c>
      <c r="I75" s="4" t="e">
        <f t="shared" si="5"/>
        <v>#VALUE!</v>
      </c>
      <c r="K75" s="5" t="e">
        <f t="shared" si="6"/>
        <v>#VALUE!</v>
      </c>
      <c r="L75" s="6" t="e">
        <f t="shared" si="4"/>
        <v>#VALUE!</v>
      </c>
      <c r="N75" s="3"/>
      <c r="O75" s="3"/>
      <c r="P75" s="4"/>
      <c r="Q75" s="4"/>
      <c r="S75" s="3"/>
      <c r="T75" s="3"/>
      <c r="U75" s="4"/>
      <c r="V75" s="4"/>
    </row>
    <row r="76" spans="1:22" x14ac:dyDescent="0.25">
      <c r="A76" s="3" t="str">
        <f>RTD("rtdtrading.rtdserver",, "BOOK0", "VOC", 72)</f>
        <v>Ferramenta Inválida</v>
      </c>
      <c r="B76" s="3" t="str">
        <f>RTD("rtdtrading.rtdserver",, "BOOK0", "OCP", 72)</f>
        <v>Ferramenta Inválida</v>
      </c>
      <c r="C76" s="4" t="str">
        <f>RTD("rtdtrading.rtdserver",, "BOOK0", "OVD", 72)</f>
        <v>Ferramenta Inválida</v>
      </c>
      <c r="D76" s="4" t="str">
        <f>RTD("rtdtrading.rtdserver",, "BOOK0", "VOV", 72)</f>
        <v>Ferramenta Inválida</v>
      </c>
      <c r="F76" s="3" t="e">
        <f t="shared" si="5"/>
        <v>#VALUE!</v>
      </c>
      <c r="G76" s="5" t="e">
        <f t="shared" si="5"/>
        <v>#VALUE!</v>
      </c>
      <c r="H76" s="6" t="e">
        <f t="shared" si="5"/>
        <v>#VALUE!</v>
      </c>
      <c r="I76" s="4" t="e">
        <f t="shared" si="5"/>
        <v>#VALUE!</v>
      </c>
      <c r="K76" s="5" t="e">
        <f t="shared" si="6"/>
        <v>#VALUE!</v>
      </c>
      <c r="L76" s="6" t="e">
        <f t="shared" si="4"/>
        <v>#VALUE!</v>
      </c>
      <c r="N76" s="3"/>
      <c r="O76" s="3"/>
      <c r="P76" s="4"/>
      <c r="Q76" s="4"/>
      <c r="S76" s="3"/>
      <c r="T76" s="3"/>
      <c r="U76" s="4"/>
      <c r="V76" s="4"/>
    </row>
    <row r="77" spans="1:22" x14ac:dyDescent="0.25">
      <c r="A77" s="3" t="str">
        <f>RTD("rtdtrading.rtdserver",, "BOOK0", "VOC", 73)</f>
        <v>Ferramenta Inválida</v>
      </c>
      <c r="B77" s="3" t="str">
        <f>RTD("rtdtrading.rtdserver",, "BOOK0", "OCP", 73)</f>
        <v>Ferramenta Inválida</v>
      </c>
      <c r="C77" s="4" t="str">
        <f>RTD("rtdtrading.rtdserver",, "BOOK0", "OVD", 73)</f>
        <v>Ferramenta Inválida</v>
      </c>
      <c r="D77" s="4" t="str">
        <f>RTD("rtdtrading.rtdserver",, "BOOK0", "VOV", 73)</f>
        <v>Ferramenta Inválida</v>
      </c>
      <c r="F77" s="3" t="e">
        <f t="shared" si="5"/>
        <v>#VALUE!</v>
      </c>
      <c r="G77" s="5" t="e">
        <f t="shared" si="5"/>
        <v>#VALUE!</v>
      </c>
      <c r="H77" s="6" t="e">
        <f t="shared" si="5"/>
        <v>#VALUE!</v>
      </c>
      <c r="I77" s="4" t="e">
        <f t="shared" si="5"/>
        <v>#VALUE!</v>
      </c>
      <c r="K77" s="5" t="e">
        <f t="shared" si="6"/>
        <v>#VALUE!</v>
      </c>
      <c r="L77" s="6" t="e">
        <f t="shared" si="4"/>
        <v>#VALUE!</v>
      </c>
      <c r="N77" s="3"/>
      <c r="O77" s="3"/>
      <c r="P77" s="4"/>
      <c r="Q77" s="4"/>
      <c r="S77" s="3"/>
      <c r="T77" s="3"/>
      <c r="U77" s="4"/>
      <c r="V77" s="4"/>
    </row>
    <row r="78" spans="1:22" x14ac:dyDescent="0.25">
      <c r="A78" s="3" t="str">
        <f>RTD("rtdtrading.rtdserver",, "BOOK0", "VOC", 74)</f>
        <v>Ferramenta Inválida</v>
      </c>
      <c r="B78" s="3" t="str">
        <f>RTD("rtdtrading.rtdserver",, "BOOK0", "OCP", 74)</f>
        <v>Ferramenta Inválida</v>
      </c>
      <c r="C78" s="4" t="str">
        <f>RTD("rtdtrading.rtdserver",, "BOOK0", "OVD", 74)</f>
        <v>Ferramenta Inválida</v>
      </c>
      <c r="D78" s="4" t="str">
        <f>RTD("rtdtrading.rtdserver",, "BOOK0", "VOV", 74)</f>
        <v>Ferramenta Inválida</v>
      </c>
      <c r="F78" s="3" t="e">
        <f t="shared" si="5"/>
        <v>#VALUE!</v>
      </c>
      <c r="G78" s="5" t="e">
        <f t="shared" si="5"/>
        <v>#VALUE!</v>
      </c>
      <c r="H78" s="6" t="e">
        <f t="shared" si="5"/>
        <v>#VALUE!</v>
      </c>
      <c r="I78" s="4" t="e">
        <f t="shared" si="5"/>
        <v>#VALUE!</v>
      </c>
      <c r="K78" s="5" t="e">
        <f t="shared" si="6"/>
        <v>#VALUE!</v>
      </c>
      <c r="L78" s="6" t="e">
        <f t="shared" si="4"/>
        <v>#VALUE!</v>
      </c>
      <c r="N78" s="3"/>
      <c r="O78" s="3"/>
      <c r="P78" s="4"/>
      <c r="Q78" s="4"/>
      <c r="S78" s="3"/>
      <c r="T78" s="3"/>
      <c r="U78" s="4"/>
      <c r="V78" s="4"/>
    </row>
    <row r="79" spans="1:22" x14ac:dyDescent="0.25">
      <c r="A79" s="3" t="str">
        <f>RTD("rtdtrading.rtdserver",, "BOOK0", "VOC", 75)</f>
        <v>Ferramenta Inválida</v>
      </c>
      <c r="B79" s="3" t="str">
        <f>RTD("rtdtrading.rtdserver",, "BOOK0", "OCP", 75)</f>
        <v>Ferramenta Inválida</v>
      </c>
      <c r="C79" s="4" t="str">
        <f>RTD("rtdtrading.rtdserver",, "BOOK0", "OVD", 75)</f>
        <v>Ferramenta Inválida</v>
      </c>
      <c r="D79" s="4" t="str">
        <f>RTD("rtdtrading.rtdserver",, "BOOK0", "VOV", 75)</f>
        <v>Ferramenta Inválida</v>
      </c>
      <c r="F79" s="3" t="e">
        <f t="shared" si="5"/>
        <v>#VALUE!</v>
      </c>
      <c r="G79" s="5" t="e">
        <f t="shared" si="5"/>
        <v>#VALUE!</v>
      </c>
      <c r="H79" s="6" t="e">
        <f t="shared" si="5"/>
        <v>#VALUE!</v>
      </c>
      <c r="I79" s="4" t="e">
        <f t="shared" si="5"/>
        <v>#VALUE!</v>
      </c>
      <c r="K79" s="5" t="e">
        <f t="shared" si="6"/>
        <v>#VALUE!</v>
      </c>
      <c r="L79" s="6" t="e">
        <f t="shared" si="4"/>
        <v>#VALUE!</v>
      </c>
      <c r="N79" s="3"/>
      <c r="O79" s="3"/>
      <c r="P79" s="4"/>
      <c r="Q79" s="4"/>
      <c r="S79" s="3"/>
      <c r="T79" s="3"/>
      <c r="U79" s="4"/>
      <c r="V79" s="4"/>
    </row>
    <row r="80" spans="1:22" x14ac:dyDescent="0.25">
      <c r="A80" s="3" t="str">
        <f>RTD("rtdtrading.rtdserver",, "BOOK0", "VOC", 76)</f>
        <v>Ferramenta Inválida</v>
      </c>
      <c r="B80" s="3" t="str">
        <f>RTD("rtdtrading.rtdserver",, "BOOK0", "OCP", 76)</f>
        <v>Ferramenta Inválida</v>
      </c>
      <c r="C80" s="4" t="str">
        <f>RTD("rtdtrading.rtdserver",, "BOOK0", "OVD", 76)</f>
        <v>Ferramenta Inválida</v>
      </c>
      <c r="D80" s="4" t="str">
        <f>RTD("rtdtrading.rtdserver",, "BOOK0", "VOV", 76)</f>
        <v>Ferramenta Inválida</v>
      </c>
      <c r="F80" s="3" t="e">
        <f t="shared" si="5"/>
        <v>#VALUE!</v>
      </c>
      <c r="G80" s="5" t="e">
        <f t="shared" si="5"/>
        <v>#VALUE!</v>
      </c>
      <c r="H80" s="6" t="e">
        <f t="shared" si="5"/>
        <v>#VALUE!</v>
      </c>
      <c r="I80" s="4" t="e">
        <f t="shared" si="5"/>
        <v>#VALUE!</v>
      </c>
      <c r="K80" s="5" t="e">
        <f t="shared" si="6"/>
        <v>#VALUE!</v>
      </c>
      <c r="L80" s="6" t="e">
        <f t="shared" si="4"/>
        <v>#VALUE!</v>
      </c>
      <c r="N80" s="3"/>
      <c r="O80" s="3"/>
      <c r="P80" s="4"/>
      <c r="Q80" s="4"/>
      <c r="S80" s="3"/>
      <c r="T80" s="3"/>
      <c r="U80" s="4"/>
      <c r="V80" s="4"/>
    </row>
    <row r="81" spans="1:22" x14ac:dyDescent="0.25">
      <c r="A81" s="3" t="str">
        <f>RTD("rtdtrading.rtdserver",, "BOOK0", "VOC", 77)</f>
        <v>Ferramenta Inválida</v>
      </c>
      <c r="B81" s="3" t="str">
        <f>RTD("rtdtrading.rtdserver",, "BOOK0", "OCP", 77)</f>
        <v>Ferramenta Inválida</v>
      </c>
      <c r="C81" s="4" t="str">
        <f>RTD("rtdtrading.rtdserver",, "BOOK0", "OVD", 77)</f>
        <v>Ferramenta Inválida</v>
      </c>
      <c r="D81" s="4" t="str">
        <f>RTD("rtdtrading.rtdserver",, "BOOK0", "VOV", 77)</f>
        <v>Ferramenta Inválida</v>
      </c>
      <c r="F81" s="3" t="e">
        <f t="shared" si="5"/>
        <v>#VALUE!</v>
      </c>
      <c r="G81" s="5" t="e">
        <f t="shared" si="5"/>
        <v>#VALUE!</v>
      </c>
      <c r="H81" s="6" t="e">
        <f t="shared" si="5"/>
        <v>#VALUE!</v>
      </c>
      <c r="I81" s="4" t="e">
        <f t="shared" si="5"/>
        <v>#VALUE!</v>
      </c>
      <c r="K81" s="5" t="e">
        <f t="shared" si="6"/>
        <v>#VALUE!</v>
      </c>
      <c r="L81" s="6" t="e">
        <f t="shared" si="4"/>
        <v>#VALUE!</v>
      </c>
      <c r="N81" s="3"/>
      <c r="O81" s="3"/>
      <c r="P81" s="4"/>
      <c r="Q81" s="4"/>
      <c r="S81" s="3"/>
      <c r="T81" s="3"/>
      <c r="U81" s="4"/>
      <c r="V81" s="4"/>
    </row>
    <row r="82" spans="1:22" x14ac:dyDescent="0.25">
      <c r="A82" s="3" t="str">
        <f>RTD("rtdtrading.rtdserver",, "BOOK0", "VOC", 78)</f>
        <v>Ferramenta Inválida</v>
      </c>
      <c r="B82" s="3" t="str">
        <f>RTD("rtdtrading.rtdserver",, "BOOK0", "OCP", 78)</f>
        <v>Ferramenta Inválida</v>
      </c>
      <c r="C82" s="4" t="str">
        <f>RTD("rtdtrading.rtdserver",, "BOOK0", "OVD", 78)</f>
        <v>Ferramenta Inválida</v>
      </c>
      <c r="D82" s="4" t="str">
        <f>RTD("rtdtrading.rtdserver",, "BOOK0", "VOV", 78)</f>
        <v>Ferramenta Inválida</v>
      </c>
      <c r="F82" s="3" t="e">
        <f t="shared" si="5"/>
        <v>#VALUE!</v>
      </c>
      <c r="G82" s="5" t="e">
        <f t="shared" si="5"/>
        <v>#VALUE!</v>
      </c>
      <c r="H82" s="6" t="e">
        <f t="shared" si="5"/>
        <v>#VALUE!</v>
      </c>
      <c r="I82" s="4" t="e">
        <f t="shared" si="5"/>
        <v>#VALUE!</v>
      </c>
      <c r="K82" s="5" t="e">
        <f t="shared" si="6"/>
        <v>#VALUE!</v>
      </c>
      <c r="L82" s="6" t="e">
        <f t="shared" si="4"/>
        <v>#VALUE!</v>
      </c>
      <c r="N82" s="3"/>
      <c r="O82" s="3"/>
      <c r="P82" s="4"/>
      <c r="Q82" s="4"/>
      <c r="S82" s="3"/>
      <c r="T82" s="3"/>
      <c r="U82" s="4"/>
      <c r="V82" s="4"/>
    </row>
    <row r="83" spans="1:22" x14ac:dyDescent="0.25">
      <c r="A83" s="3" t="str">
        <f>RTD("rtdtrading.rtdserver",, "BOOK0", "VOC", 79)</f>
        <v>Ferramenta Inválida</v>
      </c>
      <c r="B83" s="3" t="str">
        <f>RTD("rtdtrading.rtdserver",, "BOOK0", "OCP", 79)</f>
        <v>Ferramenta Inválida</v>
      </c>
      <c r="C83" s="4" t="str">
        <f>RTD("rtdtrading.rtdserver",, "BOOK0", "OVD", 79)</f>
        <v>Ferramenta Inválida</v>
      </c>
      <c r="D83" s="4" t="str">
        <f>RTD("rtdtrading.rtdserver",, "BOOK0", "VOV", 79)</f>
        <v>Ferramenta Inválida</v>
      </c>
      <c r="F83" s="3" t="e">
        <f t="shared" si="5"/>
        <v>#VALUE!</v>
      </c>
      <c r="G83" s="5" t="e">
        <f t="shared" si="5"/>
        <v>#VALUE!</v>
      </c>
      <c r="H83" s="6" t="e">
        <f t="shared" si="5"/>
        <v>#VALUE!</v>
      </c>
      <c r="I83" s="4" t="e">
        <f t="shared" si="5"/>
        <v>#VALUE!</v>
      </c>
      <c r="K83" s="5" t="e">
        <f t="shared" si="6"/>
        <v>#VALUE!</v>
      </c>
      <c r="L83" s="6" t="e">
        <f t="shared" si="4"/>
        <v>#VALUE!</v>
      </c>
      <c r="N83" s="3"/>
      <c r="O83" s="3"/>
      <c r="P83" s="4"/>
      <c r="Q83" s="4"/>
      <c r="S83" s="3"/>
      <c r="T83" s="3"/>
      <c r="U83" s="4"/>
      <c r="V83" s="4"/>
    </row>
    <row r="84" spans="1:22" x14ac:dyDescent="0.25">
      <c r="A84" s="3" t="str">
        <f>RTD("rtdtrading.rtdserver",, "BOOK0", "VOC", 80)</f>
        <v>Ferramenta Inválida</v>
      </c>
      <c r="B84" s="3" t="str">
        <f>RTD("rtdtrading.rtdserver",, "BOOK0", "OCP", 80)</f>
        <v>Ferramenta Inválida</v>
      </c>
      <c r="C84" s="4" t="str">
        <f>RTD("rtdtrading.rtdserver",, "BOOK0", "OVD", 80)</f>
        <v>Ferramenta Inválida</v>
      </c>
      <c r="D84" s="4" t="str">
        <f>RTD("rtdtrading.rtdserver",, "BOOK0", "VOV", 80)</f>
        <v>Ferramenta Inválida</v>
      </c>
      <c r="F84" s="3" t="e">
        <f t="shared" si="5"/>
        <v>#VALUE!</v>
      </c>
      <c r="G84" s="5" t="e">
        <f t="shared" si="5"/>
        <v>#VALUE!</v>
      </c>
      <c r="H84" s="6" t="e">
        <f t="shared" si="5"/>
        <v>#VALUE!</v>
      </c>
      <c r="I84" s="4" t="e">
        <f t="shared" si="5"/>
        <v>#VALUE!</v>
      </c>
      <c r="K84" s="5" t="e">
        <f t="shared" si="6"/>
        <v>#VALUE!</v>
      </c>
      <c r="L84" s="6" t="e">
        <f t="shared" si="4"/>
        <v>#VALUE!</v>
      </c>
      <c r="N84" s="3"/>
      <c r="O84" s="3"/>
      <c r="P84" s="4"/>
      <c r="Q84" s="4"/>
      <c r="S84" s="3"/>
      <c r="T84" s="3"/>
      <c r="U84" s="4"/>
      <c r="V84" s="4"/>
    </row>
    <row r="85" spans="1:22" x14ac:dyDescent="0.25">
      <c r="A85" s="3" t="str">
        <f>RTD("rtdtrading.rtdserver",, "BOOK0", "VOC", 81)</f>
        <v>Ferramenta Inválida</v>
      </c>
      <c r="B85" s="3" t="str">
        <f>RTD("rtdtrading.rtdserver",, "BOOK0", "OCP", 81)</f>
        <v>Ferramenta Inválida</v>
      </c>
      <c r="C85" s="4" t="str">
        <f>RTD("rtdtrading.rtdserver",, "BOOK0", "OVD", 81)</f>
        <v>Ferramenta Inválida</v>
      </c>
      <c r="D85" s="4" t="str">
        <f>RTD("rtdtrading.rtdserver",, "BOOK0", "VOV", 81)</f>
        <v>Ferramenta Inválida</v>
      </c>
      <c r="F85" s="3" t="e">
        <f t="shared" si="5"/>
        <v>#VALUE!</v>
      </c>
      <c r="G85" s="5" t="e">
        <f t="shared" si="5"/>
        <v>#VALUE!</v>
      </c>
      <c r="H85" s="6" t="e">
        <f t="shared" si="5"/>
        <v>#VALUE!</v>
      </c>
      <c r="I85" s="4" t="e">
        <f t="shared" si="5"/>
        <v>#VALUE!</v>
      </c>
      <c r="K85" s="5" t="e">
        <f t="shared" si="6"/>
        <v>#VALUE!</v>
      </c>
      <c r="L85" s="6" t="e">
        <f t="shared" si="4"/>
        <v>#VALUE!</v>
      </c>
      <c r="N85" s="3"/>
      <c r="O85" s="3"/>
      <c r="P85" s="4"/>
      <c r="Q85" s="4"/>
      <c r="S85" s="3"/>
      <c r="T85" s="3"/>
      <c r="U85" s="4"/>
      <c r="V85" s="4"/>
    </row>
    <row r="86" spans="1:22" x14ac:dyDescent="0.25">
      <c r="A86" s="3" t="str">
        <f>RTD("rtdtrading.rtdserver",, "BOOK0", "VOC", 82)</f>
        <v>Ferramenta Inválida</v>
      </c>
      <c r="B86" s="3" t="str">
        <f>RTD("rtdtrading.rtdserver",, "BOOK0", "OCP", 82)</f>
        <v>Ferramenta Inválida</v>
      </c>
      <c r="C86" s="4" t="str">
        <f>RTD("rtdtrading.rtdserver",, "BOOK0", "OVD", 82)</f>
        <v>Ferramenta Inválida</v>
      </c>
      <c r="D86" s="4" t="str">
        <f>RTD("rtdtrading.rtdserver",, "BOOK0", "VOV", 82)</f>
        <v>Ferramenta Inválida</v>
      </c>
      <c r="F86" s="3" t="e">
        <f t="shared" si="5"/>
        <v>#VALUE!</v>
      </c>
      <c r="G86" s="5" t="e">
        <f t="shared" si="5"/>
        <v>#VALUE!</v>
      </c>
      <c r="H86" s="6" t="e">
        <f t="shared" si="5"/>
        <v>#VALUE!</v>
      </c>
      <c r="I86" s="4" t="e">
        <f t="shared" si="5"/>
        <v>#VALUE!</v>
      </c>
      <c r="K86" s="5" t="e">
        <f t="shared" si="6"/>
        <v>#VALUE!</v>
      </c>
      <c r="L86" s="6" t="e">
        <f t="shared" si="4"/>
        <v>#VALUE!</v>
      </c>
      <c r="N86" s="3"/>
      <c r="O86" s="3"/>
      <c r="P86" s="4"/>
      <c r="Q86" s="4"/>
      <c r="S86" s="3"/>
      <c r="T86" s="3"/>
      <c r="U86" s="4"/>
      <c r="V86" s="4"/>
    </row>
    <row r="87" spans="1:22" x14ac:dyDescent="0.25">
      <c r="A87" s="3" t="str">
        <f>RTD("rtdtrading.rtdserver",, "BOOK0", "VOC", 83)</f>
        <v>Ferramenta Inválida</v>
      </c>
      <c r="B87" s="3" t="str">
        <f>RTD("rtdtrading.rtdserver",, "BOOK0", "OCP", 83)</f>
        <v>Ferramenta Inválida</v>
      </c>
      <c r="C87" s="4" t="str">
        <f>RTD("rtdtrading.rtdserver",, "BOOK0", "OVD", 83)</f>
        <v>Ferramenta Inválida</v>
      </c>
      <c r="D87" s="4" t="str">
        <f>RTD("rtdtrading.rtdserver",, "BOOK0", "VOV", 83)</f>
        <v>Ferramenta Inválida</v>
      </c>
      <c r="F87" s="3" t="e">
        <f t="shared" si="5"/>
        <v>#VALUE!</v>
      </c>
      <c r="G87" s="5" t="e">
        <f t="shared" si="5"/>
        <v>#VALUE!</v>
      </c>
      <c r="H87" s="6" t="e">
        <f t="shared" si="5"/>
        <v>#VALUE!</v>
      </c>
      <c r="I87" s="4" t="e">
        <f t="shared" si="5"/>
        <v>#VALUE!</v>
      </c>
      <c r="K87" s="5" t="e">
        <f t="shared" si="6"/>
        <v>#VALUE!</v>
      </c>
      <c r="L87" s="6" t="e">
        <f t="shared" si="4"/>
        <v>#VALUE!</v>
      </c>
      <c r="N87" s="3"/>
      <c r="O87" s="3"/>
      <c r="P87" s="4"/>
      <c r="Q87" s="4"/>
      <c r="S87" s="3"/>
      <c r="T87" s="3"/>
      <c r="U87" s="4"/>
      <c r="V87" s="4"/>
    </row>
    <row r="88" spans="1:22" x14ac:dyDescent="0.25">
      <c r="A88" s="3" t="str">
        <f>RTD("rtdtrading.rtdserver",, "BOOK0", "VOC", 84)</f>
        <v>Ferramenta Inválida</v>
      </c>
      <c r="B88" s="3" t="str">
        <f>RTD("rtdtrading.rtdserver",, "BOOK0", "OCP", 84)</f>
        <v>Ferramenta Inválida</v>
      </c>
      <c r="C88" s="4" t="str">
        <f>RTD("rtdtrading.rtdserver",, "BOOK0", "OVD", 84)</f>
        <v>Ferramenta Inválida</v>
      </c>
      <c r="D88" s="4" t="str">
        <f>RTD("rtdtrading.rtdserver",, "BOOK0", "VOV", 84)</f>
        <v>Ferramenta Inválida</v>
      </c>
      <c r="F88" s="3" t="e">
        <f t="shared" si="5"/>
        <v>#VALUE!</v>
      </c>
      <c r="G88" s="5" t="e">
        <f t="shared" si="5"/>
        <v>#VALUE!</v>
      </c>
      <c r="H88" s="6" t="e">
        <f t="shared" si="5"/>
        <v>#VALUE!</v>
      </c>
      <c r="I88" s="4" t="e">
        <f t="shared" si="5"/>
        <v>#VALUE!</v>
      </c>
      <c r="K88" s="5" t="e">
        <f t="shared" si="6"/>
        <v>#VALUE!</v>
      </c>
      <c r="L88" s="6" t="e">
        <f t="shared" si="4"/>
        <v>#VALUE!</v>
      </c>
      <c r="N88" s="3"/>
      <c r="O88" s="3"/>
      <c r="P88" s="4"/>
      <c r="Q88" s="4"/>
      <c r="S88" s="3"/>
      <c r="T88" s="3"/>
      <c r="U88" s="4"/>
      <c r="V88" s="4"/>
    </row>
    <row r="89" spans="1:22" x14ac:dyDescent="0.25">
      <c r="A89" s="3" t="str">
        <f>RTD("rtdtrading.rtdserver",, "BOOK0", "VOC", 85)</f>
        <v>Ferramenta Inválida</v>
      </c>
      <c r="B89" s="3" t="str">
        <f>RTD("rtdtrading.rtdserver",, "BOOK0", "OCP", 85)</f>
        <v>Ferramenta Inválida</v>
      </c>
      <c r="C89" s="4" t="str">
        <f>RTD("rtdtrading.rtdserver",, "BOOK0", "OVD", 85)</f>
        <v>Ferramenta Inválida</v>
      </c>
      <c r="D89" s="4" t="str">
        <f>RTD("rtdtrading.rtdserver",, "BOOK0", "VOV", 85)</f>
        <v>Ferramenta Inválida</v>
      </c>
      <c r="F89" s="3" t="e">
        <f t="shared" si="5"/>
        <v>#VALUE!</v>
      </c>
      <c r="G89" s="5" t="e">
        <f t="shared" si="5"/>
        <v>#VALUE!</v>
      </c>
      <c r="H89" s="6" t="e">
        <f t="shared" si="5"/>
        <v>#VALUE!</v>
      </c>
      <c r="I89" s="4" t="e">
        <f t="shared" si="5"/>
        <v>#VALUE!</v>
      </c>
      <c r="K89" s="5" t="e">
        <f t="shared" si="6"/>
        <v>#VALUE!</v>
      </c>
      <c r="L89" s="6" t="e">
        <f t="shared" si="4"/>
        <v>#VALUE!</v>
      </c>
      <c r="N89" s="3"/>
      <c r="O89" s="3"/>
      <c r="P89" s="4"/>
      <c r="Q89" s="4"/>
      <c r="S89" s="3"/>
      <c r="T89" s="3"/>
      <c r="U89" s="4"/>
      <c r="V89" s="4"/>
    </row>
    <row r="90" spans="1:22" x14ac:dyDescent="0.25">
      <c r="A90" s="3" t="str">
        <f>RTD("rtdtrading.rtdserver",, "BOOK0", "VOC", 86)</f>
        <v>Ferramenta Inválida</v>
      </c>
      <c r="B90" s="3" t="str">
        <f>RTD("rtdtrading.rtdserver",, "BOOK0", "OCP", 86)</f>
        <v>Ferramenta Inválida</v>
      </c>
      <c r="C90" s="4" t="str">
        <f>RTD("rtdtrading.rtdserver",, "BOOK0", "OVD", 86)</f>
        <v>Ferramenta Inválida</v>
      </c>
      <c r="D90" s="4" t="str">
        <f>RTD("rtdtrading.rtdserver",, "BOOK0", "VOV", 86)</f>
        <v>Ferramenta Inválida</v>
      </c>
      <c r="F90" s="3" t="e">
        <f t="shared" si="5"/>
        <v>#VALUE!</v>
      </c>
      <c r="G90" s="5" t="e">
        <f t="shared" si="5"/>
        <v>#VALUE!</v>
      </c>
      <c r="H90" s="6" t="e">
        <f t="shared" si="5"/>
        <v>#VALUE!</v>
      </c>
      <c r="I90" s="4" t="e">
        <f t="shared" si="5"/>
        <v>#VALUE!</v>
      </c>
      <c r="K90" s="5" t="e">
        <f t="shared" si="6"/>
        <v>#VALUE!</v>
      </c>
      <c r="L90" s="6" t="e">
        <f t="shared" si="4"/>
        <v>#VALUE!</v>
      </c>
      <c r="N90" s="3"/>
      <c r="O90" s="3"/>
      <c r="P90" s="4"/>
      <c r="Q90" s="4"/>
      <c r="S90" s="3"/>
      <c r="T90" s="3"/>
      <c r="U90" s="4"/>
      <c r="V90" s="4"/>
    </row>
    <row r="91" spans="1:22" x14ac:dyDescent="0.25">
      <c r="A91" s="3" t="str">
        <f>RTD("rtdtrading.rtdserver",, "BOOK0", "VOC", 87)</f>
        <v>Ferramenta Inválida</v>
      </c>
      <c r="B91" s="3" t="str">
        <f>RTD("rtdtrading.rtdserver",, "BOOK0", "OCP", 87)</f>
        <v>Ferramenta Inválida</v>
      </c>
      <c r="C91" s="4" t="str">
        <f>RTD("rtdtrading.rtdserver",, "BOOK0", "OVD", 87)</f>
        <v>Ferramenta Inválida</v>
      </c>
      <c r="D91" s="4" t="str">
        <f>RTD("rtdtrading.rtdserver",, "BOOK0", "VOV", 87)</f>
        <v>Ferramenta Inválida</v>
      </c>
      <c r="F91" s="3" t="e">
        <f t="shared" si="5"/>
        <v>#VALUE!</v>
      </c>
      <c r="G91" s="5" t="e">
        <f t="shared" si="5"/>
        <v>#VALUE!</v>
      </c>
      <c r="H91" s="6" t="e">
        <f t="shared" si="5"/>
        <v>#VALUE!</v>
      </c>
      <c r="I91" s="4" t="e">
        <f t="shared" si="5"/>
        <v>#VALUE!</v>
      </c>
      <c r="K91" s="5" t="e">
        <f t="shared" si="6"/>
        <v>#VALUE!</v>
      </c>
      <c r="L91" s="6" t="e">
        <f t="shared" si="4"/>
        <v>#VALUE!</v>
      </c>
      <c r="N91" s="3"/>
      <c r="O91" s="3"/>
      <c r="P91" s="4"/>
      <c r="Q91" s="4"/>
      <c r="S91" s="3"/>
      <c r="T91" s="3"/>
      <c r="U91" s="4"/>
      <c r="V91" s="4"/>
    </row>
    <row r="92" spans="1:22" x14ac:dyDescent="0.25">
      <c r="A92" s="3" t="str">
        <f>RTD("rtdtrading.rtdserver",, "BOOK0", "VOC", 88)</f>
        <v>Ferramenta Inválida</v>
      </c>
      <c r="B92" s="3" t="str">
        <f>RTD("rtdtrading.rtdserver",, "BOOK0", "OCP", 88)</f>
        <v>Ferramenta Inválida</v>
      </c>
      <c r="C92" s="4" t="str">
        <f>RTD("rtdtrading.rtdserver",, "BOOK0", "OVD", 88)</f>
        <v>Ferramenta Inválida</v>
      </c>
      <c r="D92" s="4" t="str">
        <f>RTD("rtdtrading.rtdserver",, "BOOK0", "VOV", 88)</f>
        <v>Ferramenta Inválida</v>
      </c>
      <c r="F92" s="3" t="e">
        <f t="shared" si="5"/>
        <v>#VALUE!</v>
      </c>
      <c r="G92" s="5" t="e">
        <f t="shared" si="5"/>
        <v>#VALUE!</v>
      </c>
      <c r="H92" s="6" t="e">
        <f t="shared" si="5"/>
        <v>#VALUE!</v>
      </c>
      <c r="I92" s="4" t="e">
        <f t="shared" si="5"/>
        <v>#VALUE!</v>
      </c>
      <c r="K92" s="5" t="e">
        <f t="shared" si="6"/>
        <v>#VALUE!</v>
      </c>
      <c r="L92" s="6" t="e">
        <f t="shared" si="4"/>
        <v>#VALUE!</v>
      </c>
      <c r="N92" s="3"/>
      <c r="O92" s="3"/>
      <c r="P92" s="4"/>
      <c r="Q92" s="4"/>
      <c r="S92" s="3"/>
      <c r="T92" s="3"/>
      <c r="U92" s="4"/>
      <c r="V92" s="4"/>
    </row>
    <row r="93" spans="1:22" x14ac:dyDescent="0.25">
      <c r="A93" s="3" t="str">
        <f>RTD("rtdtrading.rtdserver",, "BOOK0", "VOC", 89)</f>
        <v>Ferramenta Inválida</v>
      </c>
      <c r="B93" s="3" t="str">
        <f>RTD("rtdtrading.rtdserver",, "BOOK0", "OCP", 89)</f>
        <v>Ferramenta Inválida</v>
      </c>
      <c r="C93" s="4" t="str">
        <f>RTD("rtdtrading.rtdserver",, "BOOK0", "OVD", 89)</f>
        <v>Ferramenta Inválida</v>
      </c>
      <c r="D93" s="4" t="str">
        <f>RTD("rtdtrading.rtdserver",, "BOOK0", "VOV", 89)</f>
        <v>Ferramenta Inválida</v>
      </c>
      <c r="F93" s="3" t="e">
        <f t="shared" si="5"/>
        <v>#VALUE!</v>
      </c>
      <c r="G93" s="5" t="e">
        <f t="shared" si="5"/>
        <v>#VALUE!</v>
      </c>
      <c r="H93" s="6" t="e">
        <f t="shared" si="5"/>
        <v>#VALUE!</v>
      </c>
      <c r="I93" s="4" t="e">
        <f t="shared" si="5"/>
        <v>#VALUE!</v>
      </c>
      <c r="K93" s="5" t="e">
        <f t="shared" si="6"/>
        <v>#VALUE!</v>
      </c>
      <c r="L93" s="6" t="e">
        <f t="shared" si="4"/>
        <v>#VALUE!</v>
      </c>
      <c r="N93" s="3"/>
      <c r="O93" s="3"/>
      <c r="P93" s="4"/>
      <c r="Q93" s="4"/>
      <c r="S93" s="3"/>
      <c r="T93" s="3"/>
      <c r="U93" s="4"/>
      <c r="V93" s="4"/>
    </row>
    <row r="94" spans="1:22" x14ac:dyDescent="0.25">
      <c r="A94" s="3" t="str">
        <f>RTD("rtdtrading.rtdserver",, "BOOK0", "VOC", 90)</f>
        <v>Ferramenta Inválida</v>
      </c>
      <c r="B94" s="3" t="str">
        <f>RTD("rtdtrading.rtdserver",, "BOOK0", "OCP", 90)</f>
        <v>Ferramenta Inválida</v>
      </c>
      <c r="C94" s="4" t="str">
        <f>RTD("rtdtrading.rtdserver",, "BOOK0", "OVD", 90)</f>
        <v>Ferramenta Inválida</v>
      </c>
      <c r="D94" s="4" t="str">
        <f>RTD("rtdtrading.rtdserver",, "BOOK0", "VOV", 90)</f>
        <v>Ferramenta Inválida</v>
      </c>
      <c r="F94" s="3" t="e">
        <f t="shared" si="5"/>
        <v>#VALUE!</v>
      </c>
      <c r="G94" s="5" t="e">
        <f t="shared" si="5"/>
        <v>#VALUE!</v>
      </c>
      <c r="H94" s="6" t="e">
        <f t="shared" si="5"/>
        <v>#VALUE!</v>
      </c>
      <c r="I94" s="4" t="e">
        <f t="shared" si="5"/>
        <v>#VALUE!</v>
      </c>
      <c r="K94" s="5" t="e">
        <f t="shared" si="6"/>
        <v>#VALUE!</v>
      </c>
      <c r="L94" s="6" t="e">
        <f t="shared" si="4"/>
        <v>#VALUE!</v>
      </c>
      <c r="N94" s="3"/>
      <c r="O94" s="3"/>
      <c r="P94" s="4"/>
      <c r="Q94" s="4"/>
      <c r="S94" s="3"/>
      <c r="T94" s="3"/>
      <c r="U94" s="4"/>
      <c r="V94" s="4"/>
    </row>
    <row r="95" spans="1:22" x14ac:dyDescent="0.25">
      <c r="A95" s="3" t="str">
        <f>RTD("rtdtrading.rtdserver",, "BOOK0", "VOC", 91)</f>
        <v>Ferramenta Inválida</v>
      </c>
      <c r="B95" s="3" t="str">
        <f>RTD("rtdtrading.rtdserver",, "BOOK0", "OCP", 91)</f>
        <v>Ferramenta Inválida</v>
      </c>
      <c r="C95" s="4" t="str">
        <f>RTD("rtdtrading.rtdserver",, "BOOK0", "OVD", 91)</f>
        <v>Ferramenta Inválida</v>
      </c>
      <c r="D95" s="4" t="str">
        <f>RTD("rtdtrading.rtdserver",, "BOOK0", "VOV", 91)</f>
        <v>Ferramenta Inválida</v>
      </c>
      <c r="F95" s="3" t="e">
        <f t="shared" si="5"/>
        <v>#VALUE!</v>
      </c>
      <c r="G95" s="5" t="e">
        <f t="shared" si="5"/>
        <v>#VALUE!</v>
      </c>
      <c r="H95" s="6" t="e">
        <f t="shared" si="5"/>
        <v>#VALUE!</v>
      </c>
      <c r="I95" s="4" t="e">
        <f t="shared" si="5"/>
        <v>#VALUE!</v>
      </c>
      <c r="K95" s="5" t="e">
        <f t="shared" si="6"/>
        <v>#VALUE!</v>
      </c>
      <c r="L95" s="6" t="e">
        <f t="shared" si="4"/>
        <v>#VALUE!</v>
      </c>
      <c r="N95" s="3"/>
      <c r="O95" s="3"/>
      <c r="P95" s="4"/>
      <c r="Q95" s="4"/>
      <c r="S95" s="3"/>
      <c r="T95" s="3"/>
      <c r="U95" s="4"/>
      <c r="V95" s="4"/>
    </row>
    <row r="96" spans="1:22" x14ac:dyDescent="0.25">
      <c r="A96" s="3" t="str">
        <f>RTD("rtdtrading.rtdserver",, "BOOK0", "VOC", 92)</f>
        <v>Ferramenta Inválida</v>
      </c>
      <c r="B96" s="3" t="str">
        <f>RTD("rtdtrading.rtdserver",, "BOOK0", "OCP", 92)</f>
        <v>Ferramenta Inválida</v>
      </c>
      <c r="C96" s="4" t="str">
        <f>RTD("rtdtrading.rtdserver",, "BOOK0", "OVD", 92)</f>
        <v>Ferramenta Inválida</v>
      </c>
      <c r="D96" s="4" t="str">
        <f>RTD("rtdtrading.rtdserver",, "BOOK0", "VOV", 92)</f>
        <v>Ferramenta Inválida</v>
      </c>
      <c r="F96" s="3" t="e">
        <f t="shared" si="5"/>
        <v>#VALUE!</v>
      </c>
      <c r="G96" s="5" t="e">
        <f t="shared" si="5"/>
        <v>#VALUE!</v>
      </c>
      <c r="H96" s="6" t="e">
        <f t="shared" si="5"/>
        <v>#VALUE!</v>
      </c>
      <c r="I96" s="4" t="e">
        <f t="shared" si="5"/>
        <v>#VALUE!</v>
      </c>
      <c r="K96" s="5" t="e">
        <f t="shared" si="6"/>
        <v>#VALUE!</v>
      </c>
      <c r="L96" s="6" t="e">
        <f t="shared" si="4"/>
        <v>#VALUE!</v>
      </c>
      <c r="N96" s="3"/>
      <c r="O96" s="3"/>
      <c r="P96" s="4"/>
      <c r="Q96" s="4"/>
      <c r="S96" s="3"/>
      <c r="T96" s="3"/>
      <c r="U96" s="4"/>
      <c r="V96" s="4"/>
    </row>
    <row r="97" spans="1:22" x14ac:dyDescent="0.25">
      <c r="A97" s="3" t="str">
        <f>RTD("rtdtrading.rtdserver",, "BOOK0", "VOC", 93)</f>
        <v>Ferramenta Inválida</v>
      </c>
      <c r="B97" s="3" t="str">
        <f>RTD("rtdtrading.rtdserver",, "BOOK0", "OCP", 93)</f>
        <v>Ferramenta Inválida</v>
      </c>
      <c r="C97" s="4" t="str">
        <f>RTD("rtdtrading.rtdserver",, "BOOK0", "OVD", 93)</f>
        <v>Ferramenta Inválida</v>
      </c>
      <c r="D97" s="4" t="str">
        <f>RTD("rtdtrading.rtdserver",, "BOOK0", "VOV", 93)</f>
        <v>Ferramenta Inválida</v>
      </c>
      <c r="F97" s="3" t="e">
        <f t="shared" si="5"/>
        <v>#VALUE!</v>
      </c>
      <c r="G97" s="5" t="e">
        <f t="shared" si="5"/>
        <v>#VALUE!</v>
      </c>
      <c r="H97" s="6" t="e">
        <f t="shared" si="5"/>
        <v>#VALUE!</v>
      </c>
      <c r="I97" s="4" t="e">
        <f t="shared" si="5"/>
        <v>#VALUE!</v>
      </c>
      <c r="K97" s="5" t="e">
        <f t="shared" si="6"/>
        <v>#VALUE!</v>
      </c>
      <c r="L97" s="6" t="e">
        <f t="shared" si="4"/>
        <v>#VALUE!</v>
      </c>
      <c r="N97" s="3"/>
      <c r="O97" s="3"/>
      <c r="P97" s="4"/>
      <c r="Q97" s="4"/>
      <c r="S97" s="3"/>
      <c r="T97" s="3"/>
      <c r="U97" s="4"/>
      <c r="V97" s="4"/>
    </row>
    <row r="98" spans="1:22" x14ac:dyDescent="0.25">
      <c r="A98" s="3" t="str">
        <f>RTD("rtdtrading.rtdserver",, "BOOK0", "VOC", 94)</f>
        <v>Ferramenta Inválida</v>
      </c>
      <c r="B98" s="3" t="str">
        <f>RTD("rtdtrading.rtdserver",, "BOOK0", "OCP", 94)</f>
        <v>Ferramenta Inválida</v>
      </c>
      <c r="C98" s="4" t="str">
        <f>RTD("rtdtrading.rtdserver",, "BOOK0", "OVD", 94)</f>
        <v>Ferramenta Inválida</v>
      </c>
      <c r="D98" s="4" t="str">
        <f>RTD("rtdtrading.rtdserver",, "BOOK0", "VOV", 94)</f>
        <v>Ferramenta Inválida</v>
      </c>
      <c r="F98" s="3" t="e">
        <f t="shared" si="5"/>
        <v>#VALUE!</v>
      </c>
      <c r="G98" s="5" t="e">
        <f t="shared" si="5"/>
        <v>#VALUE!</v>
      </c>
      <c r="H98" s="6" t="e">
        <f t="shared" si="5"/>
        <v>#VALUE!</v>
      </c>
      <c r="I98" s="4" t="e">
        <f t="shared" si="5"/>
        <v>#VALUE!</v>
      </c>
      <c r="K98" s="5" t="e">
        <f t="shared" si="6"/>
        <v>#VALUE!</v>
      </c>
      <c r="L98" s="6" t="e">
        <f t="shared" si="4"/>
        <v>#VALUE!</v>
      </c>
      <c r="N98" s="3"/>
      <c r="O98" s="3"/>
      <c r="P98" s="4"/>
      <c r="Q98" s="4"/>
      <c r="S98" s="3"/>
      <c r="T98" s="3"/>
      <c r="U98" s="4"/>
      <c r="V98" s="4"/>
    </row>
    <row r="99" spans="1:22" x14ac:dyDescent="0.25">
      <c r="A99" s="3" t="str">
        <f>RTD("rtdtrading.rtdserver",, "BOOK0", "VOC", 95)</f>
        <v>Ferramenta Inválida</v>
      </c>
      <c r="B99" s="3" t="str">
        <f>RTD("rtdtrading.rtdserver",, "BOOK0", "OCP", 95)</f>
        <v>Ferramenta Inválida</v>
      </c>
      <c r="C99" s="4" t="str">
        <f>RTD("rtdtrading.rtdserver",, "BOOK0", "OVD", 95)</f>
        <v>Ferramenta Inválida</v>
      </c>
      <c r="D99" s="4" t="str">
        <f>RTD("rtdtrading.rtdserver",, "BOOK0", "VOV", 95)</f>
        <v>Ferramenta Inválida</v>
      </c>
      <c r="F99" s="3" t="e">
        <f t="shared" si="5"/>
        <v>#VALUE!</v>
      </c>
      <c r="G99" s="5" t="e">
        <f t="shared" si="5"/>
        <v>#VALUE!</v>
      </c>
      <c r="H99" s="6" t="e">
        <f t="shared" si="5"/>
        <v>#VALUE!</v>
      </c>
      <c r="I99" s="4" t="e">
        <f t="shared" si="5"/>
        <v>#VALUE!</v>
      </c>
      <c r="K99" s="5" t="e">
        <f t="shared" si="6"/>
        <v>#VALUE!</v>
      </c>
      <c r="L99" s="6" t="e">
        <f>I99*H99</f>
        <v>#VALUE!</v>
      </c>
      <c r="N99" s="3"/>
      <c r="O99" s="3"/>
      <c r="P99" s="4"/>
      <c r="Q99" s="4"/>
      <c r="S99" s="3"/>
      <c r="T99" s="3"/>
      <c r="U99" s="4"/>
      <c r="V99" s="4"/>
    </row>
    <row r="100" spans="1:22" x14ac:dyDescent="0.25">
      <c r="A100" s="3" t="str">
        <f>RTD("rtdtrading.rtdserver",, "BOOK0", "VOC", 96)</f>
        <v>Ferramenta Inválida</v>
      </c>
      <c r="B100" s="3" t="str">
        <f>RTD("rtdtrading.rtdserver",, "BOOK0", "OCP", 96)</f>
        <v>Ferramenta Inválida</v>
      </c>
      <c r="C100" s="4" t="str">
        <f>RTD("rtdtrading.rtdserver",, "BOOK0", "OVD", 96)</f>
        <v>Ferramenta Inválida</v>
      </c>
      <c r="D100" s="4" t="str">
        <f>RTD("rtdtrading.rtdserver",, "BOOK0", "VOV", 96)</f>
        <v>Ferramenta Inválida</v>
      </c>
      <c r="F100" s="3" t="e">
        <f t="shared" si="5"/>
        <v>#VALUE!</v>
      </c>
      <c r="G100" s="5" t="e">
        <f t="shared" si="5"/>
        <v>#VALUE!</v>
      </c>
      <c r="H100" s="6" t="e">
        <f t="shared" si="5"/>
        <v>#VALUE!</v>
      </c>
      <c r="I100" s="4" t="e">
        <f t="shared" si="5"/>
        <v>#VALUE!</v>
      </c>
      <c r="K100" s="5" t="e">
        <f t="shared" si="6"/>
        <v>#VALUE!</v>
      </c>
      <c r="L100" s="6" t="e">
        <f>I100*H100</f>
        <v>#VALUE!</v>
      </c>
      <c r="N100" s="3"/>
      <c r="O100" s="3"/>
      <c r="P100" s="4"/>
      <c r="Q100" s="4"/>
      <c r="S100" s="3"/>
      <c r="T100" s="3"/>
      <c r="U100" s="4"/>
      <c r="V100" s="4"/>
    </row>
    <row r="101" spans="1:22" x14ac:dyDescent="0.25">
      <c r="A101" s="3" t="str">
        <f>RTD("rtdtrading.rtdserver",, "BOOK0", "VOC", 97)</f>
        <v>Ferramenta Inválida</v>
      </c>
      <c r="B101" s="3" t="str">
        <f>RTD("rtdtrading.rtdserver",, "BOOK0", "OCP", 97)</f>
        <v>Ferramenta Inválida</v>
      </c>
      <c r="C101" s="4" t="str">
        <f>RTD("rtdtrading.rtdserver",, "BOOK0", "OVD", 97)</f>
        <v>Ferramenta Inválida</v>
      </c>
      <c r="D101" s="4" t="str">
        <f>RTD("rtdtrading.rtdserver",, "BOOK0", "VOV", 97)</f>
        <v>Ferramenta Inválida</v>
      </c>
      <c r="F101" s="3" t="e">
        <f t="shared" si="5"/>
        <v>#VALUE!</v>
      </c>
      <c r="G101" s="5" t="e">
        <f t="shared" si="5"/>
        <v>#VALUE!</v>
      </c>
      <c r="H101" s="6" t="e">
        <f t="shared" si="5"/>
        <v>#VALUE!</v>
      </c>
      <c r="I101" s="4" t="e">
        <f t="shared" si="5"/>
        <v>#VALUE!</v>
      </c>
      <c r="K101" s="5" t="e">
        <f t="shared" si="6"/>
        <v>#VALUE!</v>
      </c>
      <c r="L101" s="6" t="e">
        <f>I101*H101</f>
        <v>#VALUE!</v>
      </c>
      <c r="N101" s="3"/>
      <c r="O101" s="3"/>
      <c r="P101" s="4"/>
      <c r="Q101" s="4"/>
      <c r="S101" s="3"/>
      <c r="T101" s="3"/>
      <c r="U101" s="4"/>
      <c r="V101" s="4"/>
    </row>
    <row r="102" spans="1:22" x14ac:dyDescent="0.25">
      <c r="A102" s="3" t="str">
        <f>RTD("rtdtrading.rtdserver",, "BOOK0", "VOC", 98)</f>
        <v>Ferramenta Inválida</v>
      </c>
      <c r="B102" s="3" t="str">
        <f>RTD("rtdtrading.rtdserver",, "BOOK0", "OCP", 98)</f>
        <v>Ferramenta Inválida</v>
      </c>
      <c r="C102" s="4" t="str">
        <f>RTD("rtdtrading.rtdserver",, "BOOK0", "OVD", 98)</f>
        <v>Ferramenta Inválida</v>
      </c>
      <c r="D102" s="4" t="str">
        <f>RTD("rtdtrading.rtdserver",, "BOOK0", "VOV", 98)</f>
        <v>Ferramenta Inválida</v>
      </c>
      <c r="F102" s="3" t="e">
        <f t="shared" si="5"/>
        <v>#VALUE!</v>
      </c>
      <c r="G102" s="5" t="e">
        <f t="shared" si="5"/>
        <v>#VALUE!</v>
      </c>
      <c r="H102" s="6" t="e">
        <f t="shared" si="5"/>
        <v>#VALUE!</v>
      </c>
      <c r="I102" s="4" t="e">
        <f t="shared" si="5"/>
        <v>#VALUE!</v>
      </c>
      <c r="K102" s="5" t="e">
        <f t="shared" si="6"/>
        <v>#VALUE!</v>
      </c>
      <c r="L102" s="6" t="e">
        <f>I102*H102</f>
        <v>#VALUE!</v>
      </c>
      <c r="N102" s="3"/>
      <c r="O102" s="3"/>
      <c r="P102" s="4"/>
      <c r="Q102" s="4"/>
      <c r="S102" s="3"/>
      <c r="T102" s="3"/>
      <c r="U102" s="4"/>
      <c r="V102" s="4"/>
    </row>
    <row r="103" spans="1:22" x14ac:dyDescent="0.25">
      <c r="A103" s="3" t="str">
        <f>RTD("rtdtrading.rtdserver",, "BOOK0", "VOC", 99)</f>
        <v>Ferramenta Inválida</v>
      </c>
      <c r="B103" s="3" t="str">
        <f>RTD("rtdtrading.rtdserver",, "BOOK0", "OCP", 99)</f>
        <v>Ferramenta Inválida</v>
      </c>
      <c r="C103" s="4" t="str">
        <f>RTD("rtdtrading.rtdserver",, "BOOK0", "OVD", 99)</f>
        <v>Ferramenta Inválida</v>
      </c>
      <c r="D103" s="4" t="str">
        <f>RTD("rtdtrading.rtdserver",, "BOOK0", "VOV", 99)</f>
        <v>Ferramenta Inválida</v>
      </c>
      <c r="F103" s="3" t="e">
        <f t="shared" si="5"/>
        <v>#VALUE!</v>
      </c>
      <c r="G103" s="5" t="e">
        <f t="shared" si="5"/>
        <v>#VALUE!</v>
      </c>
      <c r="H103" s="6" t="e">
        <f t="shared" si="5"/>
        <v>#VALUE!</v>
      </c>
      <c r="I103" s="4" t="e">
        <f t="shared" si="5"/>
        <v>#VALUE!</v>
      </c>
      <c r="K103" s="5" t="e">
        <f t="shared" si="6"/>
        <v>#VALUE!</v>
      </c>
      <c r="L103" s="6" t="e">
        <f>I103*H103</f>
        <v>#VALUE!</v>
      </c>
      <c r="N103" s="3"/>
      <c r="O103" s="3"/>
      <c r="P103" s="4"/>
      <c r="Q103" s="4"/>
      <c r="S103" s="3"/>
      <c r="T103" s="3"/>
      <c r="U103" s="4"/>
      <c r="V103" s="4"/>
    </row>
    <row r="104" spans="1:22" x14ac:dyDescent="0.25">
      <c r="A104" s="3" t="str">
        <f>RTD("rtdtrading.rtdserver",, "BOOK0", "VOC", 100)</f>
        <v>Ferramenta Inválida</v>
      </c>
      <c r="B104" s="3" t="str">
        <f>RTD("rtdtrading.rtdserver",, "BOOK0", "OCP", 100)</f>
        <v>Ferramenta Inválida</v>
      </c>
      <c r="C104" s="4" t="str">
        <f>RTD("rtdtrading.rtdserver",, "BOOK0", "OVD", 100)</f>
        <v>Ferramenta Inválida</v>
      </c>
      <c r="D104" s="4" t="str">
        <f>RTD("rtdtrading.rtdserver",, "BOOK0", "VOV", 100)</f>
        <v>Ferramenta Inválida</v>
      </c>
      <c r="F104" s="3"/>
      <c r="G104" s="5"/>
      <c r="H104" s="6"/>
      <c r="I104" s="4"/>
      <c r="K104" s="5"/>
      <c r="L104" s="6"/>
      <c r="N104" s="3"/>
      <c r="O104" s="3"/>
      <c r="P104" s="4"/>
      <c r="Q104" s="4"/>
      <c r="S104" s="3"/>
      <c r="T104" s="3"/>
      <c r="U104" s="4"/>
      <c r="V104" s="4"/>
    </row>
    <row r="105" spans="1:22" x14ac:dyDescent="0.25">
      <c r="A105" s="3" t="str">
        <f>RTD("rtdtrading.rtdserver",, "BOOK0", "VOC", 101)</f>
        <v>Ferramenta Inválida</v>
      </c>
      <c r="B105" s="3" t="str">
        <f>RTD("rtdtrading.rtdserver",, "BOOK0", "OCP", 101)</f>
        <v>Ferramenta Inválida</v>
      </c>
      <c r="C105" s="4" t="str">
        <f>RTD("rtdtrading.rtdserver",, "BOOK0", "OVD", 101)</f>
        <v>Ferramenta Inválida</v>
      </c>
      <c r="D105" s="4" t="str">
        <f>RTD("rtdtrading.rtdserver",, "BOOK0", "VOV", 101)</f>
        <v>Ferramenta Inválida</v>
      </c>
      <c r="F105" s="3"/>
      <c r="G105" s="5"/>
      <c r="H105" s="6"/>
      <c r="I105" s="4"/>
      <c r="K105" s="5"/>
      <c r="L105" s="6"/>
      <c r="N105" s="3"/>
      <c r="O105" s="3"/>
      <c r="P105" s="4"/>
      <c r="Q105" s="4"/>
      <c r="S105" s="3"/>
      <c r="T105" s="3"/>
      <c r="U105" s="4"/>
      <c r="V105" s="4"/>
    </row>
    <row r="106" spans="1:22" x14ac:dyDescent="0.25">
      <c r="A106" s="3" t="str">
        <f>RTD("rtdtrading.rtdserver",, "BOOK0", "VOC", 102)</f>
        <v>Ferramenta Inválida</v>
      </c>
      <c r="B106" s="3" t="str">
        <f>RTD("rtdtrading.rtdserver",, "BOOK0", "OCP", 102)</f>
        <v>Ferramenta Inválida</v>
      </c>
      <c r="C106" s="4" t="str">
        <f>RTD("rtdtrading.rtdserver",, "BOOK0", "OVD", 102)</f>
        <v>Ferramenta Inválida</v>
      </c>
      <c r="D106" s="4" t="str">
        <f>RTD("rtdtrading.rtdserver",, "BOOK0", "VOV", 102)</f>
        <v>Ferramenta Inválida</v>
      </c>
      <c r="F106" s="3"/>
      <c r="G106" s="5"/>
      <c r="H106" s="6"/>
      <c r="I106" s="4"/>
      <c r="K106" s="5"/>
      <c r="L106" s="6"/>
      <c r="N106" s="3"/>
      <c r="O106" s="3"/>
      <c r="P106" s="4"/>
      <c r="Q106" s="4"/>
      <c r="S106" s="3"/>
      <c r="T106" s="3"/>
      <c r="U106" s="4"/>
      <c r="V106" s="4"/>
    </row>
    <row r="107" spans="1:22" x14ac:dyDescent="0.25">
      <c r="A107" s="3" t="str">
        <f>RTD("rtdtrading.rtdserver",, "BOOK0", "VOC", 103)</f>
        <v>Ferramenta Inválida</v>
      </c>
      <c r="B107" s="3" t="str">
        <f>RTD("rtdtrading.rtdserver",, "BOOK0", "OCP", 103)</f>
        <v>Ferramenta Inválida</v>
      </c>
      <c r="C107" s="4" t="str">
        <f>RTD("rtdtrading.rtdserver",, "BOOK0", "OVD", 103)</f>
        <v>Ferramenta Inválida</v>
      </c>
      <c r="D107" s="4" t="str">
        <f>RTD("rtdtrading.rtdserver",, "BOOK0", "VOV", 103)</f>
        <v>Ferramenta Inválida</v>
      </c>
      <c r="F107" s="3"/>
      <c r="G107" s="5"/>
      <c r="H107" s="6"/>
      <c r="I107" s="4"/>
      <c r="K107" s="5"/>
      <c r="L107" s="6"/>
      <c r="N107" s="3"/>
      <c r="O107" s="3"/>
      <c r="P107" s="4"/>
      <c r="Q107" s="4"/>
      <c r="S107" s="3"/>
      <c r="T107" s="3"/>
      <c r="U107" s="4"/>
      <c r="V107" s="4"/>
    </row>
    <row r="108" spans="1:22" x14ac:dyDescent="0.25">
      <c r="A108" s="3" t="str">
        <f>RTD("rtdtrading.rtdserver",, "BOOK0", "VOC", 104)</f>
        <v>Ferramenta Inválida</v>
      </c>
      <c r="B108" s="3" t="str">
        <f>RTD("rtdtrading.rtdserver",, "BOOK0", "OCP", 104)</f>
        <v>Ferramenta Inválida</v>
      </c>
      <c r="C108" s="4" t="str">
        <f>RTD("rtdtrading.rtdserver",, "BOOK0", "OVD", 104)</f>
        <v>Ferramenta Inválida</v>
      </c>
      <c r="D108" s="4" t="str">
        <f>RTD("rtdtrading.rtdserver",, "BOOK0", "VOV", 104)</f>
        <v>Ferramenta Inválida</v>
      </c>
      <c r="F108" s="3"/>
      <c r="G108" s="5"/>
      <c r="H108" s="6"/>
      <c r="I108" s="4"/>
      <c r="K108" s="5"/>
      <c r="L108" s="6"/>
      <c r="N108" s="3"/>
      <c r="O108" s="3"/>
      <c r="P108" s="4"/>
      <c r="Q108" s="4"/>
      <c r="S108" s="3"/>
      <c r="T108" s="3"/>
      <c r="U108" s="4"/>
      <c r="V108" s="4"/>
    </row>
    <row r="109" spans="1:22" x14ac:dyDescent="0.25">
      <c r="A109" s="3" t="str">
        <f>RTD("rtdtrading.rtdserver",, "BOOK0", "VOC", 105)</f>
        <v>Ferramenta Inválida</v>
      </c>
      <c r="B109" s="3" t="str">
        <f>RTD("rtdtrading.rtdserver",, "BOOK0", "OCP", 105)</f>
        <v>Ferramenta Inválida</v>
      </c>
      <c r="C109" s="4" t="str">
        <f>RTD("rtdtrading.rtdserver",, "BOOK0", "OVD", 105)</f>
        <v>Ferramenta Inválida</v>
      </c>
      <c r="D109" s="4" t="str">
        <f>RTD("rtdtrading.rtdserver",, "BOOK0", "VOV", 105)</f>
        <v>Ferramenta Inválida</v>
      </c>
      <c r="F109" s="3"/>
      <c r="G109" s="5"/>
      <c r="H109" s="6"/>
      <c r="I109" s="4"/>
      <c r="K109" s="5"/>
      <c r="L109" s="6"/>
      <c r="N109" s="3"/>
      <c r="O109" s="3"/>
      <c r="P109" s="4"/>
      <c r="Q109" s="4"/>
      <c r="S109" s="3"/>
      <c r="T109" s="3"/>
      <c r="U109" s="4"/>
      <c r="V109" s="4"/>
    </row>
    <row r="110" spans="1:22" x14ac:dyDescent="0.25">
      <c r="A110" s="3" t="str">
        <f>RTD("rtdtrading.rtdserver",, "BOOK0", "VOC", 106)</f>
        <v>Ferramenta Inválida</v>
      </c>
      <c r="B110" s="3" t="str">
        <f>RTD("rtdtrading.rtdserver",, "BOOK0", "OCP", 106)</f>
        <v>Ferramenta Inválida</v>
      </c>
      <c r="C110" s="4" t="str">
        <f>RTD("rtdtrading.rtdserver",, "BOOK0", "OVD", 106)</f>
        <v>Ferramenta Inválida</v>
      </c>
      <c r="D110" s="4" t="str">
        <f>RTD("rtdtrading.rtdserver",, "BOOK0", "VOV", 106)</f>
        <v>Ferramenta Inválida</v>
      </c>
      <c r="F110" s="3"/>
      <c r="G110" s="5"/>
      <c r="H110" s="6"/>
      <c r="I110" s="4"/>
      <c r="K110" s="5"/>
      <c r="L110" s="6"/>
      <c r="N110" s="3"/>
      <c r="O110" s="3"/>
      <c r="P110" s="4"/>
      <c r="Q110" s="4"/>
      <c r="S110" s="3"/>
      <c r="T110" s="3"/>
      <c r="U110" s="4"/>
      <c r="V110" s="4"/>
    </row>
    <row r="111" spans="1:22" x14ac:dyDescent="0.25">
      <c r="A111" s="3" t="str">
        <f>RTD("rtdtrading.rtdserver",, "BOOK0", "VOC", 107)</f>
        <v>Ferramenta Inválida</v>
      </c>
      <c r="B111" s="3" t="str">
        <f>RTD("rtdtrading.rtdserver",, "BOOK0", "OCP", 107)</f>
        <v>Ferramenta Inválida</v>
      </c>
      <c r="C111" s="4" t="str">
        <f>RTD("rtdtrading.rtdserver",, "BOOK0", "OVD", 107)</f>
        <v>Ferramenta Inválida</v>
      </c>
      <c r="D111" s="4" t="str">
        <f>RTD("rtdtrading.rtdserver",, "BOOK0", "VOV", 107)</f>
        <v>Ferramenta Inválida</v>
      </c>
      <c r="F111" s="3"/>
      <c r="G111" s="5"/>
      <c r="H111" s="6"/>
      <c r="I111" s="4"/>
      <c r="K111" s="5"/>
      <c r="L111" s="6"/>
      <c r="N111" s="3"/>
      <c r="O111" s="3"/>
      <c r="P111" s="4"/>
      <c r="Q111" s="4"/>
      <c r="S111" s="3"/>
      <c r="T111" s="3"/>
      <c r="U111" s="4"/>
      <c r="V111" s="4"/>
    </row>
    <row r="112" spans="1:22" x14ac:dyDescent="0.25">
      <c r="A112" s="3" t="str">
        <f>RTD("rtdtrading.rtdserver",, "BOOK0", "VOC", 108)</f>
        <v>Ferramenta Inválida</v>
      </c>
      <c r="B112" s="3" t="str">
        <f>RTD("rtdtrading.rtdserver",, "BOOK0", "OCP", 108)</f>
        <v>Ferramenta Inválida</v>
      </c>
      <c r="C112" s="4" t="str">
        <f>RTD("rtdtrading.rtdserver",, "BOOK0", "OVD", 108)</f>
        <v>Ferramenta Inválida</v>
      </c>
      <c r="D112" s="4" t="str">
        <f>RTD("rtdtrading.rtdserver",, "BOOK0", "VOV", 108)</f>
        <v>Ferramenta Inválida</v>
      </c>
      <c r="F112" s="3"/>
      <c r="G112" s="5"/>
      <c r="H112" s="6"/>
      <c r="I112" s="4"/>
      <c r="K112" s="5"/>
      <c r="L112" s="6"/>
      <c r="N112" s="3"/>
      <c r="O112" s="3"/>
      <c r="P112" s="4"/>
      <c r="Q112" s="4"/>
      <c r="S112" s="3"/>
      <c r="T112" s="3"/>
      <c r="U112" s="4"/>
      <c r="V112" s="4"/>
    </row>
    <row r="113" spans="1:22" x14ac:dyDescent="0.25">
      <c r="A113" s="3" t="str">
        <f>RTD("rtdtrading.rtdserver",, "BOOK0", "VOC", 109)</f>
        <v>Ferramenta Inválida</v>
      </c>
      <c r="B113" s="3" t="str">
        <f>RTD("rtdtrading.rtdserver",, "BOOK0", "OCP", 109)</f>
        <v>Ferramenta Inválida</v>
      </c>
      <c r="C113" s="4" t="str">
        <f>RTD("rtdtrading.rtdserver",, "BOOK0", "OVD", 109)</f>
        <v>Ferramenta Inválida</v>
      </c>
      <c r="D113" s="4" t="str">
        <f>RTD("rtdtrading.rtdserver",, "BOOK0", "VOV", 109)</f>
        <v>Ferramenta Inválida</v>
      </c>
      <c r="F113" s="3"/>
      <c r="G113" s="5"/>
      <c r="H113" s="6"/>
      <c r="I113" s="4"/>
      <c r="K113" s="5"/>
      <c r="L113" s="6"/>
      <c r="N113" s="3"/>
      <c r="O113" s="3"/>
      <c r="P113" s="4"/>
      <c r="Q113" s="4"/>
      <c r="S113" s="3"/>
      <c r="T113" s="3"/>
      <c r="U113" s="4"/>
      <c r="V113" s="4"/>
    </row>
    <row r="114" spans="1:22" x14ac:dyDescent="0.25">
      <c r="A114" s="3" t="str">
        <f>RTD("rtdtrading.rtdserver",, "BOOK0", "VOC", 110)</f>
        <v>Ferramenta Inválida</v>
      </c>
      <c r="B114" s="3" t="str">
        <f>RTD("rtdtrading.rtdserver",, "BOOK0", "OCP", 110)</f>
        <v>Ferramenta Inválida</v>
      </c>
      <c r="C114" s="4" t="str">
        <f>RTD("rtdtrading.rtdserver",, "BOOK0", "OVD", 110)</f>
        <v>Ferramenta Inválida</v>
      </c>
      <c r="D114" s="4" t="str">
        <f>RTD("rtdtrading.rtdserver",, "BOOK0", "VOV", 110)</f>
        <v>Ferramenta Inválida</v>
      </c>
      <c r="F114" s="3"/>
      <c r="G114" s="5"/>
      <c r="H114" s="6"/>
      <c r="I114" s="4"/>
      <c r="K114" s="5"/>
      <c r="L114" s="6"/>
      <c r="N114" s="3"/>
      <c r="O114" s="3"/>
      <c r="P114" s="4"/>
      <c r="Q114" s="4"/>
      <c r="S114" s="3"/>
      <c r="T114" s="3"/>
      <c r="U114" s="4"/>
      <c r="V114" s="4"/>
    </row>
    <row r="115" spans="1:22" x14ac:dyDescent="0.25">
      <c r="A115" s="3" t="str">
        <f>RTD("rtdtrading.rtdserver",, "BOOK0", "VOC", 111)</f>
        <v>Ferramenta Inválida</v>
      </c>
      <c r="B115" s="3" t="str">
        <f>RTD("rtdtrading.rtdserver",, "BOOK0", "OCP", 111)</f>
        <v>Ferramenta Inválida</v>
      </c>
      <c r="C115" s="4" t="str">
        <f>RTD("rtdtrading.rtdserver",, "BOOK0", "OVD", 111)</f>
        <v>Ferramenta Inválida</v>
      </c>
      <c r="D115" s="4" t="str">
        <f>RTD("rtdtrading.rtdserver",, "BOOK0", "VOV", 111)</f>
        <v>Ferramenta Inválida</v>
      </c>
      <c r="F115" s="3"/>
      <c r="G115" s="5"/>
      <c r="H115" s="6"/>
      <c r="I115" s="4"/>
      <c r="K115" s="5"/>
      <c r="L115" s="6"/>
      <c r="N115" s="3"/>
      <c r="O115" s="3"/>
      <c r="P115" s="4"/>
      <c r="Q115" s="4"/>
      <c r="S115" s="3"/>
      <c r="T115" s="3"/>
      <c r="U115" s="4"/>
      <c r="V115" s="4"/>
    </row>
    <row r="116" spans="1:22" x14ac:dyDescent="0.25">
      <c r="A116" s="3" t="str">
        <f>RTD("rtdtrading.rtdserver",, "BOOK0", "VOC", 112)</f>
        <v>Ferramenta Inválida</v>
      </c>
      <c r="B116" s="3" t="str">
        <f>RTD("rtdtrading.rtdserver",, "BOOK0", "OCP", 112)</f>
        <v>Ferramenta Inválida</v>
      </c>
      <c r="C116" s="4" t="str">
        <f>RTD("rtdtrading.rtdserver",, "BOOK0", "OVD", 112)</f>
        <v>Ferramenta Inválida</v>
      </c>
      <c r="D116" s="4" t="str">
        <f>RTD("rtdtrading.rtdserver",, "BOOK0", "VOV", 112)</f>
        <v>Ferramenta Inválida</v>
      </c>
      <c r="F116" s="3"/>
      <c r="G116" s="5"/>
      <c r="H116" s="6"/>
      <c r="I116" s="4"/>
      <c r="K116" s="5"/>
      <c r="L116" s="6"/>
      <c r="N116" s="3"/>
      <c r="O116" s="3"/>
      <c r="P116" s="4"/>
      <c r="Q116" s="4"/>
      <c r="S116" s="3"/>
      <c r="T116" s="3"/>
      <c r="U116" s="4"/>
      <c r="V116" s="4"/>
    </row>
    <row r="117" spans="1:22" x14ac:dyDescent="0.25">
      <c r="A117" s="3" t="str">
        <f>RTD("rtdtrading.rtdserver",, "BOOK0", "VOC", 113)</f>
        <v>Ferramenta Inválida</v>
      </c>
      <c r="B117" s="3" t="str">
        <f>RTD("rtdtrading.rtdserver",, "BOOK0", "OCP", 113)</f>
        <v>Ferramenta Inválida</v>
      </c>
      <c r="C117" s="4" t="str">
        <f>RTD("rtdtrading.rtdserver",, "BOOK0", "OVD", 113)</f>
        <v>Ferramenta Inválida</v>
      </c>
      <c r="D117" s="4" t="str">
        <f>RTD("rtdtrading.rtdserver",, "BOOK0", "VOV", 113)</f>
        <v>Ferramenta Inválida</v>
      </c>
      <c r="F117" s="3"/>
      <c r="G117" s="5"/>
      <c r="H117" s="6"/>
      <c r="I117" s="4"/>
      <c r="K117" s="5"/>
      <c r="L117" s="6"/>
      <c r="N117" s="3"/>
      <c r="O117" s="3"/>
      <c r="P117" s="4"/>
      <c r="Q117" s="4"/>
      <c r="S117" s="3"/>
      <c r="T117" s="3"/>
      <c r="U117" s="4"/>
      <c r="V117" s="4"/>
    </row>
    <row r="118" spans="1:22" x14ac:dyDescent="0.25">
      <c r="A118" s="3" t="str">
        <f>RTD("rtdtrading.rtdserver",, "BOOK0", "VOC", 114)</f>
        <v>Ferramenta Inválida</v>
      </c>
      <c r="B118" s="3" t="str">
        <f>RTD("rtdtrading.rtdserver",, "BOOK0", "OCP", 114)</f>
        <v>Ferramenta Inválida</v>
      </c>
      <c r="C118" s="4" t="str">
        <f>RTD("rtdtrading.rtdserver",, "BOOK0", "OVD", 114)</f>
        <v>Ferramenta Inválida</v>
      </c>
      <c r="D118" s="4" t="str">
        <f>RTD("rtdtrading.rtdserver",, "BOOK0", "VOV", 114)</f>
        <v>Ferramenta Inválida</v>
      </c>
      <c r="F118" s="3"/>
      <c r="G118" s="5"/>
      <c r="H118" s="6"/>
      <c r="I118" s="4"/>
      <c r="K118" s="5"/>
      <c r="L118" s="6"/>
      <c r="N118" s="3"/>
      <c r="O118" s="3"/>
      <c r="P118" s="4"/>
      <c r="Q118" s="4"/>
      <c r="S118" s="3"/>
      <c r="T118" s="3"/>
      <c r="U118" s="4"/>
      <c r="V118" s="4"/>
    </row>
    <row r="119" spans="1:22" x14ac:dyDescent="0.25">
      <c r="A119" s="3" t="str">
        <f>RTD("rtdtrading.rtdserver",, "BOOK0", "VOC", 115)</f>
        <v>Ferramenta Inválida</v>
      </c>
      <c r="B119" s="3" t="str">
        <f>RTD("rtdtrading.rtdserver",, "BOOK0", "OCP", 115)</f>
        <v>Ferramenta Inválida</v>
      </c>
      <c r="C119" s="4" t="str">
        <f>RTD("rtdtrading.rtdserver",, "BOOK0", "OVD", 115)</f>
        <v>Ferramenta Inválida</v>
      </c>
      <c r="D119" s="4" t="str">
        <f>RTD("rtdtrading.rtdserver",, "BOOK0", "VOV", 115)</f>
        <v>Ferramenta Inválida</v>
      </c>
      <c r="F119" s="3"/>
      <c r="G119" s="5"/>
      <c r="H119" s="6"/>
      <c r="I119" s="4"/>
      <c r="K119" s="5"/>
      <c r="L119" s="6"/>
      <c r="N119" s="3"/>
      <c r="O119" s="3"/>
      <c r="P119" s="4"/>
      <c r="Q119" s="4"/>
      <c r="S119" s="3"/>
      <c r="T119" s="3"/>
      <c r="U119" s="4"/>
      <c r="V119" s="4"/>
    </row>
    <row r="120" spans="1:22" x14ac:dyDescent="0.25">
      <c r="A120" s="3" t="str">
        <f>RTD("rtdtrading.rtdserver",, "BOOK0", "VOC", 116)</f>
        <v>Ferramenta Inválida</v>
      </c>
      <c r="B120" s="3" t="str">
        <f>RTD("rtdtrading.rtdserver",, "BOOK0", "OCP", 116)</f>
        <v>Ferramenta Inválida</v>
      </c>
      <c r="C120" s="4" t="str">
        <f>RTD("rtdtrading.rtdserver",, "BOOK0", "OVD", 116)</f>
        <v>Ferramenta Inválida</v>
      </c>
      <c r="D120" s="4" t="str">
        <f>RTD("rtdtrading.rtdserver",, "BOOK0", "VOV", 116)</f>
        <v>Ferramenta Inválida</v>
      </c>
      <c r="F120" s="3"/>
      <c r="G120" s="5"/>
      <c r="H120" s="6"/>
      <c r="I120" s="4"/>
      <c r="K120" s="5"/>
      <c r="L120" s="6"/>
      <c r="N120" s="3"/>
      <c r="O120" s="3"/>
      <c r="P120" s="4"/>
      <c r="Q120" s="4"/>
      <c r="S120" s="3"/>
      <c r="T120" s="3"/>
      <c r="U120" s="4"/>
      <c r="V120" s="4"/>
    </row>
    <row r="121" spans="1:22" x14ac:dyDescent="0.25">
      <c r="A121" s="3" t="str">
        <f>RTD("rtdtrading.rtdserver",, "BOOK0", "VOC", 117)</f>
        <v>Ferramenta Inválida</v>
      </c>
      <c r="B121" s="3" t="str">
        <f>RTD("rtdtrading.rtdserver",, "BOOK0", "OCP", 117)</f>
        <v>Ferramenta Inválida</v>
      </c>
      <c r="C121" s="4" t="str">
        <f>RTD("rtdtrading.rtdserver",, "BOOK0", "OVD", 117)</f>
        <v>Ferramenta Inválida</v>
      </c>
      <c r="D121" s="4" t="str">
        <f>RTD("rtdtrading.rtdserver",, "BOOK0", "VOV", 117)</f>
        <v>Ferramenta Inválida</v>
      </c>
      <c r="F121" s="3"/>
      <c r="G121" s="5"/>
      <c r="H121" s="6"/>
      <c r="I121" s="4"/>
      <c r="K121" s="5"/>
      <c r="L121" s="6"/>
      <c r="N121" s="3"/>
      <c r="O121" s="3"/>
      <c r="P121" s="4"/>
      <c r="Q121" s="4"/>
      <c r="S121" s="3"/>
      <c r="T121" s="3"/>
      <c r="U121" s="4"/>
      <c r="V121" s="4"/>
    </row>
    <row r="122" spans="1:22" x14ac:dyDescent="0.25">
      <c r="A122" s="3" t="str">
        <f>RTD("rtdtrading.rtdserver",, "BOOK0", "VOC", 118)</f>
        <v>Ferramenta Inválida</v>
      </c>
      <c r="B122" s="3" t="str">
        <f>RTD("rtdtrading.rtdserver",, "BOOK0", "OCP", 118)</f>
        <v>Ferramenta Inválida</v>
      </c>
      <c r="C122" s="4" t="str">
        <f>RTD("rtdtrading.rtdserver",, "BOOK0", "OVD", 118)</f>
        <v>Ferramenta Inválida</v>
      </c>
      <c r="D122" s="4" t="str">
        <f>RTD("rtdtrading.rtdserver",, "BOOK0", "VOV", 118)</f>
        <v>Ferramenta Inválida</v>
      </c>
      <c r="F122" s="3"/>
      <c r="G122" s="5"/>
      <c r="H122" s="6"/>
      <c r="I122" s="4"/>
      <c r="K122" s="5"/>
      <c r="L122" s="6"/>
      <c r="N122" s="3"/>
      <c r="O122" s="3"/>
      <c r="P122" s="4"/>
      <c r="Q122" s="4"/>
      <c r="S122" s="3"/>
      <c r="T122" s="3"/>
      <c r="U122" s="4"/>
      <c r="V122" s="4"/>
    </row>
    <row r="123" spans="1:22" x14ac:dyDescent="0.25">
      <c r="A123" s="3" t="str">
        <f>RTD("rtdtrading.rtdserver",, "BOOK0", "VOC", 119)</f>
        <v>Ferramenta Inválida</v>
      </c>
      <c r="B123" s="3" t="str">
        <f>RTD("rtdtrading.rtdserver",, "BOOK0", "OCP", 119)</f>
        <v>Ferramenta Inválida</v>
      </c>
      <c r="C123" s="4" t="str">
        <f>RTD("rtdtrading.rtdserver",, "BOOK0", "OVD", 119)</f>
        <v>Ferramenta Inválida</v>
      </c>
      <c r="D123" s="4" t="str">
        <f>RTD("rtdtrading.rtdserver",, "BOOK0", "VOV", 119)</f>
        <v>Ferramenta Inválida</v>
      </c>
      <c r="F123" s="3"/>
      <c r="G123" s="5"/>
      <c r="H123" s="6"/>
      <c r="I123" s="4"/>
      <c r="K123" s="5"/>
      <c r="L123" s="6"/>
      <c r="N123" s="3"/>
      <c r="O123" s="3"/>
      <c r="P123" s="4"/>
      <c r="Q123" s="4"/>
      <c r="S123" s="3"/>
      <c r="T123" s="3"/>
      <c r="U123" s="4"/>
      <c r="V123" s="4"/>
    </row>
    <row r="124" spans="1:22" x14ac:dyDescent="0.25">
      <c r="A124" s="3" t="str">
        <f>RTD("rtdtrading.rtdserver",, "BOOK0", "VOC", 120)</f>
        <v>Ferramenta Inválida</v>
      </c>
      <c r="B124" s="3" t="str">
        <f>RTD("rtdtrading.rtdserver",, "BOOK0", "OCP", 120)</f>
        <v>Ferramenta Inválida</v>
      </c>
      <c r="C124" s="4" t="str">
        <f>RTD("rtdtrading.rtdserver",, "BOOK0", "OVD", 120)</f>
        <v>Ferramenta Inválida</v>
      </c>
      <c r="D124" s="4" t="str">
        <f>RTD("rtdtrading.rtdserver",, "BOOK0", "VOV", 120)</f>
        <v>Ferramenta Inválida</v>
      </c>
      <c r="F124" s="3"/>
      <c r="G124" s="5"/>
      <c r="H124" s="6"/>
      <c r="I124" s="4"/>
      <c r="K124" s="5"/>
      <c r="L124" s="6"/>
      <c r="N124" s="3"/>
      <c r="O124" s="3"/>
      <c r="P124" s="4"/>
      <c r="Q124" s="4"/>
      <c r="S124" s="3"/>
      <c r="T124" s="3"/>
      <c r="U124" s="4"/>
      <c r="V124" s="4"/>
    </row>
    <row r="125" spans="1:22" x14ac:dyDescent="0.25">
      <c r="A125" s="3" t="str">
        <f>RTD("rtdtrading.rtdserver",, "BOOK0", "VOC", 121)</f>
        <v>Ferramenta Inválida</v>
      </c>
      <c r="B125" s="3" t="str">
        <f>RTD("rtdtrading.rtdserver",, "BOOK0", "OCP", 121)</f>
        <v>Ferramenta Inválida</v>
      </c>
      <c r="C125" s="4" t="str">
        <f>RTD("rtdtrading.rtdserver",, "BOOK0", "OVD", 121)</f>
        <v>Ferramenta Inválida</v>
      </c>
      <c r="D125" s="4" t="str">
        <f>RTD("rtdtrading.rtdserver",, "BOOK0", "VOV", 121)</f>
        <v>Ferramenta Inválida</v>
      </c>
      <c r="F125" s="3"/>
      <c r="G125" s="5"/>
      <c r="H125" s="6"/>
      <c r="I125" s="4"/>
      <c r="K125" s="5"/>
      <c r="L125" s="6"/>
      <c r="N125" s="3"/>
      <c r="O125" s="3"/>
      <c r="P125" s="4"/>
      <c r="Q125" s="4"/>
      <c r="S125" s="3"/>
      <c r="T125" s="3"/>
      <c r="U125" s="4"/>
      <c r="V125" s="4"/>
    </row>
    <row r="126" spans="1:22" x14ac:dyDescent="0.25">
      <c r="A126" s="3" t="str">
        <f>RTD("rtdtrading.rtdserver",, "BOOK0", "VOC", 122)</f>
        <v>Ferramenta Inválida</v>
      </c>
      <c r="B126" s="3" t="str">
        <f>RTD("rtdtrading.rtdserver",, "BOOK0", "OCP", 122)</f>
        <v>Ferramenta Inválida</v>
      </c>
      <c r="C126" s="4" t="str">
        <f>RTD("rtdtrading.rtdserver",, "BOOK0", "OVD", 122)</f>
        <v>Ferramenta Inválida</v>
      </c>
      <c r="D126" s="4" t="str">
        <f>RTD("rtdtrading.rtdserver",, "BOOK0", "VOV", 122)</f>
        <v>Ferramenta Inválida</v>
      </c>
      <c r="F126" s="3"/>
      <c r="G126" s="5"/>
      <c r="H126" s="6"/>
      <c r="I126" s="4"/>
      <c r="K126" s="5"/>
      <c r="L126" s="6"/>
      <c r="N126" s="3"/>
      <c r="O126" s="3"/>
      <c r="P126" s="4"/>
      <c r="Q126" s="4"/>
      <c r="S126" s="3"/>
      <c r="T126" s="3"/>
      <c r="U126" s="4"/>
      <c r="V126" s="4"/>
    </row>
    <row r="127" spans="1:22" x14ac:dyDescent="0.25">
      <c r="A127" s="3" t="str">
        <f>RTD("rtdtrading.rtdserver",, "BOOK0", "VOC", 123)</f>
        <v>Ferramenta Inválida</v>
      </c>
      <c r="B127" s="3" t="str">
        <f>RTD("rtdtrading.rtdserver",, "BOOK0", "OCP", 123)</f>
        <v>Ferramenta Inválida</v>
      </c>
      <c r="C127" s="4" t="str">
        <f>RTD("rtdtrading.rtdserver",, "BOOK0", "OVD", 123)</f>
        <v>Ferramenta Inválida</v>
      </c>
      <c r="D127" s="4" t="str">
        <f>RTD("rtdtrading.rtdserver",, "BOOK0", "VOV", 123)</f>
        <v>Ferramenta Inválida</v>
      </c>
      <c r="F127" s="3"/>
      <c r="G127" s="5"/>
      <c r="H127" s="6"/>
      <c r="I127" s="4"/>
      <c r="K127" s="5"/>
      <c r="L127" s="6"/>
      <c r="N127" s="3"/>
      <c r="O127" s="3"/>
      <c r="P127" s="4"/>
      <c r="Q127" s="4"/>
      <c r="S127" s="3"/>
      <c r="T127" s="3"/>
      <c r="U127" s="4"/>
      <c r="V127" s="4"/>
    </row>
    <row r="128" spans="1:22" x14ac:dyDescent="0.25">
      <c r="A128" s="3" t="str">
        <f>RTD("rtdtrading.rtdserver",, "BOOK0", "VOC", 124)</f>
        <v>Ferramenta Inválida</v>
      </c>
      <c r="B128" s="3" t="str">
        <f>RTD("rtdtrading.rtdserver",, "BOOK0", "OCP", 124)</f>
        <v>Ferramenta Inválida</v>
      </c>
      <c r="C128" s="4" t="str">
        <f>RTD("rtdtrading.rtdserver",, "BOOK0", "OVD", 124)</f>
        <v>Ferramenta Inválida</v>
      </c>
      <c r="D128" s="4" t="str">
        <f>RTD("rtdtrading.rtdserver",, "BOOK0", "VOV", 124)</f>
        <v>Ferramenta Inválida</v>
      </c>
      <c r="F128" s="3"/>
      <c r="G128" s="5"/>
      <c r="H128" s="6"/>
      <c r="I128" s="4"/>
      <c r="K128" s="5"/>
      <c r="L128" s="6"/>
      <c r="N128" s="3"/>
      <c r="O128" s="3"/>
      <c r="P128" s="4"/>
      <c r="Q128" s="4"/>
      <c r="S128" s="3"/>
      <c r="T128" s="3"/>
      <c r="U128" s="4"/>
      <c r="V128" s="4"/>
    </row>
    <row r="129" spans="1:22" x14ac:dyDescent="0.25">
      <c r="A129" s="3" t="str">
        <f>RTD("rtdtrading.rtdserver",, "BOOK0", "VOC", 125)</f>
        <v>Ferramenta Inválida</v>
      </c>
      <c r="B129" s="3" t="str">
        <f>RTD("rtdtrading.rtdserver",, "BOOK0", "OCP", 125)</f>
        <v>Ferramenta Inválida</v>
      </c>
      <c r="C129" s="4" t="str">
        <f>RTD("rtdtrading.rtdserver",, "BOOK0", "OVD", 125)</f>
        <v>Ferramenta Inválida</v>
      </c>
      <c r="D129" s="4" t="str">
        <f>RTD("rtdtrading.rtdserver",, "BOOK0", "VOV", 125)</f>
        <v>Ferramenta Inválida</v>
      </c>
      <c r="F129" s="3"/>
      <c r="G129" s="5"/>
      <c r="H129" s="6"/>
      <c r="I129" s="4"/>
      <c r="K129" s="5"/>
      <c r="L129" s="6"/>
      <c r="N129" s="3"/>
      <c r="O129" s="3"/>
      <c r="P129" s="4"/>
      <c r="Q129" s="4"/>
      <c r="S129" s="3"/>
      <c r="T129" s="3"/>
      <c r="U129" s="4"/>
      <c r="V129" s="4"/>
    </row>
    <row r="130" spans="1:22" x14ac:dyDescent="0.25">
      <c r="A130" s="3" t="str">
        <f>RTD("rtdtrading.rtdserver",, "BOOK0", "VOC", 126)</f>
        <v>Ferramenta Inválida</v>
      </c>
      <c r="B130" s="3" t="str">
        <f>RTD("rtdtrading.rtdserver",, "BOOK0", "OCP", 126)</f>
        <v>Ferramenta Inválida</v>
      </c>
      <c r="C130" s="4" t="str">
        <f>RTD("rtdtrading.rtdserver",, "BOOK0", "OVD", 126)</f>
        <v>Ferramenta Inválida</v>
      </c>
      <c r="D130" s="4" t="str">
        <f>RTD("rtdtrading.rtdserver",, "BOOK0", "VOV", 126)</f>
        <v>Ferramenta Inválida</v>
      </c>
      <c r="F130" s="3"/>
      <c r="G130" s="5"/>
      <c r="H130" s="6"/>
      <c r="I130" s="4"/>
      <c r="K130" s="5"/>
      <c r="L130" s="6"/>
      <c r="N130" s="3"/>
      <c r="O130" s="3"/>
      <c r="P130" s="4"/>
      <c r="Q130" s="4"/>
      <c r="S130" s="3"/>
      <c r="T130" s="3"/>
      <c r="U130" s="4"/>
      <c r="V130" s="4"/>
    </row>
    <row r="131" spans="1:22" x14ac:dyDescent="0.25">
      <c r="A131" s="3" t="str">
        <f>RTD("rtdtrading.rtdserver",, "BOOK0", "VOC", 127)</f>
        <v>Ferramenta Inválida</v>
      </c>
      <c r="B131" s="3" t="str">
        <f>RTD("rtdtrading.rtdserver",, "BOOK0", "OCP", 127)</f>
        <v>Ferramenta Inválida</v>
      </c>
      <c r="C131" s="4" t="str">
        <f>RTD("rtdtrading.rtdserver",, "BOOK0", "OVD", 127)</f>
        <v>Ferramenta Inválida</v>
      </c>
      <c r="D131" s="4" t="str">
        <f>RTD("rtdtrading.rtdserver",, "BOOK0", "VOV", 127)</f>
        <v>Ferramenta Inválida</v>
      </c>
      <c r="F131" s="3"/>
      <c r="G131" s="5"/>
      <c r="H131" s="6"/>
      <c r="I131" s="4"/>
      <c r="K131" s="5"/>
      <c r="L131" s="6"/>
      <c r="N131" s="3"/>
      <c r="O131" s="3"/>
      <c r="P131" s="4"/>
      <c r="Q131" s="4"/>
      <c r="S131" s="3"/>
      <c r="T131" s="3"/>
      <c r="U131" s="4"/>
      <c r="V131" s="4"/>
    </row>
    <row r="132" spans="1:22" x14ac:dyDescent="0.25">
      <c r="A132" s="3" t="str">
        <f>RTD("rtdtrading.rtdserver",, "BOOK0", "VOC", 128)</f>
        <v>Ferramenta Inválida</v>
      </c>
      <c r="B132" s="3" t="str">
        <f>RTD("rtdtrading.rtdserver",, "BOOK0", "OCP", 128)</f>
        <v>Ferramenta Inválida</v>
      </c>
      <c r="C132" s="4" t="str">
        <f>RTD("rtdtrading.rtdserver",, "BOOK0", "OVD", 128)</f>
        <v>Ferramenta Inválida</v>
      </c>
      <c r="D132" s="4" t="str">
        <f>RTD("rtdtrading.rtdserver",, "BOOK0", "VOV", 128)</f>
        <v>Ferramenta Inválida</v>
      </c>
      <c r="F132" s="3"/>
      <c r="G132" s="5"/>
      <c r="H132" s="6"/>
      <c r="I132" s="4"/>
      <c r="K132" s="5"/>
      <c r="L132" s="6"/>
      <c r="N132" s="3"/>
      <c r="O132" s="3"/>
      <c r="P132" s="4"/>
      <c r="Q132" s="4"/>
      <c r="S132" s="3"/>
      <c r="T132" s="3"/>
      <c r="U132" s="4"/>
      <c r="V132" s="4"/>
    </row>
    <row r="133" spans="1:22" x14ac:dyDescent="0.25">
      <c r="A133" s="3" t="str">
        <f>RTD("rtdtrading.rtdserver",, "BOOK0", "VOC", 129)</f>
        <v>Ferramenta Inválida</v>
      </c>
      <c r="B133" s="3" t="str">
        <f>RTD("rtdtrading.rtdserver",, "BOOK0", "OCP", 129)</f>
        <v>Ferramenta Inválida</v>
      </c>
      <c r="C133" s="4" t="str">
        <f>RTD("rtdtrading.rtdserver",, "BOOK0", "OVD", 129)</f>
        <v>Ferramenta Inválida</v>
      </c>
      <c r="D133" s="4" t="str">
        <f>RTD("rtdtrading.rtdserver",, "BOOK0", "VOV", 129)</f>
        <v>Ferramenta Inválida</v>
      </c>
      <c r="F133" s="3"/>
      <c r="G133" s="5"/>
      <c r="H133" s="6"/>
      <c r="I133" s="4"/>
      <c r="K133" s="5"/>
      <c r="L133" s="6"/>
      <c r="N133" s="3"/>
      <c r="O133" s="3"/>
      <c r="P133" s="4"/>
      <c r="Q133" s="4"/>
      <c r="S133" s="3"/>
      <c r="T133" s="3"/>
      <c r="U133" s="4"/>
      <c r="V133" s="4"/>
    </row>
    <row r="134" spans="1:22" x14ac:dyDescent="0.25">
      <c r="A134" s="3" t="str">
        <f>RTD("rtdtrading.rtdserver",, "BOOK0", "VOC", 130)</f>
        <v>Ferramenta Inválida</v>
      </c>
      <c r="B134" s="3" t="str">
        <f>RTD("rtdtrading.rtdserver",, "BOOK0", "OCP", 130)</f>
        <v>Ferramenta Inválida</v>
      </c>
      <c r="C134" s="4" t="str">
        <f>RTD("rtdtrading.rtdserver",, "BOOK0", "OVD", 130)</f>
        <v>Ferramenta Inválida</v>
      </c>
      <c r="D134" s="4" t="str">
        <f>RTD("rtdtrading.rtdserver",, "BOOK0", "VOV", 130)</f>
        <v>Ferramenta Inválida</v>
      </c>
      <c r="F134" s="3"/>
      <c r="G134" s="5"/>
      <c r="H134" s="6"/>
      <c r="I134" s="4"/>
      <c r="K134" s="5"/>
      <c r="L134" s="6"/>
      <c r="N134" s="3"/>
      <c r="O134" s="3"/>
      <c r="P134" s="4"/>
      <c r="Q134" s="4"/>
      <c r="S134" s="3"/>
      <c r="T134" s="3"/>
      <c r="U134" s="4"/>
      <c r="V134" s="4"/>
    </row>
    <row r="135" spans="1:22" x14ac:dyDescent="0.25">
      <c r="A135" s="3" t="str">
        <f>RTD("rtdtrading.rtdserver",, "BOOK0", "VOC", 131)</f>
        <v>Ferramenta Inválida</v>
      </c>
      <c r="B135" s="3" t="str">
        <f>RTD("rtdtrading.rtdserver",, "BOOK0", "OCP", 131)</f>
        <v>Ferramenta Inválida</v>
      </c>
      <c r="C135" s="4" t="str">
        <f>RTD("rtdtrading.rtdserver",, "BOOK0", "OVD", 131)</f>
        <v>Ferramenta Inválida</v>
      </c>
      <c r="D135" s="4" t="str">
        <f>RTD("rtdtrading.rtdserver",, "BOOK0", "VOV", 131)</f>
        <v>Ferramenta Inválida</v>
      </c>
      <c r="F135" s="3"/>
      <c r="G135" s="5"/>
      <c r="H135" s="6"/>
      <c r="I135" s="4"/>
      <c r="K135" s="5"/>
      <c r="L135" s="6"/>
      <c r="N135" s="3"/>
      <c r="O135" s="3"/>
      <c r="P135" s="4"/>
      <c r="Q135" s="4"/>
      <c r="S135" s="3"/>
      <c r="T135" s="3"/>
      <c r="U135" s="4"/>
      <c r="V135" s="4"/>
    </row>
    <row r="136" spans="1:22" x14ac:dyDescent="0.25">
      <c r="A136" s="3" t="str">
        <f>RTD("rtdtrading.rtdserver",, "BOOK0", "VOC", 132)</f>
        <v>Ferramenta Inválida</v>
      </c>
      <c r="B136" s="3" t="str">
        <f>RTD("rtdtrading.rtdserver",, "BOOK0", "OCP", 132)</f>
        <v>Ferramenta Inválida</v>
      </c>
      <c r="C136" s="4" t="str">
        <f>RTD("rtdtrading.rtdserver",, "BOOK0", "OVD", 132)</f>
        <v>Ferramenta Inválida</v>
      </c>
      <c r="D136" s="4" t="str">
        <f>RTD("rtdtrading.rtdserver",, "BOOK0", "VOV", 132)</f>
        <v>Ferramenta Inválida</v>
      </c>
      <c r="F136" s="3"/>
      <c r="G136" s="5"/>
      <c r="H136" s="6"/>
      <c r="I136" s="4"/>
      <c r="K136" s="5"/>
      <c r="L136" s="6"/>
      <c r="N136" s="3"/>
      <c r="O136" s="3"/>
      <c r="P136" s="4"/>
      <c r="Q136" s="4"/>
      <c r="S136" s="3"/>
      <c r="T136" s="3"/>
      <c r="U136" s="4"/>
      <c r="V136" s="4"/>
    </row>
    <row r="137" spans="1:22" x14ac:dyDescent="0.25">
      <c r="A137" s="3" t="str">
        <f>RTD("rtdtrading.rtdserver",, "BOOK0", "VOC", 133)</f>
        <v>Ferramenta Inválida</v>
      </c>
      <c r="B137" s="3" t="str">
        <f>RTD("rtdtrading.rtdserver",, "BOOK0", "OCP", 133)</f>
        <v>Ferramenta Inválida</v>
      </c>
      <c r="C137" s="4" t="str">
        <f>RTD("rtdtrading.rtdserver",, "BOOK0", "OVD", 133)</f>
        <v>Ferramenta Inválida</v>
      </c>
      <c r="D137" s="4" t="str">
        <f>RTD("rtdtrading.rtdserver",, "BOOK0", "VOV", 133)</f>
        <v>Ferramenta Inválida</v>
      </c>
      <c r="F137" s="3"/>
      <c r="G137" s="5"/>
      <c r="H137" s="6"/>
      <c r="I137" s="4"/>
      <c r="K137" s="5"/>
      <c r="L137" s="6"/>
      <c r="N137" s="3"/>
      <c r="O137" s="3"/>
      <c r="P137" s="4"/>
      <c r="Q137" s="4"/>
      <c r="S137" s="3"/>
      <c r="T137" s="3"/>
      <c r="U137" s="4"/>
      <c r="V137" s="4"/>
    </row>
    <row r="138" spans="1:22" x14ac:dyDescent="0.25">
      <c r="A138" s="3" t="str">
        <f>RTD("rtdtrading.rtdserver",, "BOOK0", "VOC", 134)</f>
        <v>Ferramenta Inválida</v>
      </c>
      <c r="B138" s="3" t="str">
        <f>RTD("rtdtrading.rtdserver",, "BOOK0", "OCP", 134)</f>
        <v>Ferramenta Inválida</v>
      </c>
      <c r="C138" s="4" t="str">
        <f>RTD("rtdtrading.rtdserver",, "BOOK0", "OVD", 134)</f>
        <v>Ferramenta Inválida</v>
      </c>
      <c r="D138" s="4" t="str">
        <f>RTD("rtdtrading.rtdserver",, "BOOK0", "VOV", 134)</f>
        <v>Ferramenta Inválida</v>
      </c>
      <c r="F138" s="3"/>
      <c r="G138" s="5"/>
      <c r="H138" s="6"/>
      <c r="I138" s="4"/>
      <c r="K138" s="5"/>
      <c r="L138" s="6"/>
      <c r="N138" s="3"/>
      <c r="O138" s="3"/>
      <c r="P138" s="4"/>
      <c r="Q138" s="4"/>
      <c r="S138" s="3"/>
      <c r="T138" s="3"/>
      <c r="U138" s="4"/>
      <c r="V138" s="4"/>
    </row>
    <row r="139" spans="1:22" x14ac:dyDescent="0.25">
      <c r="A139" s="3" t="str">
        <f>RTD("rtdtrading.rtdserver",, "BOOK0", "VOC", 135)</f>
        <v>Ferramenta Inválida</v>
      </c>
      <c r="B139" s="3" t="str">
        <f>RTD("rtdtrading.rtdserver",, "BOOK0", "OCP", 135)</f>
        <v>Ferramenta Inválida</v>
      </c>
      <c r="C139" s="4" t="str">
        <f>RTD("rtdtrading.rtdserver",, "BOOK0", "OVD", 135)</f>
        <v>Ferramenta Inválida</v>
      </c>
      <c r="D139" s="4" t="str">
        <f>RTD("rtdtrading.rtdserver",, "BOOK0", "VOV", 135)</f>
        <v>Ferramenta Inválida</v>
      </c>
      <c r="F139" s="3"/>
      <c r="G139" s="5"/>
      <c r="H139" s="6"/>
      <c r="I139" s="4"/>
      <c r="K139" s="5"/>
      <c r="L139" s="6"/>
      <c r="N139" s="3"/>
      <c r="O139" s="3"/>
      <c r="P139" s="4"/>
      <c r="Q139" s="4"/>
      <c r="S139" s="3"/>
      <c r="T139" s="3"/>
      <c r="U139" s="4"/>
      <c r="V139" s="4"/>
    </row>
    <row r="140" spans="1:22" x14ac:dyDescent="0.25">
      <c r="A140" s="3" t="str">
        <f>RTD("rtdtrading.rtdserver",, "BOOK0", "VOC", 136)</f>
        <v>Ferramenta Inválida</v>
      </c>
      <c r="B140" s="3" t="str">
        <f>RTD("rtdtrading.rtdserver",, "BOOK0", "OCP", 136)</f>
        <v>Ferramenta Inválida</v>
      </c>
      <c r="C140" s="4" t="str">
        <f>RTD("rtdtrading.rtdserver",, "BOOK0", "OVD", 136)</f>
        <v>Ferramenta Inválida</v>
      </c>
      <c r="D140" s="4" t="str">
        <f>RTD("rtdtrading.rtdserver",, "BOOK0", "VOV", 136)</f>
        <v>Ferramenta Inválida</v>
      </c>
      <c r="F140" s="3"/>
      <c r="G140" s="5"/>
      <c r="H140" s="6"/>
      <c r="I140" s="4"/>
      <c r="K140" s="5"/>
      <c r="L140" s="6"/>
      <c r="N140" s="3"/>
      <c r="O140" s="3"/>
      <c r="P140" s="4"/>
      <c r="Q140" s="4"/>
      <c r="S140" s="3"/>
      <c r="T140" s="3"/>
      <c r="U140" s="4"/>
      <c r="V140" s="4"/>
    </row>
    <row r="141" spans="1:22" x14ac:dyDescent="0.25">
      <c r="A141" s="3" t="str">
        <f>RTD("rtdtrading.rtdserver",, "BOOK0", "VOC", 137)</f>
        <v>Ferramenta Inválida</v>
      </c>
      <c r="B141" s="3" t="str">
        <f>RTD("rtdtrading.rtdserver",, "BOOK0", "OCP", 137)</f>
        <v>Ferramenta Inválida</v>
      </c>
      <c r="C141" s="4" t="str">
        <f>RTD("rtdtrading.rtdserver",, "BOOK0", "OVD", 137)</f>
        <v>Ferramenta Inválida</v>
      </c>
      <c r="D141" s="4" t="str">
        <f>RTD("rtdtrading.rtdserver",, "BOOK0", "VOV", 137)</f>
        <v>Ferramenta Inválida</v>
      </c>
      <c r="F141" s="3"/>
      <c r="G141" s="5"/>
      <c r="H141" s="6"/>
      <c r="I141" s="4"/>
      <c r="K141" s="5"/>
      <c r="L141" s="6"/>
      <c r="N141" s="3"/>
      <c r="O141" s="3"/>
      <c r="P141" s="4"/>
      <c r="Q141" s="4"/>
      <c r="S141" s="3"/>
      <c r="T141" s="3"/>
      <c r="U141" s="4"/>
      <c r="V141" s="4"/>
    </row>
    <row r="142" spans="1:22" x14ac:dyDescent="0.25">
      <c r="A142" s="3" t="str">
        <f>RTD("rtdtrading.rtdserver",, "BOOK0", "VOC", 138)</f>
        <v>Ferramenta Inválida</v>
      </c>
      <c r="B142" s="3" t="str">
        <f>RTD("rtdtrading.rtdserver",, "BOOK0", "OCP", 138)</f>
        <v>Ferramenta Inválida</v>
      </c>
      <c r="C142" s="4" t="str">
        <f>RTD("rtdtrading.rtdserver",, "BOOK0", "OVD", 138)</f>
        <v>Ferramenta Inválida</v>
      </c>
      <c r="D142" s="4" t="str">
        <f>RTD("rtdtrading.rtdserver",, "BOOK0", "VOV", 138)</f>
        <v>Ferramenta Inválida</v>
      </c>
      <c r="F142" s="3"/>
      <c r="G142" s="5"/>
      <c r="H142" s="6"/>
      <c r="I142" s="4"/>
      <c r="K142" s="5"/>
      <c r="L142" s="6"/>
      <c r="N142" s="3"/>
      <c r="O142" s="3"/>
      <c r="P142" s="4"/>
      <c r="Q142" s="4"/>
      <c r="S142" s="3"/>
      <c r="T142" s="3"/>
      <c r="U142" s="4"/>
      <c r="V142" s="4"/>
    </row>
    <row r="143" spans="1:22" x14ac:dyDescent="0.25">
      <c r="A143" s="3" t="str">
        <f>RTD("rtdtrading.rtdserver",, "BOOK0", "VOC", 139)</f>
        <v>Ferramenta Inválida</v>
      </c>
      <c r="B143" s="3" t="str">
        <f>RTD("rtdtrading.rtdserver",, "BOOK0", "OCP", 139)</f>
        <v>Ferramenta Inválida</v>
      </c>
      <c r="C143" s="4" t="str">
        <f>RTD("rtdtrading.rtdserver",, "BOOK0", "OVD", 139)</f>
        <v>Ferramenta Inválida</v>
      </c>
      <c r="D143" s="4" t="str">
        <f>RTD("rtdtrading.rtdserver",, "BOOK0", "VOV", 139)</f>
        <v>Ferramenta Inválida</v>
      </c>
      <c r="F143" s="3"/>
      <c r="G143" s="5"/>
      <c r="H143" s="6"/>
      <c r="I143" s="4"/>
      <c r="K143" s="5"/>
      <c r="L143" s="6"/>
      <c r="N143" s="3"/>
      <c r="O143" s="3"/>
      <c r="P143" s="4"/>
      <c r="Q143" s="4"/>
      <c r="S143" s="3"/>
      <c r="T143" s="3"/>
      <c r="U143" s="4"/>
      <c r="V143" s="4"/>
    </row>
    <row r="144" spans="1:22" x14ac:dyDescent="0.25">
      <c r="A144" s="3" t="str">
        <f>RTD("rtdtrading.rtdserver",, "BOOK0", "VOC", 140)</f>
        <v>Ferramenta Inválida</v>
      </c>
      <c r="B144" s="3" t="str">
        <f>RTD("rtdtrading.rtdserver",, "BOOK0", "OCP", 140)</f>
        <v>Ferramenta Inválida</v>
      </c>
      <c r="C144" s="4" t="str">
        <f>RTD("rtdtrading.rtdserver",, "BOOK0", "OVD", 140)</f>
        <v>Ferramenta Inválida</v>
      </c>
      <c r="D144" s="4" t="str">
        <f>RTD("rtdtrading.rtdserver",, "BOOK0", "VOV", 140)</f>
        <v>Ferramenta Inválida</v>
      </c>
      <c r="F144" s="3"/>
      <c r="G144" s="5"/>
      <c r="H144" s="6"/>
      <c r="I144" s="4"/>
      <c r="K144" s="5"/>
      <c r="L144" s="6"/>
      <c r="N144" s="3"/>
      <c r="O144" s="3"/>
      <c r="P144" s="4"/>
      <c r="Q144" s="4"/>
      <c r="S144" s="3"/>
      <c r="T144" s="3"/>
      <c r="U144" s="4"/>
      <c r="V144" s="4"/>
    </row>
    <row r="145" spans="1:22" x14ac:dyDescent="0.25">
      <c r="A145" s="3" t="str">
        <f>RTD("rtdtrading.rtdserver",, "BOOK0", "VOC", 141)</f>
        <v>Ferramenta Inválida</v>
      </c>
      <c r="B145" s="3" t="str">
        <f>RTD("rtdtrading.rtdserver",, "BOOK0", "OCP", 141)</f>
        <v>Ferramenta Inválida</v>
      </c>
      <c r="C145" s="4" t="str">
        <f>RTD("rtdtrading.rtdserver",, "BOOK0", "OVD", 141)</f>
        <v>Ferramenta Inválida</v>
      </c>
      <c r="D145" s="4" t="str">
        <f>RTD("rtdtrading.rtdserver",, "BOOK0", "VOV", 141)</f>
        <v>Ferramenta Inválida</v>
      </c>
      <c r="F145" s="3"/>
      <c r="G145" s="5"/>
      <c r="H145" s="6"/>
      <c r="I145" s="4"/>
      <c r="K145" s="5"/>
      <c r="L145" s="6"/>
      <c r="N145" s="3"/>
      <c r="O145" s="3"/>
      <c r="P145" s="4"/>
      <c r="Q145" s="4"/>
      <c r="S145" s="3"/>
      <c r="T145" s="3"/>
      <c r="U145" s="4"/>
      <c r="V145" s="4"/>
    </row>
    <row r="146" spans="1:22" x14ac:dyDescent="0.25">
      <c r="A146" s="3" t="str">
        <f>RTD("rtdtrading.rtdserver",, "BOOK0", "VOC", 142)</f>
        <v>Ferramenta Inválida</v>
      </c>
      <c r="B146" s="3" t="str">
        <f>RTD("rtdtrading.rtdserver",, "BOOK0", "OCP", 142)</f>
        <v>Ferramenta Inválida</v>
      </c>
      <c r="C146" s="4" t="str">
        <f>RTD("rtdtrading.rtdserver",, "BOOK0", "OVD", 142)</f>
        <v>Ferramenta Inválida</v>
      </c>
      <c r="D146" s="4" t="str">
        <f>RTD("rtdtrading.rtdserver",, "BOOK0", "VOV", 142)</f>
        <v>Ferramenta Inválida</v>
      </c>
      <c r="F146" s="3"/>
      <c r="G146" s="5"/>
      <c r="H146" s="6"/>
      <c r="I146" s="4"/>
      <c r="K146" s="5"/>
      <c r="L146" s="6"/>
      <c r="N146" s="3"/>
      <c r="O146" s="3"/>
      <c r="P146" s="4"/>
      <c r="Q146" s="4"/>
      <c r="S146" s="3"/>
      <c r="T146" s="3"/>
      <c r="U146" s="4"/>
      <c r="V146" s="4"/>
    </row>
    <row r="147" spans="1:22" x14ac:dyDescent="0.25">
      <c r="A147" s="3" t="str">
        <f>RTD("rtdtrading.rtdserver",, "BOOK0", "VOC", 143)</f>
        <v>Ferramenta Inválida</v>
      </c>
      <c r="B147" s="3" t="str">
        <f>RTD("rtdtrading.rtdserver",, "BOOK0", "OCP", 143)</f>
        <v>Ferramenta Inválida</v>
      </c>
      <c r="C147" s="4" t="str">
        <f>RTD("rtdtrading.rtdserver",, "BOOK0", "OVD", 143)</f>
        <v>Ferramenta Inválida</v>
      </c>
      <c r="D147" s="4" t="str">
        <f>RTD("rtdtrading.rtdserver",, "BOOK0", "VOV", 143)</f>
        <v>Ferramenta Inválida</v>
      </c>
      <c r="F147" s="3"/>
      <c r="G147" s="5"/>
      <c r="H147" s="6"/>
      <c r="I147" s="4"/>
      <c r="K147" s="5"/>
      <c r="L147" s="6"/>
      <c r="N147" s="3"/>
      <c r="O147" s="3"/>
      <c r="P147" s="4"/>
      <c r="Q147" s="4"/>
      <c r="S147" s="3"/>
      <c r="T147" s="3"/>
      <c r="U147" s="4"/>
      <c r="V147" s="4"/>
    </row>
    <row r="148" spans="1:22" x14ac:dyDescent="0.25">
      <c r="A148" s="3" t="str">
        <f>RTD("rtdtrading.rtdserver",, "BOOK0", "VOC", 144)</f>
        <v>Ferramenta Inválida</v>
      </c>
      <c r="B148" s="3" t="str">
        <f>RTD("rtdtrading.rtdserver",, "BOOK0", "OCP", 144)</f>
        <v>Ferramenta Inválida</v>
      </c>
      <c r="C148" s="4" t="str">
        <f>RTD("rtdtrading.rtdserver",, "BOOK0", "OVD", 144)</f>
        <v>Ferramenta Inválida</v>
      </c>
      <c r="D148" s="4" t="str">
        <f>RTD("rtdtrading.rtdserver",, "BOOK0", "VOV", 144)</f>
        <v>Ferramenta Inválida</v>
      </c>
      <c r="F148" s="3"/>
      <c r="G148" s="5"/>
      <c r="H148" s="6"/>
      <c r="I148" s="4"/>
      <c r="K148" s="5"/>
      <c r="L148" s="6"/>
      <c r="N148" s="3"/>
      <c r="O148" s="3"/>
      <c r="P148" s="4"/>
      <c r="Q148" s="4"/>
      <c r="S148" s="3"/>
      <c r="T148" s="3"/>
      <c r="U148" s="4"/>
      <c r="V148" s="4"/>
    </row>
    <row r="149" spans="1:22" x14ac:dyDescent="0.25">
      <c r="A149" s="3" t="str">
        <f>RTD("rtdtrading.rtdserver",, "BOOK0", "VOC", 145)</f>
        <v>Ferramenta Inválida</v>
      </c>
      <c r="B149" s="3" t="str">
        <f>RTD("rtdtrading.rtdserver",, "BOOK0", "OCP", 145)</f>
        <v>Ferramenta Inválida</v>
      </c>
      <c r="C149" s="4" t="str">
        <f>RTD("rtdtrading.rtdserver",, "BOOK0", "OVD", 145)</f>
        <v>Ferramenta Inválida</v>
      </c>
      <c r="D149" s="4" t="str">
        <f>RTD("rtdtrading.rtdserver",, "BOOK0", "VOV", 145)</f>
        <v>Ferramenta Inválida</v>
      </c>
      <c r="F149" s="3"/>
      <c r="G149" s="5"/>
      <c r="H149" s="6"/>
      <c r="I149" s="4"/>
      <c r="K149" s="5"/>
      <c r="L149" s="6"/>
      <c r="N149" s="3"/>
      <c r="O149" s="3"/>
      <c r="P149" s="4"/>
      <c r="Q149" s="4"/>
      <c r="S149" s="3"/>
      <c r="T149" s="3"/>
      <c r="U149" s="4"/>
      <c r="V149" s="4"/>
    </row>
    <row r="150" spans="1:22" x14ac:dyDescent="0.25">
      <c r="A150" s="3" t="str">
        <f>RTD("rtdtrading.rtdserver",, "BOOK0", "VOC", 146)</f>
        <v>Ferramenta Inválida</v>
      </c>
      <c r="B150" s="3" t="str">
        <f>RTD("rtdtrading.rtdserver",, "BOOK0", "OCP", 146)</f>
        <v>Ferramenta Inválida</v>
      </c>
      <c r="C150" s="4" t="str">
        <f>RTD("rtdtrading.rtdserver",, "BOOK0", "OVD", 146)</f>
        <v>Ferramenta Inválida</v>
      </c>
      <c r="D150" s="4" t="str">
        <f>RTD("rtdtrading.rtdserver",, "BOOK0", "VOV", 146)</f>
        <v>Ferramenta Inválida</v>
      </c>
      <c r="F150" s="3"/>
      <c r="G150" s="5"/>
      <c r="H150" s="6"/>
      <c r="I150" s="4"/>
      <c r="K150" s="5"/>
      <c r="L150" s="6"/>
      <c r="N150" s="3"/>
      <c r="O150" s="3"/>
      <c r="P150" s="4"/>
      <c r="Q150" s="4"/>
      <c r="S150" s="3"/>
      <c r="T150" s="3"/>
      <c r="U150" s="4"/>
      <c r="V150" s="4"/>
    </row>
    <row r="151" spans="1:22" x14ac:dyDescent="0.25">
      <c r="A151" s="3" t="str">
        <f>RTD("rtdtrading.rtdserver",, "BOOK0", "VOC", 147)</f>
        <v>Ferramenta Inválida</v>
      </c>
      <c r="B151" s="3" t="str">
        <f>RTD("rtdtrading.rtdserver",, "BOOK0", "OCP", 147)</f>
        <v>Ferramenta Inválida</v>
      </c>
      <c r="C151" s="4" t="str">
        <f>RTD("rtdtrading.rtdserver",, "BOOK0", "OVD", 147)</f>
        <v>Ferramenta Inválida</v>
      </c>
      <c r="D151" s="4" t="str">
        <f>RTD("rtdtrading.rtdserver",, "BOOK0", "VOV", 147)</f>
        <v>Ferramenta Inválida</v>
      </c>
      <c r="F151" s="3"/>
      <c r="G151" s="5"/>
      <c r="H151" s="6"/>
      <c r="I151" s="4"/>
      <c r="K151" s="5"/>
      <c r="L151" s="6"/>
      <c r="N151" s="3"/>
      <c r="O151" s="3"/>
      <c r="P151" s="4"/>
      <c r="Q151" s="4"/>
      <c r="S151" s="3"/>
      <c r="T151" s="3"/>
      <c r="U151" s="4"/>
      <c r="V151" s="4"/>
    </row>
    <row r="152" spans="1:22" x14ac:dyDescent="0.25">
      <c r="A152" s="3" t="str">
        <f>RTD("rtdtrading.rtdserver",, "BOOK0", "VOC", 148)</f>
        <v>Ferramenta Inválida</v>
      </c>
      <c r="B152" s="3" t="str">
        <f>RTD("rtdtrading.rtdserver",, "BOOK0", "OCP", 148)</f>
        <v>Ferramenta Inválida</v>
      </c>
      <c r="C152" s="4" t="str">
        <f>RTD("rtdtrading.rtdserver",, "BOOK0", "OVD", 148)</f>
        <v>Ferramenta Inválida</v>
      </c>
      <c r="D152" s="4" t="str">
        <f>RTD("rtdtrading.rtdserver",, "BOOK0", "VOV", 148)</f>
        <v>Ferramenta Inválida</v>
      </c>
      <c r="F152" s="3"/>
      <c r="G152" s="5"/>
      <c r="H152" s="6"/>
      <c r="I152" s="4"/>
      <c r="K152" s="5"/>
      <c r="L152" s="6"/>
      <c r="N152" s="3"/>
      <c r="O152" s="3"/>
      <c r="P152" s="4"/>
      <c r="Q152" s="4"/>
      <c r="S152" s="3"/>
      <c r="T152" s="3"/>
      <c r="U152" s="4"/>
      <c r="V152" s="4"/>
    </row>
    <row r="153" spans="1:22" x14ac:dyDescent="0.25">
      <c r="A153" s="3" t="str">
        <f>RTD("rtdtrading.rtdserver",, "BOOK0", "VOC", 149)</f>
        <v>Ferramenta Inválida</v>
      </c>
      <c r="B153" s="3" t="str">
        <f>RTD("rtdtrading.rtdserver",, "BOOK0", "OCP", 149)</f>
        <v>Ferramenta Inválida</v>
      </c>
      <c r="C153" s="4" t="str">
        <f>RTD("rtdtrading.rtdserver",, "BOOK0", "OVD", 149)</f>
        <v>Ferramenta Inválida</v>
      </c>
      <c r="D153" s="4" t="str">
        <f>RTD("rtdtrading.rtdserver",, "BOOK0", "VOV", 149)</f>
        <v>Ferramenta Inválida</v>
      </c>
      <c r="F153" s="3"/>
      <c r="G153" s="5"/>
      <c r="H153" s="6"/>
      <c r="I153" s="4"/>
      <c r="K153" s="5"/>
      <c r="L153" s="6"/>
      <c r="N153" s="3"/>
      <c r="O153" s="3"/>
      <c r="P153" s="4"/>
      <c r="Q153" s="4"/>
      <c r="S153" s="3"/>
      <c r="T153" s="3"/>
      <c r="U153" s="4"/>
      <c r="V153" s="4"/>
    </row>
    <row r="154" spans="1:22" x14ac:dyDescent="0.25">
      <c r="A154" s="3" t="str">
        <f>RTD("rtdtrading.rtdserver",, "BOOK0", "VOC", 150)</f>
        <v>Ferramenta Inválida</v>
      </c>
      <c r="B154" s="3" t="str">
        <f>RTD("rtdtrading.rtdserver",, "BOOK0", "OCP", 150)</f>
        <v>Ferramenta Inválida</v>
      </c>
      <c r="C154" s="4" t="str">
        <f>RTD("rtdtrading.rtdserver",, "BOOK0", "OVD", 150)</f>
        <v>Ferramenta Inválida</v>
      </c>
      <c r="D154" s="4" t="str">
        <f>RTD("rtdtrading.rtdserver",, "BOOK0", "VOV", 150)</f>
        <v>Ferramenta Inválida</v>
      </c>
      <c r="F154" s="3"/>
      <c r="G154" s="5"/>
      <c r="H154" s="6"/>
      <c r="I154" s="4"/>
      <c r="K154" s="5"/>
      <c r="L154" s="6"/>
      <c r="N154" s="3"/>
      <c r="O154" s="3"/>
      <c r="P154" s="4"/>
      <c r="Q154" s="4"/>
      <c r="S154" s="3"/>
      <c r="T154" s="3"/>
      <c r="U154" s="4"/>
      <c r="V154" s="4"/>
    </row>
    <row r="155" spans="1:22" x14ac:dyDescent="0.25">
      <c r="A155" s="3" t="str">
        <f>RTD("rtdtrading.rtdserver",, "BOOK0", "VOC", 151)</f>
        <v>Ferramenta Inválida</v>
      </c>
      <c r="B155" s="3" t="str">
        <f>RTD("rtdtrading.rtdserver",, "BOOK0", "OCP", 151)</f>
        <v>Ferramenta Inválida</v>
      </c>
      <c r="C155" s="4" t="str">
        <f>RTD("rtdtrading.rtdserver",, "BOOK0", "OVD", 151)</f>
        <v>Ferramenta Inválida</v>
      </c>
      <c r="D155" s="4" t="str">
        <f>RTD("rtdtrading.rtdserver",, "BOOK0", "VOV", 151)</f>
        <v>Ferramenta Inválida</v>
      </c>
      <c r="F155" s="3"/>
      <c r="G155" s="5"/>
      <c r="H155" s="6"/>
      <c r="I155" s="4"/>
      <c r="K155" s="5"/>
      <c r="L155" s="6"/>
      <c r="N155" s="3"/>
      <c r="O155" s="3"/>
      <c r="P155" s="4"/>
      <c r="Q155" s="4"/>
      <c r="S155" s="3"/>
      <c r="T155" s="3"/>
      <c r="U155" s="4"/>
      <c r="V155" s="4"/>
    </row>
    <row r="156" spans="1:22" x14ac:dyDescent="0.25">
      <c r="A156" s="3" t="str">
        <f>RTD("rtdtrading.rtdserver",, "BOOK0", "VOC", 152)</f>
        <v>Ferramenta Inválida</v>
      </c>
      <c r="B156" s="3" t="str">
        <f>RTD("rtdtrading.rtdserver",, "BOOK0", "OCP", 152)</f>
        <v>Ferramenta Inválida</v>
      </c>
      <c r="C156" s="4" t="str">
        <f>RTD("rtdtrading.rtdserver",, "BOOK0", "OVD", 152)</f>
        <v>Ferramenta Inválida</v>
      </c>
      <c r="D156" s="4" t="str">
        <f>RTD("rtdtrading.rtdserver",, "BOOK0", "VOV", 152)</f>
        <v>Ferramenta Inválida</v>
      </c>
      <c r="F156" s="3"/>
      <c r="G156" s="5"/>
      <c r="H156" s="6"/>
      <c r="I156" s="4"/>
      <c r="K156" s="5"/>
      <c r="L156" s="6"/>
      <c r="N156" s="3"/>
      <c r="O156" s="3"/>
      <c r="P156" s="4"/>
      <c r="Q156" s="4"/>
      <c r="S156" s="3"/>
      <c r="T156" s="3"/>
      <c r="U156" s="4"/>
      <c r="V156" s="4"/>
    </row>
    <row r="157" spans="1:22" x14ac:dyDescent="0.25">
      <c r="A157" s="3" t="str">
        <f>RTD("rtdtrading.rtdserver",, "BOOK0", "VOC", 153)</f>
        <v>Ferramenta Inválida</v>
      </c>
      <c r="B157" s="3" t="str">
        <f>RTD("rtdtrading.rtdserver",, "BOOK0", "OCP", 153)</f>
        <v>Ferramenta Inválida</v>
      </c>
      <c r="C157" s="4" t="str">
        <f>RTD("rtdtrading.rtdserver",, "BOOK0", "OVD", 153)</f>
        <v>Ferramenta Inválida</v>
      </c>
      <c r="D157" s="4" t="str">
        <f>RTD("rtdtrading.rtdserver",, "BOOK0", "VOV", 153)</f>
        <v>Ferramenta Inválida</v>
      </c>
      <c r="F157" s="3"/>
      <c r="G157" s="5"/>
      <c r="H157" s="6"/>
      <c r="I157" s="4"/>
      <c r="K157" s="5"/>
      <c r="L157" s="6"/>
      <c r="N157" s="3"/>
      <c r="O157" s="3"/>
      <c r="P157" s="4"/>
      <c r="Q157" s="4"/>
      <c r="S157" s="3"/>
      <c r="T157" s="3"/>
      <c r="U157" s="4"/>
      <c r="V157" s="4"/>
    </row>
    <row r="158" spans="1:22" x14ac:dyDescent="0.25">
      <c r="A158" s="3" t="str">
        <f>RTD("rtdtrading.rtdserver",, "BOOK0", "VOC", 154)</f>
        <v>Ferramenta Inválida</v>
      </c>
      <c r="B158" s="3" t="str">
        <f>RTD("rtdtrading.rtdserver",, "BOOK0", "OCP", 154)</f>
        <v>Ferramenta Inválida</v>
      </c>
      <c r="C158" s="4" t="str">
        <f>RTD("rtdtrading.rtdserver",, "BOOK0", "OVD", 154)</f>
        <v>Ferramenta Inválida</v>
      </c>
      <c r="D158" s="4" t="str">
        <f>RTD("rtdtrading.rtdserver",, "BOOK0", "VOV", 154)</f>
        <v>Ferramenta Inválida</v>
      </c>
      <c r="F158" s="3"/>
      <c r="G158" s="5"/>
      <c r="H158" s="6"/>
      <c r="I158" s="4"/>
      <c r="K158" s="5"/>
      <c r="L158" s="6"/>
      <c r="N158" s="3"/>
      <c r="O158" s="3"/>
      <c r="P158" s="4"/>
      <c r="Q158" s="4"/>
      <c r="S158" s="3"/>
      <c r="T158" s="3"/>
      <c r="U158" s="4"/>
      <c r="V158" s="4"/>
    </row>
    <row r="159" spans="1:22" x14ac:dyDescent="0.25">
      <c r="A159" s="3" t="str">
        <f>RTD("rtdtrading.rtdserver",, "BOOK0", "VOC", 155)</f>
        <v>Ferramenta Inválida</v>
      </c>
      <c r="B159" s="3" t="str">
        <f>RTD("rtdtrading.rtdserver",, "BOOK0", "OCP", 155)</f>
        <v>Ferramenta Inválida</v>
      </c>
      <c r="C159" s="4" t="str">
        <f>RTD("rtdtrading.rtdserver",, "BOOK0", "OVD", 155)</f>
        <v>Ferramenta Inválida</v>
      </c>
      <c r="D159" s="4" t="str">
        <f>RTD("rtdtrading.rtdserver",, "BOOK0", "VOV", 155)</f>
        <v>Ferramenta Inválida</v>
      </c>
      <c r="F159" s="3"/>
      <c r="G159" s="5"/>
      <c r="H159" s="6"/>
      <c r="I159" s="4"/>
      <c r="K159" s="5"/>
      <c r="L159" s="6"/>
      <c r="N159" s="3"/>
      <c r="O159" s="3"/>
      <c r="P159" s="4"/>
      <c r="Q159" s="4"/>
      <c r="S159" s="3"/>
      <c r="T159" s="3"/>
      <c r="U159" s="4"/>
      <c r="V159" s="4"/>
    </row>
    <row r="160" spans="1:22" x14ac:dyDescent="0.25">
      <c r="A160" s="3" t="str">
        <f>RTD("rtdtrading.rtdserver",, "BOOK0", "VOC", 156)</f>
        <v>Ferramenta Inválida</v>
      </c>
      <c r="B160" s="3" t="str">
        <f>RTD("rtdtrading.rtdserver",, "BOOK0", "OCP", 156)</f>
        <v>Ferramenta Inválida</v>
      </c>
      <c r="C160" s="4" t="str">
        <f>RTD("rtdtrading.rtdserver",, "BOOK0", "OVD", 156)</f>
        <v>Ferramenta Inválida</v>
      </c>
      <c r="D160" s="4" t="str">
        <f>RTD("rtdtrading.rtdserver",, "BOOK0", "VOV", 156)</f>
        <v>Ferramenta Inválida</v>
      </c>
      <c r="F160" s="3"/>
      <c r="G160" s="5"/>
      <c r="H160" s="6"/>
      <c r="I160" s="4"/>
      <c r="K160" s="5"/>
      <c r="L160" s="6"/>
      <c r="N160" s="3"/>
      <c r="O160" s="3"/>
      <c r="P160" s="4"/>
      <c r="Q160" s="4"/>
      <c r="S160" s="3"/>
      <c r="T160" s="3"/>
      <c r="U160" s="4"/>
      <c r="V160" s="4"/>
    </row>
    <row r="161" spans="1:22" x14ac:dyDescent="0.25">
      <c r="A161" s="3" t="str">
        <f>RTD("rtdtrading.rtdserver",, "BOOK0", "VOC", 157)</f>
        <v>Ferramenta Inválida</v>
      </c>
      <c r="B161" s="3" t="str">
        <f>RTD("rtdtrading.rtdserver",, "BOOK0", "OCP", 157)</f>
        <v>Ferramenta Inválida</v>
      </c>
      <c r="C161" s="4" t="str">
        <f>RTD("rtdtrading.rtdserver",, "BOOK0", "OVD", 157)</f>
        <v>Ferramenta Inválida</v>
      </c>
      <c r="D161" s="4" t="str">
        <f>RTD("rtdtrading.rtdserver",, "BOOK0", "VOV", 157)</f>
        <v>Ferramenta Inválida</v>
      </c>
      <c r="F161" s="3"/>
      <c r="G161" s="5"/>
      <c r="H161" s="6"/>
      <c r="I161" s="4"/>
      <c r="K161" s="5"/>
      <c r="L161" s="6"/>
      <c r="N161" s="3"/>
      <c r="O161" s="3"/>
      <c r="P161" s="4"/>
      <c r="Q161" s="4"/>
      <c r="S161" s="3"/>
      <c r="T161" s="3"/>
      <c r="U161" s="4"/>
      <c r="V161" s="4"/>
    </row>
    <row r="162" spans="1:22" x14ac:dyDescent="0.25">
      <c r="A162" s="3" t="str">
        <f>RTD("rtdtrading.rtdserver",, "BOOK0", "VOC", 158)</f>
        <v>Ferramenta Inválida</v>
      </c>
      <c r="B162" s="3" t="str">
        <f>RTD("rtdtrading.rtdserver",, "BOOK0", "OCP", 158)</f>
        <v>Ferramenta Inválida</v>
      </c>
      <c r="C162" s="4" t="str">
        <f>RTD("rtdtrading.rtdserver",, "BOOK0", "OVD", 158)</f>
        <v>Ferramenta Inválida</v>
      </c>
      <c r="D162" s="4" t="str">
        <f>RTD("rtdtrading.rtdserver",, "BOOK0", "VOV", 158)</f>
        <v>Ferramenta Inválida</v>
      </c>
      <c r="F162" s="3"/>
      <c r="G162" s="5"/>
      <c r="H162" s="6"/>
      <c r="I162" s="4"/>
      <c r="K162" s="5"/>
      <c r="L162" s="6"/>
      <c r="N162" s="3"/>
      <c r="O162" s="3"/>
      <c r="P162" s="4"/>
      <c r="Q162" s="4"/>
      <c r="S162" s="3"/>
      <c r="T162" s="3"/>
      <c r="U162" s="4"/>
      <c r="V162" s="4"/>
    </row>
    <row r="163" spans="1:22" x14ac:dyDescent="0.25">
      <c r="A163" s="3" t="str">
        <f>RTD("rtdtrading.rtdserver",, "BOOK0", "VOC", 159)</f>
        <v>Ferramenta Inválida</v>
      </c>
      <c r="B163" s="3" t="str">
        <f>RTD("rtdtrading.rtdserver",, "BOOK0", "OCP", 159)</f>
        <v>Ferramenta Inválida</v>
      </c>
      <c r="C163" s="4" t="str">
        <f>RTD("rtdtrading.rtdserver",, "BOOK0", "OVD", 159)</f>
        <v>Ferramenta Inválida</v>
      </c>
      <c r="D163" s="4" t="str">
        <f>RTD("rtdtrading.rtdserver",, "BOOK0", "VOV", 159)</f>
        <v>Ferramenta Inválida</v>
      </c>
      <c r="F163" s="3"/>
      <c r="G163" s="5"/>
      <c r="H163" s="6"/>
      <c r="I163" s="4"/>
      <c r="K163" s="5"/>
      <c r="L163" s="6"/>
      <c r="N163" s="3"/>
      <c r="O163" s="3"/>
      <c r="P163" s="4"/>
      <c r="Q163" s="4"/>
      <c r="S163" s="3"/>
      <c r="T163" s="3"/>
      <c r="U163" s="4"/>
      <c r="V163" s="4"/>
    </row>
    <row r="164" spans="1:22" x14ac:dyDescent="0.25">
      <c r="A164" s="3" t="str">
        <f>RTD("rtdtrading.rtdserver",, "BOOK0", "VOC", 160)</f>
        <v>Ferramenta Inválida</v>
      </c>
      <c r="B164" s="3" t="str">
        <f>RTD("rtdtrading.rtdserver",, "BOOK0", "OCP", 160)</f>
        <v>Ferramenta Inválida</v>
      </c>
      <c r="C164" s="4" t="str">
        <f>RTD("rtdtrading.rtdserver",, "BOOK0", "OVD", 160)</f>
        <v>Ferramenta Inválida</v>
      </c>
      <c r="D164" s="4" t="str">
        <f>RTD("rtdtrading.rtdserver",, "BOOK0", "VOV", 160)</f>
        <v>Ferramenta Inválida</v>
      </c>
      <c r="F164" s="3"/>
      <c r="G164" s="5"/>
      <c r="H164" s="6"/>
      <c r="I164" s="4"/>
      <c r="K164" s="5"/>
      <c r="L164" s="6"/>
      <c r="N164" s="3"/>
      <c r="O164" s="3"/>
      <c r="P164" s="4"/>
      <c r="Q164" s="4"/>
      <c r="S164" s="3"/>
      <c r="T164" s="3"/>
      <c r="U164" s="4"/>
      <c r="V164" s="4"/>
    </row>
    <row r="165" spans="1:22" x14ac:dyDescent="0.25">
      <c r="A165" s="3" t="str">
        <f>RTD("rtdtrading.rtdserver",, "BOOK0", "VOC", 161)</f>
        <v>Ferramenta Inválida</v>
      </c>
      <c r="B165" s="3" t="str">
        <f>RTD("rtdtrading.rtdserver",, "BOOK0", "OCP", 161)</f>
        <v>Ferramenta Inválida</v>
      </c>
      <c r="C165" s="4" t="str">
        <f>RTD("rtdtrading.rtdserver",, "BOOK0", "OVD", 161)</f>
        <v>Ferramenta Inválida</v>
      </c>
      <c r="D165" s="4" t="str">
        <f>RTD("rtdtrading.rtdserver",, "BOOK0", "VOV", 161)</f>
        <v>Ferramenta Inválida</v>
      </c>
      <c r="F165" s="3"/>
      <c r="G165" s="5"/>
      <c r="H165" s="6"/>
      <c r="I165" s="4"/>
      <c r="K165" s="5"/>
      <c r="L165" s="6"/>
      <c r="N165" s="3"/>
      <c r="O165" s="3"/>
      <c r="P165" s="4"/>
      <c r="Q165" s="4"/>
      <c r="S165" s="3"/>
      <c r="T165" s="3"/>
      <c r="U165" s="4"/>
      <c r="V165" s="4"/>
    </row>
    <row r="166" spans="1:22" x14ac:dyDescent="0.25">
      <c r="A166" s="3" t="str">
        <f>RTD("rtdtrading.rtdserver",, "BOOK0", "VOC", 162)</f>
        <v>Ferramenta Inválida</v>
      </c>
      <c r="B166" s="3" t="str">
        <f>RTD("rtdtrading.rtdserver",, "BOOK0", "OCP", 162)</f>
        <v>Ferramenta Inválida</v>
      </c>
      <c r="C166" s="4" t="str">
        <f>RTD("rtdtrading.rtdserver",, "BOOK0", "OVD", 162)</f>
        <v>Ferramenta Inválida</v>
      </c>
      <c r="D166" s="4" t="str">
        <f>RTD("rtdtrading.rtdserver",, "BOOK0", "VOV", 162)</f>
        <v>Ferramenta Inválida</v>
      </c>
      <c r="F166" s="3"/>
      <c r="G166" s="5"/>
      <c r="H166" s="6"/>
      <c r="I166" s="4"/>
      <c r="K166" s="5"/>
      <c r="L166" s="6"/>
      <c r="N166" s="3"/>
      <c r="O166" s="3"/>
      <c r="P166" s="4"/>
      <c r="Q166" s="4"/>
      <c r="S166" s="3"/>
      <c r="T166" s="3"/>
      <c r="U166" s="4"/>
      <c r="V166" s="4"/>
    </row>
    <row r="167" spans="1:22" x14ac:dyDescent="0.25">
      <c r="A167" s="3" t="str">
        <f>RTD("rtdtrading.rtdserver",, "BOOK0", "VOC", 163)</f>
        <v>Ferramenta Inválida</v>
      </c>
      <c r="B167" s="3" t="str">
        <f>RTD("rtdtrading.rtdserver",, "BOOK0", "OCP", 163)</f>
        <v>Ferramenta Inválida</v>
      </c>
      <c r="C167" s="4" t="str">
        <f>RTD("rtdtrading.rtdserver",, "BOOK0", "OVD", 163)</f>
        <v>Ferramenta Inválida</v>
      </c>
      <c r="D167" s="4" t="str">
        <f>RTD("rtdtrading.rtdserver",, "BOOK0", "VOV", 163)</f>
        <v>Ferramenta Inválida</v>
      </c>
      <c r="F167" s="3"/>
      <c r="G167" s="5"/>
      <c r="H167" s="6"/>
      <c r="I167" s="4"/>
      <c r="K167" s="5"/>
      <c r="L167" s="6"/>
      <c r="N167" s="3"/>
      <c r="O167" s="3"/>
      <c r="P167" s="4"/>
      <c r="Q167" s="4"/>
      <c r="S167" s="3"/>
      <c r="T167" s="3"/>
      <c r="U167" s="4"/>
      <c r="V167" s="4"/>
    </row>
    <row r="168" spans="1:22" x14ac:dyDescent="0.25">
      <c r="A168" s="3" t="str">
        <f>RTD("rtdtrading.rtdserver",, "BOOK0", "VOC", 164)</f>
        <v>Ferramenta Inválida</v>
      </c>
      <c r="B168" s="3" t="str">
        <f>RTD("rtdtrading.rtdserver",, "BOOK0", "OCP", 164)</f>
        <v>Ferramenta Inválida</v>
      </c>
      <c r="C168" s="4" t="str">
        <f>RTD("rtdtrading.rtdserver",, "BOOK0", "OVD", 164)</f>
        <v>Ferramenta Inválida</v>
      </c>
      <c r="D168" s="4" t="str">
        <f>RTD("rtdtrading.rtdserver",, "BOOK0", "VOV", 164)</f>
        <v>Ferramenta Inválida</v>
      </c>
      <c r="F168" s="3"/>
      <c r="G168" s="5"/>
      <c r="H168" s="6"/>
      <c r="I168" s="4"/>
      <c r="K168" s="5"/>
      <c r="L168" s="6"/>
      <c r="N168" s="3"/>
      <c r="O168" s="3"/>
      <c r="P168" s="4"/>
      <c r="Q168" s="4"/>
      <c r="S168" s="3"/>
      <c r="T168" s="3"/>
      <c r="U168" s="4"/>
      <c r="V168" s="4"/>
    </row>
    <row r="169" spans="1:22" x14ac:dyDescent="0.25">
      <c r="A169" s="3" t="str">
        <f>RTD("rtdtrading.rtdserver",, "BOOK0", "VOC", 165)</f>
        <v>Ferramenta Inválida</v>
      </c>
      <c r="B169" s="3" t="str">
        <f>RTD("rtdtrading.rtdserver",, "BOOK0", "OCP", 165)</f>
        <v>Ferramenta Inválida</v>
      </c>
      <c r="C169" s="4" t="str">
        <f>RTD("rtdtrading.rtdserver",, "BOOK0", "OVD", 165)</f>
        <v>Ferramenta Inválida</v>
      </c>
      <c r="D169" s="4" t="str">
        <f>RTD("rtdtrading.rtdserver",, "BOOK0", "VOV", 165)</f>
        <v>Ferramenta Inválida</v>
      </c>
      <c r="F169" s="3"/>
      <c r="G169" s="5"/>
      <c r="H169" s="6"/>
      <c r="I169" s="4"/>
      <c r="K169" s="5"/>
      <c r="L169" s="6"/>
      <c r="N169" s="3"/>
      <c r="O169" s="3"/>
      <c r="P169" s="4"/>
      <c r="Q169" s="4"/>
      <c r="S169" s="3"/>
      <c r="T169" s="3"/>
      <c r="U169" s="4"/>
      <c r="V169" s="4"/>
    </row>
    <row r="170" spans="1:22" x14ac:dyDescent="0.25">
      <c r="A170" s="3" t="str">
        <f>RTD("rtdtrading.rtdserver",, "BOOK0", "VOC", 166)</f>
        <v>Ferramenta Inválida</v>
      </c>
      <c r="B170" s="3" t="str">
        <f>RTD("rtdtrading.rtdserver",, "BOOK0", "OCP", 166)</f>
        <v>Ferramenta Inválida</v>
      </c>
      <c r="C170" s="4" t="str">
        <f>RTD("rtdtrading.rtdserver",, "BOOK0", "OVD", 166)</f>
        <v>Ferramenta Inválida</v>
      </c>
      <c r="D170" s="4" t="str">
        <f>RTD("rtdtrading.rtdserver",, "BOOK0", "VOV", 166)</f>
        <v>Ferramenta Inválida</v>
      </c>
      <c r="F170" s="3"/>
      <c r="G170" s="5"/>
      <c r="H170" s="6"/>
      <c r="I170" s="4"/>
      <c r="K170" s="5"/>
      <c r="L170" s="6"/>
      <c r="N170" s="3"/>
      <c r="O170" s="3"/>
      <c r="P170" s="4"/>
      <c r="Q170" s="4"/>
      <c r="S170" s="3"/>
      <c r="T170" s="3"/>
      <c r="U170" s="4"/>
      <c r="V170" s="4"/>
    </row>
    <row r="171" spans="1:22" x14ac:dyDescent="0.25">
      <c r="A171" s="3" t="str">
        <f>RTD("rtdtrading.rtdserver",, "BOOK0", "VOC", 167)</f>
        <v>Ferramenta Inválida</v>
      </c>
      <c r="B171" s="3" t="str">
        <f>RTD("rtdtrading.rtdserver",, "BOOK0", "OCP", 167)</f>
        <v>Ferramenta Inválida</v>
      </c>
      <c r="C171" s="4" t="str">
        <f>RTD("rtdtrading.rtdserver",, "BOOK0", "OVD", 167)</f>
        <v>Ferramenta Inválida</v>
      </c>
      <c r="D171" s="4" t="str">
        <f>RTD("rtdtrading.rtdserver",, "BOOK0", "VOV", 167)</f>
        <v>Ferramenta Inválida</v>
      </c>
      <c r="F171" s="3"/>
      <c r="G171" s="5"/>
      <c r="H171" s="6"/>
      <c r="I171" s="4"/>
      <c r="K171" s="5"/>
      <c r="L171" s="6"/>
      <c r="N171" s="3"/>
      <c r="O171" s="3"/>
      <c r="P171" s="4"/>
      <c r="Q171" s="4"/>
      <c r="S171" s="3"/>
      <c r="T171" s="3"/>
      <c r="U171" s="4"/>
      <c r="V171" s="4"/>
    </row>
    <row r="172" spans="1:22" x14ac:dyDescent="0.25">
      <c r="A172" s="3" t="str">
        <f>RTD("rtdtrading.rtdserver",, "BOOK0", "VOC", 168)</f>
        <v>Ferramenta Inválida</v>
      </c>
      <c r="B172" s="3" t="str">
        <f>RTD("rtdtrading.rtdserver",, "BOOK0", "OCP", 168)</f>
        <v>Ferramenta Inválida</v>
      </c>
      <c r="C172" s="4" t="str">
        <f>RTD("rtdtrading.rtdserver",, "BOOK0", "OVD", 168)</f>
        <v>Ferramenta Inválida</v>
      </c>
      <c r="D172" s="4" t="str">
        <f>RTD("rtdtrading.rtdserver",, "BOOK0", "VOV", 168)</f>
        <v>Ferramenta Inválida</v>
      </c>
      <c r="F172" s="3"/>
      <c r="G172" s="5"/>
      <c r="H172" s="6"/>
      <c r="I172" s="4"/>
      <c r="K172" s="5"/>
      <c r="L172" s="6"/>
      <c r="N172" s="3"/>
      <c r="O172" s="3"/>
      <c r="P172" s="4"/>
      <c r="Q172" s="4"/>
      <c r="S172" s="3"/>
      <c r="T172" s="3"/>
      <c r="U172" s="4"/>
      <c r="V172" s="4"/>
    </row>
    <row r="173" spans="1:22" x14ac:dyDescent="0.25">
      <c r="A173" s="3" t="str">
        <f>RTD("rtdtrading.rtdserver",, "BOOK0", "VOC", 169)</f>
        <v>Ferramenta Inválida</v>
      </c>
      <c r="B173" s="3" t="str">
        <f>RTD("rtdtrading.rtdserver",, "BOOK0", "OCP", 169)</f>
        <v>Ferramenta Inválida</v>
      </c>
      <c r="C173" s="4" t="str">
        <f>RTD("rtdtrading.rtdserver",, "BOOK0", "OVD", 169)</f>
        <v>Ferramenta Inválida</v>
      </c>
      <c r="D173" s="4" t="str">
        <f>RTD("rtdtrading.rtdserver",, "BOOK0", "VOV", 169)</f>
        <v>Ferramenta Inválida</v>
      </c>
      <c r="F173" s="3"/>
      <c r="G173" s="5"/>
      <c r="H173" s="6"/>
      <c r="I173" s="4"/>
      <c r="K173" s="5"/>
      <c r="L173" s="6"/>
      <c r="N173" s="3"/>
      <c r="O173" s="3"/>
      <c r="P173" s="4"/>
      <c r="Q173" s="4"/>
      <c r="S173" s="3"/>
      <c r="T173" s="3"/>
      <c r="U173" s="4"/>
      <c r="V173" s="4"/>
    </row>
    <row r="174" spans="1:22" x14ac:dyDescent="0.25">
      <c r="A174" s="3" t="str">
        <f>RTD("rtdtrading.rtdserver",, "BOOK0", "VOC", 170)</f>
        <v>Ferramenta Inválida</v>
      </c>
      <c r="B174" s="3" t="str">
        <f>RTD("rtdtrading.rtdserver",, "BOOK0", "OCP", 170)</f>
        <v>Ferramenta Inválida</v>
      </c>
      <c r="C174" s="4" t="str">
        <f>RTD("rtdtrading.rtdserver",, "BOOK0", "OVD", 170)</f>
        <v>Ferramenta Inválida</v>
      </c>
      <c r="D174" s="4" t="str">
        <f>RTD("rtdtrading.rtdserver",, "BOOK0", "VOV", 170)</f>
        <v>Ferramenta Inválida</v>
      </c>
      <c r="F174" s="3"/>
      <c r="G174" s="5"/>
      <c r="H174" s="6"/>
      <c r="I174" s="4"/>
      <c r="K174" s="5"/>
      <c r="L174" s="6"/>
      <c r="N174" s="3"/>
      <c r="O174" s="3"/>
      <c r="P174" s="4"/>
      <c r="Q174" s="4"/>
      <c r="S174" s="3"/>
      <c r="T174" s="3"/>
      <c r="U174" s="4"/>
      <c r="V174" s="4"/>
    </row>
    <row r="175" spans="1:22" x14ac:dyDescent="0.25">
      <c r="A175" s="3" t="str">
        <f>RTD("rtdtrading.rtdserver",, "BOOK0", "VOC", 171)</f>
        <v>Ferramenta Inválida</v>
      </c>
      <c r="B175" s="3" t="str">
        <f>RTD("rtdtrading.rtdserver",, "BOOK0", "OCP", 171)</f>
        <v>Ferramenta Inválida</v>
      </c>
      <c r="C175" s="4" t="str">
        <f>RTD("rtdtrading.rtdserver",, "BOOK0", "OVD", 171)</f>
        <v>Ferramenta Inválida</v>
      </c>
      <c r="D175" s="4" t="str">
        <f>RTD("rtdtrading.rtdserver",, "BOOK0", "VOV", 171)</f>
        <v>Ferramenta Inválida</v>
      </c>
      <c r="F175" s="3"/>
      <c r="G175" s="5"/>
      <c r="H175" s="6"/>
      <c r="I175" s="4"/>
      <c r="K175" s="5"/>
      <c r="L175" s="6"/>
      <c r="N175" s="3"/>
      <c r="O175" s="3"/>
      <c r="P175" s="4"/>
      <c r="Q175" s="4"/>
      <c r="S175" s="3"/>
      <c r="T175" s="3"/>
      <c r="U175" s="4"/>
      <c r="V175" s="4"/>
    </row>
    <row r="176" spans="1:22" x14ac:dyDescent="0.25">
      <c r="A176" s="3" t="str">
        <f>RTD("rtdtrading.rtdserver",, "BOOK0", "VOC", 172)</f>
        <v>Ferramenta Inválida</v>
      </c>
      <c r="B176" s="3" t="str">
        <f>RTD("rtdtrading.rtdserver",, "BOOK0", "OCP", 172)</f>
        <v>Ferramenta Inválida</v>
      </c>
      <c r="C176" s="4" t="str">
        <f>RTD("rtdtrading.rtdserver",, "BOOK0", "OVD", 172)</f>
        <v>Ferramenta Inválida</v>
      </c>
      <c r="D176" s="4" t="str">
        <f>RTD("rtdtrading.rtdserver",, "BOOK0", "VOV", 172)</f>
        <v>Ferramenta Inválida</v>
      </c>
      <c r="F176" s="3"/>
      <c r="G176" s="5"/>
      <c r="H176" s="6"/>
      <c r="I176" s="4"/>
      <c r="K176" s="5"/>
      <c r="L176" s="6"/>
      <c r="N176" s="3"/>
      <c r="O176" s="3"/>
      <c r="P176" s="4"/>
      <c r="Q176" s="4"/>
      <c r="S176" s="3"/>
      <c r="T176" s="3"/>
      <c r="U176" s="4"/>
      <c r="V176" s="4"/>
    </row>
    <row r="177" spans="1:22" x14ac:dyDescent="0.25">
      <c r="A177" s="3" t="str">
        <f>RTD("rtdtrading.rtdserver",, "BOOK0", "VOC", 173)</f>
        <v>Ferramenta Inválida</v>
      </c>
      <c r="B177" s="3" t="str">
        <f>RTD("rtdtrading.rtdserver",, "BOOK0", "OCP", 173)</f>
        <v>Ferramenta Inválida</v>
      </c>
      <c r="C177" s="4" t="str">
        <f>RTD("rtdtrading.rtdserver",, "BOOK0", "OVD", 173)</f>
        <v>Ferramenta Inválida</v>
      </c>
      <c r="D177" s="4" t="str">
        <f>RTD("rtdtrading.rtdserver",, "BOOK0", "VOV", 173)</f>
        <v>Ferramenta Inválida</v>
      </c>
      <c r="F177" s="3"/>
      <c r="G177" s="5"/>
      <c r="H177" s="6"/>
      <c r="I177" s="4"/>
      <c r="K177" s="5"/>
      <c r="L177" s="6"/>
      <c r="N177" s="3"/>
      <c r="O177" s="3"/>
      <c r="P177" s="4"/>
      <c r="Q177" s="4"/>
      <c r="S177" s="3"/>
      <c r="T177" s="3"/>
      <c r="U177" s="4"/>
      <c r="V177" s="4"/>
    </row>
    <row r="178" spans="1:22" x14ac:dyDescent="0.25">
      <c r="A178" s="3" t="str">
        <f>RTD("rtdtrading.rtdserver",, "BOOK0", "VOC", 174)</f>
        <v>Ferramenta Inválida</v>
      </c>
      <c r="B178" s="3" t="str">
        <f>RTD("rtdtrading.rtdserver",, "BOOK0", "OCP", 174)</f>
        <v>Ferramenta Inválida</v>
      </c>
      <c r="C178" s="4" t="str">
        <f>RTD("rtdtrading.rtdserver",, "BOOK0", "OVD", 174)</f>
        <v>Ferramenta Inválida</v>
      </c>
      <c r="D178" s="4" t="str">
        <f>RTD("rtdtrading.rtdserver",, "BOOK0", "VOV", 174)</f>
        <v>Ferramenta Inválida</v>
      </c>
      <c r="F178" s="3"/>
      <c r="G178" s="5"/>
      <c r="H178" s="6"/>
      <c r="I178" s="4"/>
      <c r="K178" s="5"/>
      <c r="L178" s="6"/>
      <c r="N178" s="3"/>
      <c r="O178" s="3"/>
      <c r="P178" s="4"/>
      <c r="Q178" s="4"/>
      <c r="S178" s="3"/>
      <c r="T178" s="3"/>
      <c r="U178" s="4"/>
      <c r="V178" s="4"/>
    </row>
    <row r="179" spans="1:22" x14ac:dyDescent="0.25">
      <c r="A179" s="3" t="str">
        <f>RTD("rtdtrading.rtdserver",, "BOOK0", "VOC", 175)</f>
        <v>Ferramenta Inválida</v>
      </c>
      <c r="B179" s="3" t="str">
        <f>RTD("rtdtrading.rtdserver",, "BOOK0", "OCP", 175)</f>
        <v>Ferramenta Inválida</v>
      </c>
      <c r="C179" s="4" t="str">
        <f>RTD("rtdtrading.rtdserver",, "BOOK0", "OVD", 175)</f>
        <v>Ferramenta Inválida</v>
      </c>
      <c r="D179" s="4" t="str">
        <f>RTD("rtdtrading.rtdserver",, "BOOK0", "VOV", 175)</f>
        <v>Ferramenta Inválida</v>
      </c>
      <c r="F179" s="3"/>
      <c r="G179" s="5"/>
      <c r="H179" s="6"/>
      <c r="I179" s="4"/>
      <c r="K179" s="5"/>
      <c r="L179" s="6"/>
      <c r="N179" s="3"/>
      <c r="O179" s="3"/>
      <c r="P179" s="4"/>
      <c r="Q179" s="4"/>
      <c r="S179" s="3"/>
      <c r="T179" s="3"/>
      <c r="U179" s="4"/>
      <c r="V179" s="4"/>
    </row>
    <row r="180" spans="1:22" x14ac:dyDescent="0.25">
      <c r="A180" s="3" t="str">
        <f>RTD("rtdtrading.rtdserver",, "BOOK0", "VOC", 176)</f>
        <v>Ferramenta Inválida</v>
      </c>
      <c r="B180" s="3" t="str">
        <f>RTD("rtdtrading.rtdserver",, "BOOK0", "OCP", 176)</f>
        <v>Ferramenta Inválida</v>
      </c>
      <c r="C180" s="4" t="str">
        <f>RTD("rtdtrading.rtdserver",, "BOOK0", "OVD", 176)</f>
        <v>Ferramenta Inválida</v>
      </c>
      <c r="D180" s="4" t="str">
        <f>RTD("rtdtrading.rtdserver",, "BOOK0", "VOV", 176)</f>
        <v>Ferramenta Inválida</v>
      </c>
      <c r="F180" s="3"/>
      <c r="G180" s="5"/>
      <c r="H180" s="6"/>
      <c r="I180" s="4"/>
      <c r="K180" s="5"/>
      <c r="L180" s="6"/>
      <c r="N180" s="3"/>
      <c r="O180" s="3"/>
      <c r="P180" s="4"/>
      <c r="Q180" s="4"/>
      <c r="S180" s="3"/>
      <c r="T180" s="3"/>
      <c r="U180" s="4"/>
      <c r="V180" s="4"/>
    </row>
    <row r="181" spans="1:22" x14ac:dyDescent="0.25">
      <c r="A181" s="3" t="str">
        <f>RTD("rtdtrading.rtdserver",, "BOOK0", "VOC", 177)</f>
        <v>Ferramenta Inválida</v>
      </c>
      <c r="B181" s="3" t="str">
        <f>RTD("rtdtrading.rtdserver",, "BOOK0", "OCP", 177)</f>
        <v>Ferramenta Inválida</v>
      </c>
      <c r="C181" s="4" t="str">
        <f>RTD("rtdtrading.rtdserver",, "BOOK0", "OVD", 177)</f>
        <v>Ferramenta Inválida</v>
      </c>
      <c r="D181" s="4" t="str">
        <f>RTD("rtdtrading.rtdserver",, "BOOK0", "VOV", 177)</f>
        <v>Ferramenta Inválida</v>
      </c>
      <c r="F181" s="3"/>
      <c r="G181" s="5"/>
      <c r="H181" s="6"/>
      <c r="I181" s="4"/>
      <c r="K181" s="5"/>
      <c r="L181" s="6"/>
      <c r="N181" s="3"/>
      <c r="O181" s="3"/>
      <c r="P181" s="4"/>
      <c r="Q181" s="4"/>
      <c r="S181" s="3"/>
      <c r="T181" s="3"/>
      <c r="U181" s="4"/>
      <c r="V181" s="4"/>
    </row>
    <row r="182" spans="1:22" x14ac:dyDescent="0.25">
      <c r="A182" s="3" t="str">
        <f>RTD("rtdtrading.rtdserver",, "BOOK0", "VOC", 178)</f>
        <v>Ferramenta Inválida</v>
      </c>
      <c r="B182" s="3" t="str">
        <f>RTD("rtdtrading.rtdserver",, "BOOK0", "OCP", 178)</f>
        <v>Ferramenta Inválida</v>
      </c>
      <c r="C182" s="4" t="str">
        <f>RTD("rtdtrading.rtdserver",, "BOOK0", "OVD", 178)</f>
        <v>Ferramenta Inválida</v>
      </c>
      <c r="D182" s="4" t="str">
        <f>RTD("rtdtrading.rtdserver",, "BOOK0", "VOV", 178)</f>
        <v>Ferramenta Inválida</v>
      </c>
      <c r="F182" s="3"/>
      <c r="G182" s="5"/>
      <c r="H182" s="6"/>
      <c r="I182" s="4"/>
      <c r="K182" s="5"/>
      <c r="L182" s="6"/>
      <c r="N182" s="3"/>
      <c r="O182" s="3"/>
      <c r="P182" s="4"/>
      <c r="Q182" s="4"/>
      <c r="S182" s="3"/>
      <c r="T182" s="3"/>
      <c r="U182" s="4"/>
      <c r="V182" s="4"/>
    </row>
    <row r="183" spans="1:22" x14ac:dyDescent="0.25">
      <c r="A183" s="3" t="str">
        <f>RTD("rtdtrading.rtdserver",, "BOOK0", "VOC", 179)</f>
        <v>Ferramenta Inválida</v>
      </c>
      <c r="B183" s="3" t="str">
        <f>RTD("rtdtrading.rtdserver",, "BOOK0", "OCP", 179)</f>
        <v>Ferramenta Inválida</v>
      </c>
      <c r="C183" s="4" t="str">
        <f>RTD("rtdtrading.rtdserver",, "BOOK0", "OVD", 179)</f>
        <v>Ferramenta Inválida</v>
      </c>
      <c r="D183" s="4" t="str">
        <f>RTD("rtdtrading.rtdserver",, "BOOK0", "VOV", 179)</f>
        <v>Ferramenta Inválida</v>
      </c>
      <c r="F183" s="3"/>
      <c r="G183" s="5"/>
      <c r="H183" s="6"/>
      <c r="I183" s="4"/>
      <c r="K183" s="5"/>
      <c r="L183" s="6"/>
      <c r="N183" s="3"/>
      <c r="O183" s="3"/>
      <c r="P183" s="4"/>
      <c r="Q183" s="4"/>
      <c r="S183" s="3"/>
      <c r="T183" s="3"/>
      <c r="U183" s="4"/>
      <c r="V183" s="4"/>
    </row>
    <row r="184" spans="1:22" x14ac:dyDescent="0.25">
      <c r="A184" s="3" t="str">
        <f>RTD("rtdtrading.rtdserver",, "BOOK0", "VOC", 180)</f>
        <v>Ferramenta Inválida</v>
      </c>
      <c r="B184" s="3" t="str">
        <f>RTD("rtdtrading.rtdserver",, "BOOK0", "OCP", 180)</f>
        <v>Ferramenta Inválida</v>
      </c>
      <c r="C184" s="4" t="str">
        <f>RTD("rtdtrading.rtdserver",, "BOOK0", "OVD", 180)</f>
        <v>Ferramenta Inválida</v>
      </c>
      <c r="D184" s="4" t="str">
        <f>RTD("rtdtrading.rtdserver",, "BOOK0", "VOV", 180)</f>
        <v>Ferramenta Inválida</v>
      </c>
      <c r="F184" s="3"/>
      <c r="G184" s="5"/>
      <c r="H184" s="6"/>
      <c r="I184" s="4"/>
      <c r="K184" s="5"/>
      <c r="L184" s="6"/>
      <c r="N184" s="3"/>
      <c r="O184" s="3"/>
      <c r="P184" s="4"/>
      <c r="Q184" s="4"/>
      <c r="S184" s="3"/>
      <c r="T184" s="3"/>
      <c r="U184" s="4"/>
      <c r="V184" s="4"/>
    </row>
    <row r="185" spans="1:22" x14ac:dyDescent="0.25">
      <c r="A185" s="3" t="str">
        <f>RTD("rtdtrading.rtdserver",, "BOOK0", "VOC", 181)</f>
        <v>Ferramenta Inválida</v>
      </c>
      <c r="B185" s="3" t="str">
        <f>RTD("rtdtrading.rtdserver",, "BOOK0", "OCP", 181)</f>
        <v>Ferramenta Inválida</v>
      </c>
      <c r="C185" s="4" t="str">
        <f>RTD("rtdtrading.rtdserver",, "BOOK0", "OVD", 181)</f>
        <v>Ferramenta Inválida</v>
      </c>
      <c r="D185" s="4" t="str">
        <f>RTD("rtdtrading.rtdserver",, "BOOK0", "VOV", 181)</f>
        <v>Ferramenta Inválida</v>
      </c>
      <c r="F185" s="3"/>
      <c r="G185" s="5"/>
      <c r="H185" s="6"/>
      <c r="I185" s="4"/>
      <c r="K185" s="5"/>
      <c r="L185" s="6"/>
      <c r="N185" s="3"/>
      <c r="O185" s="3"/>
      <c r="P185" s="4"/>
      <c r="Q185" s="4"/>
      <c r="S185" s="3"/>
      <c r="T185" s="3"/>
      <c r="U185" s="4"/>
      <c r="V185" s="4"/>
    </row>
    <row r="186" spans="1:22" x14ac:dyDescent="0.25">
      <c r="A186" s="3" t="str">
        <f>RTD("rtdtrading.rtdserver",, "BOOK0", "VOC", 182)</f>
        <v>Ferramenta Inválida</v>
      </c>
      <c r="B186" s="3" t="str">
        <f>RTD("rtdtrading.rtdserver",, "BOOK0", "OCP", 182)</f>
        <v>Ferramenta Inválida</v>
      </c>
      <c r="C186" s="4" t="str">
        <f>RTD("rtdtrading.rtdserver",, "BOOK0", "OVD", 182)</f>
        <v>Ferramenta Inválida</v>
      </c>
      <c r="D186" s="4" t="str">
        <f>RTD("rtdtrading.rtdserver",, "BOOK0", "VOV", 182)</f>
        <v>Ferramenta Inválida</v>
      </c>
      <c r="F186" s="3"/>
      <c r="G186" s="5"/>
      <c r="H186" s="6"/>
      <c r="I186" s="4"/>
      <c r="K186" s="5"/>
      <c r="L186" s="6"/>
      <c r="N186" s="3"/>
      <c r="O186" s="3"/>
      <c r="P186" s="4"/>
      <c r="Q186" s="4"/>
      <c r="S186" s="3"/>
      <c r="T186" s="3"/>
      <c r="U186" s="4"/>
      <c r="V186" s="4"/>
    </row>
    <row r="187" spans="1:22" x14ac:dyDescent="0.25">
      <c r="A187" s="3" t="str">
        <f>RTD("rtdtrading.rtdserver",, "BOOK0", "VOC", 183)</f>
        <v>Ferramenta Inválida</v>
      </c>
      <c r="B187" s="3" t="str">
        <f>RTD("rtdtrading.rtdserver",, "BOOK0", "OCP", 183)</f>
        <v>Ferramenta Inválida</v>
      </c>
      <c r="C187" s="4" t="str">
        <f>RTD("rtdtrading.rtdserver",, "BOOK0", "OVD", 183)</f>
        <v>Ferramenta Inválida</v>
      </c>
      <c r="D187" s="4" t="str">
        <f>RTD("rtdtrading.rtdserver",, "BOOK0", "VOV", 183)</f>
        <v>Ferramenta Inválida</v>
      </c>
      <c r="F187" s="3"/>
      <c r="G187" s="5"/>
      <c r="H187" s="6"/>
      <c r="I187" s="4"/>
      <c r="K187" s="5"/>
      <c r="L187" s="6"/>
      <c r="N187" s="3"/>
      <c r="O187" s="3"/>
      <c r="P187" s="4"/>
      <c r="Q187" s="4"/>
      <c r="S187" s="3"/>
      <c r="T187" s="3"/>
      <c r="U187" s="4"/>
      <c r="V187" s="4"/>
    </row>
    <row r="188" spans="1:22" x14ac:dyDescent="0.25">
      <c r="A188" s="3" t="str">
        <f>RTD("rtdtrading.rtdserver",, "BOOK0", "VOC", 184)</f>
        <v>Ferramenta Inválida</v>
      </c>
      <c r="B188" s="3" t="str">
        <f>RTD("rtdtrading.rtdserver",, "BOOK0", "OCP", 184)</f>
        <v>Ferramenta Inválida</v>
      </c>
      <c r="C188" s="4" t="str">
        <f>RTD("rtdtrading.rtdserver",, "BOOK0", "OVD", 184)</f>
        <v>Ferramenta Inválida</v>
      </c>
      <c r="D188" s="4" t="str">
        <f>RTD("rtdtrading.rtdserver",, "BOOK0", "VOV", 184)</f>
        <v>Ferramenta Inválida</v>
      </c>
      <c r="F188" s="3"/>
      <c r="G188" s="5"/>
      <c r="H188" s="6"/>
      <c r="I188" s="4"/>
      <c r="K188" s="5"/>
      <c r="L188" s="6"/>
      <c r="N188" s="3"/>
      <c r="O188" s="3"/>
      <c r="P188" s="4"/>
      <c r="Q188" s="4"/>
      <c r="S188" s="3"/>
      <c r="T188" s="3"/>
      <c r="U188" s="4"/>
      <c r="V188" s="4"/>
    </row>
    <row r="189" spans="1:22" x14ac:dyDescent="0.25">
      <c r="A189" s="3" t="str">
        <f>RTD("rtdtrading.rtdserver",, "BOOK0", "VOC", 185)</f>
        <v>Ferramenta Inválida</v>
      </c>
      <c r="B189" s="3" t="str">
        <f>RTD("rtdtrading.rtdserver",, "BOOK0", "OCP", 185)</f>
        <v>Ferramenta Inválida</v>
      </c>
      <c r="C189" s="4" t="str">
        <f>RTD("rtdtrading.rtdserver",, "BOOK0", "OVD", 185)</f>
        <v>Ferramenta Inválida</v>
      </c>
      <c r="D189" s="4" t="str">
        <f>RTD("rtdtrading.rtdserver",, "BOOK0", "VOV", 185)</f>
        <v>Ferramenta Inválida</v>
      </c>
      <c r="F189" s="3"/>
      <c r="G189" s="5"/>
      <c r="H189" s="6"/>
      <c r="I189" s="4"/>
      <c r="K189" s="5"/>
      <c r="L189" s="6"/>
      <c r="N189" s="3"/>
      <c r="O189" s="3"/>
      <c r="P189" s="4"/>
      <c r="Q189" s="4"/>
      <c r="S189" s="3"/>
      <c r="T189" s="3"/>
      <c r="U189" s="4"/>
      <c r="V189" s="4"/>
    </row>
    <row r="190" spans="1:22" x14ac:dyDescent="0.25">
      <c r="A190" s="3" t="str">
        <f>RTD("rtdtrading.rtdserver",, "BOOK0", "VOC", 186)</f>
        <v>Ferramenta Inválida</v>
      </c>
      <c r="B190" s="3" t="str">
        <f>RTD("rtdtrading.rtdserver",, "BOOK0", "OCP", 186)</f>
        <v>Ferramenta Inválida</v>
      </c>
      <c r="C190" s="4" t="str">
        <f>RTD("rtdtrading.rtdserver",, "BOOK0", "OVD", 186)</f>
        <v>Ferramenta Inválida</v>
      </c>
      <c r="D190" s="4" t="str">
        <f>RTD("rtdtrading.rtdserver",, "BOOK0", "VOV", 186)</f>
        <v>Ferramenta Inválida</v>
      </c>
      <c r="F190" s="3"/>
      <c r="G190" s="5"/>
      <c r="H190" s="6"/>
      <c r="I190" s="4"/>
      <c r="K190" s="5"/>
      <c r="L190" s="6"/>
      <c r="N190" s="3"/>
      <c r="O190" s="3"/>
      <c r="P190" s="4"/>
      <c r="Q190" s="4"/>
      <c r="S190" s="3"/>
      <c r="T190" s="3"/>
      <c r="U190" s="4"/>
      <c r="V190" s="4"/>
    </row>
    <row r="191" spans="1:22" x14ac:dyDescent="0.25">
      <c r="A191" s="3" t="str">
        <f>RTD("rtdtrading.rtdserver",, "BOOK0", "VOC", 187)</f>
        <v>Ferramenta Inválida</v>
      </c>
      <c r="B191" s="3" t="str">
        <f>RTD("rtdtrading.rtdserver",, "BOOK0", "OCP", 187)</f>
        <v>Ferramenta Inválida</v>
      </c>
      <c r="C191" s="4" t="str">
        <f>RTD("rtdtrading.rtdserver",, "BOOK0", "OVD", 187)</f>
        <v>Ferramenta Inválida</v>
      </c>
      <c r="D191" s="4" t="str">
        <f>RTD("rtdtrading.rtdserver",, "BOOK0", "VOV", 187)</f>
        <v>Ferramenta Inválida</v>
      </c>
      <c r="F191" s="3"/>
      <c r="G191" s="5"/>
      <c r="H191" s="6"/>
      <c r="I191" s="4"/>
      <c r="K191" s="5"/>
      <c r="L191" s="6"/>
      <c r="N191" s="3"/>
      <c r="O191" s="3"/>
      <c r="P191" s="4"/>
      <c r="Q191" s="4"/>
      <c r="S191" s="3"/>
      <c r="T191" s="3"/>
      <c r="U191" s="4"/>
      <c r="V191" s="4"/>
    </row>
    <row r="192" spans="1:22" x14ac:dyDescent="0.25">
      <c r="A192" s="3" t="str">
        <f>RTD("rtdtrading.rtdserver",, "BOOK0", "VOC", 188)</f>
        <v>Ferramenta Inválida</v>
      </c>
      <c r="B192" s="3" t="str">
        <f>RTD("rtdtrading.rtdserver",, "BOOK0", "OCP", 188)</f>
        <v>Ferramenta Inválida</v>
      </c>
      <c r="C192" s="4" t="str">
        <f>RTD("rtdtrading.rtdserver",, "BOOK0", "OVD", 188)</f>
        <v>Ferramenta Inválida</v>
      </c>
      <c r="D192" s="4" t="str">
        <f>RTD("rtdtrading.rtdserver",, "BOOK0", "VOV", 188)</f>
        <v>Ferramenta Inválida</v>
      </c>
      <c r="F192" s="3"/>
      <c r="G192" s="5"/>
      <c r="H192" s="6"/>
      <c r="I192" s="4"/>
      <c r="K192" s="5"/>
      <c r="L192" s="6"/>
      <c r="N192" s="3"/>
      <c r="O192" s="3"/>
      <c r="P192" s="4"/>
      <c r="Q192" s="4"/>
      <c r="S192" s="3"/>
      <c r="T192" s="3"/>
      <c r="U192" s="4"/>
      <c r="V192" s="4"/>
    </row>
    <row r="193" spans="1:22" x14ac:dyDescent="0.25">
      <c r="A193" s="3" t="str">
        <f>RTD("rtdtrading.rtdserver",, "BOOK0", "VOC", 189)</f>
        <v>Ferramenta Inválida</v>
      </c>
      <c r="B193" s="3" t="str">
        <f>RTD("rtdtrading.rtdserver",, "BOOK0", "OCP", 189)</f>
        <v>Ferramenta Inválida</v>
      </c>
      <c r="C193" s="4" t="str">
        <f>RTD("rtdtrading.rtdserver",, "BOOK0", "OVD", 189)</f>
        <v>Ferramenta Inválida</v>
      </c>
      <c r="D193" s="4" t="str">
        <f>RTD("rtdtrading.rtdserver",, "BOOK0", "VOV", 189)</f>
        <v>Ferramenta Inválida</v>
      </c>
      <c r="F193" s="3"/>
      <c r="G193" s="5"/>
      <c r="H193" s="6"/>
      <c r="I193" s="4"/>
      <c r="K193" s="5"/>
      <c r="L193" s="6"/>
      <c r="N193" s="3"/>
      <c r="O193" s="3"/>
      <c r="P193" s="4"/>
      <c r="Q193" s="4"/>
      <c r="S193" s="3"/>
      <c r="T193" s="3"/>
      <c r="U193" s="4"/>
      <c r="V193" s="4"/>
    </row>
    <row r="194" spans="1:22" x14ac:dyDescent="0.25">
      <c r="A194" s="3" t="str">
        <f>RTD("rtdtrading.rtdserver",, "BOOK0", "VOC", 190)</f>
        <v>Ferramenta Inválida</v>
      </c>
      <c r="B194" s="3" t="str">
        <f>RTD("rtdtrading.rtdserver",, "BOOK0", "OCP", 190)</f>
        <v>Ferramenta Inválida</v>
      </c>
      <c r="C194" s="4" t="str">
        <f>RTD("rtdtrading.rtdserver",, "BOOK0", "OVD", 190)</f>
        <v>Ferramenta Inválida</v>
      </c>
      <c r="D194" s="4" t="str">
        <f>RTD("rtdtrading.rtdserver",, "BOOK0", "VOV", 190)</f>
        <v>Ferramenta Inválida</v>
      </c>
      <c r="F194" s="3"/>
      <c r="G194" s="5"/>
      <c r="H194" s="6"/>
      <c r="I194" s="4"/>
      <c r="K194" s="5"/>
      <c r="L194" s="6"/>
      <c r="N194" s="3"/>
      <c r="O194" s="3"/>
      <c r="P194" s="4"/>
      <c r="Q194" s="4"/>
      <c r="S194" s="3"/>
      <c r="T194" s="3"/>
      <c r="U194" s="4"/>
      <c r="V194" s="4"/>
    </row>
    <row r="195" spans="1:22" x14ac:dyDescent="0.25">
      <c r="A195" s="3" t="str">
        <f>RTD("rtdtrading.rtdserver",, "BOOK0", "VOC", 191)</f>
        <v>Ferramenta Inválida</v>
      </c>
      <c r="B195" s="3" t="str">
        <f>RTD("rtdtrading.rtdserver",, "BOOK0", "OCP", 191)</f>
        <v>Ferramenta Inválida</v>
      </c>
      <c r="C195" s="4" t="str">
        <f>RTD("rtdtrading.rtdserver",, "BOOK0", "OVD", 191)</f>
        <v>Ferramenta Inválida</v>
      </c>
      <c r="D195" s="4" t="str">
        <f>RTD("rtdtrading.rtdserver",, "BOOK0", "VOV", 191)</f>
        <v>Ferramenta Inválida</v>
      </c>
      <c r="F195" s="3"/>
      <c r="G195" s="5"/>
      <c r="H195" s="6"/>
      <c r="I195" s="4"/>
      <c r="K195" s="5"/>
      <c r="L195" s="6"/>
      <c r="N195" s="3"/>
      <c r="O195" s="3"/>
      <c r="P195" s="4"/>
      <c r="Q195" s="4"/>
      <c r="S195" s="3"/>
      <c r="T195" s="3"/>
      <c r="U195" s="4"/>
      <c r="V195" s="4"/>
    </row>
    <row r="196" spans="1:22" x14ac:dyDescent="0.25">
      <c r="A196" s="3" t="str">
        <f>RTD("rtdtrading.rtdserver",, "BOOK0", "VOC", 192)</f>
        <v>Ferramenta Inválida</v>
      </c>
      <c r="B196" s="3" t="str">
        <f>RTD("rtdtrading.rtdserver",, "BOOK0", "OCP", 192)</f>
        <v>Ferramenta Inválida</v>
      </c>
      <c r="C196" s="4" t="str">
        <f>RTD("rtdtrading.rtdserver",, "BOOK0", "OVD", 192)</f>
        <v>Ferramenta Inválida</v>
      </c>
      <c r="D196" s="4" t="str">
        <f>RTD("rtdtrading.rtdserver",, "BOOK0", "VOV", 192)</f>
        <v>Ferramenta Inválida</v>
      </c>
      <c r="F196" s="3"/>
      <c r="G196" s="5"/>
      <c r="H196" s="6"/>
      <c r="I196" s="4"/>
      <c r="K196" s="5"/>
      <c r="L196" s="6"/>
      <c r="N196" s="3"/>
      <c r="O196" s="3"/>
      <c r="P196" s="4"/>
      <c r="Q196" s="4"/>
      <c r="S196" s="3"/>
      <c r="T196" s="3"/>
      <c r="U196" s="4"/>
      <c r="V196" s="4"/>
    </row>
    <row r="197" spans="1:22" x14ac:dyDescent="0.25">
      <c r="A197" s="3" t="str">
        <f>RTD("rtdtrading.rtdserver",, "BOOK0", "VOC", 193)</f>
        <v>Ferramenta Inválida</v>
      </c>
      <c r="B197" s="3" t="str">
        <f>RTD("rtdtrading.rtdserver",, "BOOK0", "OCP", 193)</f>
        <v>Ferramenta Inválida</v>
      </c>
      <c r="C197" s="4" t="str">
        <f>RTD("rtdtrading.rtdserver",, "BOOK0", "OVD", 193)</f>
        <v>Ferramenta Inválida</v>
      </c>
      <c r="D197" s="4" t="str">
        <f>RTD("rtdtrading.rtdserver",, "BOOK0", "VOV", 193)</f>
        <v>Ferramenta Inválida</v>
      </c>
      <c r="F197" s="3"/>
      <c r="G197" s="5"/>
      <c r="H197" s="6"/>
      <c r="I197" s="4"/>
      <c r="K197" s="5"/>
      <c r="L197" s="6"/>
      <c r="N197" s="3"/>
      <c r="O197" s="3"/>
      <c r="P197" s="4"/>
      <c r="Q197" s="4"/>
      <c r="S197" s="3"/>
      <c r="T197" s="3"/>
      <c r="U197" s="4"/>
      <c r="V197" s="4"/>
    </row>
    <row r="198" spans="1:22" x14ac:dyDescent="0.25">
      <c r="A198" s="3" t="str">
        <f>RTD("rtdtrading.rtdserver",, "BOOK0", "VOC", 194)</f>
        <v>Ferramenta Inválida</v>
      </c>
      <c r="B198" s="3" t="str">
        <f>RTD("rtdtrading.rtdserver",, "BOOK0", "OCP", 194)</f>
        <v>Ferramenta Inválida</v>
      </c>
      <c r="C198" s="4" t="str">
        <f>RTD("rtdtrading.rtdserver",, "BOOK0", "OVD", 194)</f>
        <v>Ferramenta Inválida</v>
      </c>
      <c r="D198" s="4" t="str">
        <f>RTD("rtdtrading.rtdserver",, "BOOK0", "VOV", 194)</f>
        <v>Ferramenta Inválida</v>
      </c>
      <c r="F198" s="3"/>
      <c r="G198" s="5"/>
      <c r="H198" s="6"/>
      <c r="I198" s="4"/>
      <c r="K198" s="5"/>
      <c r="L198" s="6"/>
      <c r="N198" s="3"/>
      <c r="O198" s="3"/>
      <c r="P198" s="4"/>
      <c r="Q198" s="4"/>
      <c r="S198" s="3"/>
      <c r="T198" s="3"/>
      <c r="U198" s="4"/>
      <c r="V198" s="4"/>
    </row>
    <row r="199" spans="1:22" x14ac:dyDescent="0.25">
      <c r="A199" s="3" t="str">
        <f>RTD("rtdtrading.rtdserver",, "BOOK0", "VOC", 195)</f>
        <v>Ferramenta Inválida</v>
      </c>
      <c r="B199" s="3" t="str">
        <f>RTD("rtdtrading.rtdserver",, "BOOK0", "OCP", 195)</f>
        <v>Ferramenta Inválida</v>
      </c>
      <c r="C199" s="4" t="str">
        <f>RTD("rtdtrading.rtdserver",, "BOOK0", "OVD", 195)</f>
        <v>Ferramenta Inválida</v>
      </c>
      <c r="D199" s="4" t="str">
        <f>RTD("rtdtrading.rtdserver",, "BOOK0", "VOV", 195)</f>
        <v>Ferramenta Inválida</v>
      </c>
      <c r="F199" s="3"/>
      <c r="G199" s="5"/>
      <c r="H199" s="6"/>
      <c r="I199" s="4"/>
      <c r="K199" s="5"/>
      <c r="L199" s="6"/>
      <c r="N199" s="3"/>
      <c r="O199" s="3"/>
      <c r="P199" s="4"/>
      <c r="Q199" s="4"/>
      <c r="S199" s="3"/>
      <c r="T199" s="3"/>
      <c r="U199" s="4"/>
      <c r="V199" s="4"/>
    </row>
    <row r="200" spans="1:22" x14ac:dyDescent="0.25">
      <c r="A200" s="3" t="str">
        <f>RTD("rtdtrading.rtdserver",, "BOOK0", "VOC", 196)</f>
        <v>Ferramenta Inválida</v>
      </c>
      <c r="B200" s="3" t="str">
        <f>RTD("rtdtrading.rtdserver",, "BOOK0", "OCP", 196)</f>
        <v>Ferramenta Inválida</v>
      </c>
      <c r="C200" s="4" t="str">
        <f>RTD("rtdtrading.rtdserver",, "BOOK0", "OVD", 196)</f>
        <v>Ferramenta Inválida</v>
      </c>
      <c r="D200" s="4" t="str">
        <f>RTD("rtdtrading.rtdserver",, "BOOK0", "VOV", 196)</f>
        <v>Ferramenta Inválida</v>
      </c>
      <c r="F200" s="3"/>
      <c r="G200" s="5"/>
      <c r="H200" s="6"/>
      <c r="I200" s="4"/>
      <c r="K200" s="5"/>
      <c r="L200" s="6"/>
      <c r="N200" s="3"/>
      <c r="O200" s="3"/>
      <c r="P200" s="4"/>
      <c r="Q200" s="4"/>
      <c r="S200" s="3"/>
      <c r="T200" s="3"/>
      <c r="U200" s="4"/>
      <c r="V200" s="4"/>
    </row>
    <row r="201" spans="1:22" x14ac:dyDescent="0.25">
      <c r="A201" s="3" t="str">
        <f>RTD("rtdtrading.rtdserver",, "BOOK0", "VOC", 197)</f>
        <v>Ferramenta Inválida</v>
      </c>
      <c r="B201" s="3" t="str">
        <f>RTD("rtdtrading.rtdserver",, "BOOK0", "OCP", 197)</f>
        <v>Ferramenta Inválida</v>
      </c>
      <c r="C201" s="4" t="str">
        <f>RTD("rtdtrading.rtdserver",, "BOOK0", "OVD", 197)</f>
        <v>Ferramenta Inválida</v>
      </c>
      <c r="D201" s="4" t="str">
        <f>RTD("rtdtrading.rtdserver",, "BOOK0", "VOV", 197)</f>
        <v>Ferramenta Inválida</v>
      </c>
      <c r="F201" s="3"/>
      <c r="G201" s="5"/>
      <c r="H201" s="6"/>
      <c r="I201" s="4"/>
      <c r="K201" s="5"/>
      <c r="L201" s="6"/>
      <c r="N201" s="3"/>
      <c r="O201" s="3"/>
      <c r="P201" s="4"/>
      <c r="Q201" s="4"/>
      <c r="S201" s="3"/>
      <c r="T201" s="3"/>
      <c r="U201" s="4"/>
      <c r="V201" s="4"/>
    </row>
    <row r="202" spans="1:22" x14ac:dyDescent="0.25">
      <c r="A202" s="3" t="str">
        <f>RTD("rtdtrading.rtdserver",, "BOOK0", "VOC", 198)</f>
        <v>Ferramenta Inválida</v>
      </c>
      <c r="B202" s="3" t="str">
        <f>RTD("rtdtrading.rtdserver",, "BOOK0", "OCP", 198)</f>
        <v>Ferramenta Inválida</v>
      </c>
      <c r="C202" s="4" t="str">
        <f>RTD("rtdtrading.rtdserver",, "BOOK0", "OVD", 198)</f>
        <v>Ferramenta Inválida</v>
      </c>
      <c r="D202" s="4" t="str">
        <f>RTD("rtdtrading.rtdserver",, "BOOK0", "VOV", 198)</f>
        <v>Ferramenta Inválida</v>
      </c>
      <c r="F202" s="3"/>
      <c r="G202" s="5"/>
      <c r="H202" s="6"/>
      <c r="I202" s="4"/>
      <c r="K202" s="5"/>
      <c r="L202" s="6"/>
      <c r="N202" s="3"/>
      <c r="O202" s="3"/>
      <c r="P202" s="4"/>
      <c r="Q202" s="4"/>
      <c r="S202" s="3"/>
      <c r="T202" s="3"/>
      <c r="U202" s="4"/>
      <c r="V202" s="4"/>
    </row>
    <row r="203" spans="1:22" x14ac:dyDescent="0.25">
      <c r="A203" s="3" t="str">
        <f>RTD("rtdtrading.rtdserver",, "BOOK0", "VOC", 199)</f>
        <v>Ferramenta Inválida</v>
      </c>
      <c r="B203" s="3" t="str">
        <f>RTD("rtdtrading.rtdserver",, "BOOK0", "OCP", 199)</f>
        <v>Ferramenta Inválida</v>
      </c>
      <c r="C203" s="4" t="str">
        <f>RTD("rtdtrading.rtdserver",, "BOOK0", "OVD", 199)</f>
        <v>Ferramenta Inválida</v>
      </c>
      <c r="D203" s="4" t="str">
        <f>RTD("rtdtrading.rtdserver",, "BOOK0", "VOV", 199)</f>
        <v>Ferramenta Inválida</v>
      </c>
      <c r="F203" s="3"/>
      <c r="G203" s="5"/>
      <c r="H203" s="6"/>
      <c r="I203" s="4"/>
      <c r="K203" s="5"/>
      <c r="L203" s="6"/>
      <c r="N203" s="3"/>
      <c r="O203" s="3"/>
      <c r="P203" s="4"/>
      <c r="Q203" s="4"/>
      <c r="S203" s="3"/>
      <c r="T203" s="3"/>
      <c r="U203" s="4"/>
      <c r="V203" s="4"/>
    </row>
    <row r="204" spans="1:22" x14ac:dyDescent="0.25">
      <c r="A204" s="3" t="str">
        <f>RTD("rtdtrading.rtdserver",, "BOOK0", "VOC", 200)</f>
        <v>Ferramenta Inválida</v>
      </c>
      <c r="B204" s="3" t="str">
        <f>RTD("rtdtrading.rtdserver",, "BOOK0", "OCP", 200)</f>
        <v>Ferramenta Inválida</v>
      </c>
      <c r="C204" s="4" t="str">
        <f>RTD("rtdtrading.rtdserver",, "BOOK0", "OVD", 200)</f>
        <v>Ferramenta Inválida</v>
      </c>
      <c r="D204" s="4" t="str">
        <f>RTD("rtdtrading.rtdserver",, "BOOK0", "VOV", 200)</f>
        <v>Ferramenta Inválida</v>
      </c>
      <c r="F204" s="3"/>
      <c r="G204" s="5"/>
      <c r="H204" s="6"/>
      <c r="I204" s="4"/>
      <c r="K204" s="5"/>
      <c r="L204" s="6"/>
      <c r="N204" s="3"/>
      <c r="O204" s="3"/>
      <c r="P204" s="4"/>
      <c r="Q204" s="4"/>
      <c r="S204" s="3"/>
      <c r="T204" s="3"/>
      <c r="U204" s="4"/>
      <c r="V204" s="4"/>
    </row>
    <row r="205" spans="1:22" x14ac:dyDescent="0.25">
      <c r="A205" s="3" t="str">
        <f>RTD("rtdtrading.rtdserver",, "BOOK0", "VOC", 201)</f>
        <v>Ferramenta Inválida</v>
      </c>
      <c r="B205" s="3" t="str">
        <f>RTD("rtdtrading.rtdserver",, "BOOK0", "OCP", 201)</f>
        <v>Ferramenta Inválida</v>
      </c>
      <c r="C205" s="4" t="str">
        <f>RTD("rtdtrading.rtdserver",, "BOOK0", "OVD", 201)</f>
        <v>Ferramenta Inválida</v>
      </c>
      <c r="D205" s="4" t="str">
        <f>RTD("rtdtrading.rtdserver",, "BOOK0", "VOV", 201)</f>
        <v>Ferramenta Inválida</v>
      </c>
      <c r="F205" s="3"/>
      <c r="G205" s="5"/>
      <c r="H205" s="6"/>
      <c r="I205" s="4"/>
      <c r="K205" s="5"/>
      <c r="L205" s="6"/>
      <c r="N205" s="3"/>
      <c r="O205" s="3"/>
      <c r="P205" s="4"/>
      <c r="Q205" s="4"/>
      <c r="S205" s="3"/>
      <c r="T205" s="3"/>
      <c r="U205" s="4"/>
      <c r="V205" s="4"/>
    </row>
    <row r="206" spans="1:22" x14ac:dyDescent="0.25">
      <c r="A206" s="3" t="str">
        <f>RTD("rtdtrading.rtdserver",, "BOOK0", "VOC", 202)</f>
        <v>Ferramenta Inválida</v>
      </c>
      <c r="B206" s="3" t="str">
        <f>RTD("rtdtrading.rtdserver",, "BOOK0", "OCP", 202)</f>
        <v>Ferramenta Inválida</v>
      </c>
      <c r="C206" s="4" t="str">
        <f>RTD("rtdtrading.rtdserver",, "BOOK0", "OVD", 202)</f>
        <v>Ferramenta Inválida</v>
      </c>
      <c r="D206" s="4" t="str">
        <f>RTD("rtdtrading.rtdserver",, "BOOK0", "VOV", 202)</f>
        <v>Ferramenta Inválida</v>
      </c>
      <c r="F206" s="3"/>
      <c r="G206" s="5"/>
      <c r="H206" s="6"/>
      <c r="I206" s="4"/>
      <c r="K206" s="5"/>
      <c r="L206" s="6"/>
      <c r="N206" s="3"/>
      <c r="O206" s="3"/>
      <c r="P206" s="4"/>
      <c r="Q206" s="4"/>
      <c r="S206" s="3"/>
      <c r="T206" s="3"/>
      <c r="U206" s="4"/>
      <c r="V206" s="4"/>
    </row>
    <row r="207" spans="1:22" x14ac:dyDescent="0.25">
      <c r="A207" s="3" t="str">
        <f>RTD("rtdtrading.rtdserver",, "BOOK0", "VOC", 203)</f>
        <v>Ferramenta Inválida</v>
      </c>
      <c r="B207" s="3" t="str">
        <f>RTD("rtdtrading.rtdserver",, "BOOK0", "OCP", 203)</f>
        <v>Ferramenta Inválida</v>
      </c>
      <c r="C207" s="4" t="str">
        <f>RTD("rtdtrading.rtdserver",, "BOOK0", "OVD", 203)</f>
        <v>Ferramenta Inválida</v>
      </c>
      <c r="D207" s="4" t="str">
        <f>RTD("rtdtrading.rtdserver",, "BOOK0", "VOV", 203)</f>
        <v>Ferramenta Inválida</v>
      </c>
      <c r="F207" s="3"/>
      <c r="G207" s="5"/>
      <c r="H207" s="6"/>
      <c r="I207" s="4"/>
      <c r="K207" s="5"/>
      <c r="L207" s="6"/>
      <c r="N207" s="3"/>
      <c r="O207" s="3"/>
      <c r="P207" s="4"/>
      <c r="Q207" s="4"/>
      <c r="S207" s="3"/>
      <c r="T207" s="3"/>
      <c r="U207" s="4"/>
      <c r="V207" s="4"/>
    </row>
    <row r="208" spans="1:22" x14ac:dyDescent="0.25">
      <c r="A208" s="3" t="str">
        <f>RTD("rtdtrading.rtdserver",, "BOOK0", "VOC", 204)</f>
        <v>Ferramenta Inválida</v>
      </c>
      <c r="B208" s="3" t="str">
        <f>RTD("rtdtrading.rtdserver",, "BOOK0", "OCP", 204)</f>
        <v>Ferramenta Inválida</v>
      </c>
      <c r="C208" s="4" t="str">
        <f>RTD("rtdtrading.rtdserver",, "BOOK0", "OVD", 204)</f>
        <v>Ferramenta Inválida</v>
      </c>
      <c r="D208" s="4" t="str">
        <f>RTD("rtdtrading.rtdserver",, "BOOK0", "VOV", 204)</f>
        <v>Ferramenta Inválida</v>
      </c>
      <c r="F208" s="3"/>
      <c r="G208" s="5"/>
      <c r="H208" s="6"/>
      <c r="I208" s="4"/>
      <c r="K208" s="5"/>
      <c r="L208" s="6"/>
      <c r="N208" s="3"/>
      <c r="O208" s="3"/>
      <c r="P208" s="4"/>
      <c r="Q208" s="4"/>
      <c r="S208" s="3"/>
      <c r="T208" s="3"/>
      <c r="U208" s="4"/>
      <c r="V208" s="4"/>
    </row>
    <row r="209" spans="1:22" x14ac:dyDescent="0.25">
      <c r="A209" s="3" t="str">
        <f>RTD("rtdtrading.rtdserver",, "BOOK0", "VOC", 205)</f>
        <v>Ferramenta Inválida</v>
      </c>
      <c r="B209" s="3" t="str">
        <f>RTD("rtdtrading.rtdserver",, "BOOK0", "OCP", 205)</f>
        <v>Ferramenta Inválida</v>
      </c>
      <c r="C209" s="4" t="str">
        <f>RTD("rtdtrading.rtdserver",, "BOOK0", "OVD", 205)</f>
        <v>Ferramenta Inválida</v>
      </c>
      <c r="D209" s="4" t="str">
        <f>RTD("rtdtrading.rtdserver",, "BOOK0", "VOV", 205)</f>
        <v>Ferramenta Inválida</v>
      </c>
      <c r="F209" s="3"/>
      <c r="G209" s="5"/>
      <c r="H209" s="6"/>
      <c r="I209" s="4"/>
      <c r="K209" s="5"/>
      <c r="L209" s="6"/>
      <c r="N209" s="3"/>
      <c r="O209" s="3"/>
      <c r="P209" s="4"/>
      <c r="Q209" s="4"/>
      <c r="S209" s="3"/>
      <c r="T209" s="3"/>
      <c r="U209" s="4"/>
      <c r="V209" s="4"/>
    </row>
    <row r="210" spans="1:22" x14ac:dyDescent="0.25">
      <c r="A210" s="3" t="str">
        <f>RTD("rtdtrading.rtdserver",, "BOOK0", "VOC", 206)</f>
        <v>Ferramenta Inválida</v>
      </c>
      <c r="B210" s="3" t="str">
        <f>RTD("rtdtrading.rtdserver",, "BOOK0", "OCP", 206)</f>
        <v>Ferramenta Inválida</v>
      </c>
      <c r="C210" s="4" t="str">
        <f>RTD("rtdtrading.rtdserver",, "BOOK0", "OVD", 206)</f>
        <v>Ferramenta Inválida</v>
      </c>
      <c r="D210" s="4" t="str">
        <f>RTD("rtdtrading.rtdserver",, "BOOK0", "VOV", 206)</f>
        <v>Ferramenta Inválida</v>
      </c>
      <c r="F210" s="3"/>
      <c r="G210" s="5"/>
      <c r="H210" s="6"/>
      <c r="I210" s="4"/>
      <c r="K210" s="5"/>
      <c r="L210" s="6"/>
      <c r="N210" s="3"/>
      <c r="O210" s="3"/>
      <c r="P210" s="4"/>
      <c r="Q210" s="4"/>
      <c r="S210" s="3"/>
      <c r="T210" s="3"/>
      <c r="U210" s="4"/>
      <c r="V210" s="4"/>
    </row>
    <row r="211" spans="1:22" x14ac:dyDescent="0.25">
      <c r="A211" s="3" t="str">
        <f>RTD("rtdtrading.rtdserver",, "BOOK0", "VOC", 207)</f>
        <v>Ferramenta Inválida</v>
      </c>
      <c r="B211" s="3" t="str">
        <f>RTD("rtdtrading.rtdserver",, "BOOK0", "OCP", 207)</f>
        <v>Ferramenta Inválida</v>
      </c>
      <c r="C211" s="4" t="str">
        <f>RTD("rtdtrading.rtdserver",, "BOOK0", "OVD", 207)</f>
        <v>Ferramenta Inválida</v>
      </c>
      <c r="D211" s="4" t="str">
        <f>RTD("rtdtrading.rtdserver",, "BOOK0", "VOV", 207)</f>
        <v>Ferramenta Inválida</v>
      </c>
      <c r="F211" s="3"/>
      <c r="G211" s="5"/>
      <c r="H211" s="6"/>
      <c r="I211" s="4"/>
      <c r="K211" s="5"/>
      <c r="L211" s="6"/>
      <c r="N211" s="3"/>
      <c r="O211" s="3"/>
      <c r="P211" s="4"/>
      <c r="Q211" s="4"/>
      <c r="S211" s="3"/>
      <c r="T211" s="3"/>
      <c r="U211" s="4"/>
      <c r="V211" s="4"/>
    </row>
    <row r="212" spans="1:22" x14ac:dyDescent="0.25">
      <c r="A212" s="3" t="str">
        <f>RTD("rtdtrading.rtdserver",, "BOOK0", "VOC", 208)</f>
        <v>Ferramenta Inválida</v>
      </c>
      <c r="B212" s="3" t="str">
        <f>RTD("rtdtrading.rtdserver",, "BOOK0", "OCP", 208)</f>
        <v>Ferramenta Inválida</v>
      </c>
      <c r="C212" s="4" t="str">
        <f>RTD("rtdtrading.rtdserver",, "BOOK0", "OVD", 208)</f>
        <v>Ferramenta Inválida</v>
      </c>
      <c r="D212" s="4" t="str">
        <f>RTD("rtdtrading.rtdserver",, "BOOK0", "VOV", 208)</f>
        <v>Ferramenta Inválida</v>
      </c>
      <c r="F212" s="3"/>
      <c r="G212" s="5"/>
      <c r="H212" s="6"/>
      <c r="I212" s="4"/>
      <c r="K212" s="5"/>
      <c r="L212" s="6"/>
      <c r="N212" s="3"/>
      <c r="O212" s="3"/>
      <c r="P212" s="4"/>
      <c r="Q212" s="4"/>
      <c r="S212" s="3"/>
      <c r="T212" s="3"/>
      <c r="U212" s="4"/>
      <c r="V212" s="4"/>
    </row>
    <row r="213" spans="1:22" x14ac:dyDescent="0.25">
      <c r="A213" s="3" t="str">
        <f>RTD("rtdtrading.rtdserver",, "BOOK0", "VOC", 209)</f>
        <v>Ferramenta Inválida</v>
      </c>
      <c r="B213" s="3" t="str">
        <f>RTD("rtdtrading.rtdserver",, "BOOK0", "OCP", 209)</f>
        <v>Ferramenta Inválida</v>
      </c>
      <c r="C213" s="4" t="str">
        <f>RTD("rtdtrading.rtdserver",, "BOOK0", "OVD", 209)</f>
        <v>Ferramenta Inválida</v>
      </c>
      <c r="D213" s="4" t="str">
        <f>RTD("rtdtrading.rtdserver",, "BOOK0", "VOV", 209)</f>
        <v>Ferramenta Inválida</v>
      </c>
      <c r="F213" s="3"/>
      <c r="G213" s="5"/>
      <c r="H213" s="6"/>
      <c r="I213" s="4"/>
      <c r="K213" s="5"/>
      <c r="L213" s="6"/>
      <c r="N213" s="3"/>
      <c r="O213" s="3"/>
      <c r="P213" s="4"/>
      <c r="Q213" s="4"/>
      <c r="S213" s="3"/>
      <c r="T213" s="3"/>
      <c r="U213" s="4"/>
      <c r="V213" s="4"/>
    </row>
    <row r="214" spans="1:22" x14ac:dyDescent="0.25">
      <c r="A214" s="3" t="str">
        <f>RTD("rtdtrading.rtdserver",, "BOOK0", "VOC", 210)</f>
        <v>Ferramenta Inválida</v>
      </c>
      <c r="B214" s="3" t="str">
        <f>RTD("rtdtrading.rtdserver",, "BOOK0", "OCP", 210)</f>
        <v>Ferramenta Inválida</v>
      </c>
      <c r="C214" s="4" t="str">
        <f>RTD("rtdtrading.rtdserver",, "BOOK0", "OVD", 210)</f>
        <v>Ferramenta Inválida</v>
      </c>
      <c r="D214" s="4" t="str">
        <f>RTD("rtdtrading.rtdserver",, "BOOK0", "VOV", 210)</f>
        <v>Ferramenta Inválida</v>
      </c>
      <c r="F214" s="3"/>
      <c r="G214" s="5"/>
      <c r="H214" s="6"/>
      <c r="I214" s="4"/>
      <c r="K214" s="5"/>
      <c r="L214" s="6"/>
      <c r="N214" s="3"/>
      <c r="O214" s="3"/>
      <c r="P214" s="4"/>
      <c r="Q214" s="4"/>
      <c r="S214" s="3"/>
      <c r="T214" s="3"/>
      <c r="U214" s="4"/>
      <c r="V214" s="4"/>
    </row>
    <row r="215" spans="1:22" x14ac:dyDescent="0.25">
      <c r="A215" s="3" t="str">
        <f>RTD("rtdtrading.rtdserver",, "BOOK0", "VOC", 211)</f>
        <v>Ferramenta Inválida</v>
      </c>
      <c r="B215" s="3" t="str">
        <f>RTD("rtdtrading.rtdserver",, "BOOK0", "OCP", 211)</f>
        <v>Ferramenta Inválida</v>
      </c>
      <c r="C215" s="4" t="str">
        <f>RTD("rtdtrading.rtdserver",, "BOOK0", "OVD", 211)</f>
        <v>Ferramenta Inválida</v>
      </c>
      <c r="D215" s="4" t="str">
        <f>RTD("rtdtrading.rtdserver",, "BOOK0", "VOV", 211)</f>
        <v>Ferramenta Inválida</v>
      </c>
      <c r="F215" s="3"/>
      <c r="G215" s="5"/>
      <c r="H215" s="6"/>
      <c r="I215" s="4"/>
      <c r="K215" s="5"/>
      <c r="L215" s="6"/>
      <c r="N215" s="3"/>
      <c r="O215" s="3"/>
      <c r="P215" s="4"/>
      <c r="Q215" s="4"/>
      <c r="S215" s="3"/>
      <c r="T215" s="3"/>
      <c r="U215" s="4"/>
      <c r="V215" s="4"/>
    </row>
    <row r="216" spans="1:22" x14ac:dyDescent="0.25">
      <c r="A216" s="3" t="str">
        <f>RTD("rtdtrading.rtdserver",, "BOOK0", "VOC", 212)</f>
        <v>Ferramenta Inválida</v>
      </c>
      <c r="B216" s="3" t="str">
        <f>RTD("rtdtrading.rtdserver",, "BOOK0", "OCP", 212)</f>
        <v>Ferramenta Inválida</v>
      </c>
      <c r="C216" s="4" t="str">
        <f>RTD("rtdtrading.rtdserver",, "BOOK0", "OVD", 212)</f>
        <v>Ferramenta Inválida</v>
      </c>
      <c r="D216" s="4" t="str">
        <f>RTD("rtdtrading.rtdserver",, "BOOK0", "VOV", 212)</f>
        <v>Ferramenta Inválida</v>
      </c>
      <c r="F216" s="3"/>
      <c r="G216" s="5"/>
      <c r="H216" s="6"/>
      <c r="I216" s="4"/>
      <c r="K216" s="5"/>
      <c r="L216" s="6"/>
      <c r="N216" s="3"/>
      <c r="O216" s="3"/>
      <c r="P216" s="4"/>
      <c r="Q216" s="4"/>
      <c r="S216" s="3"/>
      <c r="T216" s="3"/>
      <c r="U216" s="4"/>
      <c r="V216" s="4"/>
    </row>
    <row r="217" spans="1:22" x14ac:dyDescent="0.25">
      <c r="A217" s="3" t="str">
        <f>RTD("rtdtrading.rtdserver",, "BOOK0", "VOC", 213)</f>
        <v>Ferramenta Inválida</v>
      </c>
      <c r="B217" s="3" t="str">
        <f>RTD("rtdtrading.rtdserver",, "BOOK0", "OCP", 213)</f>
        <v>Ferramenta Inválida</v>
      </c>
      <c r="C217" s="4" t="str">
        <f>RTD("rtdtrading.rtdserver",, "BOOK0", "OVD", 213)</f>
        <v>Ferramenta Inválida</v>
      </c>
      <c r="D217" s="4" t="str">
        <f>RTD("rtdtrading.rtdserver",, "BOOK0", "VOV", 213)</f>
        <v>Ferramenta Inválida</v>
      </c>
      <c r="F217" s="3"/>
      <c r="G217" s="5"/>
      <c r="H217" s="6"/>
      <c r="I217" s="4"/>
      <c r="K217" s="5"/>
      <c r="L217" s="6"/>
      <c r="N217" s="3"/>
      <c r="O217" s="3"/>
      <c r="P217" s="4"/>
      <c r="Q217" s="4"/>
      <c r="S217" s="3"/>
      <c r="T217" s="3"/>
      <c r="U217" s="4"/>
      <c r="V217" s="4"/>
    </row>
    <row r="218" spans="1:22" x14ac:dyDescent="0.25">
      <c r="A218" s="3" t="str">
        <f>RTD("rtdtrading.rtdserver",, "BOOK0", "VOC", 214)</f>
        <v>Ferramenta Inválida</v>
      </c>
      <c r="B218" s="3" t="str">
        <f>RTD("rtdtrading.rtdserver",, "BOOK0", "OCP", 214)</f>
        <v>Ferramenta Inválida</v>
      </c>
      <c r="C218" s="4" t="str">
        <f>RTD("rtdtrading.rtdserver",, "BOOK0", "OVD", 214)</f>
        <v>Ferramenta Inválida</v>
      </c>
      <c r="D218" s="4" t="str">
        <f>RTD("rtdtrading.rtdserver",, "BOOK0", "VOV", 214)</f>
        <v>Ferramenta Inválida</v>
      </c>
      <c r="F218" s="3"/>
      <c r="G218" s="5"/>
      <c r="H218" s="6"/>
      <c r="I218" s="4"/>
      <c r="K218" s="5"/>
      <c r="L218" s="6"/>
      <c r="N218" s="3"/>
      <c r="O218" s="3"/>
      <c r="P218" s="4"/>
      <c r="Q218" s="4"/>
      <c r="S218" s="3"/>
      <c r="T218" s="3"/>
      <c r="U218" s="4"/>
      <c r="V218" s="4"/>
    </row>
    <row r="219" spans="1:22" x14ac:dyDescent="0.25">
      <c r="A219" s="3" t="str">
        <f>RTD("rtdtrading.rtdserver",, "BOOK0", "VOC", 215)</f>
        <v>Ferramenta Inválida</v>
      </c>
      <c r="B219" s="3" t="str">
        <f>RTD("rtdtrading.rtdserver",, "BOOK0", "OCP", 215)</f>
        <v>Ferramenta Inválida</v>
      </c>
      <c r="C219" s="4" t="str">
        <f>RTD("rtdtrading.rtdserver",, "BOOK0", "OVD", 215)</f>
        <v>Ferramenta Inválida</v>
      </c>
      <c r="D219" s="4" t="str">
        <f>RTD("rtdtrading.rtdserver",, "BOOK0", "VOV", 215)</f>
        <v>Ferramenta Inválida</v>
      </c>
      <c r="F219" s="3"/>
      <c r="G219" s="5"/>
      <c r="H219" s="6"/>
      <c r="I219" s="4"/>
      <c r="K219" s="5"/>
      <c r="L219" s="6"/>
      <c r="N219" s="3"/>
      <c r="O219" s="3"/>
      <c r="P219" s="4"/>
      <c r="Q219" s="4"/>
      <c r="S219" s="3"/>
      <c r="T219" s="3"/>
      <c r="U219" s="4"/>
      <c r="V219" s="4"/>
    </row>
    <row r="220" spans="1:22" x14ac:dyDescent="0.25">
      <c r="A220" s="3" t="str">
        <f>RTD("rtdtrading.rtdserver",, "BOOK0", "VOC", 216)</f>
        <v>Ferramenta Inválida</v>
      </c>
      <c r="B220" s="3" t="str">
        <f>RTD("rtdtrading.rtdserver",, "BOOK0", "OCP", 216)</f>
        <v>Ferramenta Inválida</v>
      </c>
      <c r="C220" s="4" t="str">
        <f>RTD("rtdtrading.rtdserver",, "BOOK0", "OVD", 216)</f>
        <v>Ferramenta Inválida</v>
      </c>
      <c r="D220" s="4" t="str">
        <f>RTD("rtdtrading.rtdserver",, "BOOK0", "VOV", 216)</f>
        <v>Ferramenta Inválida</v>
      </c>
      <c r="F220" s="3"/>
      <c r="G220" s="5"/>
      <c r="H220" s="6"/>
      <c r="I220" s="4"/>
      <c r="K220" s="5"/>
      <c r="L220" s="6"/>
      <c r="N220" s="3"/>
      <c r="O220" s="3"/>
      <c r="P220" s="4"/>
      <c r="Q220" s="4"/>
      <c r="S220" s="3"/>
      <c r="T220" s="3"/>
      <c r="U220" s="4"/>
      <c r="V220" s="4"/>
    </row>
    <row r="221" spans="1:22" x14ac:dyDescent="0.25">
      <c r="A221" s="3" t="str">
        <f>RTD("rtdtrading.rtdserver",, "BOOK0", "VOC", 217)</f>
        <v>Ferramenta Inválida</v>
      </c>
      <c r="B221" s="3" t="str">
        <f>RTD("rtdtrading.rtdserver",, "BOOK0", "OCP", 217)</f>
        <v>Ferramenta Inválida</v>
      </c>
      <c r="C221" s="4" t="str">
        <f>RTD("rtdtrading.rtdserver",, "BOOK0", "OVD", 217)</f>
        <v>Ferramenta Inválida</v>
      </c>
      <c r="D221" s="4" t="str">
        <f>RTD("rtdtrading.rtdserver",, "BOOK0", "VOV", 217)</f>
        <v>Ferramenta Inválida</v>
      </c>
      <c r="F221" s="3"/>
      <c r="G221" s="5"/>
      <c r="H221" s="6"/>
      <c r="I221" s="4"/>
      <c r="K221" s="5"/>
      <c r="L221" s="6"/>
      <c r="N221" s="3"/>
      <c r="O221" s="3"/>
      <c r="P221" s="4"/>
      <c r="Q221" s="4"/>
      <c r="S221" s="3"/>
      <c r="T221" s="3"/>
      <c r="U221" s="4"/>
      <c r="V221" s="4"/>
    </row>
    <row r="222" spans="1:22" x14ac:dyDescent="0.25">
      <c r="A222" s="3" t="str">
        <f>RTD("rtdtrading.rtdserver",, "BOOK0", "VOC", 218)</f>
        <v>Ferramenta Inválida</v>
      </c>
      <c r="B222" s="3" t="str">
        <f>RTD("rtdtrading.rtdserver",, "BOOK0", "OCP", 218)</f>
        <v>Ferramenta Inválida</v>
      </c>
      <c r="C222" s="4" t="str">
        <f>RTD("rtdtrading.rtdserver",, "BOOK0", "OVD", 218)</f>
        <v>Ferramenta Inválida</v>
      </c>
      <c r="D222" s="4" t="str">
        <f>RTD("rtdtrading.rtdserver",, "BOOK0", "VOV", 218)</f>
        <v>Ferramenta Inválida</v>
      </c>
      <c r="F222" s="3"/>
      <c r="G222" s="5"/>
      <c r="H222" s="6"/>
      <c r="I222" s="4"/>
      <c r="K222" s="5"/>
      <c r="L222" s="6"/>
      <c r="N222" s="3"/>
      <c r="O222" s="3"/>
      <c r="P222" s="4"/>
      <c r="Q222" s="4"/>
      <c r="S222" s="3"/>
      <c r="T222" s="3"/>
      <c r="U222" s="4"/>
      <c r="V222" s="4"/>
    </row>
    <row r="223" spans="1:22" x14ac:dyDescent="0.25">
      <c r="A223" s="3" t="str">
        <f>RTD("rtdtrading.rtdserver",, "BOOK0", "VOC", 219)</f>
        <v>Ferramenta Inválida</v>
      </c>
      <c r="B223" s="3" t="str">
        <f>RTD("rtdtrading.rtdserver",, "BOOK0", "OCP", 219)</f>
        <v>Ferramenta Inválida</v>
      </c>
      <c r="C223" s="4" t="str">
        <f>RTD("rtdtrading.rtdserver",, "BOOK0", "OVD", 219)</f>
        <v>Ferramenta Inválida</v>
      </c>
      <c r="D223" s="4" t="str">
        <f>RTD("rtdtrading.rtdserver",, "BOOK0", "VOV", 219)</f>
        <v>Ferramenta Inválida</v>
      </c>
      <c r="F223" s="3"/>
      <c r="G223" s="5"/>
      <c r="H223" s="6"/>
      <c r="I223" s="4"/>
      <c r="K223" s="5"/>
      <c r="L223" s="6"/>
      <c r="N223" s="3"/>
      <c r="O223" s="3"/>
      <c r="P223" s="4"/>
      <c r="Q223" s="4"/>
      <c r="S223" s="3"/>
      <c r="T223" s="3"/>
      <c r="U223" s="4"/>
      <c r="V223" s="4"/>
    </row>
    <row r="224" spans="1:22" x14ac:dyDescent="0.25">
      <c r="A224" s="3" t="str">
        <f>RTD("rtdtrading.rtdserver",, "BOOK0", "VOC", 220)</f>
        <v>Ferramenta Inválida</v>
      </c>
      <c r="B224" s="3" t="str">
        <f>RTD("rtdtrading.rtdserver",, "BOOK0", "OCP", 220)</f>
        <v>Ferramenta Inválida</v>
      </c>
      <c r="C224" s="4" t="str">
        <f>RTD("rtdtrading.rtdserver",, "BOOK0", "OVD", 220)</f>
        <v>Ferramenta Inválida</v>
      </c>
      <c r="D224" s="4" t="str">
        <f>RTD("rtdtrading.rtdserver",, "BOOK0", "VOV", 220)</f>
        <v>Ferramenta Inválida</v>
      </c>
      <c r="F224" s="3"/>
      <c r="G224" s="5"/>
      <c r="H224" s="6"/>
      <c r="I224" s="4"/>
      <c r="K224" s="5"/>
      <c r="L224" s="6"/>
      <c r="N224" s="3"/>
      <c r="O224" s="3"/>
      <c r="P224" s="4"/>
      <c r="Q224" s="4"/>
      <c r="S224" s="3"/>
      <c r="T224" s="3"/>
      <c r="U224" s="4"/>
      <c r="V224" s="4"/>
    </row>
    <row r="225" spans="1:22" x14ac:dyDescent="0.25">
      <c r="A225" s="3" t="str">
        <f>RTD("rtdtrading.rtdserver",, "BOOK0", "VOC", 221)</f>
        <v>Ferramenta Inválida</v>
      </c>
      <c r="B225" s="3" t="str">
        <f>RTD("rtdtrading.rtdserver",, "BOOK0", "OCP", 221)</f>
        <v>Ferramenta Inválida</v>
      </c>
      <c r="C225" s="4" t="str">
        <f>RTD("rtdtrading.rtdserver",, "BOOK0", "OVD", 221)</f>
        <v>Ferramenta Inválida</v>
      </c>
      <c r="D225" s="4" t="str">
        <f>RTD("rtdtrading.rtdserver",, "BOOK0", "VOV", 221)</f>
        <v>Ferramenta Inválida</v>
      </c>
      <c r="F225" s="3"/>
      <c r="G225" s="5"/>
      <c r="H225" s="6"/>
      <c r="I225" s="4"/>
      <c r="K225" s="5"/>
      <c r="L225" s="6"/>
      <c r="N225" s="3"/>
      <c r="O225" s="3"/>
      <c r="P225" s="4"/>
      <c r="Q225" s="4"/>
      <c r="S225" s="3"/>
      <c r="T225" s="3"/>
      <c r="U225" s="4"/>
      <c r="V225" s="4"/>
    </row>
    <row r="226" spans="1:22" x14ac:dyDescent="0.25">
      <c r="A226" s="3" t="str">
        <f>RTD("rtdtrading.rtdserver",, "BOOK0", "VOC", 222)</f>
        <v>Ferramenta Inválida</v>
      </c>
      <c r="B226" s="3" t="str">
        <f>RTD("rtdtrading.rtdserver",, "BOOK0", "OCP", 222)</f>
        <v>Ferramenta Inválida</v>
      </c>
      <c r="C226" s="4" t="str">
        <f>RTD("rtdtrading.rtdserver",, "BOOK0", "OVD", 222)</f>
        <v>Ferramenta Inválida</v>
      </c>
      <c r="D226" s="4" t="str">
        <f>RTD("rtdtrading.rtdserver",, "BOOK0", "VOV", 222)</f>
        <v>Ferramenta Inválida</v>
      </c>
      <c r="F226" s="3"/>
      <c r="G226" s="5"/>
      <c r="H226" s="6"/>
      <c r="I226" s="4"/>
      <c r="K226" s="5"/>
      <c r="L226" s="6"/>
      <c r="N226" s="3"/>
      <c r="O226" s="3"/>
      <c r="P226" s="4"/>
      <c r="Q226" s="4"/>
      <c r="S226" s="3"/>
      <c r="T226" s="3"/>
      <c r="U226" s="4"/>
      <c r="V226" s="4"/>
    </row>
    <row r="227" spans="1:22" x14ac:dyDescent="0.25">
      <c r="A227" s="3" t="str">
        <f>RTD("rtdtrading.rtdserver",, "BOOK0", "VOC", 223)</f>
        <v>Ferramenta Inválida</v>
      </c>
      <c r="B227" s="3" t="str">
        <f>RTD("rtdtrading.rtdserver",, "BOOK0", "OCP", 223)</f>
        <v>Ferramenta Inválida</v>
      </c>
      <c r="C227" s="4" t="str">
        <f>RTD("rtdtrading.rtdserver",, "BOOK0", "OVD", 223)</f>
        <v>Ferramenta Inválida</v>
      </c>
      <c r="D227" s="4" t="str">
        <f>RTD("rtdtrading.rtdserver",, "BOOK0", "VOV", 223)</f>
        <v>Ferramenta Inválida</v>
      </c>
      <c r="F227" s="3"/>
      <c r="G227" s="5"/>
      <c r="H227" s="6"/>
      <c r="I227" s="4"/>
      <c r="K227" s="5"/>
      <c r="L227" s="6"/>
      <c r="N227" s="3"/>
      <c r="O227" s="3"/>
      <c r="P227" s="4"/>
      <c r="Q227" s="4"/>
      <c r="S227" s="3"/>
      <c r="T227" s="3"/>
      <c r="U227" s="4"/>
      <c r="V227" s="4"/>
    </row>
    <row r="228" spans="1:22" x14ac:dyDescent="0.25">
      <c r="A228" s="3" t="str">
        <f>RTD("rtdtrading.rtdserver",, "BOOK0", "VOC", 224)</f>
        <v>Ferramenta Inválida</v>
      </c>
      <c r="B228" s="3" t="str">
        <f>RTD("rtdtrading.rtdserver",, "BOOK0", "OCP", 224)</f>
        <v>Ferramenta Inválida</v>
      </c>
      <c r="C228" s="4" t="str">
        <f>RTD("rtdtrading.rtdserver",, "BOOK0", "OVD", 224)</f>
        <v>Ferramenta Inválida</v>
      </c>
      <c r="D228" s="4" t="str">
        <f>RTD("rtdtrading.rtdserver",, "BOOK0", "VOV", 224)</f>
        <v>Ferramenta Inválida</v>
      </c>
      <c r="F228" s="3"/>
      <c r="G228" s="5"/>
      <c r="H228" s="6"/>
      <c r="I228" s="4"/>
      <c r="K228" s="5"/>
      <c r="L228" s="6"/>
      <c r="N228" s="3"/>
      <c r="O228" s="3"/>
      <c r="P228" s="4"/>
      <c r="Q228" s="4"/>
      <c r="S228" s="3"/>
      <c r="T228" s="3"/>
      <c r="U228" s="4"/>
      <c r="V228" s="4"/>
    </row>
    <row r="229" spans="1:22" x14ac:dyDescent="0.25">
      <c r="A229" s="3" t="str">
        <f>RTD("rtdtrading.rtdserver",, "BOOK0", "VOC", 225)</f>
        <v>Ferramenta Inválida</v>
      </c>
      <c r="B229" s="3" t="str">
        <f>RTD("rtdtrading.rtdserver",, "BOOK0", "OCP", 225)</f>
        <v>Ferramenta Inválida</v>
      </c>
      <c r="C229" s="4" t="str">
        <f>RTD("rtdtrading.rtdserver",, "BOOK0", "OVD", 225)</f>
        <v>Ferramenta Inválida</v>
      </c>
      <c r="D229" s="4" t="str">
        <f>RTD("rtdtrading.rtdserver",, "BOOK0", "VOV", 225)</f>
        <v>Ferramenta Inválida</v>
      </c>
      <c r="F229" s="3"/>
      <c r="G229" s="5"/>
      <c r="H229" s="6"/>
      <c r="I229" s="4"/>
      <c r="K229" s="5"/>
      <c r="L229" s="6"/>
      <c r="N229" s="3"/>
      <c r="O229" s="3"/>
      <c r="P229" s="4"/>
      <c r="Q229" s="4"/>
      <c r="S229" s="3"/>
      <c r="T229" s="3"/>
      <c r="U229" s="4"/>
      <c r="V229" s="4"/>
    </row>
    <row r="230" spans="1:22" x14ac:dyDescent="0.25">
      <c r="A230" s="3" t="str">
        <f>RTD("rtdtrading.rtdserver",, "BOOK0", "VOC", 226)</f>
        <v>Ferramenta Inválida</v>
      </c>
      <c r="B230" s="3" t="str">
        <f>RTD("rtdtrading.rtdserver",, "BOOK0", "OCP", 226)</f>
        <v>Ferramenta Inválida</v>
      </c>
      <c r="C230" s="4" t="str">
        <f>RTD("rtdtrading.rtdserver",, "BOOK0", "OVD", 226)</f>
        <v>Ferramenta Inválida</v>
      </c>
      <c r="D230" s="4" t="str">
        <f>RTD("rtdtrading.rtdserver",, "BOOK0", "VOV", 226)</f>
        <v>Ferramenta Inválida</v>
      </c>
      <c r="F230" s="3"/>
      <c r="G230" s="5"/>
      <c r="H230" s="6"/>
      <c r="I230" s="4"/>
      <c r="K230" s="5"/>
      <c r="L230" s="6"/>
      <c r="N230" s="3"/>
      <c r="O230" s="3"/>
      <c r="P230" s="4"/>
      <c r="Q230" s="4"/>
      <c r="S230" s="3"/>
      <c r="T230" s="3"/>
      <c r="U230" s="4"/>
      <c r="V230" s="4"/>
    </row>
    <row r="231" spans="1:22" x14ac:dyDescent="0.25">
      <c r="A231" s="3" t="str">
        <f>RTD("rtdtrading.rtdserver",, "BOOK0", "VOC", 227)</f>
        <v>Ferramenta Inválida</v>
      </c>
      <c r="B231" s="3" t="str">
        <f>RTD("rtdtrading.rtdserver",, "BOOK0", "OCP", 227)</f>
        <v>Ferramenta Inválida</v>
      </c>
      <c r="C231" s="4" t="str">
        <f>RTD("rtdtrading.rtdserver",, "BOOK0", "OVD", 227)</f>
        <v>Ferramenta Inválida</v>
      </c>
      <c r="D231" s="4" t="str">
        <f>RTD("rtdtrading.rtdserver",, "BOOK0", "VOV", 227)</f>
        <v>Ferramenta Inválida</v>
      </c>
      <c r="F231" s="3"/>
      <c r="G231" s="5"/>
      <c r="H231" s="6"/>
      <c r="I231" s="4"/>
      <c r="K231" s="5"/>
      <c r="L231" s="6"/>
      <c r="N231" s="3"/>
      <c r="O231" s="3"/>
      <c r="P231" s="4"/>
      <c r="Q231" s="4"/>
      <c r="S231" s="3"/>
      <c r="T231" s="3"/>
      <c r="U231" s="4"/>
      <c r="V231" s="4"/>
    </row>
    <row r="232" spans="1:22" x14ac:dyDescent="0.25">
      <c r="A232" s="3" t="str">
        <f>RTD("rtdtrading.rtdserver",, "BOOK0", "VOC", 228)</f>
        <v>Ferramenta Inválida</v>
      </c>
      <c r="B232" s="3" t="str">
        <f>RTD("rtdtrading.rtdserver",, "BOOK0", "OCP", 228)</f>
        <v>Ferramenta Inválida</v>
      </c>
      <c r="C232" s="4" t="str">
        <f>RTD("rtdtrading.rtdserver",, "BOOK0", "OVD", 228)</f>
        <v>Ferramenta Inválida</v>
      </c>
      <c r="D232" s="4" t="str">
        <f>RTD("rtdtrading.rtdserver",, "BOOK0", "VOV", 228)</f>
        <v>Ferramenta Inválida</v>
      </c>
      <c r="F232" s="3"/>
      <c r="G232" s="5"/>
      <c r="H232" s="6"/>
      <c r="I232" s="4"/>
      <c r="K232" s="5"/>
      <c r="L232" s="6"/>
      <c r="N232" s="3"/>
      <c r="O232" s="3"/>
      <c r="P232" s="4"/>
      <c r="Q232" s="4"/>
      <c r="S232" s="3"/>
      <c r="T232" s="3"/>
      <c r="U232" s="4"/>
      <c r="V232" s="4"/>
    </row>
    <row r="233" spans="1:22" x14ac:dyDescent="0.25">
      <c r="A233" s="3" t="str">
        <f>RTD("rtdtrading.rtdserver",, "BOOK0", "VOC", 229)</f>
        <v>Ferramenta Inválida</v>
      </c>
      <c r="B233" s="3" t="str">
        <f>RTD("rtdtrading.rtdserver",, "BOOK0", "OCP", 229)</f>
        <v>Ferramenta Inválida</v>
      </c>
      <c r="C233" s="4" t="str">
        <f>RTD("rtdtrading.rtdserver",, "BOOK0", "OVD", 229)</f>
        <v>Ferramenta Inválida</v>
      </c>
      <c r="D233" s="4" t="str">
        <f>RTD("rtdtrading.rtdserver",, "BOOK0", "VOV", 229)</f>
        <v>Ferramenta Inválida</v>
      </c>
      <c r="F233" s="3"/>
      <c r="G233" s="5"/>
      <c r="H233" s="6"/>
      <c r="I233" s="4"/>
      <c r="K233" s="5"/>
      <c r="L233" s="6"/>
      <c r="N233" s="3"/>
      <c r="O233" s="3"/>
      <c r="P233" s="4"/>
      <c r="Q233" s="4"/>
      <c r="S233" s="3"/>
      <c r="T233" s="3"/>
      <c r="U233" s="4"/>
      <c r="V233" s="4"/>
    </row>
    <row r="234" spans="1:22" x14ac:dyDescent="0.25">
      <c r="A234" s="3" t="str">
        <f>RTD("rtdtrading.rtdserver",, "BOOK0", "VOC", 230)</f>
        <v>Ferramenta Inválida</v>
      </c>
      <c r="B234" s="3" t="str">
        <f>RTD("rtdtrading.rtdserver",, "BOOK0", "OCP", 230)</f>
        <v>Ferramenta Inválida</v>
      </c>
      <c r="C234" s="4" t="str">
        <f>RTD("rtdtrading.rtdserver",, "BOOK0", "OVD", 230)</f>
        <v>Ferramenta Inválida</v>
      </c>
      <c r="D234" s="4" t="str">
        <f>RTD("rtdtrading.rtdserver",, "BOOK0", "VOV", 230)</f>
        <v>Ferramenta Inválida</v>
      </c>
      <c r="F234" s="3"/>
      <c r="G234" s="5"/>
      <c r="H234" s="6"/>
      <c r="I234" s="4"/>
      <c r="K234" s="5"/>
      <c r="L234" s="6"/>
      <c r="N234" s="3"/>
      <c r="O234" s="3"/>
      <c r="P234" s="4"/>
      <c r="Q234" s="4"/>
      <c r="S234" s="3"/>
      <c r="T234" s="3"/>
      <c r="U234" s="4"/>
      <c r="V234" s="4"/>
    </row>
    <row r="235" spans="1:22" x14ac:dyDescent="0.25">
      <c r="A235" s="3" t="str">
        <f>RTD("rtdtrading.rtdserver",, "BOOK0", "VOC", 231)</f>
        <v>Ferramenta Inválida</v>
      </c>
      <c r="B235" s="3" t="str">
        <f>RTD("rtdtrading.rtdserver",, "BOOK0", "OCP", 231)</f>
        <v>Ferramenta Inválida</v>
      </c>
      <c r="C235" s="4" t="str">
        <f>RTD("rtdtrading.rtdserver",, "BOOK0", "OVD", 231)</f>
        <v>Ferramenta Inválida</v>
      </c>
      <c r="D235" s="4" t="str">
        <f>RTD("rtdtrading.rtdserver",, "BOOK0", "VOV", 231)</f>
        <v>Ferramenta Inválida</v>
      </c>
      <c r="F235" s="3"/>
      <c r="G235" s="5"/>
      <c r="H235" s="6"/>
      <c r="I235" s="4"/>
      <c r="K235" s="5"/>
      <c r="L235" s="6"/>
      <c r="N235" s="3"/>
      <c r="O235" s="3"/>
      <c r="P235" s="4"/>
      <c r="Q235" s="4"/>
      <c r="S235" s="3"/>
      <c r="T235" s="3"/>
      <c r="U235" s="4"/>
      <c r="V235" s="4"/>
    </row>
    <row r="236" spans="1:22" x14ac:dyDescent="0.25">
      <c r="A236" s="3" t="str">
        <f>RTD("rtdtrading.rtdserver",, "BOOK0", "VOC", 232)</f>
        <v>Ferramenta Inválida</v>
      </c>
      <c r="B236" s="3" t="str">
        <f>RTD("rtdtrading.rtdserver",, "BOOK0", "OCP", 232)</f>
        <v>Ferramenta Inválida</v>
      </c>
      <c r="C236" s="4" t="str">
        <f>RTD("rtdtrading.rtdserver",, "BOOK0", "OVD", 232)</f>
        <v>Ferramenta Inválida</v>
      </c>
      <c r="D236" s="4" t="str">
        <f>RTD("rtdtrading.rtdserver",, "BOOK0", "VOV", 232)</f>
        <v>Ferramenta Inválida</v>
      </c>
      <c r="F236" s="3"/>
      <c r="G236" s="5"/>
      <c r="H236" s="6"/>
      <c r="I236" s="4"/>
      <c r="K236" s="5"/>
      <c r="L236" s="6"/>
      <c r="N236" s="3"/>
      <c r="O236" s="3"/>
      <c r="P236" s="4"/>
      <c r="Q236" s="4"/>
      <c r="S236" s="3"/>
      <c r="T236" s="3"/>
      <c r="U236" s="4"/>
      <c r="V236" s="4"/>
    </row>
    <row r="237" spans="1:22" x14ac:dyDescent="0.25">
      <c r="A237" s="3" t="str">
        <f>RTD("rtdtrading.rtdserver",, "BOOK0", "VOC", 233)</f>
        <v>Ferramenta Inválida</v>
      </c>
      <c r="B237" s="3" t="str">
        <f>RTD("rtdtrading.rtdserver",, "BOOK0", "OCP", 233)</f>
        <v>Ferramenta Inválida</v>
      </c>
      <c r="C237" s="4" t="str">
        <f>RTD("rtdtrading.rtdserver",, "BOOK0", "OVD", 233)</f>
        <v>Ferramenta Inválida</v>
      </c>
      <c r="D237" s="4" t="str">
        <f>RTD("rtdtrading.rtdserver",, "BOOK0", "VOV", 233)</f>
        <v>Ferramenta Inválida</v>
      </c>
      <c r="F237" s="3"/>
      <c r="G237" s="5"/>
      <c r="H237" s="6"/>
      <c r="I237" s="4"/>
      <c r="K237" s="5"/>
      <c r="L237" s="6"/>
      <c r="N237" s="3"/>
      <c r="O237" s="3"/>
      <c r="P237" s="4"/>
      <c r="Q237" s="4"/>
      <c r="S237" s="3"/>
      <c r="T237" s="3"/>
      <c r="U237" s="4"/>
      <c r="V237" s="4"/>
    </row>
    <row r="238" spans="1:22" x14ac:dyDescent="0.25">
      <c r="A238" s="3" t="str">
        <f>RTD("rtdtrading.rtdserver",, "BOOK0", "VOC", 234)</f>
        <v>Ferramenta Inválida</v>
      </c>
      <c r="B238" s="3" t="str">
        <f>RTD("rtdtrading.rtdserver",, "BOOK0", "OCP", 234)</f>
        <v>Ferramenta Inválida</v>
      </c>
      <c r="C238" s="4" t="str">
        <f>RTD("rtdtrading.rtdserver",, "BOOK0", "OVD", 234)</f>
        <v>Ferramenta Inválida</v>
      </c>
      <c r="D238" s="4" t="str">
        <f>RTD("rtdtrading.rtdserver",, "BOOK0", "VOV", 234)</f>
        <v>Ferramenta Inválida</v>
      </c>
      <c r="F238" s="3"/>
      <c r="G238" s="5"/>
      <c r="H238" s="6"/>
      <c r="I238" s="4"/>
      <c r="K238" s="5"/>
      <c r="L238" s="6"/>
      <c r="N238" s="3"/>
      <c r="O238" s="3"/>
      <c r="P238" s="4"/>
      <c r="Q238" s="4"/>
      <c r="S238" s="3"/>
      <c r="T238" s="3"/>
      <c r="U238" s="4"/>
      <c r="V238" s="4"/>
    </row>
    <row r="239" spans="1:22" x14ac:dyDescent="0.25">
      <c r="A239" s="3" t="str">
        <f>RTD("rtdtrading.rtdserver",, "BOOK0", "VOC", 235)</f>
        <v>Ferramenta Inválida</v>
      </c>
      <c r="B239" s="3" t="str">
        <f>RTD("rtdtrading.rtdserver",, "BOOK0", "OCP", 235)</f>
        <v>Ferramenta Inválida</v>
      </c>
      <c r="C239" s="4" t="str">
        <f>RTD("rtdtrading.rtdserver",, "BOOK0", "OVD", 235)</f>
        <v>Ferramenta Inválida</v>
      </c>
      <c r="D239" s="4" t="str">
        <f>RTD("rtdtrading.rtdserver",, "BOOK0", "VOV", 235)</f>
        <v>Ferramenta Inválida</v>
      </c>
      <c r="F239" s="3"/>
      <c r="G239" s="5"/>
      <c r="H239" s="6"/>
      <c r="I239" s="4"/>
      <c r="K239" s="5"/>
      <c r="L239" s="6"/>
      <c r="N239" s="3"/>
      <c r="O239" s="3"/>
      <c r="P239" s="4"/>
      <c r="Q239" s="4"/>
      <c r="S239" s="3"/>
      <c r="T239" s="3"/>
      <c r="U239" s="4"/>
      <c r="V239" s="4"/>
    </row>
    <row r="240" spans="1:22" x14ac:dyDescent="0.25">
      <c r="A240" s="3" t="str">
        <f>RTD("rtdtrading.rtdserver",, "BOOK0", "VOC", 236)</f>
        <v>Ferramenta Inválida</v>
      </c>
      <c r="B240" s="3" t="str">
        <f>RTD("rtdtrading.rtdserver",, "BOOK0", "OCP", 236)</f>
        <v>Ferramenta Inválida</v>
      </c>
      <c r="C240" s="4" t="str">
        <f>RTD("rtdtrading.rtdserver",, "BOOK0", "OVD", 236)</f>
        <v>Ferramenta Inválida</v>
      </c>
      <c r="D240" s="4" t="str">
        <f>RTD("rtdtrading.rtdserver",, "BOOK0", "VOV", 236)</f>
        <v>Ferramenta Inválida</v>
      </c>
      <c r="F240" s="3"/>
      <c r="G240" s="5"/>
      <c r="H240" s="6"/>
      <c r="I240" s="4"/>
      <c r="K240" s="5"/>
      <c r="L240" s="6"/>
      <c r="N240" s="3"/>
      <c r="O240" s="3"/>
      <c r="P240" s="4"/>
      <c r="Q240" s="4"/>
      <c r="S240" s="3"/>
      <c r="T240" s="3"/>
      <c r="U240" s="4"/>
      <c r="V240" s="4"/>
    </row>
    <row r="241" spans="1:22" x14ac:dyDescent="0.25">
      <c r="A241" s="3" t="str">
        <f>RTD("rtdtrading.rtdserver",, "BOOK0", "VOC", 237)</f>
        <v>Ferramenta Inválida</v>
      </c>
      <c r="B241" s="3" t="str">
        <f>RTD("rtdtrading.rtdserver",, "BOOK0", "OCP", 237)</f>
        <v>Ferramenta Inválida</v>
      </c>
      <c r="C241" s="4" t="str">
        <f>RTD("rtdtrading.rtdserver",, "BOOK0", "OVD", 237)</f>
        <v>Ferramenta Inválida</v>
      </c>
      <c r="D241" s="4" t="str">
        <f>RTD("rtdtrading.rtdserver",, "BOOK0", "VOV", 237)</f>
        <v>Ferramenta Inválida</v>
      </c>
      <c r="F241" s="3"/>
      <c r="G241" s="5"/>
      <c r="H241" s="6"/>
      <c r="I241" s="4"/>
      <c r="K241" s="5"/>
      <c r="L241" s="6"/>
      <c r="N241" s="3"/>
      <c r="O241" s="3"/>
      <c r="P241" s="4"/>
      <c r="Q241" s="4"/>
      <c r="S241" s="3"/>
      <c r="T241" s="3"/>
      <c r="U241" s="4"/>
      <c r="V241" s="4"/>
    </row>
    <row r="242" spans="1:22" x14ac:dyDescent="0.25">
      <c r="A242" s="3" t="str">
        <f>RTD("rtdtrading.rtdserver",, "BOOK0", "VOC", 238)</f>
        <v>Ferramenta Inválida</v>
      </c>
      <c r="B242" s="3" t="str">
        <f>RTD("rtdtrading.rtdserver",, "BOOK0", "OCP", 238)</f>
        <v>Ferramenta Inválida</v>
      </c>
      <c r="C242" s="4" t="str">
        <f>RTD("rtdtrading.rtdserver",, "BOOK0", "OVD", 238)</f>
        <v>Ferramenta Inválida</v>
      </c>
      <c r="D242" s="4" t="str">
        <f>RTD("rtdtrading.rtdserver",, "BOOK0", "VOV", 238)</f>
        <v>Ferramenta Inválida</v>
      </c>
      <c r="F242" s="3"/>
      <c r="G242" s="5"/>
      <c r="H242" s="6"/>
      <c r="I242" s="4"/>
      <c r="K242" s="5"/>
      <c r="L242" s="6"/>
      <c r="N242" s="3"/>
      <c r="O242" s="3"/>
      <c r="P242" s="4"/>
      <c r="Q242" s="4"/>
      <c r="S242" s="3"/>
      <c r="T242" s="3"/>
      <c r="U242" s="4"/>
      <c r="V242" s="4"/>
    </row>
    <row r="243" spans="1:22" x14ac:dyDescent="0.25">
      <c r="A243" s="3" t="str">
        <f>RTD("rtdtrading.rtdserver",, "BOOK0", "VOC", 239)</f>
        <v>Ferramenta Inválida</v>
      </c>
      <c r="B243" s="3" t="str">
        <f>RTD("rtdtrading.rtdserver",, "BOOK0", "OCP", 239)</f>
        <v>Ferramenta Inválida</v>
      </c>
      <c r="C243" s="4" t="str">
        <f>RTD("rtdtrading.rtdserver",, "BOOK0", "OVD", 239)</f>
        <v>Ferramenta Inválida</v>
      </c>
      <c r="D243" s="4" t="str">
        <f>RTD("rtdtrading.rtdserver",, "BOOK0", "VOV", 239)</f>
        <v>Ferramenta Inválida</v>
      </c>
      <c r="F243" s="3"/>
      <c r="G243" s="5"/>
      <c r="H243" s="6"/>
      <c r="I243" s="4"/>
      <c r="K243" s="5"/>
      <c r="L243" s="6"/>
      <c r="N243" s="3"/>
      <c r="O243" s="3"/>
      <c r="P243" s="4"/>
      <c r="Q243" s="4"/>
      <c r="S243" s="3"/>
      <c r="T243" s="3"/>
      <c r="U243" s="4"/>
      <c r="V243" s="4"/>
    </row>
    <row r="244" spans="1:22" x14ac:dyDescent="0.25">
      <c r="A244" s="3" t="str">
        <f>RTD("rtdtrading.rtdserver",, "BOOK0", "VOC", 240)</f>
        <v>Ferramenta Inválida</v>
      </c>
      <c r="B244" s="3" t="str">
        <f>RTD("rtdtrading.rtdserver",, "BOOK0", "OCP", 240)</f>
        <v>Ferramenta Inválida</v>
      </c>
      <c r="C244" s="4" t="str">
        <f>RTD("rtdtrading.rtdserver",, "BOOK0", "OVD", 240)</f>
        <v>Ferramenta Inválida</v>
      </c>
      <c r="D244" s="4" t="str">
        <f>RTD("rtdtrading.rtdserver",, "BOOK0", "VOV", 240)</f>
        <v>Ferramenta Inválida</v>
      </c>
      <c r="F244" s="3"/>
      <c r="G244" s="5"/>
      <c r="H244" s="6"/>
      <c r="I244" s="4"/>
      <c r="K244" s="5"/>
      <c r="L244" s="6"/>
      <c r="N244" s="3"/>
      <c r="O244" s="3"/>
      <c r="P244" s="4"/>
      <c r="Q244" s="4"/>
      <c r="S244" s="3"/>
      <c r="T244" s="3"/>
      <c r="U244" s="4"/>
      <c r="V244" s="4"/>
    </row>
    <row r="245" spans="1:22" x14ac:dyDescent="0.25">
      <c r="A245" s="3" t="str">
        <f>RTD("rtdtrading.rtdserver",, "BOOK0", "VOC", 241)</f>
        <v>Ferramenta Inválida</v>
      </c>
      <c r="B245" s="3" t="str">
        <f>RTD("rtdtrading.rtdserver",, "BOOK0", "OCP", 241)</f>
        <v>Ferramenta Inválida</v>
      </c>
      <c r="C245" s="4" t="str">
        <f>RTD("rtdtrading.rtdserver",, "BOOK0", "OVD", 241)</f>
        <v>Ferramenta Inválida</v>
      </c>
      <c r="D245" s="4" t="str">
        <f>RTD("rtdtrading.rtdserver",, "BOOK0", "VOV", 241)</f>
        <v>Ferramenta Inválida</v>
      </c>
      <c r="F245" s="3"/>
      <c r="G245" s="5"/>
      <c r="H245" s="6"/>
      <c r="I245" s="4"/>
      <c r="K245" s="5"/>
      <c r="L245" s="6"/>
      <c r="N245" s="3"/>
      <c r="O245" s="3"/>
      <c r="P245" s="4"/>
      <c r="Q245" s="4"/>
      <c r="S245" s="3"/>
      <c r="T245" s="3"/>
      <c r="U245" s="4"/>
      <c r="V245" s="4"/>
    </row>
    <row r="246" spans="1:22" x14ac:dyDescent="0.25">
      <c r="A246" s="3" t="str">
        <f>RTD("rtdtrading.rtdserver",, "BOOK0", "VOC", 242)</f>
        <v>Ferramenta Inválida</v>
      </c>
      <c r="B246" s="3" t="str">
        <f>RTD("rtdtrading.rtdserver",, "BOOK0", "OCP", 242)</f>
        <v>Ferramenta Inválida</v>
      </c>
      <c r="C246" s="4" t="str">
        <f>RTD("rtdtrading.rtdserver",, "BOOK0", "OVD", 242)</f>
        <v>Ferramenta Inválida</v>
      </c>
      <c r="D246" s="4" t="str">
        <f>RTD("rtdtrading.rtdserver",, "BOOK0", "VOV", 242)</f>
        <v>Ferramenta Inválida</v>
      </c>
      <c r="F246" s="3"/>
      <c r="G246" s="5"/>
      <c r="H246" s="6"/>
      <c r="I246" s="4"/>
      <c r="K246" s="5"/>
      <c r="L246" s="6"/>
      <c r="N246" s="3"/>
      <c r="O246" s="3"/>
      <c r="P246" s="4"/>
      <c r="Q246" s="4"/>
      <c r="S246" s="3"/>
      <c r="T246" s="3"/>
      <c r="U246" s="4"/>
      <c r="V246" s="4"/>
    </row>
    <row r="247" spans="1:22" x14ac:dyDescent="0.25">
      <c r="A247" s="3" t="str">
        <f>RTD("rtdtrading.rtdserver",, "BOOK0", "VOC", 243)</f>
        <v>Ferramenta Inválida</v>
      </c>
      <c r="B247" s="3" t="str">
        <f>RTD("rtdtrading.rtdserver",, "BOOK0", "OCP", 243)</f>
        <v>Ferramenta Inválida</v>
      </c>
      <c r="C247" s="4" t="str">
        <f>RTD("rtdtrading.rtdserver",, "BOOK0", "OVD", 243)</f>
        <v>Ferramenta Inválida</v>
      </c>
      <c r="D247" s="4" t="str">
        <f>RTD("rtdtrading.rtdserver",, "BOOK0", "VOV", 243)</f>
        <v>Ferramenta Inválida</v>
      </c>
      <c r="F247" s="3"/>
      <c r="G247" s="5"/>
      <c r="H247" s="6"/>
      <c r="I247" s="4"/>
      <c r="K247" s="5"/>
      <c r="L247" s="6"/>
      <c r="N247" s="3"/>
      <c r="O247" s="3"/>
      <c r="P247" s="4"/>
      <c r="Q247" s="4"/>
      <c r="S247" s="3"/>
      <c r="T247" s="3"/>
      <c r="U247" s="4"/>
      <c r="V247" s="4"/>
    </row>
    <row r="248" spans="1:22" x14ac:dyDescent="0.25">
      <c r="A248" s="3" t="str">
        <f>RTD("rtdtrading.rtdserver",, "BOOK0", "VOC", 244)</f>
        <v>Ferramenta Inválida</v>
      </c>
      <c r="B248" s="3" t="str">
        <f>RTD("rtdtrading.rtdserver",, "BOOK0", "OCP", 244)</f>
        <v>Ferramenta Inválida</v>
      </c>
      <c r="C248" s="4" t="str">
        <f>RTD("rtdtrading.rtdserver",, "BOOK0", "OVD", 244)</f>
        <v>Ferramenta Inválida</v>
      </c>
      <c r="D248" s="4" t="str">
        <f>RTD("rtdtrading.rtdserver",, "BOOK0", "VOV", 244)</f>
        <v>Ferramenta Inválida</v>
      </c>
      <c r="F248" s="3"/>
      <c r="G248" s="5"/>
      <c r="H248" s="6"/>
      <c r="I248" s="4"/>
      <c r="K248" s="5"/>
      <c r="L248" s="6"/>
      <c r="N248" s="3"/>
      <c r="O248" s="3"/>
      <c r="P248" s="4"/>
      <c r="Q248" s="4"/>
      <c r="S248" s="3"/>
      <c r="T248" s="3"/>
      <c r="U248" s="4"/>
      <c r="V248" s="4"/>
    </row>
    <row r="249" spans="1:22" x14ac:dyDescent="0.25">
      <c r="A249" s="3" t="str">
        <f>RTD("rtdtrading.rtdserver",, "BOOK0", "VOC", 245)</f>
        <v>Ferramenta Inválida</v>
      </c>
      <c r="B249" s="3" t="str">
        <f>RTD("rtdtrading.rtdserver",, "BOOK0", "OCP", 245)</f>
        <v>Ferramenta Inválida</v>
      </c>
      <c r="C249" s="4" t="str">
        <f>RTD("rtdtrading.rtdserver",, "BOOK0", "OVD", 245)</f>
        <v>Ferramenta Inválida</v>
      </c>
      <c r="D249" s="4" t="str">
        <f>RTD("rtdtrading.rtdserver",, "BOOK0", "VOV", 245)</f>
        <v>Ferramenta Inválida</v>
      </c>
      <c r="F249" s="3"/>
      <c r="G249" s="5"/>
      <c r="H249" s="6"/>
      <c r="I249" s="4"/>
      <c r="K249" s="5"/>
      <c r="L249" s="6"/>
      <c r="N249" s="3"/>
      <c r="O249" s="3"/>
      <c r="P249" s="4"/>
      <c r="Q249" s="4"/>
      <c r="S249" s="3"/>
      <c r="T249" s="3"/>
      <c r="U249" s="4"/>
      <c r="V249" s="4"/>
    </row>
    <row r="250" spans="1:22" x14ac:dyDescent="0.25">
      <c r="A250" s="3" t="str">
        <f>RTD("rtdtrading.rtdserver",, "BOOK0", "VOC", 246)</f>
        <v>Ferramenta Inválida</v>
      </c>
      <c r="B250" s="3" t="str">
        <f>RTD("rtdtrading.rtdserver",, "BOOK0", "OCP", 246)</f>
        <v>Ferramenta Inválida</v>
      </c>
      <c r="C250" s="4" t="str">
        <f>RTD("rtdtrading.rtdserver",, "BOOK0", "OVD", 246)</f>
        <v>Ferramenta Inválida</v>
      </c>
      <c r="D250" s="4" t="str">
        <f>RTD("rtdtrading.rtdserver",, "BOOK0", "VOV", 246)</f>
        <v>Ferramenta Inválida</v>
      </c>
      <c r="F250" s="3"/>
      <c r="G250" s="5"/>
      <c r="H250" s="6"/>
      <c r="I250" s="4"/>
      <c r="K250" s="5"/>
      <c r="L250" s="6"/>
      <c r="N250" s="3"/>
      <c r="O250" s="3"/>
      <c r="P250" s="4"/>
      <c r="Q250" s="4"/>
      <c r="S250" s="3"/>
      <c r="T250" s="3"/>
      <c r="U250" s="4"/>
      <c r="V250" s="4"/>
    </row>
    <row r="251" spans="1:22" x14ac:dyDescent="0.25">
      <c r="A251" s="3" t="str">
        <f>RTD("rtdtrading.rtdserver",, "BOOK0", "VOC", 247)</f>
        <v>Ferramenta Inválida</v>
      </c>
      <c r="B251" s="3" t="str">
        <f>RTD("rtdtrading.rtdserver",, "BOOK0", "OCP", 247)</f>
        <v>Ferramenta Inválida</v>
      </c>
      <c r="C251" s="4" t="str">
        <f>RTD("rtdtrading.rtdserver",, "BOOK0", "OVD", 247)</f>
        <v>Ferramenta Inválida</v>
      </c>
      <c r="D251" s="4" t="str">
        <f>RTD("rtdtrading.rtdserver",, "BOOK0", "VOV", 247)</f>
        <v>Ferramenta Inválida</v>
      </c>
      <c r="F251" s="3"/>
      <c r="G251" s="5"/>
      <c r="H251" s="6"/>
      <c r="I251" s="4"/>
      <c r="K251" s="5"/>
      <c r="L251" s="6"/>
      <c r="N251" s="3"/>
      <c r="O251" s="3"/>
      <c r="P251" s="4"/>
      <c r="Q251" s="4"/>
      <c r="S251" s="3"/>
      <c r="T251" s="3"/>
      <c r="U251" s="4"/>
      <c r="V251" s="4"/>
    </row>
    <row r="252" spans="1:22" x14ac:dyDescent="0.25">
      <c r="A252" s="3" t="str">
        <f>RTD("rtdtrading.rtdserver",, "BOOK0", "VOC", 248)</f>
        <v>Ferramenta Inválida</v>
      </c>
      <c r="B252" s="3" t="str">
        <f>RTD("rtdtrading.rtdserver",, "BOOK0", "OCP", 248)</f>
        <v>Ferramenta Inválida</v>
      </c>
      <c r="C252" s="4" t="str">
        <f>RTD("rtdtrading.rtdserver",, "BOOK0", "OVD", 248)</f>
        <v>Ferramenta Inválida</v>
      </c>
      <c r="D252" s="4" t="str">
        <f>RTD("rtdtrading.rtdserver",, "BOOK0", "VOV", 248)</f>
        <v>Ferramenta Inválida</v>
      </c>
      <c r="F252" s="3"/>
      <c r="G252" s="5"/>
      <c r="H252" s="6"/>
      <c r="I252" s="4"/>
      <c r="K252" s="5"/>
      <c r="L252" s="6"/>
      <c r="N252" s="3"/>
      <c r="O252" s="3"/>
      <c r="P252" s="4"/>
      <c r="Q252" s="4"/>
      <c r="S252" s="3"/>
      <c r="T252" s="3"/>
      <c r="U252" s="4"/>
      <c r="V252" s="4"/>
    </row>
    <row r="253" spans="1:22" x14ac:dyDescent="0.25">
      <c r="A253" s="3" t="str">
        <f>RTD("rtdtrading.rtdserver",, "BOOK0", "VOC", 249)</f>
        <v>Ferramenta Inválida</v>
      </c>
      <c r="B253" s="3" t="str">
        <f>RTD("rtdtrading.rtdserver",, "BOOK0", "OCP", 249)</f>
        <v>Ferramenta Inválida</v>
      </c>
      <c r="C253" s="4" t="str">
        <f>RTD("rtdtrading.rtdserver",, "BOOK0", "OVD", 249)</f>
        <v>Ferramenta Inválida</v>
      </c>
      <c r="D253" s="4" t="str">
        <f>RTD("rtdtrading.rtdserver",, "BOOK0", "VOV", 249)</f>
        <v>Ferramenta Inválida</v>
      </c>
      <c r="F253" s="3"/>
      <c r="G253" s="5"/>
      <c r="H253" s="6"/>
      <c r="I253" s="4"/>
      <c r="K253" s="5"/>
      <c r="L253" s="6"/>
      <c r="N253" s="3"/>
      <c r="O253" s="3"/>
      <c r="P253" s="4"/>
      <c r="Q253" s="4"/>
      <c r="S253" s="3"/>
      <c r="T253" s="3"/>
      <c r="U253" s="4"/>
      <c r="V253" s="4"/>
    </row>
    <row r="254" spans="1:22" x14ac:dyDescent="0.25">
      <c r="A254" s="3" t="str">
        <f>RTD("rtdtrading.rtdserver",, "BOOK0", "VOC", 250)</f>
        <v>Ferramenta Inválida</v>
      </c>
      <c r="B254" s="3" t="str">
        <f>RTD("rtdtrading.rtdserver",, "BOOK0", "OCP", 250)</f>
        <v>Ferramenta Inválida</v>
      </c>
      <c r="C254" s="4" t="str">
        <f>RTD("rtdtrading.rtdserver",, "BOOK0", "OVD", 250)</f>
        <v>Ferramenta Inválida</v>
      </c>
      <c r="D254" s="4" t="str">
        <f>RTD("rtdtrading.rtdserver",, "BOOK0", "VOV", 250)</f>
        <v>Ferramenta Inválida</v>
      </c>
      <c r="F254" s="3"/>
      <c r="G254" s="5"/>
      <c r="H254" s="6"/>
      <c r="I254" s="4"/>
      <c r="K254" s="5"/>
      <c r="L254" s="6"/>
      <c r="N254" s="3"/>
      <c r="O254" s="3"/>
      <c r="P254" s="4"/>
      <c r="Q254" s="4"/>
      <c r="S254" s="3"/>
      <c r="T254" s="3"/>
      <c r="U254" s="4"/>
      <c r="V254" s="4"/>
    </row>
    <row r="255" spans="1:22" x14ac:dyDescent="0.25">
      <c r="A255" s="3" t="str">
        <f>RTD("rtdtrading.rtdserver",, "BOOK0", "VOC", 251)</f>
        <v>Ferramenta Inválida</v>
      </c>
      <c r="B255" s="3" t="str">
        <f>RTD("rtdtrading.rtdserver",, "BOOK0", "OCP", 251)</f>
        <v>Ferramenta Inválida</v>
      </c>
      <c r="C255" s="4" t="str">
        <f>RTD("rtdtrading.rtdserver",, "BOOK0", "OVD", 251)</f>
        <v>Ferramenta Inválida</v>
      </c>
      <c r="D255" s="4" t="str">
        <f>RTD("rtdtrading.rtdserver",, "BOOK0", "VOV", 251)</f>
        <v>Ferramenta Inválida</v>
      </c>
      <c r="F255" s="3"/>
      <c r="G255" s="5"/>
      <c r="H255" s="6"/>
      <c r="I255" s="4"/>
      <c r="K255" s="5"/>
      <c r="L255" s="6"/>
      <c r="N255" s="3"/>
      <c r="O255" s="3"/>
      <c r="P255" s="4"/>
      <c r="Q255" s="4"/>
      <c r="S255" s="3"/>
      <c r="T255" s="3"/>
      <c r="U255" s="4"/>
      <c r="V255" s="4"/>
    </row>
    <row r="256" spans="1:22" x14ac:dyDescent="0.25">
      <c r="A256" s="3" t="str">
        <f>RTD("rtdtrading.rtdserver",, "BOOK0", "VOC", 252)</f>
        <v>Ferramenta Inválida</v>
      </c>
      <c r="B256" s="3" t="str">
        <f>RTD("rtdtrading.rtdserver",, "BOOK0", "OCP", 252)</f>
        <v>Ferramenta Inválida</v>
      </c>
      <c r="C256" s="4" t="str">
        <f>RTD("rtdtrading.rtdserver",, "BOOK0", "OVD", 252)</f>
        <v>Ferramenta Inválida</v>
      </c>
      <c r="D256" s="4" t="str">
        <f>RTD("rtdtrading.rtdserver",, "BOOK0", "VOV", 252)</f>
        <v>Ferramenta Inválida</v>
      </c>
      <c r="F256" s="3"/>
      <c r="G256" s="5"/>
      <c r="H256" s="6"/>
      <c r="I256" s="4"/>
      <c r="K256" s="5"/>
      <c r="L256" s="6"/>
      <c r="N256" s="3"/>
      <c r="O256" s="3"/>
      <c r="P256" s="4"/>
      <c r="Q256" s="4"/>
      <c r="S256" s="3"/>
      <c r="T256" s="3"/>
      <c r="U256" s="4"/>
      <c r="V256" s="4"/>
    </row>
    <row r="257" spans="1:22" x14ac:dyDescent="0.25">
      <c r="A257" s="3" t="str">
        <f>RTD("rtdtrading.rtdserver",, "BOOK0", "VOC", 253)</f>
        <v>Ferramenta Inválida</v>
      </c>
      <c r="B257" s="3" t="str">
        <f>RTD("rtdtrading.rtdserver",, "BOOK0", "OCP", 253)</f>
        <v>Ferramenta Inválida</v>
      </c>
      <c r="C257" s="4" t="str">
        <f>RTD("rtdtrading.rtdserver",, "BOOK0", "OVD", 253)</f>
        <v>Ferramenta Inválida</v>
      </c>
      <c r="D257" s="4" t="str">
        <f>RTD("rtdtrading.rtdserver",, "BOOK0", "VOV", 253)</f>
        <v>Ferramenta Inválida</v>
      </c>
      <c r="F257" s="3"/>
      <c r="G257" s="5"/>
      <c r="H257" s="6"/>
      <c r="I257" s="4"/>
      <c r="K257" s="5"/>
      <c r="L257" s="6"/>
      <c r="N257" s="3"/>
      <c r="O257" s="3"/>
      <c r="P257" s="4"/>
      <c r="Q257" s="4"/>
      <c r="S257" s="3"/>
      <c r="T257" s="3"/>
      <c r="U257" s="4"/>
      <c r="V257" s="4"/>
    </row>
    <row r="258" spans="1:22" x14ac:dyDescent="0.25">
      <c r="A258" s="3" t="str">
        <f>RTD("rtdtrading.rtdserver",, "BOOK0", "VOC", 254)</f>
        <v>Ferramenta Inválida</v>
      </c>
      <c r="B258" s="3" t="str">
        <f>RTD("rtdtrading.rtdserver",, "BOOK0", "OCP", 254)</f>
        <v>Ferramenta Inválida</v>
      </c>
      <c r="C258" s="4" t="str">
        <f>RTD("rtdtrading.rtdserver",, "BOOK0", "OVD", 254)</f>
        <v>Ferramenta Inválida</v>
      </c>
      <c r="D258" s="4" t="str">
        <f>RTD("rtdtrading.rtdserver",, "BOOK0", "VOV", 254)</f>
        <v>Ferramenta Inválida</v>
      </c>
      <c r="F258" s="3"/>
      <c r="G258" s="5"/>
      <c r="H258" s="6"/>
      <c r="I258" s="4"/>
      <c r="K258" s="5"/>
      <c r="L258" s="6"/>
      <c r="N258" s="3"/>
      <c r="O258" s="3"/>
      <c r="P258" s="4"/>
      <c r="Q258" s="4"/>
      <c r="S258" s="3"/>
      <c r="T258" s="3"/>
      <c r="U258" s="4"/>
      <c r="V258" s="4"/>
    </row>
    <row r="259" spans="1:22" x14ac:dyDescent="0.25">
      <c r="A259" s="3" t="str">
        <f>RTD("rtdtrading.rtdserver",, "BOOK0", "VOC", 255)</f>
        <v>Ferramenta Inválida</v>
      </c>
      <c r="B259" s="3" t="str">
        <f>RTD("rtdtrading.rtdserver",, "BOOK0", "OCP", 255)</f>
        <v>Ferramenta Inválida</v>
      </c>
      <c r="C259" s="4" t="str">
        <f>RTD("rtdtrading.rtdserver",, "BOOK0", "OVD", 255)</f>
        <v>Ferramenta Inválida</v>
      </c>
      <c r="D259" s="4" t="str">
        <f>RTD("rtdtrading.rtdserver",, "BOOK0", "VOV", 255)</f>
        <v>Ferramenta Inválida</v>
      </c>
      <c r="F259" s="3"/>
      <c r="G259" s="5"/>
      <c r="H259" s="6"/>
      <c r="I259" s="4"/>
      <c r="K259" s="5"/>
      <c r="L259" s="6"/>
      <c r="N259" s="3"/>
      <c r="O259" s="3"/>
      <c r="P259" s="4"/>
      <c r="Q259" s="4"/>
      <c r="S259" s="3"/>
      <c r="T259" s="3"/>
      <c r="U259" s="4"/>
      <c r="V259" s="4"/>
    </row>
    <row r="260" spans="1:22" x14ac:dyDescent="0.25">
      <c r="A260" s="3" t="str">
        <f>RTD("rtdtrading.rtdserver",, "BOOK0", "VOC", 256)</f>
        <v>Ferramenta Inválida</v>
      </c>
      <c r="B260" s="3" t="str">
        <f>RTD("rtdtrading.rtdserver",, "BOOK0", "OCP", 256)</f>
        <v>Ferramenta Inválida</v>
      </c>
      <c r="C260" s="4" t="str">
        <f>RTD("rtdtrading.rtdserver",, "BOOK0", "OVD", 256)</f>
        <v>Ferramenta Inválida</v>
      </c>
      <c r="D260" s="4" t="str">
        <f>RTD("rtdtrading.rtdserver",, "BOOK0", "VOV", 256)</f>
        <v>Ferramenta Inválida</v>
      </c>
      <c r="F260" s="3"/>
      <c r="G260" s="5"/>
      <c r="H260" s="6"/>
      <c r="I260" s="4"/>
      <c r="K260" s="5"/>
      <c r="L260" s="6"/>
      <c r="N260" s="3"/>
      <c r="O260" s="3"/>
      <c r="P260" s="4"/>
      <c r="Q260" s="4"/>
      <c r="S260" s="3"/>
      <c r="T260" s="3"/>
      <c r="U260" s="4"/>
      <c r="V260" s="4"/>
    </row>
    <row r="261" spans="1:22" x14ac:dyDescent="0.25">
      <c r="A261" s="3" t="str">
        <f>RTD("rtdtrading.rtdserver",, "BOOK0", "VOC", 257)</f>
        <v>Ferramenta Inválida</v>
      </c>
      <c r="B261" s="3" t="str">
        <f>RTD("rtdtrading.rtdserver",, "BOOK0", "OCP", 257)</f>
        <v>Ferramenta Inválida</v>
      </c>
      <c r="C261" s="4" t="str">
        <f>RTD("rtdtrading.rtdserver",, "BOOK0", "OVD", 257)</f>
        <v>Ferramenta Inválida</v>
      </c>
      <c r="D261" s="4" t="str">
        <f>RTD("rtdtrading.rtdserver",, "BOOK0", "VOV", 257)</f>
        <v>Ferramenta Inválida</v>
      </c>
      <c r="F261" s="3"/>
      <c r="G261" s="5"/>
      <c r="H261" s="6"/>
      <c r="I261" s="4"/>
      <c r="K261" s="5"/>
      <c r="L261" s="6"/>
      <c r="N261" s="3"/>
      <c r="O261" s="3"/>
      <c r="P261" s="4"/>
      <c r="Q261" s="4"/>
      <c r="S261" s="3"/>
      <c r="T261" s="3"/>
      <c r="U261" s="4"/>
      <c r="V261" s="4"/>
    </row>
    <row r="262" spans="1:22" x14ac:dyDescent="0.25">
      <c r="A262" s="3" t="str">
        <f>RTD("rtdtrading.rtdserver",, "BOOK0", "VOC", 258)</f>
        <v>Ferramenta Inválida</v>
      </c>
      <c r="B262" s="3" t="str">
        <f>RTD("rtdtrading.rtdserver",, "BOOK0", "OCP", 258)</f>
        <v>Ferramenta Inválida</v>
      </c>
      <c r="C262" s="4" t="str">
        <f>RTD("rtdtrading.rtdserver",, "BOOK0", "OVD", 258)</f>
        <v>Ferramenta Inválida</v>
      </c>
      <c r="D262" s="4" t="str">
        <f>RTD("rtdtrading.rtdserver",, "BOOK0", "VOV", 258)</f>
        <v>Ferramenta Inválida</v>
      </c>
      <c r="F262" s="3"/>
      <c r="G262" s="5"/>
      <c r="H262" s="6"/>
      <c r="I262" s="4"/>
      <c r="K262" s="5"/>
      <c r="L262" s="6"/>
      <c r="N262" s="3"/>
      <c r="O262" s="3"/>
      <c r="P262" s="4"/>
      <c r="Q262" s="4"/>
      <c r="S262" s="3"/>
      <c r="T262" s="3"/>
      <c r="U262" s="4"/>
      <c r="V262" s="4"/>
    </row>
    <row r="263" spans="1:22" x14ac:dyDescent="0.25">
      <c r="A263" s="3" t="str">
        <f>RTD("rtdtrading.rtdserver",, "BOOK0", "VOC", 259)</f>
        <v>Ferramenta Inválida</v>
      </c>
      <c r="B263" s="3" t="str">
        <f>RTD("rtdtrading.rtdserver",, "BOOK0", "OCP", 259)</f>
        <v>Ferramenta Inválida</v>
      </c>
      <c r="C263" s="4" t="str">
        <f>RTD("rtdtrading.rtdserver",, "BOOK0", "OVD", 259)</f>
        <v>Ferramenta Inválida</v>
      </c>
      <c r="D263" s="4" t="str">
        <f>RTD("rtdtrading.rtdserver",, "BOOK0", "VOV", 259)</f>
        <v>Ferramenta Inválida</v>
      </c>
      <c r="F263" s="3"/>
      <c r="G263" s="5"/>
      <c r="H263" s="6"/>
      <c r="I263" s="4"/>
      <c r="K263" s="5"/>
      <c r="L263" s="6"/>
      <c r="N263" s="3"/>
      <c r="O263" s="3"/>
      <c r="P263" s="4"/>
      <c r="Q263" s="4"/>
      <c r="S263" s="3"/>
      <c r="T263" s="3"/>
      <c r="U263" s="4"/>
      <c r="V263" s="4"/>
    </row>
    <row r="264" spans="1:22" x14ac:dyDescent="0.25">
      <c r="A264" s="3" t="str">
        <f>RTD("rtdtrading.rtdserver",, "BOOK0", "VOC", 260)</f>
        <v>Ferramenta Inválida</v>
      </c>
      <c r="B264" s="3" t="str">
        <f>RTD("rtdtrading.rtdserver",, "BOOK0", "OCP", 260)</f>
        <v>Ferramenta Inválida</v>
      </c>
      <c r="C264" s="4" t="str">
        <f>RTD("rtdtrading.rtdserver",, "BOOK0", "OVD", 260)</f>
        <v>Ferramenta Inválida</v>
      </c>
      <c r="D264" s="4" t="str">
        <f>RTD("rtdtrading.rtdserver",, "BOOK0", "VOV", 260)</f>
        <v>Ferramenta Inválida</v>
      </c>
      <c r="F264" s="3"/>
      <c r="G264" s="5"/>
      <c r="H264" s="6"/>
      <c r="I264" s="4"/>
      <c r="K264" s="5"/>
      <c r="L264" s="6"/>
      <c r="N264" s="3"/>
      <c r="O264" s="3"/>
      <c r="P264" s="4"/>
      <c r="Q264" s="4"/>
      <c r="S264" s="3"/>
      <c r="T264" s="3"/>
      <c r="U264" s="4"/>
      <c r="V264" s="4"/>
    </row>
    <row r="265" spans="1:22" x14ac:dyDescent="0.25">
      <c r="A265" s="3" t="str">
        <f>RTD("rtdtrading.rtdserver",, "BOOK0", "VOC", 261)</f>
        <v>Ferramenta Inválida</v>
      </c>
      <c r="B265" s="3" t="str">
        <f>RTD("rtdtrading.rtdserver",, "BOOK0", "OCP", 261)</f>
        <v>Ferramenta Inválida</v>
      </c>
      <c r="C265" s="4" t="str">
        <f>RTD("rtdtrading.rtdserver",, "BOOK0", "OVD", 261)</f>
        <v>Ferramenta Inválida</v>
      </c>
      <c r="D265" s="4" t="str">
        <f>RTD("rtdtrading.rtdserver",, "BOOK0", "VOV", 261)</f>
        <v>Ferramenta Inválida</v>
      </c>
      <c r="F265" s="3"/>
      <c r="G265" s="5"/>
      <c r="H265" s="6"/>
      <c r="I265" s="4"/>
      <c r="K265" s="5"/>
      <c r="L265" s="6"/>
      <c r="N265" s="3"/>
      <c r="O265" s="3"/>
      <c r="P265" s="4"/>
      <c r="Q265" s="4"/>
      <c r="S265" s="3"/>
      <c r="T265" s="3"/>
      <c r="U265" s="4"/>
      <c r="V265" s="4"/>
    </row>
    <row r="266" spans="1:22" x14ac:dyDescent="0.25">
      <c r="A266" s="3" t="str">
        <f>RTD("rtdtrading.rtdserver",, "BOOK0", "VOC", 262)</f>
        <v>Ferramenta Inválida</v>
      </c>
      <c r="B266" s="3" t="str">
        <f>RTD("rtdtrading.rtdserver",, "BOOK0", "OCP", 262)</f>
        <v>Ferramenta Inválida</v>
      </c>
      <c r="C266" s="4" t="str">
        <f>RTD("rtdtrading.rtdserver",, "BOOK0", "OVD", 262)</f>
        <v>Ferramenta Inválida</v>
      </c>
      <c r="D266" s="4" t="str">
        <f>RTD("rtdtrading.rtdserver",, "BOOK0", "VOV", 262)</f>
        <v>Ferramenta Inválida</v>
      </c>
      <c r="F266" s="3"/>
      <c r="G266" s="5"/>
      <c r="H266" s="6"/>
      <c r="I266" s="4"/>
      <c r="K266" s="5"/>
      <c r="L266" s="6"/>
      <c r="N266" s="3"/>
      <c r="O266" s="3"/>
      <c r="P266" s="4"/>
      <c r="Q266" s="4"/>
      <c r="S266" s="3"/>
      <c r="T266" s="3"/>
      <c r="U266" s="4"/>
      <c r="V266" s="4"/>
    </row>
    <row r="267" spans="1:22" x14ac:dyDescent="0.25">
      <c r="A267" s="3" t="str">
        <f>RTD("rtdtrading.rtdserver",, "BOOK0", "VOC", 263)</f>
        <v>Ferramenta Inválida</v>
      </c>
      <c r="B267" s="3" t="str">
        <f>RTD("rtdtrading.rtdserver",, "BOOK0", "OCP", 263)</f>
        <v>Ferramenta Inválida</v>
      </c>
      <c r="C267" s="4" t="str">
        <f>RTD("rtdtrading.rtdserver",, "BOOK0", "OVD", 263)</f>
        <v>Ferramenta Inválida</v>
      </c>
      <c r="D267" s="4" t="str">
        <f>RTD("rtdtrading.rtdserver",, "BOOK0", "VOV", 263)</f>
        <v>Ferramenta Inválida</v>
      </c>
      <c r="F267" s="3"/>
      <c r="G267" s="5"/>
      <c r="H267" s="6"/>
      <c r="I267" s="4"/>
      <c r="K267" s="5"/>
      <c r="L267" s="6"/>
      <c r="N267" s="3"/>
      <c r="O267" s="3"/>
      <c r="P267" s="4"/>
      <c r="Q267" s="4"/>
      <c r="S267" s="3"/>
      <c r="T267" s="3"/>
      <c r="U267" s="4"/>
      <c r="V267" s="4"/>
    </row>
    <row r="268" spans="1:22" x14ac:dyDescent="0.25">
      <c r="A268" s="3" t="str">
        <f>RTD("rtdtrading.rtdserver",, "BOOK0", "VOC", 264)</f>
        <v>Ferramenta Inválida</v>
      </c>
      <c r="B268" s="3" t="str">
        <f>RTD("rtdtrading.rtdserver",, "BOOK0", "OCP", 264)</f>
        <v>Ferramenta Inválida</v>
      </c>
      <c r="C268" s="4" t="str">
        <f>RTD("rtdtrading.rtdserver",, "BOOK0", "OVD", 264)</f>
        <v>Ferramenta Inválida</v>
      </c>
      <c r="D268" s="4" t="str">
        <f>RTD("rtdtrading.rtdserver",, "BOOK0", "VOV", 264)</f>
        <v>Ferramenta Inválida</v>
      </c>
      <c r="F268" s="3"/>
      <c r="G268" s="5"/>
      <c r="H268" s="6"/>
      <c r="I268" s="4"/>
      <c r="K268" s="5"/>
      <c r="L268" s="6"/>
      <c r="N268" s="3"/>
      <c r="O268" s="3"/>
      <c r="P268" s="4"/>
      <c r="Q268" s="4"/>
      <c r="S268" s="3"/>
      <c r="T268" s="3"/>
      <c r="U268" s="4"/>
      <c r="V268" s="4"/>
    </row>
    <row r="269" spans="1:22" x14ac:dyDescent="0.25">
      <c r="A269" s="3" t="str">
        <f>RTD("rtdtrading.rtdserver",, "BOOK0", "VOC", 265)</f>
        <v>Ferramenta Inválida</v>
      </c>
      <c r="B269" s="3" t="str">
        <f>RTD("rtdtrading.rtdserver",, "BOOK0", "OCP", 265)</f>
        <v>Ferramenta Inválida</v>
      </c>
      <c r="C269" s="4" t="str">
        <f>RTD("rtdtrading.rtdserver",, "BOOK0", "OVD", 265)</f>
        <v>Ferramenta Inválida</v>
      </c>
      <c r="D269" s="4" t="str">
        <f>RTD("rtdtrading.rtdserver",, "BOOK0", "VOV", 265)</f>
        <v>Ferramenta Inválida</v>
      </c>
      <c r="F269" s="3"/>
      <c r="G269" s="5"/>
      <c r="H269" s="6"/>
      <c r="I269" s="4"/>
      <c r="K269" s="5"/>
      <c r="L269" s="6"/>
      <c r="N269" s="3"/>
      <c r="O269" s="3"/>
      <c r="P269" s="4"/>
      <c r="Q269" s="4"/>
      <c r="S269" s="3"/>
      <c r="T269" s="3"/>
      <c r="U269" s="4"/>
      <c r="V269" s="4"/>
    </row>
    <row r="270" spans="1:22" x14ac:dyDescent="0.25">
      <c r="A270" s="3" t="str">
        <f>RTD("rtdtrading.rtdserver",, "BOOK0", "VOC", 266)</f>
        <v>Ferramenta Inválida</v>
      </c>
      <c r="B270" s="3" t="str">
        <f>RTD("rtdtrading.rtdserver",, "BOOK0", "OCP", 266)</f>
        <v>Ferramenta Inválida</v>
      </c>
      <c r="C270" s="4" t="str">
        <f>RTD("rtdtrading.rtdserver",, "BOOK0", "OVD", 266)</f>
        <v>Ferramenta Inválida</v>
      </c>
      <c r="D270" s="4" t="str">
        <f>RTD("rtdtrading.rtdserver",, "BOOK0", "VOV", 266)</f>
        <v>Ferramenta Inválida</v>
      </c>
      <c r="F270" s="3"/>
      <c r="G270" s="5"/>
      <c r="H270" s="6"/>
      <c r="I270" s="4"/>
      <c r="K270" s="5"/>
      <c r="L270" s="6"/>
      <c r="N270" s="3"/>
      <c r="O270" s="3"/>
      <c r="P270" s="4"/>
      <c r="Q270" s="4"/>
      <c r="S270" s="3"/>
      <c r="T270" s="3"/>
      <c r="U270" s="4"/>
      <c r="V270" s="4"/>
    </row>
    <row r="271" spans="1:22" x14ac:dyDescent="0.25">
      <c r="A271" s="3" t="str">
        <f>RTD("rtdtrading.rtdserver",, "BOOK0", "VOC", 267)</f>
        <v>Ferramenta Inválida</v>
      </c>
      <c r="B271" s="3" t="str">
        <f>RTD("rtdtrading.rtdserver",, "BOOK0", "OCP", 267)</f>
        <v>Ferramenta Inválida</v>
      </c>
      <c r="C271" s="4" t="str">
        <f>RTD("rtdtrading.rtdserver",, "BOOK0", "OVD", 267)</f>
        <v>Ferramenta Inválida</v>
      </c>
      <c r="D271" s="4" t="str">
        <f>RTD("rtdtrading.rtdserver",, "BOOK0", "VOV", 267)</f>
        <v>Ferramenta Inválida</v>
      </c>
      <c r="F271" s="3"/>
      <c r="G271" s="5"/>
      <c r="H271" s="6"/>
      <c r="I271" s="4"/>
      <c r="K271" s="5"/>
      <c r="L271" s="6"/>
      <c r="N271" s="3"/>
      <c r="O271" s="3"/>
      <c r="P271" s="4"/>
      <c r="Q271" s="4"/>
      <c r="S271" s="3"/>
      <c r="T271" s="3"/>
      <c r="U271" s="4"/>
      <c r="V271" s="4"/>
    </row>
    <row r="272" spans="1:22" x14ac:dyDescent="0.25">
      <c r="A272" s="3" t="str">
        <f>RTD("rtdtrading.rtdserver",, "BOOK0", "VOC", 268)</f>
        <v>Ferramenta Inválida</v>
      </c>
      <c r="B272" s="3" t="str">
        <f>RTD("rtdtrading.rtdserver",, "BOOK0", "OCP", 268)</f>
        <v>Ferramenta Inválida</v>
      </c>
      <c r="C272" s="4" t="str">
        <f>RTD("rtdtrading.rtdserver",, "BOOK0", "OVD", 268)</f>
        <v>Ferramenta Inválida</v>
      </c>
      <c r="D272" s="4" t="str">
        <f>RTD("rtdtrading.rtdserver",, "BOOK0", "VOV", 268)</f>
        <v>Ferramenta Inválida</v>
      </c>
      <c r="F272" s="3"/>
      <c r="G272" s="5"/>
      <c r="H272" s="6"/>
      <c r="I272" s="4"/>
      <c r="K272" s="5"/>
      <c r="L272" s="6"/>
      <c r="N272" s="3"/>
      <c r="O272" s="3"/>
      <c r="P272" s="4"/>
      <c r="Q272" s="4"/>
      <c r="S272" s="3"/>
      <c r="T272" s="3"/>
      <c r="U272" s="4"/>
      <c r="V272" s="4"/>
    </row>
    <row r="273" spans="1:22" x14ac:dyDescent="0.25">
      <c r="A273" s="3" t="str">
        <f>RTD("rtdtrading.rtdserver",, "BOOK0", "VOC", 269)</f>
        <v>Ferramenta Inválida</v>
      </c>
      <c r="B273" s="3" t="str">
        <f>RTD("rtdtrading.rtdserver",, "BOOK0", "OCP", 269)</f>
        <v>Ferramenta Inválida</v>
      </c>
      <c r="C273" s="4" t="str">
        <f>RTD("rtdtrading.rtdserver",, "BOOK0", "OVD", 269)</f>
        <v>Ferramenta Inválida</v>
      </c>
      <c r="D273" s="4" t="str">
        <f>RTD("rtdtrading.rtdserver",, "BOOK0", "VOV", 269)</f>
        <v>Ferramenta Inválida</v>
      </c>
      <c r="F273" s="3"/>
      <c r="G273" s="5"/>
      <c r="H273" s="6"/>
      <c r="I273" s="4"/>
      <c r="K273" s="5"/>
      <c r="L273" s="6"/>
      <c r="N273" s="3"/>
      <c r="O273" s="3"/>
      <c r="P273" s="4"/>
      <c r="Q273" s="4"/>
      <c r="S273" s="3"/>
      <c r="T273" s="3"/>
      <c r="U273" s="4"/>
      <c r="V273" s="4"/>
    </row>
    <row r="274" spans="1:22" x14ac:dyDescent="0.25">
      <c r="A274" s="3" t="str">
        <f>RTD("rtdtrading.rtdserver",, "BOOK0", "VOC", 270)</f>
        <v>Ferramenta Inválida</v>
      </c>
      <c r="B274" s="3" t="str">
        <f>RTD("rtdtrading.rtdserver",, "BOOK0", "OCP", 270)</f>
        <v>Ferramenta Inválida</v>
      </c>
      <c r="C274" s="4" t="str">
        <f>RTD("rtdtrading.rtdserver",, "BOOK0", "OVD", 270)</f>
        <v>Ferramenta Inválida</v>
      </c>
      <c r="D274" s="4" t="str">
        <f>RTD("rtdtrading.rtdserver",, "BOOK0", "VOV", 270)</f>
        <v>Ferramenta Inválida</v>
      </c>
      <c r="F274" s="3"/>
      <c r="G274" s="5"/>
      <c r="H274" s="6"/>
      <c r="I274" s="4"/>
      <c r="K274" s="5"/>
      <c r="L274" s="6"/>
      <c r="N274" s="3"/>
      <c r="O274" s="3"/>
      <c r="P274" s="4"/>
      <c r="Q274" s="4"/>
      <c r="S274" s="3"/>
      <c r="T274" s="3"/>
      <c r="U274" s="4"/>
      <c r="V274" s="4"/>
    </row>
    <row r="275" spans="1:22" x14ac:dyDescent="0.25">
      <c r="A275" s="3" t="str">
        <f>RTD("rtdtrading.rtdserver",, "BOOK0", "VOC", 271)</f>
        <v>Ferramenta Inválida</v>
      </c>
      <c r="B275" s="3" t="str">
        <f>RTD("rtdtrading.rtdserver",, "BOOK0", "OCP", 271)</f>
        <v>Ferramenta Inválida</v>
      </c>
      <c r="C275" s="4" t="str">
        <f>RTD("rtdtrading.rtdserver",, "BOOK0", "OVD", 271)</f>
        <v>Ferramenta Inválida</v>
      </c>
      <c r="D275" s="4" t="str">
        <f>RTD("rtdtrading.rtdserver",, "BOOK0", "VOV", 271)</f>
        <v>Ferramenta Inválida</v>
      </c>
      <c r="F275" s="3"/>
      <c r="G275" s="5"/>
      <c r="H275" s="6"/>
      <c r="I275" s="4"/>
      <c r="K275" s="5"/>
      <c r="L275" s="6"/>
      <c r="N275" s="3"/>
      <c r="O275" s="3"/>
      <c r="P275" s="4"/>
      <c r="Q275" s="4"/>
      <c r="S275" s="3"/>
      <c r="T275" s="3"/>
      <c r="U275" s="4"/>
      <c r="V275" s="4"/>
    </row>
    <row r="276" spans="1:22" x14ac:dyDescent="0.25">
      <c r="A276" s="3" t="str">
        <f>RTD("rtdtrading.rtdserver",, "BOOK0", "VOC", 272)</f>
        <v>Ferramenta Inválida</v>
      </c>
      <c r="B276" s="3" t="str">
        <f>RTD("rtdtrading.rtdserver",, "BOOK0", "OCP", 272)</f>
        <v>Ferramenta Inválida</v>
      </c>
      <c r="C276" s="4" t="str">
        <f>RTD("rtdtrading.rtdserver",, "BOOK0", "OVD", 272)</f>
        <v>Ferramenta Inválida</v>
      </c>
      <c r="D276" s="4" t="str">
        <f>RTD("rtdtrading.rtdserver",, "BOOK0", "VOV", 272)</f>
        <v>Ferramenta Inválida</v>
      </c>
      <c r="F276" s="3"/>
      <c r="G276" s="5"/>
      <c r="H276" s="6"/>
      <c r="I276" s="4"/>
      <c r="K276" s="5"/>
      <c r="L276" s="6"/>
      <c r="N276" s="3"/>
      <c r="O276" s="3"/>
      <c r="P276" s="4"/>
      <c r="Q276" s="4"/>
      <c r="S276" s="3"/>
      <c r="T276" s="3"/>
      <c r="U276" s="4"/>
      <c r="V276" s="4"/>
    </row>
    <row r="277" spans="1:22" x14ac:dyDescent="0.25">
      <c r="A277" s="3" t="str">
        <f>RTD("rtdtrading.rtdserver",, "BOOK0", "VOC", 273)</f>
        <v>Ferramenta Inválida</v>
      </c>
      <c r="B277" s="3" t="str">
        <f>RTD("rtdtrading.rtdserver",, "BOOK0", "OCP", 273)</f>
        <v>Ferramenta Inválida</v>
      </c>
      <c r="C277" s="4" t="str">
        <f>RTD("rtdtrading.rtdserver",, "BOOK0", "OVD", 273)</f>
        <v>Ferramenta Inválida</v>
      </c>
      <c r="D277" s="4" t="str">
        <f>RTD("rtdtrading.rtdserver",, "BOOK0", "VOV", 273)</f>
        <v>Ferramenta Inválida</v>
      </c>
      <c r="F277" s="3"/>
      <c r="G277" s="5"/>
      <c r="H277" s="6"/>
      <c r="I277" s="4"/>
      <c r="K277" s="5"/>
      <c r="L277" s="6"/>
      <c r="N277" s="3"/>
      <c r="O277" s="3"/>
      <c r="P277" s="4"/>
      <c r="Q277" s="4"/>
      <c r="S277" s="3"/>
      <c r="T277" s="3"/>
      <c r="U277" s="4"/>
      <c r="V277" s="4"/>
    </row>
    <row r="278" spans="1:22" x14ac:dyDescent="0.25">
      <c r="A278" s="3" t="str">
        <f>RTD("rtdtrading.rtdserver",, "BOOK0", "VOC", 274)</f>
        <v>Ferramenta Inválida</v>
      </c>
      <c r="B278" s="3" t="str">
        <f>RTD("rtdtrading.rtdserver",, "BOOK0", "OCP", 274)</f>
        <v>Ferramenta Inválida</v>
      </c>
      <c r="C278" s="4" t="str">
        <f>RTD("rtdtrading.rtdserver",, "BOOK0", "OVD", 274)</f>
        <v>Ferramenta Inválida</v>
      </c>
      <c r="D278" s="4" t="str">
        <f>RTD("rtdtrading.rtdserver",, "BOOK0", "VOV", 274)</f>
        <v>Ferramenta Inválida</v>
      </c>
      <c r="F278" s="3"/>
      <c r="G278" s="5"/>
      <c r="H278" s="6"/>
      <c r="I278" s="4"/>
      <c r="K278" s="5"/>
      <c r="L278" s="6"/>
      <c r="N278" s="3"/>
      <c r="O278" s="3"/>
      <c r="P278" s="4"/>
      <c r="Q278" s="4"/>
      <c r="S278" s="3"/>
      <c r="T278" s="3"/>
      <c r="U278" s="4"/>
      <c r="V278" s="4"/>
    </row>
    <row r="279" spans="1:22" x14ac:dyDescent="0.25">
      <c r="A279" s="3" t="str">
        <f>RTD("rtdtrading.rtdserver",, "BOOK0", "VOC", 275)</f>
        <v>Ferramenta Inválida</v>
      </c>
      <c r="B279" s="3" t="str">
        <f>RTD("rtdtrading.rtdserver",, "BOOK0", "OCP", 275)</f>
        <v>Ferramenta Inválida</v>
      </c>
      <c r="C279" s="4" t="str">
        <f>RTD("rtdtrading.rtdserver",, "BOOK0", "OVD", 275)</f>
        <v>Ferramenta Inválida</v>
      </c>
      <c r="D279" s="4" t="str">
        <f>RTD("rtdtrading.rtdserver",, "BOOK0", "VOV", 275)</f>
        <v>Ferramenta Inválida</v>
      </c>
      <c r="F279" s="3"/>
      <c r="G279" s="5"/>
      <c r="H279" s="6"/>
      <c r="I279" s="4"/>
      <c r="K279" s="5"/>
      <c r="L279" s="6"/>
      <c r="N279" s="3"/>
      <c r="O279" s="3"/>
      <c r="P279" s="4"/>
      <c r="Q279" s="4"/>
      <c r="S279" s="3"/>
      <c r="T279" s="3"/>
      <c r="U279" s="4"/>
      <c r="V279" s="4"/>
    </row>
    <row r="280" spans="1:22" x14ac:dyDescent="0.25">
      <c r="A280" s="3" t="str">
        <f>RTD("rtdtrading.rtdserver",, "BOOK0", "VOC", 276)</f>
        <v>Ferramenta Inválida</v>
      </c>
      <c r="B280" s="3" t="str">
        <f>RTD("rtdtrading.rtdserver",, "BOOK0", "OCP", 276)</f>
        <v>Ferramenta Inválida</v>
      </c>
      <c r="C280" s="4" t="str">
        <f>RTD("rtdtrading.rtdserver",, "BOOK0", "OVD", 276)</f>
        <v>Ferramenta Inválida</v>
      </c>
      <c r="D280" s="4" t="str">
        <f>RTD("rtdtrading.rtdserver",, "BOOK0", "VOV", 276)</f>
        <v>Ferramenta Inválida</v>
      </c>
      <c r="F280" s="3"/>
      <c r="G280" s="5"/>
      <c r="H280" s="6"/>
      <c r="I280" s="4"/>
      <c r="K280" s="5"/>
      <c r="L280" s="6"/>
      <c r="N280" s="3"/>
      <c r="O280" s="3"/>
      <c r="P280" s="4"/>
      <c r="Q280" s="4"/>
      <c r="S280" s="3"/>
      <c r="T280" s="3"/>
      <c r="U280" s="4"/>
      <c r="V280" s="4"/>
    </row>
    <row r="281" spans="1:22" x14ac:dyDescent="0.25">
      <c r="A281" s="3" t="str">
        <f>RTD("rtdtrading.rtdserver",, "BOOK0", "VOC", 277)</f>
        <v>Ferramenta Inválida</v>
      </c>
      <c r="B281" s="3" t="str">
        <f>RTD("rtdtrading.rtdserver",, "BOOK0", "OCP", 277)</f>
        <v>Ferramenta Inválida</v>
      </c>
      <c r="C281" s="4" t="str">
        <f>RTD("rtdtrading.rtdserver",, "BOOK0", "OVD", 277)</f>
        <v>Ferramenta Inválida</v>
      </c>
      <c r="D281" s="4" t="str">
        <f>RTD("rtdtrading.rtdserver",, "BOOK0", "VOV", 277)</f>
        <v>Ferramenta Inválida</v>
      </c>
      <c r="F281" s="3"/>
      <c r="G281" s="5"/>
      <c r="H281" s="6"/>
      <c r="I281" s="4"/>
      <c r="K281" s="5"/>
      <c r="L281" s="6"/>
      <c r="N281" s="3"/>
      <c r="O281" s="3"/>
      <c r="P281" s="4"/>
      <c r="Q281" s="4"/>
      <c r="S281" s="3"/>
      <c r="T281" s="3"/>
      <c r="U281" s="4"/>
      <c r="V281" s="4"/>
    </row>
    <row r="282" spans="1:22" x14ac:dyDescent="0.25">
      <c r="A282" s="3" t="str">
        <f>RTD("rtdtrading.rtdserver",, "BOOK0", "VOC", 278)</f>
        <v>Ferramenta Inválida</v>
      </c>
      <c r="B282" s="3" t="str">
        <f>RTD("rtdtrading.rtdserver",, "BOOK0", "OCP", 278)</f>
        <v>Ferramenta Inválida</v>
      </c>
      <c r="C282" s="4" t="str">
        <f>RTD("rtdtrading.rtdserver",, "BOOK0", "OVD", 278)</f>
        <v>Ferramenta Inválida</v>
      </c>
      <c r="D282" s="4" t="str">
        <f>RTD("rtdtrading.rtdserver",, "BOOK0", "VOV", 278)</f>
        <v>Ferramenta Inválida</v>
      </c>
      <c r="F282" s="3"/>
      <c r="G282" s="5"/>
      <c r="H282" s="6"/>
      <c r="I282" s="4"/>
      <c r="K282" s="5"/>
      <c r="L282" s="6"/>
      <c r="N282" s="3"/>
      <c r="O282" s="3"/>
      <c r="P282" s="4"/>
      <c r="Q282" s="4"/>
      <c r="S282" s="3"/>
      <c r="T282" s="3"/>
      <c r="U282" s="4"/>
      <c r="V282" s="4"/>
    </row>
    <row r="283" spans="1:22" x14ac:dyDescent="0.25">
      <c r="A283" s="3" t="str">
        <f>RTD("rtdtrading.rtdserver",, "BOOK0", "VOC", 279)</f>
        <v>Ferramenta Inválida</v>
      </c>
      <c r="B283" s="3" t="str">
        <f>RTD("rtdtrading.rtdserver",, "BOOK0", "OCP", 279)</f>
        <v>Ferramenta Inválida</v>
      </c>
      <c r="C283" s="4" t="str">
        <f>RTD("rtdtrading.rtdserver",, "BOOK0", "OVD", 279)</f>
        <v>Ferramenta Inválida</v>
      </c>
      <c r="D283" s="4" t="str">
        <f>RTD("rtdtrading.rtdserver",, "BOOK0", "VOV", 279)</f>
        <v>Ferramenta Inválida</v>
      </c>
      <c r="F283" s="3"/>
      <c r="G283" s="5"/>
      <c r="H283" s="6"/>
      <c r="I283" s="4"/>
      <c r="K283" s="5"/>
      <c r="L283" s="6"/>
      <c r="N283" s="3"/>
      <c r="O283" s="3"/>
      <c r="P283" s="4"/>
      <c r="Q283" s="4"/>
      <c r="S283" s="3"/>
      <c r="T283" s="3"/>
      <c r="U283" s="4"/>
      <c r="V283" s="4"/>
    </row>
    <row r="284" spans="1:22" x14ac:dyDescent="0.25">
      <c r="A284" s="3" t="str">
        <f>RTD("rtdtrading.rtdserver",, "BOOK0", "VOC", 280)</f>
        <v>Ferramenta Inválida</v>
      </c>
      <c r="B284" s="3" t="str">
        <f>RTD("rtdtrading.rtdserver",, "BOOK0", "OCP", 280)</f>
        <v>Ferramenta Inválida</v>
      </c>
      <c r="C284" s="4" t="str">
        <f>RTD("rtdtrading.rtdserver",, "BOOK0", "OVD", 280)</f>
        <v>Ferramenta Inválida</v>
      </c>
      <c r="D284" s="4" t="str">
        <f>RTD("rtdtrading.rtdserver",, "BOOK0", "VOV", 280)</f>
        <v>Ferramenta Inválida</v>
      </c>
      <c r="F284" s="3"/>
      <c r="G284" s="5"/>
      <c r="H284" s="6"/>
      <c r="I284" s="4"/>
      <c r="K284" s="5"/>
      <c r="L284" s="6"/>
      <c r="N284" s="3"/>
      <c r="O284" s="3"/>
      <c r="P284" s="4"/>
      <c r="Q284" s="4"/>
      <c r="S284" s="3"/>
      <c r="T284" s="3"/>
      <c r="U284" s="4"/>
      <c r="V284" s="4"/>
    </row>
    <row r="285" spans="1:22" x14ac:dyDescent="0.25">
      <c r="A285" s="3" t="str">
        <f>RTD("rtdtrading.rtdserver",, "BOOK0", "VOC", 281)</f>
        <v>Ferramenta Inválida</v>
      </c>
      <c r="B285" s="3" t="str">
        <f>RTD("rtdtrading.rtdserver",, "BOOK0", "OCP", 281)</f>
        <v>Ferramenta Inválida</v>
      </c>
      <c r="C285" s="4" t="str">
        <f>RTD("rtdtrading.rtdserver",, "BOOK0", "OVD", 281)</f>
        <v>Ferramenta Inválida</v>
      </c>
      <c r="D285" s="4" t="str">
        <f>RTD("rtdtrading.rtdserver",, "BOOK0", "VOV", 281)</f>
        <v>Ferramenta Inválida</v>
      </c>
      <c r="F285" s="3"/>
      <c r="G285" s="5"/>
      <c r="H285" s="6"/>
      <c r="I285" s="4"/>
      <c r="K285" s="5"/>
      <c r="L285" s="6"/>
      <c r="N285" s="3"/>
      <c r="O285" s="3"/>
      <c r="P285" s="4"/>
      <c r="Q285" s="4"/>
      <c r="S285" s="3"/>
      <c r="T285" s="3"/>
      <c r="U285" s="4"/>
      <c r="V285" s="4"/>
    </row>
    <row r="286" spans="1:22" x14ac:dyDescent="0.25">
      <c r="A286" s="3" t="str">
        <f>RTD("rtdtrading.rtdserver",, "BOOK0", "VOC", 282)</f>
        <v>Ferramenta Inválida</v>
      </c>
      <c r="B286" s="3" t="str">
        <f>RTD("rtdtrading.rtdserver",, "BOOK0", "OCP", 282)</f>
        <v>Ferramenta Inválida</v>
      </c>
      <c r="C286" s="4" t="str">
        <f>RTD("rtdtrading.rtdserver",, "BOOK0", "OVD", 282)</f>
        <v>Ferramenta Inválida</v>
      </c>
      <c r="D286" s="4" t="str">
        <f>RTD("rtdtrading.rtdserver",, "BOOK0", "VOV", 282)</f>
        <v>Ferramenta Inválida</v>
      </c>
      <c r="F286" s="3"/>
      <c r="G286" s="5"/>
      <c r="H286" s="6"/>
      <c r="I286" s="4"/>
      <c r="K286" s="5"/>
      <c r="L286" s="6"/>
      <c r="N286" s="3"/>
      <c r="O286" s="3"/>
      <c r="P286" s="4"/>
      <c r="Q286" s="4"/>
      <c r="S286" s="3"/>
      <c r="T286" s="3"/>
      <c r="U286" s="4"/>
      <c r="V286" s="4"/>
    </row>
    <row r="287" spans="1:22" x14ac:dyDescent="0.25">
      <c r="A287" s="3" t="str">
        <f>RTD("rtdtrading.rtdserver",, "BOOK0", "VOC", 283)</f>
        <v>Ferramenta Inválida</v>
      </c>
      <c r="B287" s="3" t="str">
        <f>RTD("rtdtrading.rtdserver",, "BOOK0", "OCP", 283)</f>
        <v>Ferramenta Inválida</v>
      </c>
      <c r="C287" s="4" t="str">
        <f>RTD("rtdtrading.rtdserver",, "BOOK0", "OVD", 283)</f>
        <v>Ferramenta Inválida</v>
      </c>
      <c r="D287" s="4" t="str">
        <f>RTD("rtdtrading.rtdserver",, "BOOK0", "VOV", 283)</f>
        <v>Ferramenta Inválida</v>
      </c>
      <c r="F287" s="3"/>
      <c r="G287" s="5"/>
      <c r="H287" s="6"/>
      <c r="I287" s="4"/>
      <c r="K287" s="5"/>
      <c r="L287" s="6"/>
      <c r="N287" s="3"/>
      <c r="O287" s="3"/>
      <c r="P287" s="4"/>
      <c r="Q287" s="4"/>
      <c r="S287" s="3"/>
      <c r="T287" s="3"/>
      <c r="U287" s="4"/>
      <c r="V287" s="4"/>
    </row>
    <row r="288" spans="1:22" x14ac:dyDescent="0.25">
      <c r="A288" s="3" t="str">
        <f>RTD("rtdtrading.rtdserver",, "BOOK0", "VOC", 284)</f>
        <v>Ferramenta Inválida</v>
      </c>
      <c r="B288" s="3" t="str">
        <f>RTD("rtdtrading.rtdserver",, "BOOK0", "OCP", 284)</f>
        <v>Ferramenta Inválida</v>
      </c>
      <c r="C288" s="4" t="str">
        <f>RTD("rtdtrading.rtdserver",, "BOOK0", "OVD", 284)</f>
        <v>Ferramenta Inválida</v>
      </c>
      <c r="D288" s="4" t="str">
        <f>RTD("rtdtrading.rtdserver",, "BOOK0", "VOV", 284)</f>
        <v>Ferramenta Inválida</v>
      </c>
      <c r="F288" s="3"/>
      <c r="G288" s="5"/>
      <c r="H288" s="6"/>
      <c r="I288" s="4"/>
      <c r="K288" s="5"/>
      <c r="L288" s="6"/>
      <c r="N288" s="3"/>
      <c r="O288" s="3"/>
      <c r="P288" s="4"/>
      <c r="Q288" s="4"/>
      <c r="S288" s="3"/>
      <c r="T288" s="3"/>
      <c r="U288" s="4"/>
      <c r="V288" s="4"/>
    </row>
    <row r="289" spans="1:22" x14ac:dyDescent="0.25">
      <c r="A289" s="3" t="str">
        <f>RTD("rtdtrading.rtdserver",, "BOOK0", "VOC", 285)</f>
        <v>Ferramenta Inválida</v>
      </c>
      <c r="B289" s="3" t="str">
        <f>RTD("rtdtrading.rtdserver",, "BOOK0", "OCP", 285)</f>
        <v>Ferramenta Inválida</v>
      </c>
      <c r="C289" s="4" t="str">
        <f>RTD("rtdtrading.rtdserver",, "BOOK0", "OVD", 285)</f>
        <v>Ferramenta Inválida</v>
      </c>
      <c r="D289" s="4" t="str">
        <f>RTD("rtdtrading.rtdserver",, "BOOK0", "VOV", 285)</f>
        <v>Ferramenta Inválida</v>
      </c>
      <c r="F289" s="3"/>
      <c r="G289" s="5"/>
      <c r="H289" s="6"/>
      <c r="I289" s="4"/>
      <c r="K289" s="5"/>
      <c r="L289" s="6"/>
      <c r="N289" s="3"/>
      <c r="O289" s="3"/>
      <c r="P289" s="4"/>
      <c r="Q289" s="4"/>
      <c r="S289" s="3"/>
      <c r="T289" s="3"/>
      <c r="U289" s="4"/>
      <c r="V289" s="4"/>
    </row>
    <row r="290" spans="1:22" x14ac:dyDescent="0.25">
      <c r="A290" s="3" t="str">
        <f>RTD("rtdtrading.rtdserver",, "BOOK0", "VOC", 286)</f>
        <v>Ferramenta Inválida</v>
      </c>
      <c r="B290" s="3" t="str">
        <f>RTD("rtdtrading.rtdserver",, "BOOK0", "OCP", 286)</f>
        <v>Ferramenta Inválida</v>
      </c>
      <c r="C290" s="4" t="str">
        <f>RTD("rtdtrading.rtdserver",, "BOOK0", "OVD", 286)</f>
        <v>Ferramenta Inválida</v>
      </c>
      <c r="D290" s="4" t="str">
        <f>RTD("rtdtrading.rtdserver",, "BOOK0", "VOV", 286)</f>
        <v>Ferramenta Inválida</v>
      </c>
      <c r="F290" s="3"/>
      <c r="G290" s="5"/>
      <c r="H290" s="6"/>
      <c r="I290" s="4"/>
      <c r="K290" s="5"/>
      <c r="L290" s="6"/>
      <c r="N290" s="3"/>
      <c r="O290" s="3"/>
      <c r="P290" s="4"/>
      <c r="Q290" s="4"/>
      <c r="S290" s="3"/>
      <c r="T290" s="3"/>
      <c r="U290" s="4"/>
      <c r="V290" s="4"/>
    </row>
    <row r="291" spans="1:22" x14ac:dyDescent="0.25">
      <c r="A291" s="3" t="str">
        <f>RTD("rtdtrading.rtdserver",, "BOOK0", "VOC", 287)</f>
        <v>Ferramenta Inválida</v>
      </c>
      <c r="B291" s="3" t="str">
        <f>RTD("rtdtrading.rtdserver",, "BOOK0", "OCP", 287)</f>
        <v>Ferramenta Inválida</v>
      </c>
      <c r="C291" s="4" t="str">
        <f>RTD("rtdtrading.rtdserver",, "BOOK0", "OVD", 287)</f>
        <v>Ferramenta Inválida</v>
      </c>
      <c r="D291" s="4" t="str">
        <f>RTD("rtdtrading.rtdserver",, "BOOK0", "VOV", 287)</f>
        <v>Ferramenta Inválida</v>
      </c>
      <c r="F291" s="3"/>
      <c r="G291" s="5"/>
      <c r="H291" s="6"/>
      <c r="I291" s="4"/>
      <c r="K291" s="5"/>
      <c r="L291" s="6"/>
      <c r="N291" s="3"/>
      <c r="O291" s="3"/>
      <c r="P291" s="4"/>
      <c r="Q291" s="4"/>
      <c r="S291" s="3"/>
      <c r="T291" s="3"/>
      <c r="U291" s="4"/>
      <c r="V291" s="4"/>
    </row>
    <row r="292" spans="1:22" x14ac:dyDescent="0.25">
      <c r="A292" s="3" t="str">
        <f>RTD("rtdtrading.rtdserver",, "BOOK0", "VOC", 288)</f>
        <v>Ferramenta Inválida</v>
      </c>
      <c r="B292" s="3" t="str">
        <f>RTD("rtdtrading.rtdserver",, "BOOK0", "OCP", 288)</f>
        <v>Ferramenta Inválida</v>
      </c>
      <c r="C292" s="4" t="str">
        <f>RTD("rtdtrading.rtdserver",, "BOOK0", "OVD", 288)</f>
        <v>Ferramenta Inválida</v>
      </c>
      <c r="D292" s="4" t="str">
        <f>RTD("rtdtrading.rtdserver",, "BOOK0", "VOV", 288)</f>
        <v>Ferramenta Inválida</v>
      </c>
      <c r="F292" s="3"/>
      <c r="G292" s="5"/>
      <c r="H292" s="6"/>
      <c r="I292" s="4"/>
      <c r="K292" s="5"/>
      <c r="L292" s="6"/>
      <c r="N292" s="3"/>
      <c r="O292" s="3"/>
      <c r="P292" s="4"/>
      <c r="Q292" s="4"/>
      <c r="S292" s="3"/>
      <c r="T292" s="3"/>
      <c r="U292" s="4"/>
      <c r="V292" s="4"/>
    </row>
    <row r="293" spans="1:22" x14ac:dyDescent="0.25">
      <c r="A293" s="3" t="str">
        <f>RTD("rtdtrading.rtdserver",, "BOOK0", "VOC", 289)</f>
        <v>Ferramenta Inválida</v>
      </c>
      <c r="B293" s="3" t="str">
        <f>RTD("rtdtrading.rtdserver",, "BOOK0", "OCP", 289)</f>
        <v>Ferramenta Inválida</v>
      </c>
      <c r="C293" s="4" t="str">
        <f>RTD("rtdtrading.rtdserver",, "BOOK0", "OVD", 289)</f>
        <v>Ferramenta Inválida</v>
      </c>
      <c r="D293" s="4" t="str">
        <f>RTD("rtdtrading.rtdserver",, "BOOK0", "VOV", 289)</f>
        <v>Ferramenta Inválida</v>
      </c>
      <c r="F293" s="3"/>
      <c r="G293" s="5"/>
      <c r="H293" s="6"/>
      <c r="I293" s="4"/>
      <c r="K293" s="5"/>
      <c r="L293" s="6"/>
      <c r="N293" s="3"/>
      <c r="O293" s="3"/>
      <c r="P293" s="4"/>
      <c r="Q293" s="4"/>
      <c r="S293" s="3"/>
      <c r="T293" s="3"/>
      <c r="U293" s="4"/>
      <c r="V293" s="4"/>
    </row>
    <row r="294" spans="1:22" x14ac:dyDescent="0.25">
      <c r="A294" s="3" t="str">
        <f>RTD("rtdtrading.rtdserver",, "BOOK0", "VOC", 290)</f>
        <v>Ferramenta Inválida</v>
      </c>
      <c r="B294" s="3" t="str">
        <f>RTD("rtdtrading.rtdserver",, "BOOK0", "OCP", 290)</f>
        <v>Ferramenta Inválida</v>
      </c>
      <c r="C294" s="4" t="str">
        <f>RTD("rtdtrading.rtdserver",, "BOOK0", "OVD", 290)</f>
        <v>Ferramenta Inválida</v>
      </c>
      <c r="D294" s="4" t="str">
        <f>RTD("rtdtrading.rtdserver",, "BOOK0", "VOV", 290)</f>
        <v>Ferramenta Inválida</v>
      </c>
      <c r="F294" s="3"/>
      <c r="G294" s="5"/>
      <c r="H294" s="6"/>
      <c r="I294" s="4"/>
      <c r="K294" s="5"/>
      <c r="L294" s="6"/>
      <c r="N294" s="3"/>
      <c r="O294" s="3"/>
      <c r="P294" s="4"/>
      <c r="Q294" s="4"/>
      <c r="S294" s="3"/>
      <c r="T294" s="3"/>
      <c r="U294" s="4"/>
      <c r="V294" s="4"/>
    </row>
    <row r="295" spans="1:22" x14ac:dyDescent="0.25">
      <c r="A295" s="3" t="str">
        <f>RTD("rtdtrading.rtdserver",, "BOOK0", "VOC", 291)</f>
        <v>Ferramenta Inválida</v>
      </c>
      <c r="B295" s="3" t="str">
        <f>RTD("rtdtrading.rtdserver",, "BOOK0", "OCP", 291)</f>
        <v>Ferramenta Inválida</v>
      </c>
      <c r="C295" s="4" t="str">
        <f>RTD("rtdtrading.rtdserver",, "BOOK0", "OVD", 291)</f>
        <v>Ferramenta Inválida</v>
      </c>
      <c r="D295" s="4" t="str">
        <f>RTD("rtdtrading.rtdserver",, "BOOK0", "VOV", 291)</f>
        <v>Ferramenta Inválida</v>
      </c>
      <c r="F295" s="3"/>
      <c r="G295" s="5"/>
      <c r="H295" s="6"/>
      <c r="I295" s="4"/>
      <c r="K295" s="5"/>
      <c r="L295" s="6"/>
      <c r="N295" s="3"/>
      <c r="O295" s="3"/>
      <c r="P295" s="4"/>
      <c r="Q295" s="4"/>
      <c r="S295" s="3"/>
      <c r="T295" s="3"/>
      <c r="U295" s="4"/>
      <c r="V295" s="4"/>
    </row>
    <row r="296" spans="1:22" x14ac:dyDescent="0.25">
      <c r="A296" s="3" t="str">
        <f>RTD("rtdtrading.rtdserver",, "BOOK0", "VOC", 292)</f>
        <v>Ferramenta Inválida</v>
      </c>
      <c r="B296" s="3" t="str">
        <f>RTD("rtdtrading.rtdserver",, "BOOK0", "OCP", 292)</f>
        <v>Ferramenta Inválida</v>
      </c>
      <c r="C296" s="4" t="str">
        <f>RTD("rtdtrading.rtdserver",, "BOOK0", "OVD", 292)</f>
        <v>Ferramenta Inválida</v>
      </c>
      <c r="D296" s="4" t="str">
        <f>RTD("rtdtrading.rtdserver",, "BOOK0", "VOV", 292)</f>
        <v>Ferramenta Inválida</v>
      </c>
      <c r="F296" s="3"/>
      <c r="G296" s="5"/>
      <c r="H296" s="6"/>
      <c r="I296" s="4"/>
      <c r="K296" s="5"/>
      <c r="L296" s="6"/>
      <c r="N296" s="3"/>
      <c r="O296" s="3"/>
      <c r="P296" s="4"/>
      <c r="Q296" s="4"/>
      <c r="S296" s="3"/>
      <c r="T296" s="3"/>
      <c r="U296" s="4"/>
      <c r="V296" s="4"/>
    </row>
    <row r="297" spans="1:22" x14ac:dyDescent="0.25">
      <c r="A297" s="3" t="str">
        <f>RTD("rtdtrading.rtdserver",, "BOOK0", "VOC", 293)</f>
        <v>Ferramenta Inválida</v>
      </c>
      <c r="B297" s="3" t="str">
        <f>RTD("rtdtrading.rtdserver",, "BOOK0", "OCP", 293)</f>
        <v>Ferramenta Inválida</v>
      </c>
      <c r="C297" s="4" t="str">
        <f>RTD("rtdtrading.rtdserver",, "BOOK0", "OVD", 293)</f>
        <v>Ferramenta Inválida</v>
      </c>
      <c r="D297" s="4" t="str">
        <f>RTD("rtdtrading.rtdserver",, "BOOK0", "VOV", 293)</f>
        <v>Ferramenta Inválida</v>
      </c>
      <c r="F297" s="3"/>
      <c r="G297" s="5"/>
      <c r="H297" s="6"/>
      <c r="I297" s="4"/>
      <c r="K297" s="5"/>
      <c r="L297" s="6"/>
      <c r="N297" s="3"/>
      <c r="O297" s="3"/>
      <c r="P297" s="4"/>
      <c r="Q297" s="4"/>
      <c r="S297" s="3"/>
      <c r="T297" s="3"/>
      <c r="U297" s="4"/>
      <c r="V297" s="4"/>
    </row>
    <row r="298" spans="1:22" x14ac:dyDescent="0.25">
      <c r="A298" s="3" t="str">
        <f>RTD("rtdtrading.rtdserver",, "BOOK0", "VOC", 294)</f>
        <v>Ferramenta Inválida</v>
      </c>
      <c r="B298" s="3" t="str">
        <f>RTD("rtdtrading.rtdserver",, "BOOK0", "OCP", 294)</f>
        <v>Ferramenta Inválida</v>
      </c>
      <c r="C298" s="4" t="str">
        <f>RTD("rtdtrading.rtdserver",, "BOOK0", "OVD", 294)</f>
        <v>Ferramenta Inválida</v>
      </c>
      <c r="D298" s="4" t="str">
        <f>RTD("rtdtrading.rtdserver",, "BOOK0", "VOV", 294)</f>
        <v>Ferramenta Inválida</v>
      </c>
      <c r="F298" s="3"/>
      <c r="G298" s="5"/>
      <c r="H298" s="6"/>
      <c r="I298" s="4"/>
      <c r="K298" s="5"/>
      <c r="L298" s="6"/>
      <c r="N298" s="3"/>
      <c r="O298" s="3"/>
      <c r="P298" s="4"/>
      <c r="Q298" s="4"/>
      <c r="S298" s="3"/>
      <c r="T298" s="3"/>
      <c r="U298" s="4"/>
      <c r="V298" s="4"/>
    </row>
    <row r="299" spans="1:22" x14ac:dyDescent="0.25">
      <c r="A299" s="3" t="str">
        <f>RTD("rtdtrading.rtdserver",, "BOOK0", "VOC", 295)</f>
        <v>Ferramenta Inválida</v>
      </c>
      <c r="B299" s="3" t="str">
        <f>RTD("rtdtrading.rtdserver",, "BOOK0", "OCP", 295)</f>
        <v>Ferramenta Inválida</v>
      </c>
      <c r="C299" s="4" t="str">
        <f>RTD("rtdtrading.rtdserver",, "BOOK0", "OVD", 295)</f>
        <v>Ferramenta Inválida</v>
      </c>
      <c r="D299" s="4" t="str">
        <f>RTD("rtdtrading.rtdserver",, "BOOK0", "VOV", 295)</f>
        <v>Ferramenta Inválida</v>
      </c>
      <c r="F299" s="3"/>
      <c r="G299" s="5"/>
      <c r="H299" s="6"/>
      <c r="I299" s="4"/>
      <c r="K299" s="5"/>
      <c r="L299" s="6"/>
      <c r="N299" s="3"/>
      <c r="O299" s="3"/>
      <c r="P299" s="4"/>
      <c r="Q299" s="4"/>
      <c r="S299" s="3"/>
      <c r="T299" s="3"/>
      <c r="U299" s="4"/>
      <c r="V299" s="4"/>
    </row>
    <row r="300" spans="1:22" x14ac:dyDescent="0.25">
      <c r="A300" s="3" t="str">
        <f>RTD("rtdtrading.rtdserver",, "BOOK0", "VOC", 296)</f>
        <v>Ferramenta Inválida</v>
      </c>
      <c r="B300" s="3" t="str">
        <f>RTD("rtdtrading.rtdserver",, "BOOK0", "OCP", 296)</f>
        <v>Ferramenta Inválida</v>
      </c>
      <c r="C300" s="4" t="str">
        <f>RTD("rtdtrading.rtdserver",, "BOOK0", "OVD", 296)</f>
        <v>Ferramenta Inválida</v>
      </c>
      <c r="D300" s="4" t="str">
        <f>RTD("rtdtrading.rtdserver",, "BOOK0", "VOV", 296)</f>
        <v>Ferramenta Inválida</v>
      </c>
      <c r="F300" s="3"/>
      <c r="G300" s="5"/>
      <c r="H300" s="6"/>
      <c r="I300" s="4"/>
      <c r="K300" s="5"/>
      <c r="L300" s="6"/>
      <c r="N300" s="3"/>
      <c r="O300" s="3"/>
      <c r="P300" s="4"/>
      <c r="Q300" s="4"/>
      <c r="S300" s="3"/>
      <c r="T300" s="3"/>
      <c r="U300" s="4"/>
      <c r="V300" s="4"/>
    </row>
    <row r="301" spans="1:22" x14ac:dyDescent="0.25">
      <c r="A301" s="3" t="str">
        <f>RTD("rtdtrading.rtdserver",, "BOOK0", "VOC", 297)</f>
        <v>Ferramenta Inválida</v>
      </c>
      <c r="B301" s="3" t="str">
        <f>RTD("rtdtrading.rtdserver",, "BOOK0", "OCP", 297)</f>
        <v>Ferramenta Inválida</v>
      </c>
      <c r="C301" s="4" t="str">
        <f>RTD("rtdtrading.rtdserver",, "BOOK0", "OVD", 297)</f>
        <v>Ferramenta Inválida</v>
      </c>
      <c r="D301" s="4" t="str">
        <f>RTD("rtdtrading.rtdserver",, "BOOK0", "VOV", 297)</f>
        <v>Ferramenta Inválida</v>
      </c>
      <c r="F301" s="3"/>
      <c r="G301" s="5"/>
      <c r="H301" s="6"/>
      <c r="I301" s="4"/>
      <c r="K301" s="5"/>
      <c r="L301" s="6"/>
      <c r="N301" s="3"/>
      <c r="O301" s="3"/>
      <c r="P301" s="4"/>
      <c r="Q301" s="4"/>
      <c r="S301" s="3"/>
      <c r="T301" s="3"/>
      <c r="U301" s="4"/>
      <c r="V301" s="4"/>
    </row>
    <row r="302" spans="1:22" x14ac:dyDescent="0.25">
      <c r="A302" s="3" t="str">
        <f>RTD("rtdtrading.rtdserver",, "BOOK0", "VOC", 298)</f>
        <v>Ferramenta Inválida</v>
      </c>
      <c r="B302" s="3" t="str">
        <f>RTD("rtdtrading.rtdserver",, "BOOK0", "OCP", 298)</f>
        <v>Ferramenta Inválida</v>
      </c>
      <c r="C302" s="4" t="str">
        <f>RTD("rtdtrading.rtdserver",, "BOOK0", "OVD", 298)</f>
        <v>Ferramenta Inválida</v>
      </c>
      <c r="D302" s="4" t="str">
        <f>RTD("rtdtrading.rtdserver",, "BOOK0", "VOV", 298)</f>
        <v>Ferramenta Inválida</v>
      </c>
      <c r="F302" s="3"/>
      <c r="G302" s="5"/>
      <c r="H302" s="6"/>
      <c r="I302" s="4"/>
      <c r="K302" s="5"/>
      <c r="L302" s="6"/>
      <c r="N302" s="3"/>
      <c r="O302" s="3"/>
      <c r="P302" s="4"/>
      <c r="Q302" s="4"/>
      <c r="S302" s="3"/>
      <c r="T302" s="3"/>
      <c r="U302" s="4"/>
      <c r="V302" s="4"/>
    </row>
    <row r="303" spans="1:22" x14ac:dyDescent="0.25">
      <c r="A303" s="3" t="str">
        <f>RTD("rtdtrading.rtdserver",, "BOOK0", "VOC", 299)</f>
        <v>Ferramenta Inválida</v>
      </c>
      <c r="B303" s="3" t="str">
        <f>RTD("rtdtrading.rtdserver",, "BOOK0", "OCP", 299)</f>
        <v>Ferramenta Inválida</v>
      </c>
      <c r="C303" s="4" t="str">
        <f>RTD("rtdtrading.rtdserver",, "BOOK0", "OVD", 299)</f>
        <v>Ferramenta Inválida</v>
      </c>
      <c r="D303" s="4" t="str">
        <f>RTD("rtdtrading.rtdserver",, "BOOK0", "VOV", 299)</f>
        <v>Ferramenta Inválida</v>
      </c>
      <c r="F303" s="3"/>
      <c r="G303" s="5"/>
      <c r="H303" s="6"/>
      <c r="I303" s="4"/>
      <c r="K303" s="5"/>
      <c r="L303" s="6"/>
      <c r="N303" s="3"/>
      <c r="O303" s="3"/>
      <c r="P303" s="4"/>
      <c r="Q303" s="4"/>
      <c r="S303" s="3"/>
      <c r="T303" s="3"/>
      <c r="U303" s="4"/>
      <c r="V303" s="4"/>
    </row>
    <row r="304" spans="1:22" x14ac:dyDescent="0.25">
      <c r="A304" s="3" t="str">
        <f>RTD("rtdtrading.rtdserver",, "BOOK0", "VOC", 300)</f>
        <v>Ferramenta Inválida</v>
      </c>
      <c r="B304" s="3" t="str">
        <f>RTD("rtdtrading.rtdserver",, "BOOK0", "OCP", 300)</f>
        <v>Ferramenta Inválida</v>
      </c>
      <c r="C304" s="4" t="str">
        <f>RTD("rtdtrading.rtdserver",, "BOOK0", "OVD", 300)</f>
        <v>Ferramenta Inválida</v>
      </c>
      <c r="D304" s="4" t="str">
        <f>RTD("rtdtrading.rtdserver",, "BOOK0", "VOV", 300)</f>
        <v>Ferramenta Inválida</v>
      </c>
      <c r="F304" s="3"/>
      <c r="G304" s="5"/>
      <c r="H304" s="6"/>
      <c r="I304" s="4"/>
      <c r="K304" s="5"/>
      <c r="L304" s="6"/>
      <c r="N304" s="3"/>
      <c r="O304" s="3"/>
      <c r="P304" s="4"/>
      <c r="Q304" s="4"/>
      <c r="S304" s="3"/>
      <c r="T304" s="3"/>
      <c r="U304" s="4"/>
      <c r="V304" s="4"/>
    </row>
    <row r="305" spans="1:22" x14ac:dyDescent="0.25">
      <c r="A305" s="3" t="str">
        <f>RTD("rtdtrading.rtdserver",, "BOOK0", "VOC", 301)</f>
        <v>Ferramenta Inválida</v>
      </c>
      <c r="B305" s="3" t="str">
        <f>RTD("rtdtrading.rtdserver",, "BOOK0", "OCP", 301)</f>
        <v>Ferramenta Inválida</v>
      </c>
      <c r="C305" s="4" t="str">
        <f>RTD("rtdtrading.rtdserver",, "BOOK0", "OVD", 301)</f>
        <v>Ferramenta Inválida</v>
      </c>
      <c r="D305" s="4" t="str">
        <f>RTD("rtdtrading.rtdserver",, "BOOK0", "VOV", 301)</f>
        <v>Ferramenta Inválida</v>
      </c>
      <c r="F305" s="3"/>
      <c r="G305" s="5"/>
      <c r="H305" s="6"/>
      <c r="I305" s="4"/>
      <c r="K305" s="5"/>
      <c r="L305" s="6"/>
      <c r="N305" s="3"/>
      <c r="O305" s="3"/>
      <c r="P305" s="4"/>
      <c r="Q305" s="4"/>
      <c r="S305" s="3"/>
      <c r="T305" s="3"/>
      <c r="U305" s="4"/>
      <c r="V305" s="4"/>
    </row>
    <row r="306" spans="1:22" x14ac:dyDescent="0.25">
      <c r="A306" s="3" t="str">
        <f>RTD("rtdtrading.rtdserver",, "BOOK0", "VOC", 302)</f>
        <v>Ferramenta Inválida</v>
      </c>
      <c r="B306" s="3" t="str">
        <f>RTD("rtdtrading.rtdserver",, "BOOK0", "OCP", 302)</f>
        <v>Ferramenta Inválida</v>
      </c>
      <c r="C306" s="4" t="str">
        <f>RTD("rtdtrading.rtdserver",, "BOOK0", "OVD", 302)</f>
        <v>Ferramenta Inválida</v>
      </c>
      <c r="D306" s="4" t="str">
        <f>RTD("rtdtrading.rtdserver",, "BOOK0", "VOV", 302)</f>
        <v>Ferramenta Inválida</v>
      </c>
      <c r="F306" s="3"/>
      <c r="G306" s="5"/>
      <c r="H306" s="6"/>
      <c r="I306" s="4"/>
      <c r="K306" s="5"/>
      <c r="L306" s="6"/>
      <c r="N306" s="3"/>
      <c r="O306" s="3"/>
      <c r="P306" s="4"/>
      <c r="Q306" s="4"/>
      <c r="S306" s="3"/>
      <c r="T306" s="3"/>
      <c r="U306" s="4"/>
      <c r="V306" s="4"/>
    </row>
    <row r="307" spans="1:22" x14ac:dyDescent="0.25">
      <c r="A307" s="3" t="str">
        <f>RTD("rtdtrading.rtdserver",, "BOOK0", "VOC", 303)</f>
        <v>Ferramenta Inválida</v>
      </c>
      <c r="B307" s="3" t="str">
        <f>RTD("rtdtrading.rtdserver",, "BOOK0", "OCP", 303)</f>
        <v>Ferramenta Inválida</v>
      </c>
      <c r="C307" s="4" t="str">
        <f>RTD("rtdtrading.rtdserver",, "BOOK0", "OVD", 303)</f>
        <v>Ferramenta Inválida</v>
      </c>
      <c r="D307" s="4" t="str">
        <f>RTD("rtdtrading.rtdserver",, "BOOK0", "VOV", 303)</f>
        <v>Ferramenta Inválida</v>
      </c>
      <c r="F307" s="3"/>
      <c r="G307" s="5"/>
      <c r="H307" s="6"/>
      <c r="I307" s="4"/>
      <c r="K307" s="5"/>
      <c r="L307" s="6"/>
      <c r="N307" s="3"/>
      <c r="O307" s="3"/>
      <c r="P307" s="4"/>
      <c r="Q307" s="4"/>
      <c r="S307" s="3"/>
      <c r="T307" s="3"/>
      <c r="U307" s="4"/>
      <c r="V307" s="4"/>
    </row>
    <row r="308" spans="1:22" x14ac:dyDescent="0.25">
      <c r="A308" s="3" t="str">
        <f>RTD("rtdtrading.rtdserver",, "BOOK0", "VOC", 304)</f>
        <v>Ferramenta Inválida</v>
      </c>
      <c r="B308" s="3" t="str">
        <f>RTD("rtdtrading.rtdserver",, "BOOK0", "OCP", 304)</f>
        <v>Ferramenta Inválida</v>
      </c>
      <c r="C308" s="4" t="str">
        <f>RTD("rtdtrading.rtdserver",, "BOOK0", "OVD", 304)</f>
        <v>Ferramenta Inválida</v>
      </c>
      <c r="D308" s="4" t="str">
        <f>RTD("rtdtrading.rtdserver",, "BOOK0", "VOV", 304)</f>
        <v>Ferramenta Inválida</v>
      </c>
      <c r="F308" s="3"/>
      <c r="G308" s="5"/>
      <c r="H308" s="6"/>
      <c r="I308" s="4"/>
      <c r="K308" s="5"/>
      <c r="L308" s="6"/>
      <c r="N308" s="3"/>
      <c r="O308" s="3"/>
      <c r="P308" s="4"/>
      <c r="Q308" s="4"/>
      <c r="S308" s="3"/>
      <c r="T308" s="3"/>
      <c r="U308" s="4"/>
      <c r="V308" s="4"/>
    </row>
    <row r="309" spans="1:22" x14ac:dyDescent="0.25">
      <c r="A309" s="3" t="str">
        <f>RTD("rtdtrading.rtdserver",, "BOOK0", "VOC", 305)</f>
        <v>Ferramenta Inválida</v>
      </c>
      <c r="B309" s="3" t="str">
        <f>RTD("rtdtrading.rtdserver",, "BOOK0", "OCP", 305)</f>
        <v>Ferramenta Inválida</v>
      </c>
      <c r="C309" s="4" t="str">
        <f>RTD("rtdtrading.rtdserver",, "BOOK0", "OVD", 305)</f>
        <v>Ferramenta Inválida</v>
      </c>
      <c r="D309" s="4" t="str">
        <f>RTD("rtdtrading.rtdserver",, "BOOK0", "VOV", 305)</f>
        <v>Ferramenta Inválida</v>
      </c>
      <c r="F309" s="3"/>
      <c r="G309" s="5"/>
      <c r="H309" s="6"/>
      <c r="I309" s="4"/>
      <c r="K309" s="5"/>
      <c r="L309" s="6"/>
      <c r="N309" s="3"/>
      <c r="O309" s="3"/>
      <c r="P309" s="4"/>
      <c r="Q309" s="4"/>
      <c r="S309" s="3"/>
      <c r="T309" s="3"/>
      <c r="U309" s="4"/>
      <c r="V309" s="4"/>
    </row>
    <row r="310" spans="1:22" x14ac:dyDescent="0.25">
      <c r="A310" s="3" t="str">
        <f>RTD("rtdtrading.rtdserver",, "BOOK0", "VOC", 306)</f>
        <v>Ferramenta Inválida</v>
      </c>
      <c r="B310" s="3" t="str">
        <f>RTD("rtdtrading.rtdserver",, "BOOK0", "OCP", 306)</f>
        <v>Ferramenta Inválida</v>
      </c>
      <c r="C310" s="4" t="str">
        <f>RTD("rtdtrading.rtdserver",, "BOOK0", "OVD", 306)</f>
        <v>Ferramenta Inválida</v>
      </c>
      <c r="D310" s="4" t="str">
        <f>RTD("rtdtrading.rtdserver",, "BOOK0", "VOV", 306)</f>
        <v>Ferramenta Inválida</v>
      </c>
      <c r="F310" s="3"/>
      <c r="G310" s="5"/>
      <c r="H310" s="6"/>
      <c r="I310" s="4"/>
      <c r="K310" s="5"/>
      <c r="L310" s="6"/>
      <c r="N310" s="3"/>
      <c r="O310" s="3"/>
      <c r="P310" s="4"/>
      <c r="Q310" s="4"/>
      <c r="S310" s="3"/>
      <c r="T310" s="3"/>
      <c r="U310" s="4"/>
      <c r="V310" s="4"/>
    </row>
    <row r="311" spans="1:22" x14ac:dyDescent="0.25">
      <c r="A311" s="3" t="str">
        <f>RTD("rtdtrading.rtdserver",, "BOOK0", "VOC", 307)</f>
        <v>Ferramenta Inválida</v>
      </c>
      <c r="B311" s="3" t="str">
        <f>RTD("rtdtrading.rtdserver",, "BOOK0", "OCP", 307)</f>
        <v>Ferramenta Inválida</v>
      </c>
      <c r="C311" s="4" t="str">
        <f>RTD("rtdtrading.rtdserver",, "BOOK0", "OVD", 307)</f>
        <v>Ferramenta Inválida</v>
      </c>
      <c r="D311" s="4" t="str">
        <f>RTD("rtdtrading.rtdserver",, "BOOK0", "VOV", 307)</f>
        <v>Ferramenta Inválida</v>
      </c>
      <c r="F311" s="3"/>
      <c r="G311" s="5"/>
      <c r="H311" s="6"/>
      <c r="I311" s="4"/>
      <c r="K311" s="5"/>
      <c r="L311" s="6"/>
      <c r="N311" s="3"/>
      <c r="O311" s="3"/>
      <c r="P311" s="4"/>
      <c r="Q311" s="4"/>
      <c r="S311" s="3"/>
      <c r="T311" s="3"/>
      <c r="U311" s="4"/>
      <c r="V311" s="4"/>
    </row>
    <row r="312" spans="1:22" x14ac:dyDescent="0.25">
      <c r="A312" s="3" t="str">
        <f>RTD("rtdtrading.rtdserver",, "BOOK0", "VOC", 308)</f>
        <v>Ferramenta Inválida</v>
      </c>
      <c r="B312" s="3" t="str">
        <f>RTD("rtdtrading.rtdserver",, "BOOK0", "OCP", 308)</f>
        <v>Ferramenta Inválida</v>
      </c>
      <c r="C312" s="4" t="str">
        <f>RTD("rtdtrading.rtdserver",, "BOOK0", "OVD", 308)</f>
        <v>Ferramenta Inválida</v>
      </c>
      <c r="D312" s="4" t="str">
        <f>RTD("rtdtrading.rtdserver",, "BOOK0", "VOV", 308)</f>
        <v>Ferramenta Inválida</v>
      </c>
      <c r="F312" s="3"/>
      <c r="G312" s="5"/>
      <c r="H312" s="6"/>
      <c r="I312" s="4"/>
      <c r="K312" s="5"/>
      <c r="L312" s="6"/>
      <c r="N312" s="3"/>
      <c r="O312" s="3"/>
      <c r="P312" s="4"/>
      <c r="Q312" s="4"/>
      <c r="S312" s="3"/>
      <c r="T312" s="3"/>
      <c r="U312" s="4"/>
      <c r="V312" s="4"/>
    </row>
    <row r="313" spans="1:22" x14ac:dyDescent="0.25">
      <c r="A313" s="3" t="str">
        <f>RTD("rtdtrading.rtdserver",, "BOOK0", "VOC", 309)</f>
        <v>Ferramenta Inválida</v>
      </c>
      <c r="B313" s="3" t="str">
        <f>RTD("rtdtrading.rtdserver",, "BOOK0", "OCP", 309)</f>
        <v>Ferramenta Inválida</v>
      </c>
      <c r="C313" s="4" t="str">
        <f>RTD("rtdtrading.rtdserver",, "BOOK0", "OVD", 309)</f>
        <v>Ferramenta Inválida</v>
      </c>
      <c r="D313" s="4" t="str">
        <f>RTD("rtdtrading.rtdserver",, "BOOK0", "VOV", 309)</f>
        <v>Ferramenta Inválida</v>
      </c>
      <c r="F313" s="3"/>
      <c r="G313" s="5"/>
      <c r="H313" s="6"/>
      <c r="I313" s="4"/>
      <c r="K313" s="5"/>
      <c r="L313" s="6"/>
      <c r="N313" s="3"/>
      <c r="O313" s="3"/>
      <c r="P313" s="4"/>
      <c r="Q313" s="4"/>
      <c r="S313" s="3"/>
      <c r="T313" s="3"/>
      <c r="U313" s="4"/>
      <c r="V313" s="4"/>
    </row>
    <row r="314" spans="1:22" x14ac:dyDescent="0.25">
      <c r="A314" s="3" t="str">
        <f>RTD("rtdtrading.rtdserver",, "BOOK0", "VOC", 310)</f>
        <v>Ferramenta Inválida</v>
      </c>
      <c r="B314" s="3" t="str">
        <f>RTD("rtdtrading.rtdserver",, "BOOK0", "OCP", 310)</f>
        <v>Ferramenta Inválida</v>
      </c>
      <c r="C314" s="4" t="str">
        <f>RTD("rtdtrading.rtdserver",, "BOOK0", "OVD", 310)</f>
        <v>Ferramenta Inválida</v>
      </c>
      <c r="D314" s="4" t="str">
        <f>RTD("rtdtrading.rtdserver",, "BOOK0", "VOV", 310)</f>
        <v>Ferramenta Inválida</v>
      </c>
      <c r="F314" s="3"/>
      <c r="G314" s="5"/>
      <c r="H314" s="6"/>
      <c r="I314" s="4"/>
      <c r="K314" s="5"/>
      <c r="L314" s="6"/>
      <c r="N314" s="3"/>
      <c r="O314" s="3"/>
      <c r="P314" s="4"/>
      <c r="Q314" s="4"/>
      <c r="S314" s="3"/>
      <c r="T314" s="3"/>
      <c r="U314" s="4"/>
      <c r="V314" s="4"/>
    </row>
    <row r="315" spans="1:22" x14ac:dyDescent="0.25">
      <c r="A315" s="3" t="str">
        <f>RTD("rtdtrading.rtdserver",, "BOOK0", "VOC", 311)</f>
        <v>Ferramenta Inválida</v>
      </c>
      <c r="B315" s="3" t="str">
        <f>RTD("rtdtrading.rtdserver",, "BOOK0", "OCP", 311)</f>
        <v>Ferramenta Inválida</v>
      </c>
      <c r="C315" s="4" t="str">
        <f>RTD("rtdtrading.rtdserver",, "BOOK0", "OVD", 311)</f>
        <v>Ferramenta Inválida</v>
      </c>
      <c r="D315" s="4" t="str">
        <f>RTD("rtdtrading.rtdserver",, "BOOK0", "VOV", 311)</f>
        <v>Ferramenta Inválida</v>
      </c>
      <c r="F315" s="3"/>
      <c r="G315" s="5"/>
      <c r="H315" s="6"/>
      <c r="I315" s="4"/>
      <c r="K315" s="5"/>
      <c r="L315" s="6"/>
      <c r="N315" s="3"/>
      <c r="O315" s="3"/>
      <c r="P315" s="4"/>
      <c r="Q315" s="4"/>
      <c r="S315" s="3"/>
      <c r="T315" s="3"/>
      <c r="U315" s="4"/>
      <c r="V315" s="4"/>
    </row>
    <row r="316" spans="1:22" x14ac:dyDescent="0.25">
      <c r="A316" s="3" t="str">
        <f>RTD("rtdtrading.rtdserver",, "BOOK0", "VOC", 312)</f>
        <v>Ferramenta Inválida</v>
      </c>
      <c r="B316" s="3" t="str">
        <f>RTD("rtdtrading.rtdserver",, "BOOK0", "OCP", 312)</f>
        <v>Ferramenta Inválida</v>
      </c>
      <c r="C316" s="4" t="str">
        <f>RTD("rtdtrading.rtdserver",, "BOOK0", "OVD", 312)</f>
        <v>Ferramenta Inválida</v>
      </c>
      <c r="D316" s="4" t="str">
        <f>RTD("rtdtrading.rtdserver",, "BOOK0", "VOV", 312)</f>
        <v>Ferramenta Inválida</v>
      </c>
      <c r="F316" s="3"/>
      <c r="G316" s="5"/>
      <c r="H316" s="6"/>
      <c r="I316" s="4"/>
      <c r="K316" s="5"/>
      <c r="L316" s="6"/>
      <c r="N316" s="3"/>
      <c r="O316" s="3"/>
      <c r="P316" s="4"/>
      <c r="Q316" s="4"/>
      <c r="S316" s="3"/>
      <c r="T316" s="3"/>
      <c r="U316" s="4"/>
      <c r="V316" s="4"/>
    </row>
    <row r="317" spans="1:22" x14ac:dyDescent="0.25">
      <c r="A317" s="3" t="str">
        <f>RTD("rtdtrading.rtdserver",, "BOOK0", "VOC", 313)</f>
        <v>Ferramenta Inválida</v>
      </c>
      <c r="B317" s="3" t="str">
        <f>RTD("rtdtrading.rtdserver",, "BOOK0", "OCP", 313)</f>
        <v>Ferramenta Inválida</v>
      </c>
      <c r="C317" s="4" t="str">
        <f>RTD("rtdtrading.rtdserver",, "BOOK0", "OVD", 313)</f>
        <v>Ferramenta Inválida</v>
      </c>
      <c r="D317" s="4" t="str">
        <f>RTD("rtdtrading.rtdserver",, "BOOK0", "VOV", 313)</f>
        <v>Ferramenta Inválida</v>
      </c>
      <c r="F317" s="3"/>
      <c r="G317" s="5"/>
      <c r="H317" s="6"/>
      <c r="I317" s="4"/>
      <c r="K317" s="5"/>
      <c r="L317" s="6"/>
      <c r="N317" s="3"/>
      <c r="O317" s="3"/>
      <c r="P317" s="4"/>
      <c r="Q317" s="4"/>
      <c r="S317" s="3"/>
      <c r="T317" s="3"/>
      <c r="U317" s="4"/>
      <c r="V317" s="4"/>
    </row>
    <row r="318" spans="1:22" x14ac:dyDescent="0.25">
      <c r="A318" s="3" t="str">
        <f>RTD("rtdtrading.rtdserver",, "BOOK0", "VOC", 314)</f>
        <v>Ferramenta Inválida</v>
      </c>
      <c r="B318" s="3" t="str">
        <f>RTD("rtdtrading.rtdserver",, "BOOK0", "OCP", 314)</f>
        <v>Ferramenta Inválida</v>
      </c>
      <c r="C318" s="4" t="str">
        <f>RTD("rtdtrading.rtdserver",, "BOOK0", "OVD", 314)</f>
        <v>Ferramenta Inválida</v>
      </c>
      <c r="D318" s="4" t="str">
        <f>RTD("rtdtrading.rtdserver",, "BOOK0", "VOV", 314)</f>
        <v>Ferramenta Inválida</v>
      </c>
      <c r="F318" s="3"/>
      <c r="G318" s="5"/>
      <c r="H318" s="6"/>
      <c r="I318" s="4"/>
      <c r="K318" s="5"/>
      <c r="L318" s="6"/>
      <c r="N318" s="3"/>
      <c r="O318" s="3"/>
      <c r="P318" s="4"/>
      <c r="Q318" s="4"/>
      <c r="S318" s="3"/>
      <c r="T318" s="3"/>
      <c r="U318" s="4"/>
      <c r="V318" s="4"/>
    </row>
    <row r="319" spans="1:22" x14ac:dyDescent="0.25">
      <c r="A319" s="3" t="str">
        <f>RTD("rtdtrading.rtdserver",, "BOOK0", "VOC", 315)</f>
        <v>Ferramenta Inválida</v>
      </c>
      <c r="B319" s="3" t="str">
        <f>RTD("rtdtrading.rtdserver",, "BOOK0", "OCP", 315)</f>
        <v>Ferramenta Inválida</v>
      </c>
      <c r="C319" s="4" t="str">
        <f>RTD("rtdtrading.rtdserver",, "BOOK0", "OVD", 315)</f>
        <v>Ferramenta Inválida</v>
      </c>
      <c r="D319" s="4" t="str">
        <f>RTD("rtdtrading.rtdserver",, "BOOK0", "VOV", 315)</f>
        <v>Ferramenta Inválida</v>
      </c>
      <c r="F319" s="3"/>
      <c r="G319" s="5"/>
      <c r="H319" s="6"/>
      <c r="I319" s="4"/>
      <c r="K319" s="5"/>
      <c r="L319" s="6"/>
      <c r="N319" s="3"/>
      <c r="O319" s="3"/>
      <c r="P319" s="4"/>
      <c r="Q319" s="4"/>
      <c r="S319" s="3"/>
      <c r="T319" s="3"/>
      <c r="U319" s="4"/>
      <c r="V319" s="4"/>
    </row>
    <row r="320" spans="1:22" x14ac:dyDescent="0.25">
      <c r="A320" s="3" t="str">
        <f>RTD("rtdtrading.rtdserver",, "BOOK0", "VOC", 316)</f>
        <v>Ferramenta Inválida</v>
      </c>
      <c r="B320" s="3" t="str">
        <f>RTD("rtdtrading.rtdserver",, "BOOK0", "OCP", 316)</f>
        <v>Ferramenta Inválida</v>
      </c>
      <c r="C320" s="4" t="str">
        <f>RTD("rtdtrading.rtdserver",, "BOOK0", "OVD", 316)</f>
        <v>Ferramenta Inválida</v>
      </c>
      <c r="D320" s="4" t="str">
        <f>RTD("rtdtrading.rtdserver",, "BOOK0", "VOV", 316)</f>
        <v>Ferramenta Inválida</v>
      </c>
      <c r="F320" s="3"/>
      <c r="G320" s="5"/>
      <c r="H320" s="6"/>
      <c r="I320" s="4"/>
      <c r="K320" s="5"/>
      <c r="L320" s="6"/>
      <c r="N320" s="3"/>
      <c r="O320" s="3"/>
      <c r="P320" s="4"/>
      <c r="Q320" s="4"/>
      <c r="S320" s="3"/>
      <c r="T320" s="3"/>
      <c r="U320" s="4"/>
      <c r="V320" s="4"/>
    </row>
    <row r="321" spans="1:22" x14ac:dyDescent="0.25">
      <c r="A321" s="3" t="str">
        <f>RTD("rtdtrading.rtdserver",, "BOOK0", "VOC", 317)</f>
        <v>Ferramenta Inválida</v>
      </c>
      <c r="B321" s="3" t="str">
        <f>RTD("rtdtrading.rtdserver",, "BOOK0", "OCP", 317)</f>
        <v>Ferramenta Inválida</v>
      </c>
      <c r="C321" s="4" t="str">
        <f>RTD("rtdtrading.rtdserver",, "BOOK0", "OVD", 317)</f>
        <v>Ferramenta Inválida</v>
      </c>
      <c r="D321" s="4" t="str">
        <f>RTD("rtdtrading.rtdserver",, "BOOK0", "VOV", 317)</f>
        <v>Ferramenta Inválida</v>
      </c>
      <c r="F321" s="3"/>
      <c r="G321" s="5"/>
      <c r="H321" s="6"/>
      <c r="I321" s="4"/>
      <c r="K321" s="5"/>
      <c r="L321" s="6"/>
      <c r="N321" s="3"/>
      <c r="O321" s="3"/>
      <c r="P321" s="4"/>
      <c r="Q321" s="4"/>
      <c r="S321" s="3"/>
      <c r="T321" s="3"/>
      <c r="U321" s="4"/>
      <c r="V321" s="4"/>
    </row>
    <row r="322" spans="1:22" x14ac:dyDescent="0.25">
      <c r="A322" s="3" t="str">
        <f>RTD("rtdtrading.rtdserver",, "BOOK0", "VOC", 318)</f>
        <v>Ferramenta Inválida</v>
      </c>
      <c r="B322" s="3" t="str">
        <f>RTD("rtdtrading.rtdserver",, "BOOK0", "OCP", 318)</f>
        <v>Ferramenta Inválida</v>
      </c>
      <c r="C322" s="4" t="str">
        <f>RTD("rtdtrading.rtdserver",, "BOOK0", "OVD", 318)</f>
        <v>Ferramenta Inválida</v>
      </c>
      <c r="D322" s="4" t="str">
        <f>RTD("rtdtrading.rtdserver",, "BOOK0", "VOV", 318)</f>
        <v>Ferramenta Inválida</v>
      </c>
      <c r="F322" s="3"/>
      <c r="G322" s="5"/>
      <c r="H322" s="6"/>
      <c r="I322" s="4"/>
      <c r="K322" s="5"/>
      <c r="L322" s="6"/>
      <c r="N322" s="3"/>
      <c r="O322" s="3"/>
      <c r="P322" s="4"/>
      <c r="Q322" s="4"/>
      <c r="S322" s="3"/>
      <c r="T322" s="3"/>
      <c r="U322" s="4"/>
      <c r="V322" s="4"/>
    </row>
    <row r="323" spans="1:22" x14ac:dyDescent="0.25">
      <c r="A323" s="3" t="str">
        <f>RTD("rtdtrading.rtdserver",, "BOOK0", "VOC", 319)</f>
        <v>Ferramenta Inválida</v>
      </c>
      <c r="B323" s="3" t="str">
        <f>RTD("rtdtrading.rtdserver",, "BOOK0", "OCP", 319)</f>
        <v>Ferramenta Inválida</v>
      </c>
      <c r="C323" s="4" t="str">
        <f>RTD("rtdtrading.rtdserver",, "BOOK0", "OVD", 319)</f>
        <v>Ferramenta Inválida</v>
      </c>
      <c r="D323" s="4" t="str">
        <f>RTD("rtdtrading.rtdserver",, "BOOK0", "VOV", 319)</f>
        <v>Ferramenta Inválida</v>
      </c>
      <c r="F323" s="3"/>
      <c r="G323" s="5"/>
      <c r="H323" s="6"/>
      <c r="I323" s="4"/>
      <c r="K323" s="5"/>
      <c r="L323" s="6"/>
      <c r="N323" s="3"/>
      <c r="O323" s="3"/>
      <c r="P323" s="4"/>
      <c r="Q323" s="4"/>
      <c r="S323" s="3"/>
      <c r="T323" s="3"/>
      <c r="U323" s="4"/>
      <c r="V323" s="4"/>
    </row>
    <row r="324" spans="1:22" x14ac:dyDescent="0.25">
      <c r="A324" s="3" t="str">
        <f>RTD("rtdtrading.rtdserver",, "BOOK0", "VOC", 320)</f>
        <v>Ferramenta Inválida</v>
      </c>
      <c r="B324" s="3" t="str">
        <f>RTD("rtdtrading.rtdserver",, "BOOK0", "OCP", 320)</f>
        <v>Ferramenta Inválida</v>
      </c>
      <c r="C324" s="4" t="str">
        <f>RTD("rtdtrading.rtdserver",, "BOOK0", "OVD", 320)</f>
        <v>Ferramenta Inválida</v>
      </c>
      <c r="D324" s="4" t="str">
        <f>RTD("rtdtrading.rtdserver",, "BOOK0", "VOV", 320)</f>
        <v>Ferramenta Inválida</v>
      </c>
      <c r="F324" s="3"/>
      <c r="G324" s="5"/>
      <c r="H324" s="6"/>
      <c r="I324" s="4"/>
      <c r="K324" s="5"/>
      <c r="L324" s="6"/>
      <c r="N324" s="3"/>
      <c r="O324" s="3"/>
      <c r="P324" s="4"/>
      <c r="Q324" s="4"/>
      <c r="S324" s="3"/>
      <c r="T324" s="3"/>
      <c r="U324" s="4"/>
      <c r="V324" s="4"/>
    </row>
    <row r="325" spans="1:22" x14ac:dyDescent="0.25">
      <c r="A325" s="3" t="str">
        <f>RTD("rtdtrading.rtdserver",, "BOOK0", "VOC", 321)</f>
        <v>Ferramenta Inválida</v>
      </c>
      <c r="B325" s="3" t="str">
        <f>RTD("rtdtrading.rtdserver",, "BOOK0", "OCP", 321)</f>
        <v>Ferramenta Inválida</v>
      </c>
      <c r="C325" s="4" t="str">
        <f>RTD("rtdtrading.rtdserver",, "BOOK0", "OVD", 321)</f>
        <v>Ferramenta Inválida</v>
      </c>
      <c r="D325" s="4" t="str">
        <f>RTD("rtdtrading.rtdserver",, "BOOK0", "VOV", 321)</f>
        <v>Ferramenta Inválida</v>
      </c>
      <c r="F325" s="3"/>
      <c r="G325" s="5"/>
      <c r="H325" s="6"/>
      <c r="I325" s="4"/>
      <c r="K325" s="5"/>
      <c r="L325" s="6"/>
      <c r="N325" s="3"/>
      <c r="O325" s="3"/>
      <c r="P325" s="4"/>
      <c r="Q325" s="4"/>
      <c r="S325" s="3"/>
      <c r="T325" s="3"/>
      <c r="U325" s="4"/>
      <c r="V325" s="4"/>
    </row>
    <row r="326" spans="1:22" x14ac:dyDescent="0.25">
      <c r="A326" s="3" t="str">
        <f>RTD("rtdtrading.rtdserver",, "BOOK0", "VOC", 322)</f>
        <v>Ferramenta Inválida</v>
      </c>
      <c r="B326" s="3" t="str">
        <f>RTD("rtdtrading.rtdserver",, "BOOK0", "OCP", 322)</f>
        <v>Ferramenta Inválida</v>
      </c>
      <c r="C326" s="4" t="str">
        <f>RTD("rtdtrading.rtdserver",, "BOOK0", "OVD", 322)</f>
        <v>Ferramenta Inválida</v>
      </c>
      <c r="D326" s="4" t="str">
        <f>RTD("rtdtrading.rtdserver",, "BOOK0", "VOV", 322)</f>
        <v>Ferramenta Inválida</v>
      </c>
      <c r="F326" s="3"/>
      <c r="G326" s="5"/>
      <c r="H326" s="6"/>
      <c r="I326" s="4"/>
      <c r="K326" s="5"/>
      <c r="L326" s="6"/>
      <c r="N326" s="3"/>
      <c r="O326" s="3"/>
      <c r="P326" s="4"/>
      <c r="Q326" s="4"/>
      <c r="S326" s="3"/>
      <c r="T326" s="3"/>
      <c r="U326" s="4"/>
      <c r="V326" s="4"/>
    </row>
    <row r="327" spans="1:22" x14ac:dyDescent="0.25">
      <c r="A327" s="3" t="str">
        <f>RTD("rtdtrading.rtdserver",, "BOOK0", "VOC", 323)</f>
        <v>Ferramenta Inválida</v>
      </c>
      <c r="B327" s="3" t="str">
        <f>RTD("rtdtrading.rtdserver",, "BOOK0", "OCP", 323)</f>
        <v>Ferramenta Inválida</v>
      </c>
      <c r="C327" s="4" t="str">
        <f>RTD("rtdtrading.rtdserver",, "BOOK0", "OVD", 323)</f>
        <v>Ferramenta Inválida</v>
      </c>
      <c r="D327" s="4" t="str">
        <f>RTD("rtdtrading.rtdserver",, "BOOK0", "VOV", 323)</f>
        <v>Ferramenta Inválida</v>
      </c>
      <c r="F327" s="3"/>
      <c r="G327" s="5"/>
      <c r="H327" s="6"/>
      <c r="I327" s="4"/>
      <c r="K327" s="5"/>
      <c r="L327" s="6"/>
      <c r="N327" s="3"/>
      <c r="O327" s="3"/>
      <c r="P327" s="4"/>
      <c r="Q327" s="4"/>
      <c r="S327" s="3"/>
      <c r="T327" s="3"/>
      <c r="U327" s="4"/>
      <c r="V327" s="4"/>
    </row>
    <row r="328" spans="1:22" x14ac:dyDescent="0.25">
      <c r="A328" s="3" t="str">
        <f>RTD("rtdtrading.rtdserver",, "BOOK0", "VOC", 324)</f>
        <v>Ferramenta Inválida</v>
      </c>
      <c r="B328" s="3" t="str">
        <f>RTD("rtdtrading.rtdserver",, "BOOK0", "OCP", 324)</f>
        <v>Ferramenta Inválida</v>
      </c>
      <c r="C328" s="4" t="str">
        <f>RTD("rtdtrading.rtdserver",, "BOOK0", "OVD", 324)</f>
        <v>Ferramenta Inválida</v>
      </c>
      <c r="D328" s="4" t="str">
        <f>RTD("rtdtrading.rtdserver",, "BOOK0", "VOV", 324)</f>
        <v>Ferramenta Inválida</v>
      </c>
      <c r="F328" s="3"/>
      <c r="G328" s="5"/>
      <c r="H328" s="6"/>
      <c r="I328" s="4"/>
      <c r="K328" s="5"/>
      <c r="L328" s="6"/>
      <c r="N328" s="3"/>
      <c r="O328" s="3"/>
      <c r="P328" s="4"/>
      <c r="Q328" s="4"/>
      <c r="S328" s="3"/>
      <c r="T328" s="3"/>
      <c r="U328" s="4"/>
      <c r="V328" s="4"/>
    </row>
    <row r="329" spans="1:22" x14ac:dyDescent="0.25">
      <c r="A329" s="3" t="str">
        <f>RTD("rtdtrading.rtdserver",, "BOOK0", "VOC", 325)</f>
        <v>Ferramenta Inválida</v>
      </c>
      <c r="B329" s="3" t="str">
        <f>RTD("rtdtrading.rtdserver",, "BOOK0", "OCP", 325)</f>
        <v>Ferramenta Inválida</v>
      </c>
      <c r="C329" s="4" t="str">
        <f>RTD("rtdtrading.rtdserver",, "BOOK0", "OVD", 325)</f>
        <v>Ferramenta Inválida</v>
      </c>
      <c r="D329" s="4" t="str">
        <f>RTD("rtdtrading.rtdserver",, "BOOK0", "VOV", 325)</f>
        <v>Ferramenta Inválida</v>
      </c>
      <c r="F329" s="3"/>
      <c r="G329" s="5"/>
      <c r="H329" s="6"/>
      <c r="I329" s="4"/>
      <c r="K329" s="5"/>
      <c r="L329" s="6"/>
      <c r="N329" s="3"/>
      <c r="O329" s="3"/>
      <c r="P329" s="4"/>
      <c r="Q329" s="4"/>
      <c r="S329" s="3"/>
      <c r="T329" s="3"/>
      <c r="U329" s="4"/>
      <c r="V329" s="4"/>
    </row>
    <row r="330" spans="1:22" x14ac:dyDescent="0.25">
      <c r="A330" s="3" t="str">
        <f>RTD("rtdtrading.rtdserver",, "BOOK0", "VOC", 326)</f>
        <v>Ferramenta Inválida</v>
      </c>
      <c r="B330" s="3" t="str">
        <f>RTD("rtdtrading.rtdserver",, "BOOK0", "OCP", 326)</f>
        <v>Ferramenta Inválida</v>
      </c>
      <c r="C330" s="4" t="str">
        <f>RTD("rtdtrading.rtdserver",, "BOOK0", "OVD", 326)</f>
        <v>Ferramenta Inválida</v>
      </c>
      <c r="D330" s="4" t="str">
        <f>RTD("rtdtrading.rtdserver",, "BOOK0", "VOV", 326)</f>
        <v>Ferramenta Inválida</v>
      </c>
      <c r="F330" s="3"/>
      <c r="G330" s="5"/>
      <c r="H330" s="6"/>
      <c r="I330" s="4"/>
      <c r="K330" s="5"/>
      <c r="L330" s="6"/>
      <c r="N330" s="3"/>
      <c r="O330" s="3"/>
      <c r="P330" s="4"/>
      <c r="Q330" s="4"/>
      <c r="S330" s="3"/>
      <c r="T330" s="3"/>
      <c r="U330" s="4"/>
      <c r="V330" s="4"/>
    </row>
    <row r="331" spans="1:22" x14ac:dyDescent="0.25">
      <c r="A331" s="3" t="str">
        <f>RTD("rtdtrading.rtdserver",, "BOOK0", "VOC", 327)</f>
        <v>Ferramenta Inválida</v>
      </c>
      <c r="B331" s="3" t="str">
        <f>RTD("rtdtrading.rtdserver",, "BOOK0", "OCP", 327)</f>
        <v>Ferramenta Inválida</v>
      </c>
      <c r="C331" s="4" t="str">
        <f>RTD("rtdtrading.rtdserver",, "BOOK0", "OVD", 327)</f>
        <v>Ferramenta Inválida</v>
      </c>
      <c r="D331" s="4" t="str">
        <f>RTD("rtdtrading.rtdserver",, "BOOK0", "VOV", 327)</f>
        <v>Ferramenta Inválida</v>
      </c>
      <c r="F331" s="3"/>
      <c r="G331" s="5"/>
      <c r="H331" s="6"/>
      <c r="I331" s="4"/>
      <c r="K331" s="5"/>
      <c r="L331" s="6"/>
      <c r="N331" s="3"/>
      <c r="O331" s="3"/>
      <c r="P331" s="4"/>
      <c r="Q331" s="4"/>
      <c r="S331" s="3"/>
      <c r="T331" s="3"/>
      <c r="U331" s="4"/>
      <c r="V331" s="4"/>
    </row>
    <row r="332" spans="1:22" x14ac:dyDescent="0.25">
      <c r="A332" s="3" t="str">
        <f>RTD("rtdtrading.rtdserver",, "BOOK0", "VOC", 328)</f>
        <v>Ferramenta Inválida</v>
      </c>
      <c r="B332" s="3" t="str">
        <f>RTD("rtdtrading.rtdserver",, "BOOK0", "OCP", 328)</f>
        <v>Ferramenta Inválida</v>
      </c>
      <c r="C332" s="4" t="str">
        <f>RTD("rtdtrading.rtdserver",, "BOOK0", "OVD", 328)</f>
        <v>Ferramenta Inválida</v>
      </c>
      <c r="D332" s="4" t="str">
        <f>RTD("rtdtrading.rtdserver",, "BOOK0", "VOV", 328)</f>
        <v>Ferramenta Inválida</v>
      </c>
      <c r="F332" s="3"/>
      <c r="G332" s="5"/>
      <c r="H332" s="6"/>
      <c r="I332" s="4"/>
      <c r="K332" s="5"/>
      <c r="L332" s="6"/>
      <c r="N332" s="3"/>
      <c r="O332" s="3"/>
      <c r="P332" s="4"/>
      <c r="Q332" s="4"/>
      <c r="S332" s="3"/>
      <c r="T332" s="3"/>
      <c r="U332" s="4"/>
      <c r="V332" s="4"/>
    </row>
    <row r="333" spans="1:22" x14ac:dyDescent="0.25">
      <c r="A333" s="3" t="str">
        <f>RTD("rtdtrading.rtdserver",, "BOOK0", "VOC", 329)</f>
        <v>Ferramenta Inválida</v>
      </c>
      <c r="B333" s="3" t="str">
        <f>RTD("rtdtrading.rtdserver",, "BOOK0", "OCP", 329)</f>
        <v>Ferramenta Inválida</v>
      </c>
      <c r="C333" s="4" t="str">
        <f>RTD("rtdtrading.rtdserver",, "BOOK0", "OVD", 329)</f>
        <v>Ferramenta Inválida</v>
      </c>
      <c r="D333" s="4" t="str">
        <f>RTD("rtdtrading.rtdserver",, "BOOK0", "VOV", 329)</f>
        <v>Ferramenta Inválida</v>
      </c>
      <c r="F333" s="3"/>
      <c r="G333" s="5"/>
      <c r="H333" s="6"/>
      <c r="I333" s="4"/>
      <c r="K333" s="5"/>
      <c r="L333" s="6"/>
      <c r="N333" s="3"/>
      <c r="O333" s="3"/>
      <c r="P333" s="4"/>
      <c r="Q333" s="4"/>
      <c r="S333" s="3"/>
      <c r="T333" s="3"/>
      <c r="U333" s="4"/>
      <c r="V333" s="4"/>
    </row>
    <row r="334" spans="1:22" x14ac:dyDescent="0.25">
      <c r="A334" s="3" t="str">
        <f>RTD("rtdtrading.rtdserver",, "BOOK0", "VOC", 330)</f>
        <v>Ferramenta Inválida</v>
      </c>
      <c r="B334" s="3" t="str">
        <f>RTD("rtdtrading.rtdserver",, "BOOK0", "OCP", 330)</f>
        <v>Ferramenta Inválida</v>
      </c>
      <c r="C334" s="4" t="str">
        <f>RTD("rtdtrading.rtdserver",, "BOOK0", "OVD", 330)</f>
        <v>Ferramenta Inválida</v>
      </c>
      <c r="D334" s="4" t="str">
        <f>RTD("rtdtrading.rtdserver",, "BOOK0", "VOV", 330)</f>
        <v>Ferramenta Inválida</v>
      </c>
      <c r="F334" s="3"/>
      <c r="G334" s="5"/>
      <c r="H334" s="6"/>
      <c r="I334" s="4"/>
      <c r="K334" s="5"/>
      <c r="L334" s="6"/>
      <c r="N334" s="3"/>
      <c r="O334" s="3"/>
      <c r="P334" s="4"/>
      <c r="Q334" s="4"/>
      <c r="S334" s="3"/>
      <c r="T334" s="3"/>
      <c r="U334" s="4"/>
      <c r="V334" s="4"/>
    </row>
    <row r="335" spans="1:22" x14ac:dyDescent="0.25">
      <c r="A335" s="3" t="str">
        <f>RTD("rtdtrading.rtdserver",, "BOOK0", "VOC", 331)</f>
        <v>Ferramenta Inválida</v>
      </c>
      <c r="B335" s="3" t="str">
        <f>RTD("rtdtrading.rtdserver",, "BOOK0", "OCP", 331)</f>
        <v>Ferramenta Inválida</v>
      </c>
      <c r="C335" s="4" t="str">
        <f>RTD("rtdtrading.rtdserver",, "BOOK0", "OVD", 331)</f>
        <v>Ferramenta Inválida</v>
      </c>
      <c r="D335" s="4" t="str">
        <f>RTD("rtdtrading.rtdserver",, "BOOK0", "VOV", 331)</f>
        <v>Ferramenta Inválida</v>
      </c>
      <c r="F335" s="3"/>
      <c r="G335" s="5"/>
      <c r="H335" s="6"/>
      <c r="I335" s="4"/>
      <c r="K335" s="5"/>
      <c r="L335" s="6"/>
      <c r="N335" s="3"/>
      <c r="O335" s="3"/>
      <c r="P335" s="4"/>
      <c r="Q335" s="4"/>
      <c r="S335" s="3"/>
      <c r="T335" s="3"/>
      <c r="U335" s="4"/>
      <c r="V335" s="4"/>
    </row>
    <row r="336" spans="1:22" x14ac:dyDescent="0.25">
      <c r="A336" s="3" t="str">
        <f>RTD("rtdtrading.rtdserver",, "BOOK0", "VOC", 332)</f>
        <v>Ferramenta Inválida</v>
      </c>
      <c r="B336" s="3" t="str">
        <f>RTD("rtdtrading.rtdserver",, "BOOK0", "OCP", 332)</f>
        <v>Ferramenta Inválida</v>
      </c>
      <c r="C336" s="4" t="str">
        <f>RTD("rtdtrading.rtdserver",, "BOOK0", "OVD", 332)</f>
        <v>Ferramenta Inválida</v>
      </c>
      <c r="D336" s="4" t="str">
        <f>RTD("rtdtrading.rtdserver",, "BOOK0", "VOV", 332)</f>
        <v>Ferramenta Inválida</v>
      </c>
      <c r="F336" s="3"/>
      <c r="G336" s="5"/>
      <c r="H336" s="6"/>
      <c r="I336" s="4"/>
      <c r="K336" s="5"/>
      <c r="L336" s="6"/>
      <c r="N336" s="3"/>
      <c r="O336" s="3"/>
      <c r="P336" s="4"/>
      <c r="Q336" s="4"/>
      <c r="S336" s="3"/>
      <c r="T336" s="3"/>
      <c r="U336" s="4"/>
      <c r="V336" s="4"/>
    </row>
    <row r="337" spans="1:22" x14ac:dyDescent="0.25">
      <c r="A337" s="3" t="str">
        <f>RTD("rtdtrading.rtdserver",, "BOOK0", "VOC", 333)</f>
        <v>Ferramenta Inválida</v>
      </c>
      <c r="B337" s="3" t="str">
        <f>RTD("rtdtrading.rtdserver",, "BOOK0", "OCP", 333)</f>
        <v>Ferramenta Inválida</v>
      </c>
      <c r="C337" s="4" t="str">
        <f>RTD("rtdtrading.rtdserver",, "BOOK0", "OVD", 333)</f>
        <v>Ferramenta Inválida</v>
      </c>
      <c r="D337" s="4" t="str">
        <f>RTD("rtdtrading.rtdserver",, "BOOK0", "VOV", 333)</f>
        <v>Ferramenta Inválida</v>
      </c>
      <c r="F337" s="3"/>
      <c r="G337" s="5"/>
      <c r="H337" s="6"/>
      <c r="I337" s="4"/>
      <c r="K337" s="5"/>
      <c r="L337" s="6"/>
      <c r="N337" s="3"/>
      <c r="O337" s="3"/>
      <c r="P337" s="4"/>
      <c r="Q337" s="4"/>
      <c r="S337" s="3"/>
      <c r="T337" s="3"/>
      <c r="U337" s="4"/>
      <c r="V337" s="4"/>
    </row>
    <row r="338" spans="1:22" x14ac:dyDescent="0.25">
      <c r="A338" s="3" t="str">
        <f>RTD("rtdtrading.rtdserver",, "BOOK0", "VOC", 334)</f>
        <v>Ferramenta Inválida</v>
      </c>
      <c r="B338" s="3" t="str">
        <f>RTD("rtdtrading.rtdserver",, "BOOK0", "OCP", 334)</f>
        <v>Ferramenta Inválida</v>
      </c>
      <c r="C338" s="4" t="str">
        <f>RTD("rtdtrading.rtdserver",, "BOOK0", "OVD", 334)</f>
        <v>Ferramenta Inválida</v>
      </c>
      <c r="D338" s="4" t="str">
        <f>RTD("rtdtrading.rtdserver",, "BOOK0", "VOV", 334)</f>
        <v>Ferramenta Inválida</v>
      </c>
      <c r="F338" s="3"/>
      <c r="G338" s="5"/>
      <c r="H338" s="6"/>
      <c r="I338" s="4"/>
      <c r="K338" s="5"/>
      <c r="L338" s="6"/>
      <c r="N338" s="3"/>
      <c r="O338" s="3"/>
      <c r="P338" s="4"/>
      <c r="Q338" s="4"/>
      <c r="S338" s="3"/>
      <c r="T338" s="3"/>
      <c r="U338" s="4"/>
      <c r="V338" s="4"/>
    </row>
    <row r="339" spans="1:22" x14ac:dyDescent="0.25">
      <c r="A339" s="3" t="str">
        <f>RTD("rtdtrading.rtdserver",, "BOOK0", "VOC", 335)</f>
        <v>Ferramenta Inválida</v>
      </c>
      <c r="B339" s="3" t="str">
        <f>RTD("rtdtrading.rtdserver",, "BOOK0", "OCP", 335)</f>
        <v>Ferramenta Inválida</v>
      </c>
      <c r="C339" s="4" t="str">
        <f>RTD("rtdtrading.rtdserver",, "BOOK0", "OVD", 335)</f>
        <v>Ferramenta Inválida</v>
      </c>
      <c r="D339" s="4" t="str">
        <f>RTD("rtdtrading.rtdserver",, "BOOK0", "VOV", 335)</f>
        <v>Ferramenta Inválida</v>
      </c>
      <c r="F339" s="3"/>
      <c r="G339" s="5"/>
      <c r="H339" s="6"/>
      <c r="I339" s="4"/>
      <c r="K339" s="5"/>
      <c r="L339" s="6"/>
      <c r="N339" s="3"/>
      <c r="O339" s="3"/>
      <c r="P339" s="4"/>
      <c r="Q339" s="4"/>
      <c r="S339" s="3"/>
      <c r="T339" s="3"/>
      <c r="U339" s="4"/>
      <c r="V339" s="4"/>
    </row>
    <row r="340" spans="1:22" x14ac:dyDescent="0.25">
      <c r="A340" s="3" t="str">
        <f>RTD("rtdtrading.rtdserver",, "BOOK0", "VOC", 336)</f>
        <v>Ferramenta Inválida</v>
      </c>
      <c r="B340" s="3" t="str">
        <f>RTD("rtdtrading.rtdserver",, "BOOK0", "OCP", 336)</f>
        <v>Ferramenta Inválida</v>
      </c>
      <c r="C340" s="4" t="str">
        <f>RTD("rtdtrading.rtdserver",, "BOOK0", "OVD", 336)</f>
        <v>Ferramenta Inválida</v>
      </c>
      <c r="D340" s="4" t="str">
        <f>RTD("rtdtrading.rtdserver",, "BOOK0", "VOV", 336)</f>
        <v>Ferramenta Inválida</v>
      </c>
      <c r="F340" s="3"/>
      <c r="G340" s="5"/>
      <c r="H340" s="6"/>
      <c r="I340" s="4"/>
      <c r="K340" s="5"/>
      <c r="L340" s="6"/>
      <c r="N340" s="3"/>
      <c r="O340" s="3"/>
      <c r="P340" s="4"/>
      <c r="Q340" s="4"/>
      <c r="S340" s="3"/>
      <c r="T340" s="3"/>
      <c r="U340" s="4"/>
      <c r="V340" s="4"/>
    </row>
    <row r="341" spans="1:22" x14ac:dyDescent="0.25">
      <c r="A341" s="3" t="str">
        <f>RTD("rtdtrading.rtdserver",, "BOOK0", "VOC", 337)</f>
        <v>Ferramenta Inválida</v>
      </c>
      <c r="B341" s="3" t="str">
        <f>RTD("rtdtrading.rtdserver",, "BOOK0", "OCP", 337)</f>
        <v>Ferramenta Inválida</v>
      </c>
      <c r="C341" s="4" t="str">
        <f>RTD("rtdtrading.rtdserver",, "BOOK0", "OVD", 337)</f>
        <v>Ferramenta Inválida</v>
      </c>
      <c r="D341" s="4" t="str">
        <f>RTD("rtdtrading.rtdserver",, "BOOK0", "VOV", 337)</f>
        <v>Ferramenta Inválida</v>
      </c>
      <c r="F341" s="3"/>
      <c r="G341" s="5"/>
      <c r="H341" s="6"/>
      <c r="I341" s="4"/>
      <c r="K341" s="5"/>
      <c r="L341" s="6"/>
      <c r="N341" s="3"/>
      <c r="O341" s="3"/>
      <c r="P341" s="4"/>
      <c r="Q341" s="4"/>
      <c r="S341" s="3"/>
      <c r="T341" s="3"/>
      <c r="U341" s="4"/>
      <c r="V341" s="4"/>
    </row>
    <row r="342" spans="1:22" x14ac:dyDescent="0.25">
      <c r="A342" s="3" t="str">
        <f>RTD("rtdtrading.rtdserver",, "BOOK0", "VOC", 338)</f>
        <v>Ferramenta Inválida</v>
      </c>
      <c r="B342" s="3" t="str">
        <f>RTD("rtdtrading.rtdserver",, "BOOK0", "OCP", 338)</f>
        <v>Ferramenta Inválida</v>
      </c>
      <c r="C342" s="4" t="str">
        <f>RTD("rtdtrading.rtdserver",, "BOOK0", "OVD", 338)</f>
        <v>Ferramenta Inválida</v>
      </c>
      <c r="D342" s="4" t="str">
        <f>RTD("rtdtrading.rtdserver",, "BOOK0", "VOV", 338)</f>
        <v>Ferramenta Inválida</v>
      </c>
      <c r="F342" s="3"/>
      <c r="G342" s="5"/>
      <c r="H342" s="6"/>
      <c r="I342" s="4"/>
      <c r="K342" s="5"/>
      <c r="L342" s="6"/>
      <c r="N342" s="3"/>
      <c r="O342" s="3"/>
      <c r="P342" s="4"/>
      <c r="Q342" s="4"/>
      <c r="S342" s="3"/>
      <c r="T342" s="3"/>
      <c r="U342" s="4"/>
      <c r="V342" s="4"/>
    </row>
    <row r="343" spans="1:22" x14ac:dyDescent="0.25">
      <c r="A343" s="3" t="str">
        <f>RTD("rtdtrading.rtdserver",, "BOOK0", "VOC", 339)</f>
        <v>Ferramenta Inválida</v>
      </c>
      <c r="B343" s="3" t="str">
        <f>RTD("rtdtrading.rtdserver",, "BOOK0", "OCP", 339)</f>
        <v>Ferramenta Inválida</v>
      </c>
      <c r="C343" s="4" t="str">
        <f>RTD("rtdtrading.rtdserver",, "BOOK0", "OVD", 339)</f>
        <v>Ferramenta Inválida</v>
      </c>
      <c r="D343" s="4" t="str">
        <f>RTD("rtdtrading.rtdserver",, "BOOK0", "VOV", 339)</f>
        <v>Ferramenta Inválida</v>
      </c>
      <c r="F343" s="3"/>
      <c r="G343" s="5"/>
      <c r="H343" s="6"/>
      <c r="I343" s="4"/>
      <c r="K343" s="5"/>
      <c r="L343" s="6"/>
      <c r="N343" s="3"/>
      <c r="O343" s="3"/>
      <c r="P343" s="4"/>
      <c r="Q343" s="4"/>
      <c r="S343" s="3"/>
      <c r="T343" s="3"/>
      <c r="U343" s="4"/>
      <c r="V343" s="4"/>
    </row>
    <row r="344" spans="1:22" x14ac:dyDescent="0.25">
      <c r="A344" s="3" t="str">
        <f>RTD("rtdtrading.rtdserver",, "BOOK0", "VOC", 340)</f>
        <v>Ferramenta Inválida</v>
      </c>
      <c r="B344" s="3" t="str">
        <f>RTD("rtdtrading.rtdserver",, "BOOK0", "OCP", 340)</f>
        <v>Ferramenta Inválida</v>
      </c>
      <c r="C344" s="4" t="str">
        <f>RTD("rtdtrading.rtdserver",, "BOOK0", "OVD", 340)</f>
        <v>Ferramenta Inválida</v>
      </c>
      <c r="D344" s="4" t="str">
        <f>RTD("rtdtrading.rtdserver",, "BOOK0", "VOV", 340)</f>
        <v>Ferramenta Inválida</v>
      </c>
      <c r="F344" s="3"/>
      <c r="G344" s="5"/>
      <c r="H344" s="6"/>
      <c r="I344" s="4"/>
      <c r="K344" s="5"/>
      <c r="L344" s="6"/>
      <c r="N344" s="3"/>
      <c r="O344" s="3"/>
      <c r="P344" s="4"/>
      <c r="Q344" s="4"/>
      <c r="S344" s="3"/>
      <c r="T344" s="3"/>
      <c r="U344" s="4"/>
      <c r="V344" s="4"/>
    </row>
    <row r="345" spans="1:22" x14ac:dyDescent="0.25">
      <c r="A345" s="3" t="str">
        <f>RTD("rtdtrading.rtdserver",, "BOOK0", "VOC", 341)</f>
        <v>Ferramenta Inválida</v>
      </c>
      <c r="B345" s="3" t="str">
        <f>RTD("rtdtrading.rtdserver",, "BOOK0", "OCP", 341)</f>
        <v>Ferramenta Inválida</v>
      </c>
      <c r="C345" s="4" t="str">
        <f>RTD("rtdtrading.rtdserver",, "BOOK0", "OVD", 341)</f>
        <v>Ferramenta Inválida</v>
      </c>
      <c r="D345" s="4" t="str">
        <f>RTD("rtdtrading.rtdserver",, "BOOK0", "VOV", 341)</f>
        <v>Ferramenta Inválida</v>
      </c>
      <c r="F345" s="3"/>
      <c r="G345" s="5"/>
      <c r="H345" s="6"/>
      <c r="I345" s="4"/>
      <c r="K345" s="5"/>
      <c r="L345" s="6"/>
      <c r="N345" s="3"/>
      <c r="O345" s="3"/>
      <c r="P345" s="4"/>
      <c r="Q345" s="4"/>
      <c r="S345" s="3"/>
      <c r="T345" s="3"/>
      <c r="U345" s="4"/>
      <c r="V345" s="4"/>
    </row>
    <row r="346" spans="1:22" x14ac:dyDescent="0.25">
      <c r="A346" s="3" t="str">
        <f>RTD("rtdtrading.rtdserver",, "BOOK0", "VOC", 342)</f>
        <v>Ferramenta Inválida</v>
      </c>
      <c r="B346" s="3" t="str">
        <f>RTD("rtdtrading.rtdserver",, "BOOK0", "OCP", 342)</f>
        <v>Ferramenta Inválida</v>
      </c>
      <c r="C346" s="4" t="str">
        <f>RTD("rtdtrading.rtdserver",, "BOOK0", "OVD", 342)</f>
        <v>Ferramenta Inválida</v>
      </c>
      <c r="D346" s="4" t="str">
        <f>RTD("rtdtrading.rtdserver",, "BOOK0", "VOV", 342)</f>
        <v>Ferramenta Inválida</v>
      </c>
      <c r="F346" s="3"/>
      <c r="G346" s="5"/>
      <c r="H346" s="6"/>
      <c r="I346" s="4"/>
      <c r="K346" s="5"/>
      <c r="L346" s="6"/>
      <c r="N346" s="3"/>
      <c r="O346" s="3"/>
      <c r="P346" s="4"/>
      <c r="Q346" s="4"/>
      <c r="S346" s="3"/>
      <c r="T346" s="3"/>
      <c r="U346" s="4"/>
      <c r="V346" s="4"/>
    </row>
    <row r="347" spans="1:22" x14ac:dyDescent="0.25">
      <c r="A347" s="3" t="str">
        <f>RTD("rtdtrading.rtdserver",, "BOOK0", "VOC", 343)</f>
        <v>Ferramenta Inválida</v>
      </c>
      <c r="B347" s="3" t="str">
        <f>RTD("rtdtrading.rtdserver",, "BOOK0", "OCP", 343)</f>
        <v>Ferramenta Inválida</v>
      </c>
      <c r="C347" s="4" t="str">
        <f>RTD("rtdtrading.rtdserver",, "BOOK0", "OVD", 343)</f>
        <v>Ferramenta Inválida</v>
      </c>
      <c r="D347" s="4" t="str">
        <f>RTD("rtdtrading.rtdserver",, "BOOK0", "VOV", 343)</f>
        <v>Ferramenta Inválida</v>
      </c>
      <c r="F347" s="3"/>
      <c r="G347" s="5"/>
      <c r="H347" s="6"/>
      <c r="I347" s="4"/>
      <c r="K347" s="5"/>
      <c r="L347" s="6"/>
      <c r="N347" s="3"/>
      <c r="O347" s="3"/>
      <c r="P347" s="4"/>
      <c r="Q347" s="4"/>
      <c r="S347" s="3"/>
      <c r="T347" s="3"/>
      <c r="U347" s="4"/>
      <c r="V347" s="4"/>
    </row>
    <row r="348" spans="1:22" x14ac:dyDescent="0.25">
      <c r="A348" s="3" t="str">
        <f>RTD("rtdtrading.rtdserver",, "BOOK0", "VOC", 344)</f>
        <v>Ferramenta Inválida</v>
      </c>
      <c r="B348" s="3" t="str">
        <f>RTD("rtdtrading.rtdserver",, "BOOK0", "OCP", 344)</f>
        <v>Ferramenta Inválida</v>
      </c>
      <c r="C348" s="4" t="str">
        <f>RTD("rtdtrading.rtdserver",, "BOOK0", "OVD", 344)</f>
        <v>Ferramenta Inválida</v>
      </c>
      <c r="D348" s="4" t="str">
        <f>RTD("rtdtrading.rtdserver",, "BOOK0", "VOV", 344)</f>
        <v>Ferramenta Inválida</v>
      </c>
      <c r="F348" s="3"/>
      <c r="G348" s="5"/>
      <c r="H348" s="6"/>
      <c r="I348" s="4"/>
      <c r="K348" s="5"/>
      <c r="L348" s="6"/>
      <c r="N348" s="3"/>
      <c r="O348" s="3"/>
      <c r="P348" s="4"/>
      <c r="Q348" s="4"/>
      <c r="S348" s="3"/>
      <c r="T348" s="3"/>
      <c r="U348" s="4"/>
      <c r="V348" s="4"/>
    </row>
    <row r="349" spans="1:22" x14ac:dyDescent="0.25">
      <c r="A349" s="3" t="str">
        <f>RTD("rtdtrading.rtdserver",, "BOOK0", "VOC", 345)</f>
        <v>Ferramenta Inválida</v>
      </c>
      <c r="B349" s="3" t="str">
        <f>RTD("rtdtrading.rtdserver",, "BOOK0", "OCP", 345)</f>
        <v>Ferramenta Inválida</v>
      </c>
      <c r="C349" s="4" t="str">
        <f>RTD("rtdtrading.rtdserver",, "BOOK0", "OVD", 345)</f>
        <v>Ferramenta Inválida</v>
      </c>
      <c r="D349" s="4" t="str">
        <f>RTD("rtdtrading.rtdserver",, "BOOK0", "VOV", 345)</f>
        <v>Ferramenta Inválida</v>
      </c>
      <c r="F349" s="3"/>
      <c r="G349" s="5"/>
      <c r="H349" s="6"/>
      <c r="I349" s="4"/>
      <c r="K349" s="5"/>
      <c r="L349" s="6"/>
      <c r="N349" s="3"/>
      <c r="O349" s="3"/>
      <c r="P349" s="4"/>
      <c r="Q349" s="4"/>
      <c r="S349" s="3"/>
      <c r="T349" s="3"/>
      <c r="U349" s="4"/>
      <c r="V349" s="4"/>
    </row>
    <row r="350" spans="1:22" x14ac:dyDescent="0.25">
      <c r="A350" s="3" t="str">
        <f>RTD("rtdtrading.rtdserver",, "BOOK0", "VOC", 346)</f>
        <v>Ferramenta Inválida</v>
      </c>
      <c r="B350" s="3" t="str">
        <f>RTD("rtdtrading.rtdserver",, "BOOK0", "OCP", 346)</f>
        <v>Ferramenta Inválida</v>
      </c>
      <c r="C350" s="4" t="str">
        <f>RTD("rtdtrading.rtdserver",, "BOOK0", "OVD", 346)</f>
        <v>Ferramenta Inválida</v>
      </c>
      <c r="D350" s="4" t="str">
        <f>RTD("rtdtrading.rtdserver",, "BOOK0", "VOV", 346)</f>
        <v>Ferramenta Inválida</v>
      </c>
      <c r="F350" s="3"/>
      <c r="G350" s="5"/>
      <c r="H350" s="6"/>
      <c r="I350" s="4"/>
      <c r="K350" s="5"/>
      <c r="L350" s="6"/>
      <c r="N350" s="3"/>
      <c r="O350" s="3"/>
      <c r="P350" s="4"/>
      <c r="Q350" s="4"/>
      <c r="S350" s="3"/>
      <c r="T350" s="3"/>
      <c r="U350" s="4"/>
      <c r="V350" s="4"/>
    </row>
    <row r="351" spans="1:22" x14ac:dyDescent="0.25">
      <c r="A351" s="3" t="str">
        <f>RTD("rtdtrading.rtdserver",, "BOOK0", "VOC", 347)</f>
        <v>Ferramenta Inválida</v>
      </c>
      <c r="B351" s="3" t="str">
        <f>RTD("rtdtrading.rtdserver",, "BOOK0", "OCP", 347)</f>
        <v>Ferramenta Inválida</v>
      </c>
      <c r="C351" s="4" t="str">
        <f>RTD("rtdtrading.rtdserver",, "BOOK0", "OVD", 347)</f>
        <v>Ferramenta Inválida</v>
      </c>
      <c r="D351" s="4" t="str">
        <f>RTD("rtdtrading.rtdserver",, "BOOK0", "VOV", 347)</f>
        <v>Ferramenta Inválida</v>
      </c>
      <c r="F351" s="3"/>
      <c r="G351" s="5"/>
      <c r="H351" s="6"/>
      <c r="I351" s="4"/>
      <c r="K351" s="5"/>
      <c r="L351" s="6"/>
      <c r="N351" s="3"/>
      <c r="O351" s="3"/>
      <c r="P351" s="4"/>
      <c r="Q351" s="4"/>
      <c r="S351" s="3"/>
      <c r="T351" s="3"/>
      <c r="U351" s="4"/>
      <c r="V351" s="4"/>
    </row>
    <row r="352" spans="1:22" x14ac:dyDescent="0.25">
      <c r="A352" s="3" t="str">
        <f>RTD("rtdtrading.rtdserver",, "BOOK0", "VOC", 348)</f>
        <v>Ferramenta Inválida</v>
      </c>
      <c r="B352" s="3" t="str">
        <f>RTD("rtdtrading.rtdserver",, "BOOK0", "OCP", 348)</f>
        <v>Ferramenta Inválida</v>
      </c>
      <c r="C352" s="4" t="str">
        <f>RTD("rtdtrading.rtdserver",, "BOOK0", "OVD", 348)</f>
        <v>Ferramenta Inválida</v>
      </c>
      <c r="D352" s="4" t="str">
        <f>RTD("rtdtrading.rtdserver",, "BOOK0", "VOV", 348)</f>
        <v>Ferramenta Inválida</v>
      </c>
      <c r="F352" s="3"/>
      <c r="G352" s="5"/>
      <c r="H352" s="6"/>
      <c r="I352" s="4"/>
      <c r="K352" s="5"/>
      <c r="L352" s="6"/>
      <c r="N352" s="3"/>
      <c r="O352" s="3"/>
      <c r="P352" s="4"/>
      <c r="Q352" s="4"/>
      <c r="S352" s="3"/>
      <c r="T352" s="3"/>
      <c r="U352" s="4"/>
      <c r="V352" s="4"/>
    </row>
    <row r="353" spans="1:22" x14ac:dyDescent="0.25">
      <c r="A353" s="3" t="str">
        <f>RTD("rtdtrading.rtdserver",, "BOOK0", "VOC", 349)</f>
        <v>Ferramenta Inválida</v>
      </c>
      <c r="B353" s="3" t="str">
        <f>RTD("rtdtrading.rtdserver",, "BOOK0", "OCP", 349)</f>
        <v>Ferramenta Inválida</v>
      </c>
      <c r="C353" s="4" t="str">
        <f>RTD("rtdtrading.rtdserver",, "BOOK0", "OVD", 349)</f>
        <v>Ferramenta Inválida</v>
      </c>
      <c r="D353" s="4" t="str">
        <f>RTD("rtdtrading.rtdserver",, "BOOK0", "VOV", 349)</f>
        <v>Ferramenta Inválida</v>
      </c>
      <c r="F353" s="3"/>
      <c r="G353" s="5"/>
      <c r="H353" s="6"/>
      <c r="I353" s="4"/>
      <c r="K353" s="5"/>
      <c r="L353" s="6"/>
      <c r="N353" s="3"/>
      <c r="O353" s="3"/>
      <c r="P353" s="4"/>
      <c r="Q353" s="4"/>
      <c r="S353" s="3"/>
      <c r="T353" s="3"/>
      <c r="U353" s="4"/>
      <c r="V353" s="4"/>
    </row>
    <row r="354" spans="1:22" x14ac:dyDescent="0.25">
      <c r="A354" s="3" t="str">
        <f>RTD("rtdtrading.rtdserver",, "BOOK0", "VOC", 350)</f>
        <v>Ferramenta Inválida</v>
      </c>
      <c r="B354" s="3" t="str">
        <f>RTD("rtdtrading.rtdserver",, "BOOK0", "OCP", 350)</f>
        <v>Ferramenta Inválida</v>
      </c>
      <c r="C354" s="4" t="str">
        <f>RTD("rtdtrading.rtdserver",, "BOOK0", "OVD", 350)</f>
        <v>Ferramenta Inválida</v>
      </c>
      <c r="D354" s="4" t="str">
        <f>RTD("rtdtrading.rtdserver",, "BOOK0", "VOV", 350)</f>
        <v>Ferramenta Inválida</v>
      </c>
      <c r="F354" s="3"/>
      <c r="G354" s="5"/>
      <c r="H354" s="6"/>
      <c r="I354" s="4"/>
      <c r="K354" s="5"/>
      <c r="L354" s="6"/>
      <c r="N354" s="3"/>
      <c r="O354" s="3"/>
      <c r="P354" s="4"/>
      <c r="Q354" s="4"/>
      <c r="S354" s="3"/>
      <c r="T354" s="3"/>
      <c r="U354" s="4"/>
      <c r="V354" s="4"/>
    </row>
    <row r="355" spans="1:22" x14ac:dyDescent="0.25">
      <c r="A355" s="3" t="str">
        <f>RTD("rtdtrading.rtdserver",, "BOOK0", "VOC", 351)</f>
        <v>Ferramenta Inválida</v>
      </c>
      <c r="B355" s="3" t="str">
        <f>RTD("rtdtrading.rtdserver",, "BOOK0", "OCP", 351)</f>
        <v>Ferramenta Inválida</v>
      </c>
      <c r="C355" s="4" t="str">
        <f>RTD("rtdtrading.rtdserver",, "BOOK0", "OVD", 351)</f>
        <v>Ferramenta Inválida</v>
      </c>
      <c r="D355" s="4" t="str">
        <f>RTD("rtdtrading.rtdserver",, "BOOK0", "VOV", 351)</f>
        <v>Ferramenta Inválida</v>
      </c>
      <c r="F355" s="3"/>
      <c r="G355" s="5"/>
      <c r="H355" s="6"/>
      <c r="I355" s="4"/>
      <c r="K355" s="5"/>
      <c r="L355" s="6"/>
      <c r="N355" s="3"/>
      <c r="O355" s="3"/>
      <c r="P355" s="4"/>
      <c r="Q355" s="4"/>
      <c r="S355" s="3"/>
      <c r="T355" s="3"/>
      <c r="U355" s="4"/>
      <c r="V355" s="4"/>
    </row>
    <row r="356" spans="1:22" x14ac:dyDescent="0.25">
      <c r="A356" s="3" t="str">
        <f>RTD("rtdtrading.rtdserver",, "BOOK0", "VOC", 352)</f>
        <v>Ferramenta Inválida</v>
      </c>
      <c r="B356" s="3" t="str">
        <f>RTD("rtdtrading.rtdserver",, "BOOK0", "OCP", 352)</f>
        <v>Ferramenta Inválida</v>
      </c>
      <c r="C356" s="4" t="str">
        <f>RTD("rtdtrading.rtdserver",, "BOOK0", "OVD", 352)</f>
        <v>Ferramenta Inválida</v>
      </c>
      <c r="D356" s="4" t="str">
        <f>RTD("rtdtrading.rtdserver",, "BOOK0", "VOV", 352)</f>
        <v>Ferramenta Inválida</v>
      </c>
      <c r="F356" s="3"/>
      <c r="G356" s="5"/>
      <c r="H356" s="6"/>
      <c r="I356" s="4"/>
      <c r="K356" s="5"/>
      <c r="L356" s="6"/>
      <c r="N356" s="3"/>
      <c r="O356" s="3"/>
      <c r="P356" s="4"/>
      <c r="Q356" s="4"/>
      <c r="S356" s="3"/>
      <c r="T356" s="3"/>
      <c r="U356" s="4"/>
      <c r="V356" s="4"/>
    </row>
    <row r="357" spans="1:22" x14ac:dyDescent="0.25">
      <c r="A357" s="3" t="str">
        <f>RTD("rtdtrading.rtdserver",, "BOOK0", "VOC", 353)</f>
        <v>Ferramenta Inválida</v>
      </c>
      <c r="B357" s="3" t="str">
        <f>RTD("rtdtrading.rtdserver",, "BOOK0", "OCP", 353)</f>
        <v>Ferramenta Inválida</v>
      </c>
      <c r="C357" s="4" t="str">
        <f>RTD("rtdtrading.rtdserver",, "BOOK0", "OVD", 353)</f>
        <v>Ferramenta Inválida</v>
      </c>
      <c r="D357" s="4" t="str">
        <f>RTD("rtdtrading.rtdserver",, "BOOK0", "VOV", 353)</f>
        <v>Ferramenta Inválida</v>
      </c>
      <c r="F357" s="3"/>
      <c r="G357" s="5"/>
      <c r="H357" s="6"/>
      <c r="I357" s="4"/>
      <c r="K357" s="5"/>
      <c r="L357" s="6"/>
      <c r="N357" s="3"/>
      <c r="O357" s="3"/>
      <c r="P357" s="4"/>
      <c r="Q357" s="4"/>
      <c r="S357" s="3"/>
      <c r="T357" s="3"/>
      <c r="U357" s="4"/>
      <c r="V357" s="4"/>
    </row>
    <row r="358" spans="1:22" x14ac:dyDescent="0.25">
      <c r="A358" s="3" t="str">
        <f>RTD("rtdtrading.rtdserver",, "BOOK0", "VOC", 354)</f>
        <v>Ferramenta Inválida</v>
      </c>
      <c r="B358" s="3" t="str">
        <f>RTD("rtdtrading.rtdserver",, "BOOK0", "OCP", 354)</f>
        <v>Ferramenta Inválida</v>
      </c>
      <c r="C358" s="4" t="str">
        <f>RTD("rtdtrading.rtdserver",, "BOOK0", "OVD", 354)</f>
        <v>Ferramenta Inválida</v>
      </c>
      <c r="D358" s="4" t="str">
        <f>RTD("rtdtrading.rtdserver",, "BOOK0", "VOV", 354)</f>
        <v>Ferramenta Inválida</v>
      </c>
      <c r="F358" s="3"/>
      <c r="G358" s="5"/>
      <c r="H358" s="6"/>
      <c r="I358" s="4"/>
      <c r="K358" s="5"/>
      <c r="L358" s="6"/>
      <c r="N358" s="3"/>
      <c r="O358" s="3"/>
      <c r="P358" s="4"/>
      <c r="Q358" s="4"/>
      <c r="S358" s="3"/>
      <c r="T358" s="3"/>
      <c r="U358" s="4"/>
      <c r="V358" s="4"/>
    </row>
    <row r="359" spans="1:22" x14ac:dyDescent="0.25">
      <c r="A359" s="3" t="str">
        <f>RTD("rtdtrading.rtdserver",, "BOOK0", "VOC", 355)</f>
        <v>Ferramenta Inválida</v>
      </c>
      <c r="B359" s="3" t="str">
        <f>RTD("rtdtrading.rtdserver",, "BOOK0", "OCP", 355)</f>
        <v>Ferramenta Inválida</v>
      </c>
      <c r="C359" s="4" t="str">
        <f>RTD("rtdtrading.rtdserver",, "BOOK0", "OVD", 355)</f>
        <v>Ferramenta Inválida</v>
      </c>
      <c r="D359" s="4" t="str">
        <f>RTD("rtdtrading.rtdserver",, "BOOK0", "VOV", 355)</f>
        <v>Ferramenta Inválida</v>
      </c>
      <c r="F359" s="3"/>
      <c r="G359" s="5"/>
      <c r="H359" s="6"/>
      <c r="I359" s="4"/>
      <c r="K359" s="5"/>
      <c r="L359" s="6"/>
      <c r="N359" s="3"/>
      <c r="O359" s="3"/>
      <c r="P359" s="4"/>
      <c r="Q359" s="4"/>
      <c r="S359" s="3"/>
      <c r="T359" s="3"/>
      <c r="U359" s="4"/>
      <c r="V359" s="4"/>
    </row>
    <row r="360" spans="1:22" x14ac:dyDescent="0.25">
      <c r="A360" s="3" t="str">
        <f>RTD("rtdtrading.rtdserver",, "BOOK0", "VOC", 356)</f>
        <v>Ferramenta Inválida</v>
      </c>
      <c r="B360" s="3" t="str">
        <f>RTD("rtdtrading.rtdserver",, "BOOK0", "OCP", 356)</f>
        <v>Ferramenta Inválida</v>
      </c>
      <c r="C360" s="4" t="str">
        <f>RTD("rtdtrading.rtdserver",, "BOOK0", "OVD", 356)</f>
        <v>Ferramenta Inválida</v>
      </c>
      <c r="D360" s="4" t="str">
        <f>RTD("rtdtrading.rtdserver",, "BOOK0", "VOV", 356)</f>
        <v>Ferramenta Inválida</v>
      </c>
      <c r="F360" s="3"/>
      <c r="G360" s="5"/>
      <c r="H360" s="6"/>
      <c r="I360" s="4"/>
      <c r="K360" s="5"/>
      <c r="L360" s="6"/>
      <c r="N360" s="3"/>
      <c r="O360" s="3"/>
      <c r="P360" s="4"/>
      <c r="Q360" s="4"/>
      <c r="S360" s="3"/>
      <c r="T360" s="3"/>
      <c r="U360" s="4"/>
      <c r="V360" s="4"/>
    </row>
    <row r="361" spans="1:22" x14ac:dyDescent="0.25">
      <c r="A361" s="3" t="str">
        <f>RTD("rtdtrading.rtdserver",, "BOOK0", "VOC", 357)</f>
        <v>Ferramenta Inválida</v>
      </c>
      <c r="B361" s="3" t="str">
        <f>RTD("rtdtrading.rtdserver",, "BOOK0", "OCP", 357)</f>
        <v>Ferramenta Inválida</v>
      </c>
      <c r="C361" s="4" t="str">
        <f>RTD("rtdtrading.rtdserver",, "BOOK0", "OVD", 357)</f>
        <v>Ferramenta Inválida</v>
      </c>
      <c r="D361" s="4" t="str">
        <f>RTD("rtdtrading.rtdserver",, "BOOK0", "VOV", 357)</f>
        <v>Ferramenta Inválida</v>
      </c>
      <c r="F361" s="3"/>
      <c r="G361" s="5"/>
      <c r="H361" s="6"/>
      <c r="I361" s="4"/>
      <c r="K361" s="5"/>
      <c r="L361" s="6"/>
      <c r="N361" s="3"/>
      <c r="O361" s="3"/>
      <c r="P361" s="4"/>
      <c r="Q361" s="4"/>
      <c r="S361" s="3"/>
      <c r="T361" s="3"/>
      <c r="U361" s="4"/>
      <c r="V361" s="4"/>
    </row>
    <row r="362" spans="1:22" x14ac:dyDescent="0.25">
      <c r="A362" s="3" t="str">
        <f>RTD("rtdtrading.rtdserver",, "BOOK0", "VOC", 358)</f>
        <v>Ferramenta Inválida</v>
      </c>
      <c r="B362" s="3" t="str">
        <f>RTD("rtdtrading.rtdserver",, "BOOK0", "OCP", 358)</f>
        <v>Ferramenta Inválida</v>
      </c>
      <c r="C362" s="4" t="str">
        <f>RTD("rtdtrading.rtdserver",, "BOOK0", "OVD", 358)</f>
        <v>Ferramenta Inválida</v>
      </c>
      <c r="D362" s="4" t="str">
        <f>RTD("rtdtrading.rtdserver",, "BOOK0", "VOV", 358)</f>
        <v>Ferramenta Inválida</v>
      </c>
      <c r="F362" s="3"/>
      <c r="G362" s="5"/>
      <c r="H362" s="6"/>
      <c r="I362" s="4"/>
      <c r="K362" s="5"/>
      <c r="L362" s="6"/>
      <c r="N362" s="3"/>
      <c r="O362" s="3"/>
      <c r="P362" s="4"/>
      <c r="Q362" s="4"/>
      <c r="S362" s="3"/>
      <c r="T362" s="3"/>
      <c r="U362" s="4"/>
      <c r="V362" s="4"/>
    </row>
    <row r="363" spans="1:22" x14ac:dyDescent="0.25">
      <c r="A363" s="3" t="str">
        <f>RTD("rtdtrading.rtdserver",, "BOOK0", "VOC", 359)</f>
        <v>Ferramenta Inválida</v>
      </c>
      <c r="B363" s="3" t="str">
        <f>RTD("rtdtrading.rtdserver",, "BOOK0", "OCP", 359)</f>
        <v>Ferramenta Inválida</v>
      </c>
      <c r="C363" s="4" t="str">
        <f>RTD("rtdtrading.rtdserver",, "BOOK0", "OVD", 359)</f>
        <v>Ferramenta Inválida</v>
      </c>
      <c r="D363" s="4" t="str">
        <f>RTD("rtdtrading.rtdserver",, "BOOK0", "VOV", 359)</f>
        <v>Ferramenta Inválida</v>
      </c>
      <c r="F363" s="3"/>
      <c r="G363" s="5"/>
      <c r="H363" s="6"/>
      <c r="I363" s="4"/>
      <c r="K363" s="5"/>
      <c r="L363" s="6"/>
      <c r="N363" s="3"/>
      <c r="O363" s="3"/>
      <c r="P363" s="4"/>
      <c r="Q363" s="4"/>
      <c r="S363" s="3"/>
      <c r="T363" s="3"/>
      <c r="U363" s="4"/>
      <c r="V363" s="4"/>
    </row>
    <row r="364" spans="1:22" x14ac:dyDescent="0.25">
      <c r="A364" s="3" t="str">
        <f>RTD("rtdtrading.rtdserver",, "BOOK0", "VOC", 360)</f>
        <v>Ferramenta Inválida</v>
      </c>
      <c r="B364" s="3" t="str">
        <f>RTD("rtdtrading.rtdserver",, "BOOK0", "OCP", 360)</f>
        <v>Ferramenta Inválida</v>
      </c>
      <c r="C364" s="4" t="str">
        <f>RTD("rtdtrading.rtdserver",, "BOOK0", "OVD", 360)</f>
        <v>Ferramenta Inválida</v>
      </c>
      <c r="D364" s="4" t="str">
        <f>RTD("rtdtrading.rtdserver",, "BOOK0", "VOV", 360)</f>
        <v>Ferramenta Inválida</v>
      </c>
      <c r="F364" s="3"/>
      <c r="G364" s="5"/>
      <c r="H364" s="6"/>
      <c r="I364" s="4"/>
      <c r="K364" s="5"/>
      <c r="L364" s="6"/>
      <c r="N364" s="3"/>
      <c r="O364" s="3"/>
      <c r="P364" s="4"/>
      <c r="Q364" s="4"/>
      <c r="S364" s="3"/>
      <c r="T364" s="3"/>
      <c r="U364" s="4"/>
      <c r="V364" s="4"/>
    </row>
    <row r="365" spans="1:22" x14ac:dyDescent="0.25">
      <c r="A365" s="3" t="str">
        <f>RTD("rtdtrading.rtdserver",, "BOOK0", "VOC", 361)</f>
        <v>Ferramenta Inválida</v>
      </c>
      <c r="B365" s="3" t="str">
        <f>RTD("rtdtrading.rtdserver",, "BOOK0", "OCP", 361)</f>
        <v>Ferramenta Inválida</v>
      </c>
      <c r="C365" s="4" t="str">
        <f>RTD("rtdtrading.rtdserver",, "BOOK0", "OVD", 361)</f>
        <v>Ferramenta Inválida</v>
      </c>
      <c r="D365" s="4" t="str">
        <f>RTD("rtdtrading.rtdserver",, "BOOK0", "VOV", 361)</f>
        <v>Ferramenta Inválida</v>
      </c>
      <c r="F365" s="3"/>
      <c r="G365" s="5"/>
      <c r="H365" s="6"/>
      <c r="I365" s="4"/>
      <c r="K365" s="5"/>
      <c r="L365" s="6"/>
      <c r="N365" s="3"/>
      <c r="O365" s="3"/>
      <c r="P365" s="4"/>
      <c r="Q365" s="4"/>
      <c r="S365" s="3"/>
      <c r="T365" s="3"/>
      <c r="U365" s="4"/>
      <c r="V365" s="4"/>
    </row>
    <row r="366" spans="1:22" x14ac:dyDescent="0.25">
      <c r="A366" s="3" t="str">
        <f>RTD("rtdtrading.rtdserver",, "BOOK0", "VOC", 362)</f>
        <v>Ferramenta Inválida</v>
      </c>
      <c r="B366" s="3" t="str">
        <f>RTD("rtdtrading.rtdserver",, "BOOK0", "OCP", 362)</f>
        <v>Ferramenta Inválida</v>
      </c>
      <c r="C366" s="4" t="str">
        <f>RTD("rtdtrading.rtdserver",, "BOOK0", "OVD", 362)</f>
        <v>Ferramenta Inválida</v>
      </c>
      <c r="D366" s="4" t="str">
        <f>RTD("rtdtrading.rtdserver",, "BOOK0", "VOV", 362)</f>
        <v>Ferramenta Inválida</v>
      </c>
      <c r="F366" s="3"/>
      <c r="G366" s="5"/>
      <c r="H366" s="6"/>
      <c r="I366" s="4"/>
      <c r="K366" s="5"/>
      <c r="L366" s="6"/>
      <c r="N366" s="3"/>
      <c r="O366" s="3"/>
      <c r="P366" s="4"/>
      <c r="Q366" s="4"/>
      <c r="S366" s="3"/>
      <c r="T366" s="3"/>
      <c r="U366" s="4"/>
      <c r="V366" s="4"/>
    </row>
    <row r="367" spans="1:22" x14ac:dyDescent="0.25">
      <c r="A367" s="3" t="str">
        <f>RTD("rtdtrading.rtdserver",, "BOOK0", "VOC", 363)</f>
        <v>Ferramenta Inválida</v>
      </c>
      <c r="B367" s="3" t="str">
        <f>RTD("rtdtrading.rtdserver",, "BOOK0", "OCP", 363)</f>
        <v>Ferramenta Inválida</v>
      </c>
      <c r="C367" s="4" t="str">
        <f>RTD("rtdtrading.rtdserver",, "BOOK0", "OVD", 363)</f>
        <v>Ferramenta Inválida</v>
      </c>
      <c r="D367" s="4" t="str">
        <f>RTD("rtdtrading.rtdserver",, "BOOK0", "VOV", 363)</f>
        <v>Ferramenta Inválida</v>
      </c>
      <c r="F367" s="3"/>
      <c r="G367" s="5"/>
      <c r="H367" s="6"/>
      <c r="I367" s="4"/>
      <c r="K367" s="5"/>
      <c r="L367" s="6"/>
      <c r="N367" s="3"/>
      <c r="O367" s="3"/>
      <c r="P367" s="4"/>
      <c r="Q367" s="4"/>
      <c r="S367" s="3"/>
      <c r="T367" s="3"/>
      <c r="U367" s="4"/>
      <c r="V367" s="4"/>
    </row>
    <row r="368" spans="1:22" x14ac:dyDescent="0.25">
      <c r="A368" s="3" t="str">
        <f>RTD("rtdtrading.rtdserver",, "BOOK0", "VOC", 364)</f>
        <v>Ferramenta Inválida</v>
      </c>
      <c r="B368" s="3" t="str">
        <f>RTD("rtdtrading.rtdserver",, "BOOK0", "OCP", 364)</f>
        <v>Ferramenta Inválida</v>
      </c>
      <c r="C368" s="4" t="str">
        <f>RTD("rtdtrading.rtdserver",, "BOOK0", "OVD", 364)</f>
        <v>Ferramenta Inválida</v>
      </c>
      <c r="D368" s="4" t="str">
        <f>RTD("rtdtrading.rtdserver",, "BOOK0", "VOV", 364)</f>
        <v>Ferramenta Inválida</v>
      </c>
      <c r="F368" s="3"/>
      <c r="G368" s="5"/>
      <c r="H368" s="6"/>
      <c r="I368" s="4"/>
      <c r="K368" s="5"/>
      <c r="L368" s="6"/>
      <c r="N368" s="3"/>
      <c r="O368" s="3"/>
      <c r="P368" s="4"/>
      <c r="Q368" s="4"/>
      <c r="S368" s="3"/>
      <c r="T368" s="3"/>
      <c r="U368" s="4"/>
      <c r="V368" s="4"/>
    </row>
    <row r="369" spans="1:22" x14ac:dyDescent="0.25">
      <c r="A369" s="3" t="str">
        <f>RTD("rtdtrading.rtdserver",, "BOOK0", "VOC", 365)</f>
        <v>Ferramenta Inválida</v>
      </c>
      <c r="B369" s="3" t="str">
        <f>RTD("rtdtrading.rtdserver",, "BOOK0", "OCP", 365)</f>
        <v>Ferramenta Inválida</v>
      </c>
      <c r="C369" s="4" t="str">
        <f>RTD("rtdtrading.rtdserver",, "BOOK0", "OVD", 365)</f>
        <v>Ferramenta Inválida</v>
      </c>
      <c r="D369" s="4" t="str">
        <f>RTD("rtdtrading.rtdserver",, "BOOK0", "VOV", 365)</f>
        <v>Ferramenta Inválida</v>
      </c>
      <c r="F369" s="3"/>
      <c r="G369" s="5"/>
      <c r="H369" s="6"/>
      <c r="I369" s="4"/>
      <c r="K369" s="5"/>
      <c r="L369" s="6"/>
      <c r="N369" s="3"/>
      <c r="O369" s="3"/>
      <c r="P369" s="4"/>
      <c r="Q369" s="4"/>
      <c r="S369" s="3"/>
      <c r="T369" s="3"/>
      <c r="U369" s="4"/>
      <c r="V369" s="4"/>
    </row>
    <row r="370" spans="1:22" x14ac:dyDescent="0.25">
      <c r="A370" s="3" t="str">
        <f>RTD("rtdtrading.rtdserver",, "BOOK0", "VOC", 366)</f>
        <v>Ferramenta Inválida</v>
      </c>
      <c r="B370" s="3" t="str">
        <f>RTD("rtdtrading.rtdserver",, "BOOK0", "OCP", 366)</f>
        <v>Ferramenta Inválida</v>
      </c>
      <c r="C370" s="4" t="str">
        <f>RTD("rtdtrading.rtdserver",, "BOOK0", "OVD", 366)</f>
        <v>Ferramenta Inválida</v>
      </c>
      <c r="D370" s="4" t="str">
        <f>RTD("rtdtrading.rtdserver",, "BOOK0", "VOV", 366)</f>
        <v>Ferramenta Inválida</v>
      </c>
      <c r="F370" s="3"/>
      <c r="G370" s="5"/>
      <c r="H370" s="6"/>
      <c r="I370" s="4"/>
      <c r="K370" s="5"/>
      <c r="L370" s="6"/>
      <c r="N370" s="3"/>
      <c r="O370" s="3"/>
      <c r="P370" s="4"/>
      <c r="Q370" s="4"/>
      <c r="S370" s="3"/>
      <c r="T370" s="3"/>
      <c r="U370" s="4"/>
      <c r="V370" s="4"/>
    </row>
    <row r="371" spans="1:22" x14ac:dyDescent="0.25">
      <c r="A371" s="3" t="str">
        <f>RTD("rtdtrading.rtdserver",, "BOOK0", "VOC", 367)</f>
        <v>Ferramenta Inválida</v>
      </c>
      <c r="B371" s="3" t="str">
        <f>RTD("rtdtrading.rtdserver",, "BOOK0", "OCP", 367)</f>
        <v>Ferramenta Inválida</v>
      </c>
      <c r="C371" s="4" t="str">
        <f>RTD("rtdtrading.rtdserver",, "BOOK0", "OVD", 367)</f>
        <v>Ferramenta Inválida</v>
      </c>
      <c r="D371" s="4" t="str">
        <f>RTD("rtdtrading.rtdserver",, "BOOK0", "VOV", 367)</f>
        <v>Ferramenta Inválida</v>
      </c>
      <c r="F371" s="3"/>
      <c r="G371" s="5"/>
      <c r="H371" s="6"/>
      <c r="I371" s="4"/>
      <c r="K371" s="5"/>
      <c r="L371" s="6"/>
      <c r="N371" s="3"/>
      <c r="O371" s="3"/>
      <c r="P371" s="4"/>
      <c r="Q371" s="4"/>
      <c r="S371" s="3"/>
      <c r="T371" s="3"/>
      <c r="U371" s="4"/>
      <c r="V371" s="4"/>
    </row>
    <row r="372" spans="1:22" x14ac:dyDescent="0.25">
      <c r="A372" s="3" t="str">
        <f>RTD("rtdtrading.rtdserver",, "BOOK0", "VOC", 368)</f>
        <v>Ferramenta Inválida</v>
      </c>
      <c r="B372" s="3" t="str">
        <f>RTD("rtdtrading.rtdserver",, "BOOK0", "OCP", 368)</f>
        <v>Ferramenta Inválida</v>
      </c>
      <c r="C372" s="4" t="str">
        <f>RTD("rtdtrading.rtdserver",, "BOOK0", "OVD", 368)</f>
        <v>Ferramenta Inválida</v>
      </c>
      <c r="D372" s="4" t="str">
        <f>RTD("rtdtrading.rtdserver",, "BOOK0", "VOV", 368)</f>
        <v>Ferramenta Inválida</v>
      </c>
      <c r="F372" s="3"/>
      <c r="G372" s="5"/>
      <c r="H372" s="6"/>
      <c r="I372" s="4"/>
      <c r="K372" s="5"/>
      <c r="L372" s="6"/>
      <c r="N372" s="3"/>
      <c r="O372" s="3"/>
      <c r="P372" s="4"/>
      <c r="Q372" s="4"/>
      <c r="S372" s="3"/>
      <c r="T372" s="3"/>
      <c r="U372" s="4"/>
      <c r="V372" s="4"/>
    </row>
    <row r="373" spans="1:22" x14ac:dyDescent="0.25">
      <c r="A373" s="3" t="str">
        <f>RTD("rtdtrading.rtdserver",, "BOOK0", "VOC", 369)</f>
        <v>Ferramenta Inválida</v>
      </c>
      <c r="B373" s="3" t="str">
        <f>RTD("rtdtrading.rtdserver",, "BOOK0", "OCP", 369)</f>
        <v>Ferramenta Inválida</v>
      </c>
      <c r="C373" s="4" t="str">
        <f>RTD("rtdtrading.rtdserver",, "BOOK0", "OVD", 369)</f>
        <v>Ferramenta Inválida</v>
      </c>
      <c r="D373" s="4" t="str">
        <f>RTD("rtdtrading.rtdserver",, "BOOK0", "VOV", 369)</f>
        <v>Ferramenta Inválida</v>
      </c>
      <c r="F373" s="3"/>
      <c r="G373" s="5"/>
      <c r="H373" s="6"/>
      <c r="I373" s="4"/>
      <c r="K373" s="5"/>
      <c r="L373" s="6"/>
      <c r="N373" s="3"/>
      <c r="O373" s="3"/>
      <c r="P373" s="4"/>
      <c r="Q373" s="4"/>
      <c r="S373" s="3"/>
      <c r="T373" s="3"/>
      <c r="U373" s="4"/>
      <c r="V373" s="4"/>
    </row>
    <row r="374" spans="1:22" x14ac:dyDescent="0.25">
      <c r="A374" s="3" t="str">
        <f>RTD("rtdtrading.rtdserver",, "BOOK0", "VOC", 370)</f>
        <v>Ferramenta Inválida</v>
      </c>
      <c r="B374" s="3" t="str">
        <f>RTD("rtdtrading.rtdserver",, "BOOK0", "OCP", 370)</f>
        <v>Ferramenta Inválida</v>
      </c>
      <c r="C374" s="4" t="str">
        <f>RTD("rtdtrading.rtdserver",, "BOOK0", "OVD", 370)</f>
        <v>Ferramenta Inválida</v>
      </c>
      <c r="D374" s="4" t="str">
        <f>RTD("rtdtrading.rtdserver",, "BOOK0", "VOV", 370)</f>
        <v>Ferramenta Inválida</v>
      </c>
      <c r="F374" s="3"/>
      <c r="G374" s="5"/>
      <c r="H374" s="6"/>
      <c r="I374" s="4"/>
      <c r="K374" s="5"/>
      <c r="L374" s="6"/>
      <c r="N374" s="3"/>
      <c r="O374" s="3"/>
      <c r="P374" s="4"/>
      <c r="Q374" s="4"/>
      <c r="S374" s="3"/>
      <c r="T374" s="3"/>
      <c r="U374" s="4"/>
      <c r="V374" s="4"/>
    </row>
    <row r="375" spans="1:22" x14ac:dyDescent="0.25">
      <c r="A375" s="3" t="str">
        <f>RTD("rtdtrading.rtdserver",, "BOOK0", "VOC", 371)</f>
        <v>Ferramenta Inválida</v>
      </c>
      <c r="B375" s="3" t="str">
        <f>RTD("rtdtrading.rtdserver",, "BOOK0", "OCP", 371)</f>
        <v>Ferramenta Inválida</v>
      </c>
      <c r="C375" s="4" t="str">
        <f>RTD("rtdtrading.rtdserver",, "BOOK0", "OVD", 371)</f>
        <v>Ferramenta Inválida</v>
      </c>
      <c r="D375" s="4" t="str">
        <f>RTD("rtdtrading.rtdserver",, "BOOK0", "VOV", 371)</f>
        <v>Ferramenta Inválida</v>
      </c>
      <c r="F375" s="3"/>
      <c r="G375" s="5"/>
      <c r="H375" s="6"/>
      <c r="I375" s="4"/>
      <c r="K375" s="5"/>
      <c r="L375" s="6"/>
      <c r="N375" s="3"/>
      <c r="O375" s="3"/>
      <c r="P375" s="4"/>
      <c r="Q375" s="4"/>
      <c r="S375" s="3"/>
      <c r="T375" s="3"/>
      <c r="U375" s="4"/>
      <c r="V375" s="4"/>
    </row>
    <row r="376" spans="1:22" x14ac:dyDescent="0.25">
      <c r="A376" s="3" t="str">
        <f>RTD("rtdtrading.rtdserver",, "BOOK0", "VOC", 372)</f>
        <v>Ferramenta Inválida</v>
      </c>
      <c r="B376" s="3" t="str">
        <f>RTD("rtdtrading.rtdserver",, "BOOK0", "OCP", 372)</f>
        <v>Ferramenta Inválida</v>
      </c>
      <c r="C376" s="4" t="str">
        <f>RTD("rtdtrading.rtdserver",, "BOOK0", "OVD", 372)</f>
        <v>Ferramenta Inválida</v>
      </c>
      <c r="D376" s="4" t="str">
        <f>RTD("rtdtrading.rtdserver",, "BOOK0", "VOV", 372)</f>
        <v>Ferramenta Inválida</v>
      </c>
      <c r="F376" s="3"/>
      <c r="G376" s="5"/>
      <c r="H376" s="6"/>
      <c r="I376" s="4"/>
      <c r="K376" s="5"/>
      <c r="L376" s="6"/>
      <c r="N376" s="3"/>
      <c r="O376" s="3"/>
      <c r="P376" s="4"/>
      <c r="Q376" s="4"/>
      <c r="S376" s="3"/>
      <c r="T376" s="3"/>
      <c r="U376" s="4"/>
      <c r="V376" s="4"/>
    </row>
    <row r="377" spans="1:22" x14ac:dyDescent="0.25">
      <c r="A377" s="3" t="str">
        <f>RTD("rtdtrading.rtdserver",, "BOOK0", "VOC", 373)</f>
        <v>Ferramenta Inválida</v>
      </c>
      <c r="B377" s="3" t="str">
        <f>RTD("rtdtrading.rtdserver",, "BOOK0", "OCP", 373)</f>
        <v>Ferramenta Inválida</v>
      </c>
      <c r="C377" s="4" t="str">
        <f>RTD("rtdtrading.rtdserver",, "BOOK0", "OVD", 373)</f>
        <v>Ferramenta Inválida</v>
      </c>
      <c r="D377" s="4" t="str">
        <f>RTD("rtdtrading.rtdserver",, "BOOK0", "VOV", 373)</f>
        <v>Ferramenta Inválida</v>
      </c>
      <c r="F377" s="3"/>
      <c r="G377" s="5"/>
      <c r="H377" s="6"/>
      <c r="I377" s="4"/>
      <c r="K377" s="5"/>
      <c r="L377" s="6"/>
      <c r="N377" s="3"/>
      <c r="O377" s="3"/>
      <c r="P377" s="4"/>
      <c r="Q377" s="4"/>
      <c r="S377" s="3"/>
      <c r="T377" s="3"/>
      <c r="U377" s="4"/>
      <c r="V377" s="4"/>
    </row>
    <row r="378" spans="1:22" x14ac:dyDescent="0.25">
      <c r="A378" s="3" t="str">
        <f>RTD("rtdtrading.rtdserver",, "BOOK0", "VOC", 374)</f>
        <v>Ferramenta Inválida</v>
      </c>
      <c r="B378" s="3" t="str">
        <f>RTD("rtdtrading.rtdserver",, "BOOK0", "OCP", 374)</f>
        <v>Ferramenta Inválida</v>
      </c>
      <c r="C378" s="4" t="str">
        <f>RTD("rtdtrading.rtdserver",, "BOOK0", "OVD", 374)</f>
        <v>Ferramenta Inválida</v>
      </c>
      <c r="D378" s="4" t="str">
        <f>RTD("rtdtrading.rtdserver",, "BOOK0", "VOV", 374)</f>
        <v>Ferramenta Inválida</v>
      </c>
      <c r="F378" s="3"/>
      <c r="G378" s="5"/>
      <c r="H378" s="6"/>
      <c r="I378" s="4"/>
      <c r="K378" s="5"/>
      <c r="L378" s="6"/>
      <c r="N378" s="3"/>
      <c r="O378" s="3"/>
      <c r="P378" s="4"/>
      <c r="Q378" s="4"/>
      <c r="S378" s="3"/>
      <c r="T378" s="3"/>
      <c r="U378" s="4"/>
      <c r="V378" s="4"/>
    </row>
    <row r="379" spans="1:22" x14ac:dyDescent="0.25">
      <c r="A379" s="3" t="str">
        <f>RTD("rtdtrading.rtdserver",, "BOOK0", "VOC", 375)</f>
        <v>Ferramenta Inválida</v>
      </c>
      <c r="B379" s="3" t="str">
        <f>RTD("rtdtrading.rtdserver",, "BOOK0", "OCP", 375)</f>
        <v>Ferramenta Inválida</v>
      </c>
      <c r="C379" s="4" t="str">
        <f>RTD("rtdtrading.rtdserver",, "BOOK0", "OVD", 375)</f>
        <v>Ferramenta Inválida</v>
      </c>
      <c r="D379" s="4" t="str">
        <f>RTD("rtdtrading.rtdserver",, "BOOK0", "VOV", 375)</f>
        <v>Ferramenta Inválida</v>
      </c>
      <c r="F379" s="3"/>
      <c r="G379" s="5"/>
      <c r="H379" s="6"/>
      <c r="I379" s="4"/>
      <c r="K379" s="5"/>
      <c r="L379" s="6"/>
      <c r="N379" s="3"/>
      <c r="O379" s="3"/>
      <c r="P379" s="4"/>
      <c r="Q379" s="4"/>
      <c r="S379" s="3"/>
      <c r="T379" s="3"/>
      <c r="U379" s="4"/>
      <c r="V379" s="4"/>
    </row>
    <row r="380" spans="1:22" x14ac:dyDescent="0.25">
      <c r="A380" s="3" t="str">
        <f>RTD("rtdtrading.rtdserver",, "BOOK0", "VOC", 376)</f>
        <v>Ferramenta Inválida</v>
      </c>
      <c r="B380" s="3" t="str">
        <f>RTD("rtdtrading.rtdserver",, "BOOK0", "OCP", 376)</f>
        <v>Ferramenta Inválida</v>
      </c>
      <c r="C380" s="4" t="str">
        <f>RTD("rtdtrading.rtdserver",, "BOOK0", "OVD", 376)</f>
        <v>Ferramenta Inválida</v>
      </c>
      <c r="D380" s="4" t="str">
        <f>RTD("rtdtrading.rtdserver",, "BOOK0", "VOV", 376)</f>
        <v>Ferramenta Inválida</v>
      </c>
      <c r="F380" s="3"/>
      <c r="G380" s="5"/>
      <c r="H380" s="6"/>
      <c r="I380" s="4"/>
      <c r="K380" s="5"/>
      <c r="L380" s="6"/>
      <c r="N380" s="3"/>
      <c r="O380" s="3"/>
      <c r="P380" s="4"/>
      <c r="Q380" s="4"/>
      <c r="S380" s="3"/>
      <c r="T380" s="3"/>
      <c r="U380" s="4"/>
      <c r="V380" s="4"/>
    </row>
    <row r="381" spans="1:22" x14ac:dyDescent="0.25">
      <c r="A381" s="3" t="str">
        <f>RTD("rtdtrading.rtdserver",, "BOOK0", "VOC", 377)</f>
        <v>Ferramenta Inválida</v>
      </c>
      <c r="B381" s="3" t="str">
        <f>RTD("rtdtrading.rtdserver",, "BOOK0", "OCP", 377)</f>
        <v>Ferramenta Inválida</v>
      </c>
      <c r="C381" s="4" t="str">
        <f>RTD("rtdtrading.rtdserver",, "BOOK0", "OVD", 377)</f>
        <v>Ferramenta Inválida</v>
      </c>
      <c r="D381" s="4" t="str">
        <f>RTD("rtdtrading.rtdserver",, "BOOK0", "VOV", 377)</f>
        <v>Ferramenta Inválida</v>
      </c>
      <c r="F381" s="3"/>
      <c r="G381" s="5"/>
      <c r="H381" s="6"/>
      <c r="I381" s="4"/>
      <c r="K381" s="5"/>
      <c r="L381" s="6"/>
      <c r="N381" s="3"/>
      <c r="O381" s="3"/>
      <c r="P381" s="4"/>
      <c r="Q381" s="4"/>
      <c r="S381" s="3"/>
      <c r="T381" s="3"/>
      <c r="U381" s="4"/>
      <c r="V381" s="4"/>
    </row>
    <row r="382" spans="1:22" x14ac:dyDescent="0.25">
      <c r="A382" s="3" t="str">
        <f>RTD("rtdtrading.rtdserver",, "BOOK0", "VOC", 378)</f>
        <v>Ferramenta Inválida</v>
      </c>
      <c r="B382" s="3" t="str">
        <f>RTD("rtdtrading.rtdserver",, "BOOK0", "OCP", 378)</f>
        <v>Ferramenta Inválida</v>
      </c>
      <c r="C382" s="4" t="str">
        <f>RTD("rtdtrading.rtdserver",, "BOOK0", "OVD", 378)</f>
        <v>Ferramenta Inválida</v>
      </c>
      <c r="D382" s="4" t="str">
        <f>RTD("rtdtrading.rtdserver",, "BOOK0", "VOV", 378)</f>
        <v>Ferramenta Inválida</v>
      </c>
      <c r="F382" s="3"/>
      <c r="G382" s="5"/>
      <c r="H382" s="6"/>
      <c r="I382" s="4"/>
      <c r="K382" s="5"/>
      <c r="L382" s="6"/>
      <c r="N382" s="3"/>
      <c r="O382" s="3"/>
      <c r="P382" s="4"/>
      <c r="Q382" s="4"/>
      <c r="S382" s="3"/>
      <c r="T382" s="3"/>
      <c r="U382" s="4"/>
      <c r="V382" s="4"/>
    </row>
    <row r="383" spans="1:22" x14ac:dyDescent="0.25">
      <c r="A383" s="3" t="str">
        <f>RTD("rtdtrading.rtdserver",, "BOOK0", "VOC", 379)</f>
        <v>Ferramenta Inválida</v>
      </c>
      <c r="B383" s="3" t="str">
        <f>RTD("rtdtrading.rtdserver",, "BOOK0", "OCP", 379)</f>
        <v>Ferramenta Inválida</v>
      </c>
      <c r="C383" s="4" t="str">
        <f>RTD("rtdtrading.rtdserver",, "BOOK0", "OVD", 379)</f>
        <v>Ferramenta Inválida</v>
      </c>
      <c r="D383" s="4" t="str">
        <f>RTD("rtdtrading.rtdserver",, "BOOK0", "VOV", 379)</f>
        <v>Ferramenta Inválida</v>
      </c>
      <c r="F383" s="3"/>
      <c r="G383" s="5"/>
      <c r="H383" s="6"/>
      <c r="I383" s="4"/>
      <c r="K383" s="5"/>
      <c r="L383" s="6"/>
      <c r="N383" s="3"/>
      <c r="O383" s="3"/>
      <c r="P383" s="4"/>
      <c r="Q383" s="4"/>
      <c r="S383" s="3"/>
      <c r="T383" s="3"/>
      <c r="U383" s="4"/>
      <c r="V383" s="4"/>
    </row>
    <row r="384" spans="1:22" x14ac:dyDescent="0.25">
      <c r="A384" s="3" t="str">
        <f>RTD("rtdtrading.rtdserver",, "BOOK0", "VOC", 380)</f>
        <v>Ferramenta Inválida</v>
      </c>
      <c r="B384" s="3" t="str">
        <f>RTD("rtdtrading.rtdserver",, "BOOK0", "OCP", 380)</f>
        <v>Ferramenta Inválida</v>
      </c>
      <c r="C384" s="4" t="str">
        <f>RTD("rtdtrading.rtdserver",, "BOOK0", "OVD", 380)</f>
        <v>Ferramenta Inválida</v>
      </c>
      <c r="D384" s="4" t="str">
        <f>RTD("rtdtrading.rtdserver",, "BOOK0", "VOV", 380)</f>
        <v>Ferramenta Inválida</v>
      </c>
      <c r="F384" s="3"/>
      <c r="G384" s="5"/>
      <c r="H384" s="6"/>
      <c r="I384" s="4"/>
      <c r="K384" s="5"/>
      <c r="L384" s="6"/>
      <c r="N384" s="3"/>
      <c r="O384" s="3"/>
      <c r="P384" s="4"/>
      <c r="Q384" s="4"/>
      <c r="S384" s="3"/>
      <c r="T384" s="3"/>
      <c r="U384" s="4"/>
      <c r="V384" s="4"/>
    </row>
    <row r="385" spans="1:22" x14ac:dyDescent="0.25">
      <c r="A385" s="3" t="str">
        <f>RTD("rtdtrading.rtdserver",, "BOOK0", "VOC", 381)</f>
        <v>Ferramenta Inválida</v>
      </c>
      <c r="B385" s="3" t="str">
        <f>RTD("rtdtrading.rtdserver",, "BOOK0", "OCP", 381)</f>
        <v>Ferramenta Inválida</v>
      </c>
      <c r="C385" s="4" t="str">
        <f>RTD("rtdtrading.rtdserver",, "BOOK0", "OVD", 381)</f>
        <v>Ferramenta Inválida</v>
      </c>
      <c r="D385" s="4" t="str">
        <f>RTD("rtdtrading.rtdserver",, "BOOK0", "VOV", 381)</f>
        <v>Ferramenta Inválida</v>
      </c>
      <c r="F385" s="3"/>
      <c r="G385" s="5"/>
      <c r="H385" s="6"/>
      <c r="I385" s="4"/>
      <c r="K385" s="5"/>
      <c r="L385" s="6"/>
      <c r="N385" s="3"/>
      <c r="O385" s="3"/>
      <c r="P385" s="4"/>
      <c r="Q385" s="4"/>
      <c r="S385" s="3"/>
      <c r="T385" s="3"/>
      <c r="U385" s="4"/>
      <c r="V385" s="4"/>
    </row>
    <row r="386" spans="1:22" x14ac:dyDescent="0.25">
      <c r="A386" s="3" t="str">
        <f>RTD("rtdtrading.rtdserver",, "BOOK0", "VOC", 382)</f>
        <v>Ferramenta Inválida</v>
      </c>
      <c r="B386" s="3" t="str">
        <f>RTD("rtdtrading.rtdserver",, "BOOK0", "OCP", 382)</f>
        <v>Ferramenta Inválida</v>
      </c>
      <c r="C386" s="4" t="str">
        <f>RTD("rtdtrading.rtdserver",, "BOOK0", "OVD", 382)</f>
        <v>Ferramenta Inválida</v>
      </c>
      <c r="D386" s="4" t="str">
        <f>RTD("rtdtrading.rtdserver",, "BOOK0", "VOV", 382)</f>
        <v>Ferramenta Inválida</v>
      </c>
      <c r="F386" s="3"/>
      <c r="G386" s="5"/>
      <c r="H386" s="6"/>
      <c r="I386" s="4"/>
      <c r="K386" s="5"/>
      <c r="L386" s="6"/>
      <c r="N386" s="3"/>
      <c r="O386" s="3"/>
      <c r="P386" s="4"/>
      <c r="Q386" s="4"/>
      <c r="S386" s="3"/>
      <c r="T386" s="3"/>
      <c r="U386" s="4"/>
      <c r="V386" s="4"/>
    </row>
    <row r="387" spans="1:22" x14ac:dyDescent="0.25">
      <c r="A387" s="3" t="str">
        <f>RTD("rtdtrading.rtdserver",, "BOOK0", "VOC", 383)</f>
        <v>Ferramenta Inválida</v>
      </c>
      <c r="B387" s="3" t="str">
        <f>RTD("rtdtrading.rtdserver",, "BOOK0", "OCP", 383)</f>
        <v>Ferramenta Inválida</v>
      </c>
      <c r="C387" s="4" t="str">
        <f>RTD("rtdtrading.rtdserver",, "BOOK0", "OVD", 383)</f>
        <v>Ferramenta Inválida</v>
      </c>
      <c r="D387" s="4" t="str">
        <f>RTD("rtdtrading.rtdserver",, "BOOK0", "VOV", 383)</f>
        <v>Ferramenta Inválida</v>
      </c>
      <c r="F387" s="3"/>
      <c r="G387" s="5"/>
      <c r="H387" s="6"/>
      <c r="I387" s="4"/>
      <c r="K387" s="5"/>
      <c r="L387" s="6"/>
      <c r="N387" s="3"/>
      <c r="O387" s="3"/>
      <c r="P387" s="4"/>
      <c r="Q387" s="4"/>
      <c r="S387" s="3"/>
      <c r="T387" s="3"/>
      <c r="U387" s="4"/>
      <c r="V387" s="4"/>
    </row>
    <row r="388" spans="1:22" x14ac:dyDescent="0.25">
      <c r="A388" s="3" t="str">
        <f>RTD("rtdtrading.rtdserver",, "BOOK0", "VOC", 384)</f>
        <v>Ferramenta Inválida</v>
      </c>
      <c r="B388" s="3" t="str">
        <f>RTD("rtdtrading.rtdserver",, "BOOK0", "OCP", 384)</f>
        <v>Ferramenta Inválida</v>
      </c>
      <c r="C388" s="4" t="str">
        <f>RTD("rtdtrading.rtdserver",, "BOOK0", "OVD", 384)</f>
        <v>Ferramenta Inválida</v>
      </c>
      <c r="D388" s="4" t="str">
        <f>RTD("rtdtrading.rtdserver",, "BOOK0", "VOV", 384)</f>
        <v>Ferramenta Inválida</v>
      </c>
      <c r="F388" s="3"/>
      <c r="G388" s="5"/>
      <c r="H388" s="6"/>
      <c r="I388" s="4"/>
      <c r="K388" s="5"/>
      <c r="L388" s="6"/>
      <c r="N388" s="3"/>
      <c r="O388" s="3"/>
      <c r="P388" s="4"/>
      <c r="Q388" s="4"/>
      <c r="S388" s="3"/>
      <c r="T388" s="3"/>
      <c r="U388" s="4"/>
      <c r="V388" s="4"/>
    </row>
    <row r="389" spans="1:22" x14ac:dyDescent="0.25">
      <c r="A389" s="3" t="str">
        <f>RTD("rtdtrading.rtdserver",, "BOOK0", "VOC", 385)</f>
        <v>Ferramenta Inválida</v>
      </c>
      <c r="B389" s="3" t="str">
        <f>RTD("rtdtrading.rtdserver",, "BOOK0", "OCP", 385)</f>
        <v>Ferramenta Inválida</v>
      </c>
      <c r="C389" s="4" t="str">
        <f>RTD("rtdtrading.rtdserver",, "BOOK0", "OVD", 385)</f>
        <v>Ferramenta Inválida</v>
      </c>
      <c r="D389" s="4" t="str">
        <f>RTD("rtdtrading.rtdserver",, "BOOK0", "VOV", 385)</f>
        <v>Ferramenta Inválida</v>
      </c>
      <c r="F389" s="3"/>
      <c r="G389" s="5"/>
      <c r="H389" s="6"/>
      <c r="I389" s="4"/>
      <c r="K389" s="5"/>
      <c r="L389" s="6"/>
      <c r="N389" s="3"/>
      <c r="O389" s="3"/>
      <c r="P389" s="4"/>
      <c r="Q389" s="4"/>
      <c r="S389" s="3"/>
      <c r="T389" s="3"/>
      <c r="U389" s="4"/>
      <c r="V389" s="4"/>
    </row>
    <row r="390" spans="1:22" x14ac:dyDescent="0.25">
      <c r="A390" s="3" t="str">
        <f>RTD("rtdtrading.rtdserver",, "BOOK0", "VOC", 386)</f>
        <v>Ferramenta Inválida</v>
      </c>
      <c r="B390" s="3" t="str">
        <f>RTD("rtdtrading.rtdserver",, "BOOK0", "OCP", 386)</f>
        <v>Ferramenta Inválida</v>
      </c>
      <c r="C390" s="4" t="str">
        <f>RTD("rtdtrading.rtdserver",, "BOOK0", "OVD", 386)</f>
        <v>Ferramenta Inválida</v>
      </c>
      <c r="D390" s="4" t="str">
        <f>RTD("rtdtrading.rtdserver",, "BOOK0", "VOV", 386)</f>
        <v>Ferramenta Inválida</v>
      </c>
      <c r="F390" s="3"/>
      <c r="G390" s="5"/>
      <c r="H390" s="6"/>
      <c r="I390" s="4"/>
      <c r="K390" s="5"/>
      <c r="L390" s="6"/>
      <c r="N390" s="3"/>
      <c r="O390" s="3"/>
      <c r="P390" s="4"/>
      <c r="Q390" s="4"/>
      <c r="S390" s="3"/>
      <c r="T390" s="3"/>
      <c r="U390" s="4"/>
      <c r="V390" s="4"/>
    </row>
    <row r="391" spans="1:22" x14ac:dyDescent="0.25">
      <c r="A391" s="3" t="str">
        <f>RTD("rtdtrading.rtdserver",, "BOOK0", "VOC", 387)</f>
        <v>Ferramenta Inválida</v>
      </c>
      <c r="B391" s="3" t="str">
        <f>RTD("rtdtrading.rtdserver",, "BOOK0", "OCP", 387)</f>
        <v>Ferramenta Inválida</v>
      </c>
      <c r="C391" s="4" t="str">
        <f>RTD("rtdtrading.rtdserver",, "BOOK0", "OVD", 387)</f>
        <v>Ferramenta Inválida</v>
      </c>
      <c r="D391" s="4" t="str">
        <f>RTD("rtdtrading.rtdserver",, "BOOK0", "VOV", 387)</f>
        <v>Ferramenta Inválida</v>
      </c>
      <c r="F391" s="3"/>
      <c r="G391" s="5"/>
      <c r="H391" s="6"/>
      <c r="I391" s="4"/>
      <c r="K391" s="5"/>
      <c r="L391" s="6"/>
      <c r="N391" s="3"/>
      <c r="O391" s="3"/>
      <c r="P391" s="4"/>
      <c r="Q391" s="4"/>
      <c r="S391" s="3"/>
      <c r="T391" s="3"/>
      <c r="U391" s="4"/>
      <c r="V391" s="4"/>
    </row>
    <row r="392" spans="1:22" x14ac:dyDescent="0.25">
      <c r="A392" s="3" t="str">
        <f>RTD("rtdtrading.rtdserver",, "BOOK0", "VOC", 388)</f>
        <v>Ferramenta Inválida</v>
      </c>
      <c r="B392" s="3" t="str">
        <f>RTD("rtdtrading.rtdserver",, "BOOK0", "OCP", 388)</f>
        <v>Ferramenta Inválida</v>
      </c>
      <c r="C392" s="4" t="str">
        <f>RTD("rtdtrading.rtdserver",, "BOOK0", "OVD", 388)</f>
        <v>Ferramenta Inválida</v>
      </c>
      <c r="D392" s="4" t="str">
        <f>RTD("rtdtrading.rtdserver",, "BOOK0", "VOV", 388)</f>
        <v>Ferramenta Inválida</v>
      </c>
      <c r="F392" s="3"/>
      <c r="G392" s="5"/>
      <c r="H392" s="6"/>
      <c r="I392" s="4"/>
      <c r="K392" s="5"/>
      <c r="L392" s="6"/>
      <c r="N392" s="3"/>
      <c r="O392" s="3"/>
      <c r="P392" s="4"/>
      <c r="Q392" s="4"/>
      <c r="S392" s="3"/>
      <c r="T392" s="3"/>
      <c r="U392" s="4"/>
      <c r="V392" s="4"/>
    </row>
    <row r="393" spans="1:22" x14ac:dyDescent="0.25">
      <c r="A393" s="3" t="str">
        <f>RTD("rtdtrading.rtdserver",, "BOOK0", "VOC", 389)</f>
        <v>Ferramenta Inválida</v>
      </c>
      <c r="B393" s="3" t="str">
        <f>RTD("rtdtrading.rtdserver",, "BOOK0", "OCP", 389)</f>
        <v>Ferramenta Inválida</v>
      </c>
      <c r="C393" s="4" t="str">
        <f>RTD("rtdtrading.rtdserver",, "BOOK0", "OVD", 389)</f>
        <v>Ferramenta Inválida</v>
      </c>
      <c r="D393" s="4" t="str">
        <f>RTD("rtdtrading.rtdserver",, "BOOK0", "VOV", 389)</f>
        <v>Ferramenta Inválida</v>
      </c>
      <c r="F393" s="3"/>
      <c r="G393" s="5"/>
      <c r="H393" s="6"/>
      <c r="I393" s="4"/>
      <c r="K393" s="5"/>
      <c r="L393" s="6"/>
      <c r="N393" s="3"/>
      <c r="O393" s="3"/>
      <c r="P393" s="4"/>
      <c r="Q393" s="4"/>
      <c r="S393" s="3"/>
      <c r="T393" s="3"/>
      <c r="U393" s="4"/>
      <c r="V393" s="4"/>
    </row>
    <row r="394" spans="1:22" x14ac:dyDescent="0.25">
      <c r="A394" s="3" t="str">
        <f>RTD("rtdtrading.rtdserver",, "BOOK0", "VOC", 390)</f>
        <v>Ferramenta Inválida</v>
      </c>
      <c r="B394" s="3" t="str">
        <f>RTD("rtdtrading.rtdserver",, "BOOK0", "OCP", 390)</f>
        <v>Ferramenta Inválida</v>
      </c>
      <c r="C394" s="4" t="str">
        <f>RTD("rtdtrading.rtdserver",, "BOOK0", "OVD", 390)</f>
        <v>Ferramenta Inválida</v>
      </c>
      <c r="D394" s="4" t="str">
        <f>RTD("rtdtrading.rtdserver",, "BOOK0", "VOV", 390)</f>
        <v>Ferramenta Inválida</v>
      </c>
      <c r="F394" s="3"/>
      <c r="G394" s="5"/>
      <c r="H394" s="6"/>
      <c r="I394" s="4"/>
      <c r="K394" s="5"/>
      <c r="L394" s="6"/>
      <c r="N394" s="3"/>
      <c r="O394" s="3"/>
      <c r="P394" s="4"/>
      <c r="Q394" s="4"/>
      <c r="S394" s="3"/>
      <c r="T394" s="3"/>
      <c r="U394" s="4"/>
      <c r="V394" s="4"/>
    </row>
    <row r="395" spans="1:22" x14ac:dyDescent="0.25">
      <c r="A395" s="3" t="str">
        <f>RTD("rtdtrading.rtdserver",, "BOOK0", "VOC", 391)</f>
        <v>Ferramenta Inválida</v>
      </c>
      <c r="B395" s="3" t="str">
        <f>RTD("rtdtrading.rtdserver",, "BOOK0", "OCP", 391)</f>
        <v>Ferramenta Inválida</v>
      </c>
      <c r="C395" s="4" t="str">
        <f>RTD("rtdtrading.rtdserver",, "BOOK0", "OVD", 391)</f>
        <v>Ferramenta Inválida</v>
      </c>
      <c r="D395" s="4" t="str">
        <f>RTD("rtdtrading.rtdserver",, "BOOK0", "VOV", 391)</f>
        <v>Ferramenta Inválida</v>
      </c>
      <c r="F395" s="3"/>
      <c r="G395" s="5"/>
      <c r="H395" s="6"/>
      <c r="I395" s="4"/>
      <c r="K395" s="5"/>
      <c r="L395" s="6"/>
      <c r="N395" s="3"/>
      <c r="O395" s="3"/>
      <c r="P395" s="4"/>
      <c r="Q395" s="4"/>
      <c r="S395" s="3"/>
      <c r="T395" s="3"/>
      <c r="U395" s="4"/>
      <c r="V395" s="4"/>
    </row>
    <row r="396" spans="1:22" x14ac:dyDescent="0.25">
      <c r="A396" s="3" t="str">
        <f>RTD("rtdtrading.rtdserver",, "BOOK0", "VOC", 392)</f>
        <v>Ferramenta Inválida</v>
      </c>
      <c r="B396" s="3" t="str">
        <f>RTD("rtdtrading.rtdserver",, "BOOK0", "OCP", 392)</f>
        <v>Ferramenta Inválida</v>
      </c>
      <c r="C396" s="4" t="str">
        <f>RTD("rtdtrading.rtdserver",, "BOOK0", "OVD", 392)</f>
        <v>Ferramenta Inválida</v>
      </c>
      <c r="D396" s="4" t="str">
        <f>RTD("rtdtrading.rtdserver",, "BOOK0", "VOV", 392)</f>
        <v>Ferramenta Inválida</v>
      </c>
      <c r="F396" s="3"/>
      <c r="G396" s="5"/>
      <c r="H396" s="6"/>
      <c r="I396" s="4"/>
      <c r="K396" s="5"/>
      <c r="L396" s="6"/>
      <c r="N396" s="3"/>
      <c r="O396" s="3"/>
      <c r="P396" s="4"/>
      <c r="Q396" s="4"/>
      <c r="S396" s="3"/>
      <c r="T396" s="3"/>
      <c r="U396" s="4"/>
      <c r="V396" s="4"/>
    </row>
    <row r="397" spans="1:22" x14ac:dyDescent="0.25">
      <c r="A397" s="3" t="str">
        <f>RTD("rtdtrading.rtdserver",, "BOOK0", "VOC", 393)</f>
        <v>Ferramenta Inválida</v>
      </c>
      <c r="B397" s="3" t="str">
        <f>RTD("rtdtrading.rtdserver",, "BOOK0", "OCP", 393)</f>
        <v>Ferramenta Inválida</v>
      </c>
      <c r="C397" s="4" t="str">
        <f>RTD("rtdtrading.rtdserver",, "BOOK0", "OVD", 393)</f>
        <v>Ferramenta Inválida</v>
      </c>
      <c r="D397" s="4" t="str">
        <f>RTD("rtdtrading.rtdserver",, "BOOK0", "VOV", 393)</f>
        <v>Ferramenta Inválida</v>
      </c>
      <c r="F397" s="3"/>
      <c r="G397" s="5"/>
      <c r="H397" s="6"/>
      <c r="I397" s="4"/>
      <c r="K397" s="5"/>
      <c r="L397" s="6"/>
      <c r="N397" s="3"/>
      <c r="O397" s="3"/>
      <c r="P397" s="4"/>
      <c r="Q397" s="4"/>
      <c r="S397" s="3"/>
      <c r="T397" s="3"/>
      <c r="U397" s="4"/>
      <c r="V397" s="4"/>
    </row>
    <row r="398" spans="1:22" x14ac:dyDescent="0.25">
      <c r="A398" s="3" t="str">
        <f>RTD("rtdtrading.rtdserver",, "BOOK0", "VOC", 394)</f>
        <v>Ferramenta Inválida</v>
      </c>
      <c r="B398" s="3" t="str">
        <f>RTD("rtdtrading.rtdserver",, "BOOK0", "OCP", 394)</f>
        <v>Ferramenta Inválida</v>
      </c>
      <c r="C398" s="4" t="str">
        <f>RTD("rtdtrading.rtdserver",, "BOOK0", "OVD", 394)</f>
        <v>Ferramenta Inválida</v>
      </c>
      <c r="D398" s="4" t="str">
        <f>RTD("rtdtrading.rtdserver",, "BOOK0", "VOV", 394)</f>
        <v>Ferramenta Inválida</v>
      </c>
      <c r="F398" s="3"/>
      <c r="G398" s="5"/>
      <c r="H398" s="6"/>
      <c r="I398" s="4"/>
      <c r="K398" s="5"/>
      <c r="L398" s="6"/>
      <c r="N398" s="3"/>
      <c r="O398" s="3"/>
      <c r="P398" s="4"/>
      <c r="Q398" s="4"/>
      <c r="S398" s="3"/>
      <c r="T398" s="3"/>
      <c r="U398" s="4"/>
      <c r="V398" s="4"/>
    </row>
    <row r="399" spans="1:22" x14ac:dyDescent="0.25">
      <c r="A399" s="3" t="str">
        <f>RTD("rtdtrading.rtdserver",, "BOOK0", "VOC", 395)</f>
        <v>Ferramenta Inválida</v>
      </c>
      <c r="B399" s="3" t="str">
        <f>RTD("rtdtrading.rtdserver",, "BOOK0", "OCP", 395)</f>
        <v>Ferramenta Inválida</v>
      </c>
      <c r="C399" s="4" t="str">
        <f>RTD("rtdtrading.rtdserver",, "BOOK0", "OVD", 395)</f>
        <v>Ferramenta Inválida</v>
      </c>
      <c r="D399" s="4" t="str">
        <f>RTD("rtdtrading.rtdserver",, "BOOK0", "VOV", 395)</f>
        <v>Ferramenta Inválida</v>
      </c>
      <c r="F399" s="3"/>
      <c r="G399" s="5"/>
      <c r="H399" s="6"/>
      <c r="I399" s="4"/>
      <c r="K399" s="5"/>
      <c r="L399" s="6"/>
      <c r="N399" s="3"/>
      <c r="O399" s="3"/>
      <c r="P399" s="4"/>
      <c r="Q399" s="4"/>
      <c r="S399" s="3"/>
      <c r="T399" s="3"/>
      <c r="U399" s="4"/>
      <c r="V399" s="4"/>
    </row>
    <row r="400" spans="1:22" x14ac:dyDescent="0.25">
      <c r="A400" s="3" t="str">
        <f>RTD("rtdtrading.rtdserver",, "BOOK0", "VOC", 396)</f>
        <v>Ferramenta Inválida</v>
      </c>
      <c r="B400" s="3" t="str">
        <f>RTD("rtdtrading.rtdserver",, "BOOK0", "OCP", 396)</f>
        <v>Ferramenta Inválida</v>
      </c>
      <c r="C400" s="4" t="str">
        <f>RTD("rtdtrading.rtdserver",, "BOOK0", "OVD", 396)</f>
        <v>Ferramenta Inválida</v>
      </c>
      <c r="D400" s="4" t="str">
        <f>RTD("rtdtrading.rtdserver",, "BOOK0", "VOV", 396)</f>
        <v>Ferramenta Inválida</v>
      </c>
      <c r="F400" s="3"/>
      <c r="G400" s="5"/>
      <c r="H400" s="6"/>
      <c r="I400" s="4"/>
      <c r="K400" s="5"/>
      <c r="L400" s="6"/>
      <c r="N400" s="3"/>
      <c r="O400" s="3"/>
      <c r="P400" s="4"/>
      <c r="Q400" s="4"/>
      <c r="S400" s="3"/>
      <c r="T400" s="3"/>
      <c r="U400" s="4"/>
      <c r="V400" s="4"/>
    </row>
    <row r="401" spans="1:22" x14ac:dyDescent="0.25">
      <c r="A401" s="3" t="str">
        <f>RTD("rtdtrading.rtdserver",, "BOOK0", "VOC", 397)</f>
        <v>Ferramenta Inválida</v>
      </c>
      <c r="B401" s="3" t="str">
        <f>RTD("rtdtrading.rtdserver",, "BOOK0", "OCP", 397)</f>
        <v>Ferramenta Inválida</v>
      </c>
      <c r="C401" s="4" t="str">
        <f>RTD("rtdtrading.rtdserver",, "BOOK0", "OVD", 397)</f>
        <v>Ferramenta Inválida</v>
      </c>
      <c r="D401" s="4" t="str">
        <f>RTD("rtdtrading.rtdserver",, "BOOK0", "VOV", 397)</f>
        <v>Ferramenta Inválida</v>
      </c>
      <c r="F401" s="3"/>
      <c r="G401" s="5"/>
      <c r="H401" s="6"/>
      <c r="I401" s="4"/>
      <c r="K401" s="5"/>
      <c r="L401" s="6"/>
      <c r="N401" s="3"/>
      <c r="O401" s="3"/>
      <c r="P401" s="4"/>
      <c r="Q401" s="4"/>
      <c r="S401" s="3"/>
      <c r="T401" s="3"/>
      <c r="U401" s="4"/>
      <c r="V401" s="4"/>
    </row>
    <row r="402" spans="1:22" x14ac:dyDescent="0.25">
      <c r="A402" s="3" t="str">
        <f>RTD("rtdtrading.rtdserver",, "BOOK0", "VOC", 398)</f>
        <v>Ferramenta Inválida</v>
      </c>
      <c r="B402" s="3" t="str">
        <f>RTD("rtdtrading.rtdserver",, "BOOK0", "OCP", 398)</f>
        <v>Ferramenta Inválida</v>
      </c>
      <c r="C402" s="4" t="str">
        <f>RTD("rtdtrading.rtdserver",, "BOOK0", "OVD", 398)</f>
        <v>Ferramenta Inválida</v>
      </c>
      <c r="D402" s="4" t="str">
        <f>RTD("rtdtrading.rtdserver",, "BOOK0", "VOV", 398)</f>
        <v>Ferramenta Inválida</v>
      </c>
      <c r="F402" s="3"/>
      <c r="G402" s="5"/>
      <c r="H402" s="6"/>
      <c r="I402" s="4"/>
      <c r="K402" s="5"/>
      <c r="L402" s="6"/>
      <c r="N402" s="3"/>
      <c r="O402" s="3"/>
      <c r="P402" s="4"/>
      <c r="Q402" s="4"/>
      <c r="S402" s="3"/>
      <c r="T402" s="3"/>
      <c r="U402" s="4"/>
      <c r="V402" s="4"/>
    </row>
    <row r="403" spans="1:22" x14ac:dyDescent="0.25">
      <c r="A403" s="3" t="str">
        <f>RTD("rtdtrading.rtdserver",, "BOOK0", "VOC", 399)</f>
        <v>Ferramenta Inválida</v>
      </c>
      <c r="B403" s="3" t="str">
        <f>RTD("rtdtrading.rtdserver",, "BOOK0", "OCP", 399)</f>
        <v>Ferramenta Inválida</v>
      </c>
      <c r="C403" s="4" t="str">
        <f>RTD("rtdtrading.rtdserver",, "BOOK0", "OVD", 399)</f>
        <v>Ferramenta Inválida</v>
      </c>
      <c r="D403" s="4" t="str">
        <f>RTD("rtdtrading.rtdserver",, "BOOK0", "VOV", 399)</f>
        <v>Ferramenta Inválida</v>
      </c>
      <c r="F403" s="3"/>
      <c r="G403" s="5"/>
      <c r="H403" s="6"/>
      <c r="I403" s="4"/>
      <c r="K403" s="5"/>
      <c r="L403" s="6"/>
      <c r="N403" s="3"/>
      <c r="O403" s="3"/>
      <c r="P403" s="4"/>
      <c r="Q403" s="4"/>
      <c r="S403" s="3"/>
      <c r="T403" s="3"/>
      <c r="U403" s="4"/>
      <c r="V403" s="4"/>
    </row>
    <row r="404" spans="1:22" x14ac:dyDescent="0.25">
      <c r="A404" s="3" t="str">
        <f>RTD("rtdtrading.rtdserver",, "BOOK0", "VOC", 400)</f>
        <v>Ferramenta Inválida</v>
      </c>
      <c r="B404" s="3" t="str">
        <f>RTD("rtdtrading.rtdserver",, "BOOK0", "OCP", 400)</f>
        <v>Ferramenta Inválida</v>
      </c>
      <c r="C404" s="4" t="str">
        <f>RTD("rtdtrading.rtdserver",, "BOOK0", "OVD", 400)</f>
        <v>Ferramenta Inválida</v>
      </c>
      <c r="D404" s="4" t="str">
        <f>RTD("rtdtrading.rtdserver",, "BOOK0", "VOV", 400)</f>
        <v>Ferramenta Inválida</v>
      </c>
      <c r="F404" s="3"/>
      <c r="G404" s="5"/>
      <c r="H404" s="6"/>
      <c r="I404" s="4"/>
      <c r="K404" s="5"/>
      <c r="L404" s="6"/>
      <c r="N404" s="3"/>
      <c r="O404" s="3"/>
      <c r="P404" s="4"/>
      <c r="Q404" s="4"/>
      <c r="S404" s="3"/>
      <c r="T404" s="3"/>
      <c r="U404" s="4"/>
      <c r="V404" s="4"/>
    </row>
    <row r="405" spans="1:22" x14ac:dyDescent="0.25">
      <c r="A405" s="3" t="str">
        <f>RTD("rtdtrading.rtdserver",, "BOOK0", "VOC", 401)</f>
        <v>Ferramenta Inválida</v>
      </c>
      <c r="B405" s="3" t="str">
        <f>RTD("rtdtrading.rtdserver",, "BOOK0", "OCP", 401)</f>
        <v>Ferramenta Inválida</v>
      </c>
      <c r="C405" s="4" t="str">
        <f>RTD("rtdtrading.rtdserver",, "BOOK0", "OVD", 401)</f>
        <v>Ferramenta Inválida</v>
      </c>
      <c r="D405" s="4" t="str">
        <f>RTD("rtdtrading.rtdserver",, "BOOK0", "VOV", 401)</f>
        <v>Ferramenta Inválida</v>
      </c>
      <c r="F405" s="3"/>
      <c r="G405" s="5"/>
      <c r="H405" s="6"/>
      <c r="I405" s="4"/>
      <c r="K405" s="5"/>
      <c r="L405" s="6"/>
      <c r="N405" s="3"/>
      <c r="O405" s="3"/>
      <c r="P405" s="4"/>
      <c r="Q405" s="4"/>
      <c r="S405" s="3"/>
      <c r="T405" s="3"/>
      <c r="U405" s="4"/>
      <c r="V405" s="4"/>
    </row>
    <row r="406" spans="1:22" x14ac:dyDescent="0.25">
      <c r="A406" s="3" t="str">
        <f>RTD("rtdtrading.rtdserver",, "BOOK0", "VOC", 402)</f>
        <v>Ferramenta Inválida</v>
      </c>
      <c r="B406" s="3" t="str">
        <f>RTD("rtdtrading.rtdserver",, "BOOK0", "OCP", 402)</f>
        <v>Ferramenta Inválida</v>
      </c>
      <c r="C406" s="4" t="str">
        <f>RTD("rtdtrading.rtdserver",, "BOOK0", "OVD", 402)</f>
        <v>Ferramenta Inválida</v>
      </c>
      <c r="D406" s="4" t="str">
        <f>RTD("rtdtrading.rtdserver",, "BOOK0", "VOV", 402)</f>
        <v>Ferramenta Inválida</v>
      </c>
      <c r="F406" s="3"/>
      <c r="G406" s="5"/>
      <c r="H406" s="6"/>
      <c r="I406" s="4"/>
      <c r="K406" s="5"/>
      <c r="L406" s="6"/>
      <c r="N406" s="3"/>
      <c r="O406" s="3"/>
      <c r="P406" s="4"/>
      <c r="Q406" s="4"/>
      <c r="S406" s="3"/>
      <c r="T406" s="3"/>
      <c r="U406" s="4"/>
      <c r="V406" s="4"/>
    </row>
    <row r="407" spans="1:22" x14ac:dyDescent="0.25">
      <c r="A407" s="3" t="str">
        <f>RTD("rtdtrading.rtdserver",, "BOOK0", "VOC", 403)</f>
        <v>Ferramenta Inválida</v>
      </c>
      <c r="B407" s="3" t="str">
        <f>RTD("rtdtrading.rtdserver",, "BOOK0", "OCP", 403)</f>
        <v>Ferramenta Inválida</v>
      </c>
      <c r="C407" s="4" t="str">
        <f>RTD("rtdtrading.rtdserver",, "BOOK0", "OVD", 403)</f>
        <v>Ferramenta Inválida</v>
      </c>
      <c r="D407" s="4" t="str">
        <f>RTD("rtdtrading.rtdserver",, "BOOK0", "VOV", 403)</f>
        <v>Ferramenta Inválida</v>
      </c>
      <c r="F407" s="3"/>
      <c r="G407" s="5"/>
      <c r="H407" s="6"/>
      <c r="I407" s="4"/>
      <c r="K407" s="5"/>
      <c r="L407" s="6"/>
      <c r="N407" s="3"/>
      <c r="O407" s="3"/>
      <c r="P407" s="4"/>
      <c r="Q407" s="4"/>
      <c r="S407" s="3"/>
      <c r="T407" s="3"/>
      <c r="U407" s="4"/>
      <c r="V407" s="4"/>
    </row>
    <row r="408" spans="1:22" x14ac:dyDescent="0.25">
      <c r="A408" s="3" t="str">
        <f>RTD("rtdtrading.rtdserver",, "BOOK0", "VOC", 404)</f>
        <v>Ferramenta Inválida</v>
      </c>
      <c r="B408" s="3" t="str">
        <f>RTD("rtdtrading.rtdserver",, "BOOK0", "OCP", 404)</f>
        <v>Ferramenta Inválida</v>
      </c>
      <c r="C408" s="4" t="str">
        <f>RTD("rtdtrading.rtdserver",, "BOOK0", "OVD", 404)</f>
        <v>Ferramenta Inválida</v>
      </c>
      <c r="D408" s="4" t="str">
        <f>RTD("rtdtrading.rtdserver",, "BOOK0", "VOV", 404)</f>
        <v>Ferramenta Inválida</v>
      </c>
      <c r="F408" s="3"/>
      <c r="G408" s="5"/>
      <c r="H408" s="6"/>
      <c r="I408" s="4"/>
      <c r="K408" s="5"/>
      <c r="L408" s="6"/>
      <c r="N408" s="3"/>
      <c r="O408" s="3"/>
      <c r="P408" s="4"/>
      <c r="Q408" s="4"/>
      <c r="S408" s="3"/>
      <c r="T408" s="3"/>
      <c r="U408" s="4"/>
      <c r="V408" s="4"/>
    </row>
    <row r="409" spans="1:22" x14ac:dyDescent="0.25">
      <c r="A409" s="3" t="str">
        <f>RTD("rtdtrading.rtdserver",, "BOOK0", "VOC", 405)</f>
        <v>Ferramenta Inválida</v>
      </c>
      <c r="B409" s="3" t="str">
        <f>RTD("rtdtrading.rtdserver",, "BOOK0", "OCP", 405)</f>
        <v>Ferramenta Inválida</v>
      </c>
      <c r="C409" s="4" t="str">
        <f>RTD("rtdtrading.rtdserver",, "BOOK0", "OVD", 405)</f>
        <v>Ferramenta Inválida</v>
      </c>
      <c r="D409" s="4" t="str">
        <f>RTD("rtdtrading.rtdserver",, "BOOK0", "VOV", 405)</f>
        <v>Ferramenta Inválida</v>
      </c>
      <c r="F409" s="3"/>
      <c r="G409" s="5"/>
      <c r="H409" s="6"/>
      <c r="I409" s="4"/>
      <c r="K409" s="5"/>
      <c r="L409" s="6"/>
      <c r="N409" s="3"/>
      <c r="O409" s="3"/>
      <c r="P409" s="4"/>
      <c r="Q409" s="4"/>
      <c r="S409" s="3"/>
      <c r="T409" s="3"/>
      <c r="U409" s="4"/>
      <c r="V409" s="4"/>
    </row>
    <row r="410" spans="1:22" x14ac:dyDescent="0.25">
      <c r="A410" s="3" t="str">
        <f>RTD("rtdtrading.rtdserver",, "BOOK0", "VOC", 406)</f>
        <v>Ferramenta Inválida</v>
      </c>
      <c r="B410" s="3" t="str">
        <f>RTD("rtdtrading.rtdserver",, "BOOK0", "OCP", 406)</f>
        <v>Ferramenta Inválida</v>
      </c>
      <c r="C410" s="4" t="str">
        <f>RTD("rtdtrading.rtdserver",, "BOOK0", "OVD", 406)</f>
        <v>Ferramenta Inválida</v>
      </c>
      <c r="D410" s="4" t="str">
        <f>RTD("rtdtrading.rtdserver",, "BOOK0", "VOV", 406)</f>
        <v>Ferramenta Inválida</v>
      </c>
      <c r="F410" s="3"/>
      <c r="G410" s="5"/>
      <c r="H410" s="6"/>
      <c r="I410" s="4"/>
      <c r="K410" s="5"/>
      <c r="L410" s="6"/>
      <c r="N410" s="3"/>
      <c r="O410" s="3"/>
      <c r="P410" s="4"/>
      <c r="Q410" s="4"/>
      <c r="S410" s="3"/>
      <c r="T410" s="3"/>
      <c r="U410" s="4"/>
      <c r="V410" s="4"/>
    </row>
    <row r="411" spans="1:22" x14ac:dyDescent="0.25">
      <c r="A411" s="3" t="str">
        <f>RTD("rtdtrading.rtdserver",, "BOOK0", "VOC", 407)</f>
        <v>Ferramenta Inválida</v>
      </c>
      <c r="B411" s="3" t="str">
        <f>RTD("rtdtrading.rtdserver",, "BOOK0", "OCP", 407)</f>
        <v>Ferramenta Inválida</v>
      </c>
      <c r="C411" s="4" t="str">
        <f>RTD("rtdtrading.rtdserver",, "BOOK0", "OVD", 407)</f>
        <v>Ferramenta Inválida</v>
      </c>
      <c r="D411" s="4" t="str">
        <f>RTD("rtdtrading.rtdserver",, "BOOK0", "VOV", 407)</f>
        <v>Ferramenta Inválida</v>
      </c>
      <c r="F411" s="3"/>
      <c r="G411" s="5"/>
      <c r="H411" s="6"/>
      <c r="I411" s="4"/>
      <c r="K411" s="5"/>
      <c r="L411" s="6"/>
      <c r="N411" s="3"/>
      <c r="O411" s="3"/>
      <c r="P411" s="4"/>
      <c r="Q411" s="4"/>
      <c r="S411" s="3"/>
      <c r="T411" s="3"/>
      <c r="U411" s="4"/>
      <c r="V411" s="4"/>
    </row>
    <row r="412" spans="1:22" x14ac:dyDescent="0.25">
      <c r="A412" s="3" t="str">
        <f>RTD("rtdtrading.rtdserver",, "BOOK0", "VOC", 408)</f>
        <v>Ferramenta Inválida</v>
      </c>
      <c r="B412" s="3" t="str">
        <f>RTD("rtdtrading.rtdserver",, "BOOK0", "OCP", 408)</f>
        <v>Ferramenta Inválida</v>
      </c>
      <c r="C412" s="4" t="str">
        <f>RTD("rtdtrading.rtdserver",, "BOOK0", "OVD", 408)</f>
        <v>Ferramenta Inválida</v>
      </c>
      <c r="D412" s="4" t="str">
        <f>RTD("rtdtrading.rtdserver",, "BOOK0", "VOV", 408)</f>
        <v>Ferramenta Inválida</v>
      </c>
      <c r="F412" s="3"/>
      <c r="G412" s="5"/>
      <c r="H412" s="6"/>
      <c r="I412" s="4"/>
      <c r="K412" s="5"/>
      <c r="L412" s="6"/>
      <c r="N412" s="3"/>
      <c r="O412" s="3"/>
      <c r="P412" s="4"/>
      <c r="Q412" s="4"/>
      <c r="S412" s="3"/>
      <c r="T412" s="3"/>
      <c r="U412" s="4"/>
      <c r="V412" s="4"/>
    </row>
    <row r="413" spans="1:22" x14ac:dyDescent="0.25">
      <c r="A413" s="3" t="str">
        <f>RTD("rtdtrading.rtdserver",, "BOOK0", "VOC", 409)</f>
        <v>Ferramenta Inválida</v>
      </c>
      <c r="B413" s="3" t="str">
        <f>RTD("rtdtrading.rtdserver",, "BOOK0", "OCP", 409)</f>
        <v>Ferramenta Inválida</v>
      </c>
      <c r="C413" s="4" t="str">
        <f>RTD("rtdtrading.rtdserver",, "BOOK0", "OVD", 409)</f>
        <v>Ferramenta Inválida</v>
      </c>
      <c r="D413" s="4" t="str">
        <f>RTD("rtdtrading.rtdserver",, "BOOK0", "VOV", 409)</f>
        <v>Ferramenta Inválida</v>
      </c>
      <c r="F413" s="3"/>
      <c r="G413" s="5"/>
      <c r="H413" s="6"/>
      <c r="I413" s="4"/>
      <c r="K413" s="5"/>
      <c r="L413" s="6"/>
      <c r="N413" s="3"/>
      <c r="O413" s="3"/>
      <c r="P413" s="4"/>
      <c r="Q413" s="4"/>
      <c r="S413" s="3"/>
      <c r="T413" s="3"/>
      <c r="U413" s="4"/>
      <c r="V413" s="4"/>
    </row>
    <row r="414" spans="1:22" x14ac:dyDescent="0.25">
      <c r="A414" s="3" t="str">
        <f>RTD("rtdtrading.rtdserver",, "BOOK0", "VOC", 410)</f>
        <v>Ferramenta Inválida</v>
      </c>
      <c r="B414" s="3" t="str">
        <f>RTD("rtdtrading.rtdserver",, "BOOK0", "OCP", 410)</f>
        <v>Ferramenta Inválida</v>
      </c>
      <c r="C414" s="4" t="str">
        <f>RTD("rtdtrading.rtdserver",, "BOOK0", "OVD", 410)</f>
        <v>Ferramenta Inválida</v>
      </c>
      <c r="D414" s="4" t="str">
        <f>RTD("rtdtrading.rtdserver",, "BOOK0", "VOV", 410)</f>
        <v>Ferramenta Inválida</v>
      </c>
      <c r="F414" s="3"/>
      <c r="G414" s="5"/>
      <c r="H414" s="6"/>
      <c r="I414" s="4"/>
      <c r="K414" s="5"/>
      <c r="L414" s="6"/>
      <c r="N414" s="3"/>
      <c r="O414" s="3"/>
      <c r="P414" s="4"/>
      <c r="Q414" s="4"/>
      <c r="S414" s="3"/>
      <c r="T414" s="3"/>
      <c r="U414" s="4"/>
      <c r="V414" s="4"/>
    </row>
    <row r="415" spans="1:22" x14ac:dyDescent="0.25">
      <c r="A415" s="3" t="str">
        <f>RTD("rtdtrading.rtdserver",, "BOOK0", "VOC", 411)</f>
        <v>Ferramenta Inválida</v>
      </c>
      <c r="B415" s="3" t="str">
        <f>RTD("rtdtrading.rtdserver",, "BOOK0", "OCP", 411)</f>
        <v>Ferramenta Inválida</v>
      </c>
      <c r="C415" s="4" t="str">
        <f>RTD("rtdtrading.rtdserver",, "BOOK0", "OVD", 411)</f>
        <v>Ferramenta Inválida</v>
      </c>
      <c r="D415" s="4" t="str">
        <f>RTD("rtdtrading.rtdserver",, "BOOK0", "VOV", 411)</f>
        <v>Ferramenta Inválida</v>
      </c>
      <c r="F415" s="3"/>
      <c r="G415" s="5"/>
      <c r="H415" s="6"/>
      <c r="I415" s="4"/>
      <c r="K415" s="5"/>
      <c r="L415" s="6"/>
      <c r="N415" s="3"/>
      <c r="O415" s="3"/>
      <c r="P415" s="4"/>
      <c r="Q415" s="4"/>
      <c r="S415" s="3"/>
      <c r="T415" s="3"/>
      <c r="U415" s="4"/>
      <c r="V415" s="4"/>
    </row>
    <row r="416" spans="1:22" x14ac:dyDescent="0.25">
      <c r="A416" s="3" t="str">
        <f>RTD("rtdtrading.rtdserver",, "BOOK0", "VOC", 412)</f>
        <v>Ferramenta Inválida</v>
      </c>
      <c r="B416" s="3" t="str">
        <f>RTD("rtdtrading.rtdserver",, "BOOK0", "OCP", 412)</f>
        <v>Ferramenta Inválida</v>
      </c>
      <c r="C416" s="4" t="str">
        <f>RTD("rtdtrading.rtdserver",, "BOOK0", "OVD", 412)</f>
        <v>Ferramenta Inválida</v>
      </c>
      <c r="D416" s="4" t="str">
        <f>RTD("rtdtrading.rtdserver",, "BOOK0", "VOV", 412)</f>
        <v>Ferramenta Inválida</v>
      </c>
      <c r="F416" s="3"/>
      <c r="G416" s="5"/>
      <c r="H416" s="6"/>
      <c r="I416" s="4"/>
      <c r="K416" s="5"/>
      <c r="L416" s="6"/>
      <c r="N416" s="3"/>
      <c r="O416" s="3"/>
      <c r="P416" s="4"/>
      <c r="Q416" s="4"/>
      <c r="S416" s="3"/>
      <c r="T416" s="3"/>
      <c r="U416" s="4"/>
      <c r="V416" s="4"/>
    </row>
    <row r="417" spans="1:22" x14ac:dyDescent="0.25">
      <c r="A417" s="3" t="str">
        <f>RTD("rtdtrading.rtdserver",, "BOOK0", "VOC", 413)</f>
        <v>Ferramenta Inválida</v>
      </c>
      <c r="B417" s="3" t="str">
        <f>RTD("rtdtrading.rtdserver",, "BOOK0", "OCP", 413)</f>
        <v>Ferramenta Inválida</v>
      </c>
      <c r="C417" s="4" t="str">
        <f>RTD("rtdtrading.rtdserver",, "BOOK0", "OVD", 413)</f>
        <v>Ferramenta Inválida</v>
      </c>
      <c r="D417" s="4" t="str">
        <f>RTD("rtdtrading.rtdserver",, "BOOK0", "VOV", 413)</f>
        <v>Ferramenta Inválida</v>
      </c>
      <c r="F417" s="3"/>
      <c r="G417" s="5"/>
      <c r="H417" s="6"/>
      <c r="I417" s="4"/>
      <c r="K417" s="5"/>
      <c r="L417" s="6"/>
      <c r="N417" s="3"/>
      <c r="O417" s="3"/>
      <c r="P417" s="4"/>
      <c r="Q417" s="4"/>
      <c r="S417" s="3"/>
      <c r="T417" s="3"/>
      <c r="U417" s="4"/>
      <c r="V417" s="4"/>
    </row>
    <row r="418" spans="1:22" x14ac:dyDescent="0.25">
      <c r="A418" s="3" t="str">
        <f>RTD("rtdtrading.rtdserver",, "BOOK0", "VOC", 414)</f>
        <v>Ferramenta Inválida</v>
      </c>
      <c r="B418" s="3" t="str">
        <f>RTD("rtdtrading.rtdserver",, "BOOK0", "OCP", 414)</f>
        <v>Ferramenta Inválida</v>
      </c>
      <c r="C418" s="4" t="str">
        <f>RTD("rtdtrading.rtdserver",, "BOOK0", "OVD", 414)</f>
        <v>Ferramenta Inválida</v>
      </c>
      <c r="D418" s="4" t="str">
        <f>RTD("rtdtrading.rtdserver",, "BOOK0", "VOV", 414)</f>
        <v>Ferramenta Inválida</v>
      </c>
      <c r="F418" s="3"/>
      <c r="G418" s="5"/>
      <c r="H418" s="6"/>
      <c r="I418" s="4"/>
      <c r="K418" s="5"/>
      <c r="L418" s="6"/>
      <c r="N418" s="3"/>
      <c r="O418" s="3"/>
      <c r="P418" s="4"/>
      <c r="Q418" s="4"/>
      <c r="S418" s="3"/>
      <c r="T418" s="3"/>
      <c r="U418" s="4"/>
      <c r="V418" s="4"/>
    </row>
    <row r="419" spans="1:22" x14ac:dyDescent="0.25">
      <c r="A419" s="3" t="str">
        <f>RTD("rtdtrading.rtdserver",, "BOOK0", "VOC", 415)</f>
        <v>Ferramenta Inválida</v>
      </c>
      <c r="B419" s="3" t="str">
        <f>RTD("rtdtrading.rtdserver",, "BOOK0", "OCP", 415)</f>
        <v>Ferramenta Inválida</v>
      </c>
      <c r="C419" s="4" t="str">
        <f>RTD("rtdtrading.rtdserver",, "BOOK0", "OVD", 415)</f>
        <v>Ferramenta Inválida</v>
      </c>
      <c r="D419" s="4" t="str">
        <f>RTD("rtdtrading.rtdserver",, "BOOK0", "VOV", 415)</f>
        <v>Ferramenta Inválida</v>
      </c>
      <c r="F419" s="3"/>
      <c r="G419" s="5"/>
      <c r="H419" s="6"/>
      <c r="I419" s="4"/>
      <c r="K419" s="5"/>
      <c r="L419" s="6"/>
      <c r="N419" s="3"/>
      <c r="O419" s="3"/>
      <c r="P419" s="4"/>
      <c r="Q419" s="4"/>
      <c r="S419" s="3"/>
      <c r="T419" s="3"/>
      <c r="U419" s="4"/>
      <c r="V419" s="4"/>
    </row>
    <row r="420" spans="1:22" x14ac:dyDescent="0.25">
      <c r="A420" s="3" t="str">
        <f>RTD("rtdtrading.rtdserver",, "BOOK0", "VOC", 416)</f>
        <v>Ferramenta Inválida</v>
      </c>
      <c r="B420" s="3" t="str">
        <f>RTD("rtdtrading.rtdserver",, "BOOK0", "OCP", 416)</f>
        <v>Ferramenta Inválida</v>
      </c>
      <c r="C420" s="4" t="str">
        <f>RTD("rtdtrading.rtdserver",, "BOOK0", "OVD", 416)</f>
        <v>Ferramenta Inválida</v>
      </c>
      <c r="D420" s="4" t="str">
        <f>RTD("rtdtrading.rtdserver",, "BOOK0", "VOV", 416)</f>
        <v>Ferramenta Inválida</v>
      </c>
      <c r="F420" s="3"/>
      <c r="G420" s="5"/>
      <c r="H420" s="6"/>
      <c r="I420" s="4"/>
      <c r="K420" s="5"/>
      <c r="L420" s="6"/>
      <c r="N420" s="3"/>
      <c r="O420" s="3"/>
      <c r="P420" s="4"/>
      <c r="Q420" s="4"/>
      <c r="S420" s="3"/>
      <c r="T420" s="3"/>
      <c r="U420" s="4"/>
      <c r="V420" s="4"/>
    </row>
    <row r="421" spans="1:22" x14ac:dyDescent="0.25">
      <c r="A421" s="3" t="str">
        <f>RTD("rtdtrading.rtdserver",, "BOOK0", "VOC", 417)</f>
        <v>Ferramenta Inválida</v>
      </c>
      <c r="B421" s="3" t="str">
        <f>RTD("rtdtrading.rtdserver",, "BOOK0", "OCP", 417)</f>
        <v>Ferramenta Inválida</v>
      </c>
      <c r="C421" s="4" t="str">
        <f>RTD("rtdtrading.rtdserver",, "BOOK0", "OVD", 417)</f>
        <v>Ferramenta Inválida</v>
      </c>
      <c r="D421" s="4" t="str">
        <f>RTD("rtdtrading.rtdserver",, "BOOK0", "VOV", 417)</f>
        <v>Ferramenta Inválida</v>
      </c>
      <c r="F421" s="3"/>
      <c r="G421" s="5"/>
      <c r="H421" s="6"/>
      <c r="I421" s="4"/>
      <c r="K421" s="5"/>
      <c r="L421" s="6"/>
      <c r="N421" s="3"/>
      <c r="O421" s="3"/>
      <c r="P421" s="4"/>
      <c r="Q421" s="4"/>
      <c r="S421" s="3"/>
      <c r="T421" s="3"/>
      <c r="U421" s="4"/>
      <c r="V421" s="4"/>
    </row>
    <row r="422" spans="1:22" x14ac:dyDescent="0.25">
      <c r="A422" s="3" t="str">
        <f>RTD("rtdtrading.rtdserver",, "BOOK0", "VOC", 418)</f>
        <v>Ferramenta Inválida</v>
      </c>
      <c r="B422" s="3" t="str">
        <f>RTD("rtdtrading.rtdserver",, "BOOK0", "OCP", 418)</f>
        <v>Ferramenta Inválida</v>
      </c>
      <c r="C422" s="4" t="str">
        <f>RTD("rtdtrading.rtdserver",, "BOOK0", "OVD", 418)</f>
        <v>Ferramenta Inválida</v>
      </c>
      <c r="D422" s="4" t="str">
        <f>RTD("rtdtrading.rtdserver",, "BOOK0", "VOV", 418)</f>
        <v>Ferramenta Inválida</v>
      </c>
      <c r="F422" s="3"/>
      <c r="G422" s="5"/>
      <c r="H422" s="6"/>
      <c r="I422" s="4"/>
      <c r="K422" s="5"/>
      <c r="L422" s="6"/>
      <c r="N422" s="3"/>
      <c r="O422" s="3"/>
      <c r="P422" s="4"/>
      <c r="Q422" s="4"/>
      <c r="S422" s="3"/>
      <c r="T422" s="3"/>
      <c r="U422" s="4"/>
      <c r="V422" s="4"/>
    </row>
    <row r="423" spans="1:22" x14ac:dyDescent="0.25">
      <c r="A423" s="3" t="str">
        <f>RTD("rtdtrading.rtdserver",, "BOOK0", "VOC", 419)</f>
        <v>Ferramenta Inválida</v>
      </c>
      <c r="B423" s="3" t="str">
        <f>RTD("rtdtrading.rtdserver",, "BOOK0", "OCP", 419)</f>
        <v>Ferramenta Inválida</v>
      </c>
      <c r="C423" s="4" t="str">
        <f>RTD("rtdtrading.rtdserver",, "BOOK0", "OVD", 419)</f>
        <v>Ferramenta Inválida</v>
      </c>
      <c r="D423" s="4" t="str">
        <f>RTD("rtdtrading.rtdserver",, "BOOK0", "VOV", 419)</f>
        <v>Ferramenta Inválida</v>
      </c>
      <c r="F423" s="3"/>
      <c r="G423" s="5"/>
      <c r="H423" s="6"/>
      <c r="I423" s="4"/>
      <c r="K423" s="5"/>
      <c r="L423" s="6"/>
      <c r="N423" s="3"/>
      <c r="O423" s="3"/>
      <c r="P423" s="4"/>
      <c r="Q423" s="4"/>
      <c r="S423" s="3"/>
      <c r="T423" s="3"/>
      <c r="U423" s="4"/>
      <c r="V423" s="4"/>
    </row>
    <row r="424" spans="1:22" x14ac:dyDescent="0.25">
      <c r="A424" s="3" t="str">
        <f>RTD("rtdtrading.rtdserver",, "BOOK0", "VOC", 420)</f>
        <v>Ferramenta Inválida</v>
      </c>
      <c r="B424" s="3" t="str">
        <f>RTD("rtdtrading.rtdserver",, "BOOK0", "OCP", 420)</f>
        <v>Ferramenta Inválida</v>
      </c>
      <c r="C424" s="4" t="str">
        <f>RTD("rtdtrading.rtdserver",, "BOOK0", "OVD", 420)</f>
        <v>Ferramenta Inválida</v>
      </c>
      <c r="D424" s="4" t="str">
        <f>RTD("rtdtrading.rtdserver",, "BOOK0", "VOV", 420)</f>
        <v>Ferramenta Inválida</v>
      </c>
      <c r="F424" s="3"/>
      <c r="G424" s="5"/>
      <c r="H424" s="6"/>
      <c r="I424" s="4"/>
      <c r="K424" s="5"/>
      <c r="L424" s="6"/>
      <c r="N424" s="3"/>
      <c r="O424" s="3"/>
      <c r="P424" s="4"/>
      <c r="Q424" s="4"/>
      <c r="S424" s="3"/>
      <c r="T424" s="3"/>
      <c r="U424" s="4"/>
      <c r="V424" s="4"/>
    </row>
    <row r="425" spans="1:22" x14ac:dyDescent="0.25">
      <c r="A425" s="3" t="str">
        <f>RTD("rtdtrading.rtdserver",, "BOOK0", "VOC", 421)</f>
        <v>Ferramenta Inválida</v>
      </c>
      <c r="B425" s="3" t="str">
        <f>RTD("rtdtrading.rtdserver",, "BOOK0", "OCP", 421)</f>
        <v>Ferramenta Inválida</v>
      </c>
      <c r="C425" s="4" t="str">
        <f>RTD("rtdtrading.rtdserver",, "BOOK0", "OVD", 421)</f>
        <v>Ferramenta Inválida</v>
      </c>
      <c r="D425" s="4" t="str">
        <f>RTD("rtdtrading.rtdserver",, "BOOK0", "VOV", 421)</f>
        <v>Ferramenta Inválida</v>
      </c>
      <c r="F425" s="3"/>
      <c r="G425" s="5"/>
      <c r="H425" s="6"/>
      <c r="I425" s="4"/>
      <c r="K425" s="5"/>
      <c r="L425" s="6"/>
      <c r="N425" s="3"/>
      <c r="O425" s="3"/>
      <c r="P425" s="4"/>
      <c r="Q425" s="4"/>
      <c r="S425" s="3"/>
      <c r="T425" s="3"/>
      <c r="U425" s="4"/>
      <c r="V425" s="4"/>
    </row>
    <row r="426" spans="1:22" x14ac:dyDescent="0.25">
      <c r="A426" s="3" t="str">
        <f>RTD("rtdtrading.rtdserver",, "BOOK0", "VOC", 422)</f>
        <v>Ferramenta Inválida</v>
      </c>
      <c r="B426" s="3" t="str">
        <f>RTD("rtdtrading.rtdserver",, "BOOK0", "OCP", 422)</f>
        <v>Ferramenta Inválida</v>
      </c>
      <c r="C426" s="4" t="str">
        <f>RTD("rtdtrading.rtdserver",, "BOOK0", "OVD", 422)</f>
        <v>Ferramenta Inválida</v>
      </c>
      <c r="D426" s="4" t="str">
        <f>RTD("rtdtrading.rtdserver",, "BOOK0", "VOV", 422)</f>
        <v>Ferramenta Inválida</v>
      </c>
      <c r="F426" s="3"/>
      <c r="G426" s="5"/>
      <c r="H426" s="6"/>
      <c r="I426" s="4"/>
      <c r="K426" s="5"/>
      <c r="L426" s="6"/>
      <c r="N426" s="3"/>
      <c r="O426" s="3"/>
      <c r="P426" s="4"/>
      <c r="Q426" s="4"/>
      <c r="S426" s="3"/>
      <c r="T426" s="3"/>
      <c r="U426" s="4"/>
      <c r="V426" s="4"/>
    </row>
    <row r="427" spans="1:22" x14ac:dyDescent="0.25">
      <c r="A427" s="3" t="str">
        <f>RTD("rtdtrading.rtdserver",, "BOOK0", "VOC", 423)</f>
        <v>Ferramenta Inválida</v>
      </c>
      <c r="B427" s="3" t="str">
        <f>RTD("rtdtrading.rtdserver",, "BOOK0", "OCP", 423)</f>
        <v>Ferramenta Inválida</v>
      </c>
      <c r="C427" s="4" t="str">
        <f>RTD("rtdtrading.rtdserver",, "BOOK0", "OVD", 423)</f>
        <v>Ferramenta Inválida</v>
      </c>
      <c r="D427" s="4" t="str">
        <f>RTD("rtdtrading.rtdserver",, "BOOK0", "VOV", 423)</f>
        <v>Ferramenta Inválida</v>
      </c>
      <c r="F427" s="3"/>
      <c r="G427" s="5"/>
      <c r="H427" s="6"/>
      <c r="I427" s="4"/>
      <c r="K427" s="5"/>
      <c r="L427" s="6"/>
      <c r="N427" s="3"/>
      <c r="O427" s="3"/>
      <c r="P427" s="4"/>
      <c r="Q427" s="4"/>
      <c r="S427" s="3"/>
      <c r="T427" s="3"/>
      <c r="U427" s="4"/>
      <c r="V427" s="4"/>
    </row>
    <row r="428" spans="1:22" x14ac:dyDescent="0.25">
      <c r="A428" s="3" t="str">
        <f>RTD("rtdtrading.rtdserver",, "BOOK0", "VOC", 424)</f>
        <v>Ferramenta Inválida</v>
      </c>
      <c r="B428" s="3" t="str">
        <f>RTD("rtdtrading.rtdserver",, "BOOK0", "OCP", 424)</f>
        <v>Ferramenta Inválida</v>
      </c>
      <c r="C428" s="4" t="str">
        <f>RTD("rtdtrading.rtdserver",, "BOOK0", "OVD", 424)</f>
        <v>Ferramenta Inválida</v>
      </c>
      <c r="D428" s="4" t="str">
        <f>RTD("rtdtrading.rtdserver",, "BOOK0", "VOV", 424)</f>
        <v>Ferramenta Inválida</v>
      </c>
      <c r="F428" s="3"/>
      <c r="G428" s="5"/>
      <c r="H428" s="6"/>
      <c r="I428" s="4"/>
      <c r="K428" s="5"/>
      <c r="L428" s="6"/>
      <c r="N428" s="3"/>
      <c r="O428" s="3"/>
      <c r="P428" s="4"/>
      <c r="Q428" s="4"/>
      <c r="S428" s="3"/>
      <c r="T428" s="3"/>
      <c r="U428" s="4"/>
      <c r="V428" s="4"/>
    </row>
    <row r="429" spans="1:22" x14ac:dyDescent="0.25">
      <c r="A429" s="3" t="str">
        <f>RTD("rtdtrading.rtdserver",, "BOOK0", "VOC", 425)</f>
        <v>Ferramenta Inválida</v>
      </c>
      <c r="B429" s="3" t="str">
        <f>RTD("rtdtrading.rtdserver",, "BOOK0", "OCP", 425)</f>
        <v>Ferramenta Inválida</v>
      </c>
      <c r="C429" s="4" t="str">
        <f>RTD("rtdtrading.rtdserver",, "BOOK0", "OVD", 425)</f>
        <v>Ferramenta Inválida</v>
      </c>
      <c r="D429" s="4" t="str">
        <f>RTD("rtdtrading.rtdserver",, "BOOK0", "VOV", 425)</f>
        <v>Ferramenta Inválida</v>
      </c>
      <c r="F429" s="3"/>
      <c r="G429" s="5"/>
      <c r="H429" s="6"/>
      <c r="I429" s="4"/>
      <c r="K429" s="5"/>
      <c r="L429" s="6"/>
      <c r="N429" s="3"/>
      <c r="O429" s="3"/>
      <c r="P429" s="4"/>
      <c r="Q429" s="4"/>
      <c r="S429" s="3"/>
      <c r="T429" s="3"/>
      <c r="U429" s="4"/>
      <c r="V429" s="4"/>
    </row>
    <row r="430" spans="1:22" x14ac:dyDescent="0.25">
      <c r="A430" s="3" t="str">
        <f>RTD("rtdtrading.rtdserver",, "BOOK0", "VOC", 426)</f>
        <v>Ferramenta Inválida</v>
      </c>
      <c r="B430" s="3" t="str">
        <f>RTD("rtdtrading.rtdserver",, "BOOK0", "OCP", 426)</f>
        <v>Ferramenta Inválida</v>
      </c>
      <c r="C430" s="4" t="str">
        <f>RTD("rtdtrading.rtdserver",, "BOOK0", "OVD", 426)</f>
        <v>Ferramenta Inválida</v>
      </c>
      <c r="D430" s="4" t="str">
        <f>RTD("rtdtrading.rtdserver",, "BOOK0", "VOV", 426)</f>
        <v>Ferramenta Inválida</v>
      </c>
      <c r="F430" s="3"/>
      <c r="G430" s="5"/>
      <c r="H430" s="6"/>
      <c r="I430" s="4"/>
      <c r="K430" s="5"/>
      <c r="L430" s="6"/>
      <c r="N430" s="3"/>
      <c r="O430" s="3"/>
      <c r="P430" s="4"/>
      <c r="Q430" s="4"/>
      <c r="S430" s="3"/>
      <c r="T430" s="3"/>
      <c r="U430" s="4"/>
      <c r="V430" s="4"/>
    </row>
    <row r="431" spans="1:22" x14ac:dyDescent="0.25">
      <c r="A431" s="3" t="str">
        <f>RTD("rtdtrading.rtdserver",, "BOOK0", "VOC", 427)</f>
        <v>Ferramenta Inválida</v>
      </c>
      <c r="B431" s="3" t="str">
        <f>RTD("rtdtrading.rtdserver",, "BOOK0", "OCP", 427)</f>
        <v>Ferramenta Inválida</v>
      </c>
      <c r="C431" s="4" t="str">
        <f>RTD("rtdtrading.rtdserver",, "BOOK0", "OVD", 427)</f>
        <v>Ferramenta Inválida</v>
      </c>
      <c r="D431" s="4" t="str">
        <f>RTD("rtdtrading.rtdserver",, "BOOK0", "VOV", 427)</f>
        <v>Ferramenta Inválida</v>
      </c>
      <c r="F431" s="3"/>
      <c r="G431" s="5"/>
      <c r="H431" s="6"/>
      <c r="I431" s="4"/>
      <c r="K431" s="5"/>
      <c r="L431" s="6"/>
      <c r="N431" s="3"/>
      <c r="O431" s="3"/>
      <c r="P431" s="4"/>
      <c r="Q431" s="4"/>
      <c r="S431" s="3"/>
      <c r="T431" s="3"/>
      <c r="U431" s="4"/>
      <c r="V431" s="4"/>
    </row>
    <row r="432" spans="1:22" x14ac:dyDescent="0.25">
      <c r="A432" s="3" t="str">
        <f>RTD("rtdtrading.rtdserver",, "BOOK0", "VOC", 428)</f>
        <v>Ferramenta Inválida</v>
      </c>
      <c r="B432" s="3" t="str">
        <f>RTD("rtdtrading.rtdserver",, "BOOK0", "OCP", 428)</f>
        <v>Ferramenta Inválida</v>
      </c>
      <c r="C432" s="4" t="str">
        <f>RTD("rtdtrading.rtdserver",, "BOOK0", "OVD", 428)</f>
        <v>Ferramenta Inválida</v>
      </c>
      <c r="D432" s="4" t="str">
        <f>RTD("rtdtrading.rtdserver",, "BOOK0", "VOV", 428)</f>
        <v>Ferramenta Inválida</v>
      </c>
      <c r="F432" s="3"/>
      <c r="G432" s="5"/>
      <c r="H432" s="6"/>
      <c r="I432" s="4"/>
      <c r="K432" s="5"/>
      <c r="L432" s="6"/>
      <c r="N432" s="3"/>
      <c r="O432" s="3"/>
      <c r="P432" s="4"/>
      <c r="Q432" s="4"/>
      <c r="S432" s="3"/>
      <c r="T432" s="3"/>
      <c r="U432" s="4"/>
      <c r="V432" s="4"/>
    </row>
    <row r="433" spans="1:22" x14ac:dyDescent="0.25">
      <c r="A433" s="3" t="str">
        <f>RTD("rtdtrading.rtdserver",, "BOOK0", "VOC", 429)</f>
        <v>Ferramenta Inválida</v>
      </c>
      <c r="B433" s="3" t="str">
        <f>RTD("rtdtrading.rtdserver",, "BOOK0", "OCP", 429)</f>
        <v>Ferramenta Inválida</v>
      </c>
      <c r="C433" s="4" t="str">
        <f>RTD("rtdtrading.rtdserver",, "BOOK0", "OVD", 429)</f>
        <v>Ferramenta Inválida</v>
      </c>
      <c r="D433" s="4" t="str">
        <f>RTD("rtdtrading.rtdserver",, "BOOK0", "VOV", 429)</f>
        <v>Ferramenta Inválida</v>
      </c>
      <c r="F433" s="3"/>
      <c r="G433" s="5"/>
      <c r="H433" s="6"/>
      <c r="I433" s="4"/>
      <c r="K433" s="5"/>
      <c r="L433" s="6"/>
      <c r="N433" s="3"/>
      <c r="O433" s="3"/>
      <c r="P433" s="4"/>
      <c r="Q433" s="4"/>
      <c r="S433" s="3"/>
      <c r="T433" s="3"/>
      <c r="U433" s="4"/>
      <c r="V433" s="4"/>
    </row>
    <row r="434" spans="1:22" x14ac:dyDescent="0.25">
      <c r="A434" s="3" t="str">
        <f>RTD("rtdtrading.rtdserver",, "BOOK0", "VOC", 430)</f>
        <v>Ferramenta Inválida</v>
      </c>
      <c r="B434" s="3" t="str">
        <f>RTD("rtdtrading.rtdserver",, "BOOK0", "OCP", 430)</f>
        <v>Ferramenta Inválida</v>
      </c>
      <c r="C434" s="4" t="str">
        <f>RTD("rtdtrading.rtdserver",, "BOOK0", "OVD", 430)</f>
        <v>Ferramenta Inválida</v>
      </c>
      <c r="D434" s="4" t="str">
        <f>RTD("rtdtrading.rtdserver",, "BOOK0", "VOV", 430)</f>
        <v>Ferramenta Inválida</v>
      </c>
      <c r="F434" s="3"/>
      <c r="G434" s="5"/>
      <c r="H434" s="6"/>
      <c r="I434" s="4"/>
      <c r="K434" s="5"/>
      <c r="L434" s="6"/>
      <c r="N434" s="3"/>
      <c r="O434" s="3"/>
      <c r="P434" s="4"/>
      <c r="Q434" s="4"/>
      <c r="S434" s="3"/>
      <c r="T434" s="3"/>
      <c r="U434" s="4"/>
      <c r="V434" s="4"/>
    </row>
    <row r="435" spans="1:22" x14ac:dyDescent="0.25">
      <c r="A435" s="3" t="str">
        <f>RTD("rtdtrading.rtdserver",, "BOOK0", "VOC", 431)</f>
        <v>Ferramenta Inválida</v>
      </c>
      <c r="B435" s="3" t="str">
        <f>RTD("rtdtrading.rtdserver",, "BOOK0", "OCP", 431)</f>
        <v>Ferramenta Inválida</v>
      </c>
      <c r="C435" s="4" t="str">
        <f>RTD("rtdtrading.rtdserver",, "BOOK0", "OVD", 431)</f>
        <v>Ferramenta Inválida</v>
      </c>
      <c r="D435" s="4" t="str">
        <f>RTD("rtdtrading.rtdserver",, "BOOK0", "VOV", 431)</f>
        <v>Ferramenta Inválida</v>
      </c>
      <c r="F435" s="3"/>
      <c r="G435" s="5"/>
      <c r="H435" s="6"/>
      <c r="I435" s="4"/>
      <c r="K435" s="5"/>
      <c r="L435" s="6"/>
      <c r="N435" s="3"/>
      <c r="O435" s="3"/>
      <c r="P435" s="4"/>
      <c r="Q435" s="4"/>
      <c r="S435" s="3"/>
      <c r="T435" s="3"/>
      <c r="U435" s="4"/>
      <c r="V435" s="4"/>
    </row>
    <row r="436" spans="1:22" x14ac:dyDescent="0.25">
      <c r="A436" s="3" t="str">
        <f>RTD("rtdtrading.rtdserver",, "BOOK0", "VOC", 432)</f>
        <v>Ferramenta Inválida</v>
      </c>
      <c r="B436" s="3" t="str">
        <f>RTD("rtdtrading.rtdserver",, "BOOK0", "OCP", 432)</f>
        <v>Ferramenta Inválida</v>
      </c>
      <c r="C436" s="4" t="str">
        <f>RTD("rtdtrading.rtdserver",, "BOOK0", "OVD", 432)</f>
        <v>Ferramenta Inválida</v>
      </c>
      <c r="D436" s="4" t="str">
        <f>RTD("rtdtrading.rtdserver",, "BOOK0", "VOV", 432)</f>
        <v>Ferramenta Inválida</v>
      </c>
      <c r="F436" s="3"/>
      <c r="G436" s="5"/>
      <c r="H436" s="6"/>
      <c r="I436" s="4"/>
      <c r="K436" s="5"/>
      <c r="L436" s="6"/>
      <c r="N436" s="3"/>
      <c r="O436" s="3"/>
      <c r="P436" s="4"/>
      <c r="Q436" s="4"/>
      <c r="S436" s="3"/>
      <c r="T436" s="3"/>
      <c r="U436" s="4"/>
      <c r="V436" s="4"/>
    </row>
    <row r="437" spans="1:22" x14ac:dyDescent="0.25">
      <c r="A437" s="3" t="str">
        <f>RTD("rtdtrading.rtdserver",, "BOOK0", "VOC", 433)</f>
        <v>Ferramenta Inválida</v>
      </c>
      <c r="B437" s="3" t="str">
        <f>RTD("rtdtrading.rtdserver",, "BOOK0", "OCP", 433)</f>
        <v>Ferramenta Inválida</v>
      </c>
      <c r="C437" s="4" t="str">
        <f>RTD("rtdtrading.rtdserver",, "BOOK0", "OVD", 433)</f>
        <v>Ferramenta Inválida</v>
      </c>
      <c r="D437" s="4" t="str">
        <f>RTD("rtdtrading.rtdserver",, "BOOK0", "VOV", 433)</f>
        <v>Ferramenta Inválida</v>
      </c>
      <c r="F437" s="3"/>
      <c r="G437" s="5"/>
      <c r="H437" s="6"/>
      <c r="I437" s="4"/>
      <c r="K437" s="5"/>
      <c r="L437" s="6"/>
      <c r="N437" s="3"/>
      <c r="O437" s="3"/>
      <c r="P437" s="4"/>
      <c r="Q437" s="4"/>
      <c r="S437" s="3"/>
      <c r="T437" s="3"/>
      <c r="U437" s="4"/>
      <c r="V437" s="4"/>
    </row>
    <row r="438" spans="1:22" x14ac:dyDescent="0.25">
      <c r="A438" s="3" t="str">
        <f>RTD("rtdtrading.rtdserver",, "BOOK0", "VOC", 434)</f>
        <v>Ferramenta Inválida</v>
      </c>
      <c r="B438" s="3" t="str">
        <f>RTD("rtdtrading.rtdserver",, "BOOK0", "OCP", 434)</f>
        <v>Ferramenta Inválida</v>
      </c>
      <c r="C438" s="4" t="str">
        <f>RTD("rtdtrading.rtdserver",, "BOOK0", "OVD", 434)</f>
        <v>Ferramenta Inválida</v>
      </c>
      <c r="D438" s="4" t="str">
        <f>RTD("rtdtrading.rtdserver",, "BOOK0", "VOV", 434)</f>
        <v>Ferramenta Inválida</v>
      </c>
      <c r="F438" s="3"/>
      <c r="G438" s="5"/>
      <c r="H438" s="6"/>
      <c r="I438" s="4"/>
      <c r="K438" s="5"/>
      <c r="L438" s="6"/>
      <c r="N438" s="3"/>
      <c r="O438" s="3"/>
      <c r="P438" s="4"/>
      <c r="Q438" s="4"/>
      <c r="S438" s="3"/>
      <c r="T438" s="3"/>
      <c r="U438" s="4"/>
      <c r="V438" s="4"/>
    </row>
    <row r="439" spans="1:22" x14ac:dyDescent="0.25">
      <c r="A439" s="3" t="str">
        <f>RTD("rtdtrading.rtdserver",, "BOOK0", "VOC", 435)</f>
        <v>Ferramenta Inválida</v>
      </c>
      <c r="B439" s="3" t="str">
        <f>RTD("rtdtrading.rtdserver",, "BOOK0", "OCP", 435)</f>
        <v>Ferramenta Inválida</v>
      </c>
      <c r="C439" s="4" t="str">
        <f>RTD("rtdtrading.rtdserver",, "BOOK0", "OVD", 435)</f>
        <v>Ferramenta Inválida</v>
      </c>
      <c r="D439" s="4" t="str">
        <f>RTD("rtdtrading.rtdserver",, "BOOK0", "VOV", 435)</f>
        <v>Ferramenta Inválida</v>
      </c>
      <c r="F439" s="3"/>
      <c r="G439" s="5"/>
      <c r="H439" s="6"/>
      <c r="I439" s="4"/>
      <c r="K439" s="5"/>
      <c r="L439" s="6"/>
      <c r="N439" s="3"/>
      <c r="O439" s="3"/>
      <c r="P439" s="4"/>
      <c r="Q439" s="4"/>
      <c r="S439" s="3"/>
      <c r="T439" s="3"/>
      <c r="U439" s="4"/>
      <c r="V439" s="4"/>
    </row>
    <row r="440" spans="1:22" x14ac:dyDescent="0.25">
      <c r="A440" s="3" t="str">
        <f>RTD("rtdtrading.rtdserver",, "BOOK0", "VOC", 436)</f>
        <v>Ferramenta Inválida</v>
      </c>
      <c r="B440" s="3" t="str">
        <f>RTD("rtdtrading.rtdserver",, "BOOK0", "OCP", 436)</f>
        <v>Ferramenta Inválida</v>
      </c>
      <c r="C440" s="4" t="str">
        <f>RTD("rtdtrading.rtdserver",, "BOOK0", "OVD", 436)</f>
        <v>Ferramenta Inválida</v>
      </c>
      <c r="D440" s="4" t="str">
        <f>RTD("rtdtrading.rtdserver",, "BOOK0", "VOV", 436)</f>
        <v>Ferramenta Inválida</v>
      </c>
      <c r="F440" s="3"/>
      <c r="G440" s="5"/>
      <c r="H440" s="6"/>
      <c r="I440" s="4"/>
      <c r="K440" s="5"/>
      <c r="L440" s="6"/>
      <c r="N440" s="3"/>
      <c r="O440" s="3"/>
      <c r="P440" s="4"/>
      <c r="Q440" s="4"/>
      <c r="S440" s="3"/>
      <c r="T440" s="3"/>
      <c r="U440" s="4"/>
      <c r="V440" s="4"/>
    </row>
    <row r="441" spans="1:22" x14ac:dyDescent="0.25">
      <c r="A441" s="3" t="str">
        <f>RTD("rtdtrading.rtdserver",, "BOOK0", "VOC", 437)</f>
        <v>Ferramenta Inválida</v>
      </c>
      <c r="B441" s="3" t="str">
        <f>RTD("rtdtrading.rtdserver",, "BOOK0", "OCP", 437)</f>
        <v>Ferramenta Inválida</v>
      </c>
      <c r="C441" s="4" t="str">
        <f>RTD("rtdtrading.rtdserver",, "BOOK0", "OVD", 437)</f>
        <v>Ferramenta Inválida</v>
      </c>
      <c r="D441" s="4" t="str">
        <f>RTD("rtdtrading.rtdserver",, "BOOK0", "VOV", 437)</f>
        <v>Ferramenta Inválida</v>
      </c>
      <c r="F441" s="3"/>
      <c r="G441" s="5"/>
      <c r="H441" s="6"/>
      <c r="I441" s="4"/>
      <c r="K441" s="5"/>
      <c r="L441" s="6"/>
      <c r="N441" s="3"/>
      <c r="O441" s="3"/>
      <c r="P441" s="4"/>
      <c r="Q441" s="4"/>
      <c r="S441" s="3"/>
      <c r="T441" s="3"/>
      <c r="U441" s="4"/>
      <c r="V441" s="4"/>
    </row>
    <row r="442" spans="1:22" x14ac:dyDescent="0.25">
      <c r="A442" s="3" t="str">
        <f>RTD("rtdtrading.rtdserver",, "BOOK0", "VOC", 438)</f>
        <v>Ferramenta Inválida</v>
      </c>
      <c r="B442" s="3" t="str">
        <f>RTD("rtdtrading.rtdserver",, "BOOK0", "OCP", 438)</f>
        <v>Ferramenta Inválida</v>
      </c>
      <c r="C442" s="4" t="str">
        <f>RTD("rtdtrading.rtdserver",, "BOOK0", "OVD", 438)</f>
        <v>Ferramenta Inválida</v>
      </c>
      <c r="D442" s="4" t="str">
        <f>RTD("rtdtrading.rtdserver",, "BOOK0", "VOV", 438)</f>
        <v>Ferramenta Inválida</v>
      </c>
      <c r="F442" s="3"/>
      <c r="G442" s="5"/>
      <c r="H442" s="6"/>
      <c r="I442" s="4"/>
      <c r="K442" s="5"/>
      <c r="L442" s="6"/>
      <c r="N442" s="3"/>
      <c r="O442" s="3"/>
      <c r="P442" s="4"/>
      <c r="Q442" s="4"/>
      <c r="S442" s="3"/>
      <c r="T442" s="3"/>
      <c r="U442" s="4"/>
      <c r="V442" s="4"/>
    </row>
    <row r="443" spans="1:22" x14ac:dyDescent="0.25">
      <c r="A443" s="3" t="str">
        <f>RTD("rtdtrading.rtdserver",, "BOOK0", "VOC", 439)</f>
        <v>Ferramenta Inválida</v>
      </c>
      <c r="B443" s="3" t="str">
        <f>RTD("rtdtrading.rtdserver",, "BOOK0", "OCP", 439)</f>
        <v>Ferramenta Inválida</v>
      </c>
      <c r="C443" s="4" t="str">
        <f>RTD("rtdtrading.rtdserver",, "BOOK0", "OVD", 439)</f>
        <v>Ferramenta Inválida</v>
      </c>
      <c r="D443" s="4" t="str">
        <f>RTD("rtdtrading.rtdserver",, "BOOK0", "VOV", 439)</f>
        <v>Ferramenta Inválida</v>
      </c>
      <c r="F443" s="3"/>
      <c r="G443" s="5"/>
      <c r="H443" s="6"/>
      <c r="I443" s="4"/>
      <c r="K443" s="5"/>
      <c r="L443" s="6"/>
      <c r="N443" s="3"/>
      <c r="O443" s="3"/>
      <c r="P443" s="4"/>
      <c r="Q443" s="4"/>
      <c r="S443" s="3"/>
      <c r="T443" s="3"/>
      <c r="U443" s="4"/>
      <c r="V443" s="4"/>
    </row>
    <row r="444" spans="1:22" x14ac:dyDescent="0.25">
      <c r="A444" s="3" t="str">
        <f>RTD("rtdtrading.rtdserver",, "BOOK0", "VOC", 440)</f>
        <v>Ferramenta Inválida</v>
      </c>
      <c r="B444" s="3" t="str">
        <f>RTD("rtdtrading.rtdserver",, "BOOK0", "OCP", 440)</f>
        <v>Ferramenta Inválida</v>
      </c>
      <c r="C444" s="4" t="str">
        <f>RTD("rtdtrading.rtdserver",, "BOOK0", "OVD", 440)</f>
        <v>Ferramenta Inválida</v>
      </c>
      <c r="D444" s="4" t="str">
        <f>RTD("rtdtrading.rtdserver",, "BOOK0", "VOV", 440)</f>
        <v>Ferramenta Inválida</v>
      </c>
      <c r="F444" s="3"/>
      <c r="G444" s="5"/>
      <c r="H444" s="6"/>
      <c r="I444" s="4"/>
      <c r="K444" s="5"/>
      <c r="L444" s="6"/>
      <c r="N444" s="3"/>
      <c r="O444" s="3"/>
      <c r="P444" s="4"/>
      <c r="Q444" s="4"/>
      <c r="S444" s="3"/>
      <c r="T444" s="3"/>
      <c r="U444" s="4"/>
      <c r="V444" s="4"/>
    </row>
    <row r="445" spans="1:22" x14ac:dyDescent="0.25">
      <c r="A445" s="3" t="str">
        <f>RTD("rtdtrading.rtdserver",, "BOOK0", "VOC", 441)</f>
        <v>Ferramenta Inválida</v>
      </c>
      <c r="B445" s="3" t="str">
        <f>RTD("rtdtrading.rtdserver",, "BOOK0", "OCP", 441)</f>
        <v>Ferramenta Inválida</v>
      </c>
      <c r="C445" s="4" t="str">
        <f>RTD("rtdtrading.rtdserver",, "BOOK0", "OVD", 441)</f>
        <v>Ferramenta Inválida</v>
      </c>
      <c r="D445" s="4" t="str">
        <f>RTD("rtdtrading.rtdserver",, "BOOK0", "VOV", 441)</f>
        <v>Ferramenta Inválida</v>
      </c>
      <c r="F445" s="3"/>
      <c r="G445" s="5"/>
      <c r="H445" s="6"/>
      <c r="I445" s="4"/>
      <c r="K445" s="5"/>
      <c r="L445" s="6"/>
      <c r="N445" s="3"/>
      <c r="O445" s="3"/>
      <c r="P445" s="4"/>
      <c r="Q445" s="4"/>
      <c r="S445" s="3"/>
      <c r="T445" s="3"/>
      <c r="U445" s="4"/>
      <c r="V445" s="4"/>
    </row>
    <row r="446" spans="1:22" x14ac:dyDescent="0.25">
      <c r="A446" s="3" t="str">
        <f>RTD("rtdtrading.rtdserver",, "BOOK0", "VOC", 442)</f>
        <v>Ferramenta Inválida</v>
      </c>
      <c r="B446" s="3" t="str">
        <f>RTD("rtdtrading.rtdserver",, "BOOK0", "OCP", 442)</f>
        <v>Ferramenta Inválida</v>
      </c>
      <c r="C446" s="4" t="str">
        <f>RTD("rtdtrading.rtdserver",, "BOOK0", "OVD", 442)</f>
        <v>Ferramenta Inválida</v>
      </c>
      <c r="D446" s="4" t="str">
        <f>RTD("rtdtrading.rtdserver",, "BOOK0", "VOV", 442)</f>
        <v>Ferramenta Inválida</v>
      </c>
      <c r="F446" s="3"/>
      <c r="G446" s="5"/>
      <c r="H446" s="6"/>
      <c r="I446" s="4"/>
      <c r="K446" s="5"/>
      <c r="L446" s="6"/>
      <c r="N446" s="3"/>
      <c r="O446" s="3"/>
      <c r="P446" s="4"/>
      <c r="Q446" s="4"/>
      <c r="S446" s="3"/>
      <c r="T446" s="3"/>
      <c r="U446" s="4"/>
      <c r="V446" s="4"/>
    </row>
    <row r="447" spans="1:22" x14ac:dyDescent="0.25">
      <c r="A447" s="3" t="str">
        <f>RTD("rtdtrading.rtdserver",, "BOOK0", "VOC", 443)</f>
        <v>Ferramenta Inválida</v>
      </c>
      <c r="B447" s="3" t="str">
        <f>RTD("rtdtrading.rtdserver",, "BOOK0", "OCP", 443)</f>
        <v>Ferramenta Inválida</v>
      </c>
      <c r="C447" s="4" t="str">
        <f>RTD("rtdtrading.rtdserver",, "BOOK0", "OVD", 443)</f>
        <v>Ferramenta Inválida</v>
      </c>
      <c r="D447" s="4" t="str">
        <f>RTD("rtdtrading.rtdserver",, "BOOK0", "VOV", 443)</f>
        <v>Ferramenta Inválida</v>
      </c>
      <c r="F447" s="3"/>
      <c r="G447" s="5"/>
      <c r="H447" s="6"/>
      <c r="I447" s="4"/>
      <c r="K447" s="5"/>
      <c r="L447" s="6"/>
      <c r="N447" s="3"/>
      <c r="O447" s="3"/>
      <c r="P447" s="4"/>
      <c r="Q447" s="4"/>
      <c r="S447" s="3"/>
      <c r="T447" s="3"/>
      <c r="U447" s="4"/>
      <c r="V447" s="4"/>
    </row>
    <row r="448" spans="1:22" x14ac:dyDescent="0.25">
      <c r="A448" s="3" t="str">
        <f>RTD("rtdtrading.rtdserver",, "BOOK0", "VOC", 444)</f>
        <v>Ferramenta Inválida</v>
      </c>
      <c r="B448" s="3" t="str">
        <f>RTD("rtdtrading.rtdserver",, "BOOK0", "OCP", 444)</f>
        <v>Ferramenta Inválida</v>
      </c>
      <c r="C448" s="4" t="str">
        <f>RTD("rtdtrading.rtdserver",, "BOOK0", "OVD", 444)</f>
        <v>Ferramenta Inválida</v>
      </c>
      <c r="D448" s="4" t="str">
        <f>RTD("rtdtrading.rtdserver",, "BOOK0", "VOV", 444)</f>
        <v>Ferramenta Inválida</v>
      </c>
      <c r="F448" s="3"/>
      <c r="G448" s="5"/>
      <c r="H448" s="6"/>
      <c r="I448" s="4"/>
      <c r="K448" s="5"/>
      <c r="L448" s="6"/>
      <c r="N448" s="3"/>
      <c r="O448" s="3"/>
      <c r="P448" s="4"/>
      <c r="Q448" s="4"/>
      <c r="S448" s="3"/>
      <c r="T448" s="3"/>
      <c r="U448" s="4"/>
      <c r="V448" s="4"/>
    </row>
    <row r="449" spans="1:22" x14ac:dyDescent="0.25">
      <c r="A449" s="3" t="str">
        <f>RTD("rtdtrading.rtdserver",, "BOOK0", "VOC", 445)</f>
        <v>Ferramenta Inválida</v>
      </c>
      <c r="B449" s="3" t="str">
        <f>RTD("rtdtrading.rtdserver",, "BOOK0", "OCP", 445)</f>
        <v>Ferramenta Inválida</v>
      </c>
      <c r="C449" s="4" t="str">
        <f>RTD("rtdtrading.rtdserver",, "BOOK0", "OVD", 445)</f>
        <v>Ferramenta Inválida</v>
      </c>
      <c r="D449" s="4" t="str">
        <f>RTD("rtdtrading.rtdserver",, "BOOK0", "VOV", 445)</f>
        <v>Ferramenta Inválida</v>
      </c>
      <c r="F449" s="3"/>
      <c r="G449" s="5"/>
      <c r="H449" s="6"/>
      <c r="I449" s="4"/>
      <c r="K449" s="5"/>
      <c r="L449" s="6"/>
      <c r="N449" s="3"/>
      <c r="O449" s="3"/>
      <c r="P449" s="4"/>
      <c r="Q449" s="4"/>
      <c r="S449" s="3"/>
      <c r="T449" s="3"/>
      <c r="U449" s="4"/>
      <c r="V449" s="4"/>
    </row>
    <row r="450" spans="1:22" x14ac:dyDescent="0.25">
      <c r="A450" s="3" t="str">
        <f>RTD("rtdtrading.rtdserver",, "BOOK0", "VOC", 446)</f>
        <v>Ferramenta Inválida</v>
      </c>
      <c r="B450" s="3" t="str">
        <f>RTD("rtdtrading.rtdserver",, "BOOK0", "OCP", 446)</f>
        <v>Ferramenta Inválida</v>
      </c>
      <c r="C450" s="4" t="str">
        <f>RTD("rtdtrading.rtdserver",, "BOOK0", "OVD", 446)</f>
        <v>Ferramenta Inválida</v>
      </c>
      <c r="D450" s="4" t="str">
        <f>RTD("rtdtrading.rtdserver",, "BOOK0", "VOV", 446)</f>
        <v>Ferramenta Inválida</v>
      </c>
      <c r="F450" s="3"/>
      <c r="G450" s="5"/>
      <c r="H450" s="6"/>
      <c r="I450" s="4"/>
      <c r="K450" s="5"/>
      <c r="L450" s="6"/>
      <c r="N450" s="3"/>
      <c r="O450" s="3"/>
      <c r="P450" s="4"/>
      <c r="Q450" s="4"/>
      <c r="S450" s="3"/>
      <c r="T450" s="3"/>
      <c r="U450" s="4"/>
      <c r="V450" s="4"/>
    </row>
    <row r="451" spans="1:22" x14ac:dyDescent="0.25">
      <c r="A451" s="3" t="str">
        <f>RTD("rtdtrading.rtdserver",, "BOOK0", "VOC", 447)</f>
        <v>Ferramenta Inválida</v>
      </c>
      <c r="B451" s="3" t="str">
        <f>RTD("rtdtrading.rtdserver",, "BOOK0", "OCP", 447)</f>
        <v>Ferramenta Inválida</v>
      </c>
      <c r="C451" s="4" t="str">
        <f>RTD("rtdtrading.rtdserver",, "BOOK0", "OVD", 447)</f>
        <v>Ferramenta Inválida</v>
      </c>
      <c r="D451" s="4" t="str">
        <f>RTD("rtdtrading.rtdserver",, "BOOK0", "VOV", 447)</f>
        <v>Ferramenta Inválida</v>
      </c>
      <c r="F451" s="3"/>
      <c r="G451" s="5"/>
      <c r="H451" s="6"/>
      <c r="I451" s="4"/>
      <c r="K451" s="5"/>
      <c r="L451" s="6"/>
      <c r="N451" s="3"/>
      <c r="O451" s="3"/>
      <c r="P451" s="4"/>
      <c r="Q451" s="4"/>
      <c r="S451" s="3"/>
      <c r="T451" s="3"/>
      <c r="U451" s="4"/>
      <c r="V451" s="4"/>
    </row>
    <row r="452" spans="1:22" x14ac:dyDescent="0.25">
      <c r="A452" s="3" t="str">
        <f>RTD("rtdtrading.rtdserver",, "BOOK0", "VOC", 448)</f>
        <v>Ferramenta Inválida</v>
      </c>
      <c r="B452" s="3" t="str">
        <f>RTD("rtdtrading.rtdserver",, "BOOK0", "OCP", 448)</f>
        <v>Ferramenta Inválida</v>
      </c>
      <c r="C452" s="4" t="str">
        <f>RTD("rtdtrading.rtdserver",, "BOOK0", "OVD", 448)</f>
        <v>Ferramenta Inválida</v>
      </c>
      <c r="D452" s="4" t="str">
        <f>RTD("rtdtrading.rtdserver",, "BOOK0", "VOV", 448)</f>
        <v>Ferramenta Inválida</v>
      </c>
      <c r="F452" s="3"/>
      <c r="G452" s="5"/>
      <c r="H452" s="6"/>
      <c r="I452" s="4"/>
      <c r="K452" s="5"/>
      <c r="L452" s="6"/>
      <c r="N452" s="3"/>
      <c r="O452" s="3"/>
      <c r="P452" s="4"/>
      <c r="Q452" s="4"/>
      <c r="S452" s="3"/>
      <c r="T452" s="3"/>
      <c r="U452" s="4"/>
      <c r="V452" s="4"/>
    </row>
    <row r="453" spans="1:22" x14ac:dyDescent="0.25">
      <c r="A453" s="3" t="str">
        <f>RTD("rtdtrading.rtdserver",, "BOOK0", "VOC", 449)</f>
        <v>Ferramenta Inválida</v>
      </c>
      <c r="B453" s="3" t="str">
        <f>RTD("rtdtrading.rtdserver",, "BOOK0", "OCP", 449)</f>
        <v>Ferramenta Inválida</v>
      </c>
      <c r="C453" s="4" t="str">
        <f>RTD("rtdtrading.rtdserver",, "BOOK0", "OVD", 449)</f>
        <v>Ferramenta Inválida</v>
      </c>
      <c r="D453" s="4" t="str">
        <f>RTD("rtdtrading.rtdserver",, "BOOK0", "VOV", 449)</f>
        <v>Ferramenta Inválida</v>
      </c>
      <c r="F453" s="3"/>
      <c r="G453" s="5"/>
      <c r="H453" s="6"/>
      <c r="I453" s="4"/>
      <c r="K453" s="5"/>
      <c r="L453" s="6"/>
      <c r="N453" s="3"/>
      <c r="O453" s="3"/>
      <c r="P453" s="4"/>
      <c r="Q453" s="4"/>
      <c r="S453" s="3"/>
      <c r="T453" s="3"/>
      <c r="U453" s="4"/>
      <c r="V453" s="4"/>
    </row>
    <row r="454" spans="1:22" x14ac:dyDescent="0.25">
      <c r="A454" s="3" t="str">
        <f>RTD("rtdtrading.rtdserver",, "BOOK0", "VOC", 450)</f>
        <v>Ferramenta Inválida</v>
      </c>
      <c r="B454" s="3" t="str">
        <f>RTD("rtdtrading.rtdserver",, "BOOK0", "OCP", 450)</f>
        <v>Ferramenta Inválida</v>
      </c>
      <c r="C454" s="4" t="str">
        <f>RTD("rtdtrading.rtdserver",, "BOOK0", "OVD", 450)</f>
        <v>Ferramenta Inválida</v>
      </c>
      <c r="D454" s="4" t="str">
        <f>RTD("rtdtrading.rtdserver",, "BOOK0", "VOV", 450)</f>
        <v>Ferramenta Inválida</v>
      </c>
      <c r="F454" s="3"/>
      <c r="G454" s="5"/>
      <c r="H454" s="6"/>
      <c r="I454" s="4"/>
      <c r="K454" s="5"/>
      <c r="L454" s="6"/>
      <c r="N454" s="3"/>
      <c r="O454" s="3"/>
      <c r="P454" s="4"/>
      <c r="Q454" s="4"/>
      <c r="S454" s="3"/>
      <c r="T454" s="3"/>
      <c r="U454" s="4"/>
      <c r="V454" s="4"/>
    </row>
    <row r="455" spans="1:22" x14ac:dyDescent="0.25">
      <c r="A455" s="3" t="str">
        <f>RTD("rtdtrading.rtdserver",, "BOOK0", "VOC", 451)</f>
        <v>Ferramenta Inválida</v>
      </c>
      <c r="B455" s="3" t="str">
        <f>RTD("rtdtrading.rtdserver",, "BOOK0", "OCP", 451)</f>
        <v>Ferramenta Inválida</v>
      </c>
      <c r="C455" s="4" t="str">
        <f>RTD("rtdtrading.rtdserver",, "BOOK0", "OVD", 451)</f>
        <v>Ferramenta Inválida</v>
      </c>
      <c r="D455" s="4" t="str">
        <f>RTD("rtdtrading.rtdserver",, "BOOK0", "VOV", 451)</f>
        <v>Ferramenta Inválida</v>
      </c>
      <c r="F455" s="3"/>
      <c r="G455" s="5"/>
      <c r="H455" s="6"/>
      <c r="I455" s="4"/>
      <c r="K455" s="5"/>
      <c r="L455" s="6"/>
      <c r="N455" s="3"/>
      <c r="O455" s="3"/>
      <c r="P455" s="4"/>
      <c r="Q455" s="4"/>
      <c r="S455" s="3"/>
      <c r="T455" s="3"/>
      <c r="U455" s="4"/>
      <c r="V455" s="4"/>
    </row>
    <row r="456" spans="1:22" x14ac:dyDescent="0.25">
      <c r="A456" s="3" t="str">
        <f>RTD("rtdtrading.rtdserver",, "BOOK0", "VOC", 452)</f>
        <v>Ferramenta Inválida</v>
      </c>
      <c r="B456" s="3" t="str">
        <f>RTD("rtdtrading.rtdserver",, "BOOK0", "OCP", 452)</f>
        <v>Ferramenta Inválida</v>
      </c>
      <c r="C456" s="4" t="str">
        <f>RTD("rtdtrading.rtdserver",, "BOOK0", "OVD", 452)</f>
        <v>Ferramenta Inválida</v>
      </c>
      <c r="D456" s="4" t="str">
        <f>RTD("rtdtrading.rtdserver",, "BOOK0", "VOV", 452)</f>
        <v>Ferramenta Inválida</v>
      </c>
      <c r="F456" s="3"/>
      <c r="G456" s="5"/>
      <c r="H456" s="6"/>
      <c r="I456" s="4"/>
      <c r="K456" s="5"/>
      <c r="L456" s="6"/>
      <c r="N456" s="3"/>
      <c r="O456" s="3"/>
      <c r="P456" s="4"/>
      <c r="Q456" s="4"/>
      <c r="S456" s="3"/>
      <c r="T456" s="3"/>
      <c r="U456" s="4"/>
      <c r="V456" s="4"/>
    </row>
    <row r="457" spans="1:22" x14ac:dyDescent="0.25">
      <c r="A457" s="3" t="str">
        <f>RTD("rtdtrading.rtdserver",, "BOOK0", "VOC", 453)</f>
        <v>Ferramenta Inválida</v>
      </c>
      <c r="B457" s="3" t="str">
        <f>RTD("rtdtrading.rtdserver",, "BOOK0", "OCP", 453)</f>
        <v>Ferramenta Inválida</v>
      </c>
      <c r="C457" s="4" t="str">
        <f>RTD("rtdtrading.rtdserver",, "BOOK0", "OVD", 453)</f>
        <v>Ferramenta Inválida</v>
      </c>
      <c r="D457" s="4" t="str">
        <f>RTD("rtdtrading.rtdserver",, "BOOK0", "VOV", 453)</f>
        <v>Ferramenta Inválida</v>
      </c>
      <c r="F457" s="3"/>
      <c r="G457" s="5"/>
      <c r="H457" s="6"/>
      <c r="I457" s="4"/>
      <c r="K457" s="5"/>
      <c r="L457" s="6"/>
      <c r="N457" s="3"/>
      <c r="O457" s="3"/>
      <c r="P457" s="4"/>
      <c r="Q457" s="4"/>
      <c r="S457" s="3"/>
      <c r="T457" s="3"/>
      <c r="U457" s="4"/>
      <c r="V457" s="4"/>
    </row>
    <row r="458" spans="1:22" x14ac:dyDescent="0.25">
      <c r="A458" s="3" t="str">
        <f>RTD("rtdtrading.rtdserver",, "BOOK0", "VOC", 454)</f>
        <v>Ferramenta Inválida</v>
      </c>
      <c r="B458" s="3" t="str">
        <f>RTD("rtdtrading.rtdserver",, "BOOK0", "OCP", 454)</f>
        <v>Ferramenta Inválida</v>
      </c>
      <c r="C458" s="4" t="str">
        <f>RTD("rtdtrading.rtdserver",, "BOOK0", "OVD", 454)</f>
        <v>Ferramenta Inválida</v>
      </c>
      <c r="D458" s="4" t="str">
        <f>RTD("rtdtrading.rtdserver",, "BOOK0", "VOV", 454)</f>
        <v>Ferramenta Inválida</v>
      </c>
      <c r="F458" s="3"/>
      <c r="G458" s="5"/>
      <c r="H458" s="6"/>
      <c r="I458" s="4"/>
      <c r="K458" s="5"/>
      <c r="L458" s="6"/>
      <c r="N458" s="3"/>
      <c r="O458" s="3"/>
      <c r="P458" s="4"/>
      <c r="Q458" s="4"/>
      <c r="S458" s="3"/>
      <c r="T458" s="3"/>
      <c r="U458" s="4"/>
      <c r="V458" s="4"/>
    </row>
    <row r="459" spans="1:22" x14ac:dyDescent="0.25">
      <c r="A459" s="3" t="str">
        <f>RTD("rtdtrading.rtdserver",, "BOOK0", "VOC", 455)</f>
        <v>Ferramenta Inválida</v>
      </c>
      <c r="B459" s="3" t="str">
        <f>RTD("rtdtrading.rtdserver",, "BOOK0", "OCP", 455)</f>
        <v>Ferramenta Inválida</v>
      </c>
      <c r="C459" s="4" t="str">
        <f>RTD("rtdtrading.rtdserver",, "BOOK0", "OVD", 455)</f>
        <v>Ferramenta Inválida</v>
      </c>
      <c r="D459" s="4" t="str">
        <f>RTD("rtdtrading.rtdserver",, "BOOK0", "VOV", 455)</f>
        <v>Ferramenta Inválida</v>
      </c>
      <c r="F459" s="3"/>
      <c r="G459" s="5"/>
      <c r="H459" s="6"/>
      <c r="I459" s="4"/>
      <c r="K459" s="5"/>
      <c r="L459" s="6"/>
      <c r="N459" s="3"/>
      <c r="O459" s="3"/>
      <c r="P459" s="4"/>
      <c r="Q459" s="4"/>
      <c r="S459" s="3"/>
      <c r="T459" s="3"/>
      <c r="U459" s="4"/>
      <c r="V459" s="4"/>
    </row>
    <row r="460" spans="1:22" x14ac:dyDescent="0.25">
      <c r="A460" s="3" t="str">
        <f>RTD("rtdtrading.rtdserver",, "BOOK0", "VOC", 456)</f>
        <v>Ferramenta Inválida</v>
      </c>
      <c r="B460" s="3" t="str">
        <f>RTD("rtdtrading.rtdserver",, "BOOK0", "OCP", 456)</f>
        <v>Ferramenta Inválida</v>
      </c>
      <c r="C460" s="4" t="str">
        <f>RTD("rtdtrading.rtdserver",, "BOOK0", "OVD", 456)</f>
        <v>Ferramenta Inválida</v>
      </c>
      <c r="D460" s="4" t="str">
        <f>RTD("rtdtrading.rtdserver",, "BOOK0", "VOV", 456)</f>
        <v>Ferramenta Inválida</v>
      </c>
      <c r="F460" s="3"/>
      <c r="G460" s="5"/>
      <c r="H460" s="6"/>
      <c r="I460" s="4"/>
      <c r="K460" s="5"/>
      <c r="L460" s="6"/>
      <c r="N460" s="3"/>
      <c r="O460" s="3"/>
      <c r="P460" s="4"/>
      <c r="Q460" s="4"/>
      <c r="S460" s="3"/>
      <c r="T460" s="3"/>
      <c r="U460" s="4"/>
      <c r="V460" s="4"/>
    </row>
    <row r="461" spans="1:22" x14ac:dyDescent="0.25">
      <c r="A461" s="3" t="str">
        <f>RTD("rtdtrading.rtdserver",, "BOOK0", "VOC", 457)</f>
        <v>Ferramenta Inválida</v>
      </c>
      <c r="B461" s="3" t="str">
        <f>RTD("rtdtrading.rtdserver",, "BOOK0", "OCP", 457)</f>
        <v>Ferramenta Inválida</v>
      </c>
      <c r="C461" s="4" t="str">
        <f>RTD("rtdtrading.rtdserver",, "BOOK0", "OVD", 457)</f>
        <v>Ferramenta Inválida</v>
      </c>
      <c r="D461" s="4" t="str">
        <f>RTD("rtdtrading.rtdserver",, "BOOK0", "VOV", 457)</f>
        <v>Ferramenta Inválida</v>
      </c>
      <c r="F461" s="3"/>
      <c r="G461" s="5"/>
      <c r="H461" s="6"/>
      <c r="I461" s="4"/>
      <c r="K461" s="5"/>
      <c r="L461" s="6"/>
      <c r="N461" s="3"/>
      <c r="O461" s="3"/>
      <c r="P461" s="4"/>
      <c r="Q461" s="4"/>
      <c r="S461" s="3"/>
      <c r="T461" s="3"/>
      <c r="U461" s="4"/>
      <c r="V461" s="4"/>
    </row>
    <row r="462" spans="1:22" x14ac:dyDescent="0.25">
      <c r="A462" s="3" t="str">
        <f>RTD("rtdtrading.rtdserver",, "BOOK0", "VOC", 458)</f>
        <v>Ferramenta Inválida</v>
      </c>
      <c r="B462" s="3" t="str">
        <f>RTD("rtdtrading.rtdserver",, "BOOK0", "OCP", 458)</f>
        <v>Ferramenta Inválida</v>
      </c>
      <c r="C462" s="4" t="str">
        <f>RTD("rtdtrading.rtdserver",, "BOOK0", "OVD", 458)</f>
        <v>Ferramenta Inválida</v>
      </c>
      <c r="D462" s="4" t="str">
        <f>RTD("rtdtrading.rtdserver",, "BOOK0", "VOV", 458)</f>
        <v>Ferramenta Inválida</v>
      </c>
      <c r="F462" s="3"/>
      <c r="G462" s="5"/>
      <c r="H462" s="6"/>
      <c r="I462" s="4"/>
      <c r="K462" s="5"/>
      <c r="L462" s="6"/>
      <c r="N462" s="3"/>
      <c r="O462" s="3"/>
      <c r="P462" s="4"/>
      <c r="Q462" s="4"/>
      <c r="S462" s="3"/>
      <c r="T462" s="3"/>
      <c r="U462" s="4"/>
      <c r="V462" s="4"/>
    </row>
    <row r="463" spans="1:22" x14ac:dyDescent="0.25">
      <c r="A463" s="3" t="str">
        <f>RTD("rtdtrading.rtdserver",, "BOOK0", "VOC", 459)</f>
        <v>Ferramenta Inválida</v>
      </c>
      <c r="B463" s="3" t="str">
        <f>RTD("rtdtrading.rtdserver",, "BOOK0", "OCP", 459)</f>
        <v>Ferramenta Inválida</v>
      </c>
      <c r="C463" s="4" t="str">
        <f>RTD("rtdtrading.rtdserver",, "BOOK0", "OVD", 459)</f>
        <v>Ferramenta Inválida</v>
      </c>
      <c r="D463" s="4" t="str">
        <f>RTD("rtdtrading.rtdserver",, "BOOK0", "VOV", 459)</f>
        <v>Ferramenta Inválida</v>
      </c>
      <c r="F463" s="3"/>
      <c r="G463" s="5"/>
      <c r="H463" s="6"/>
      <c r="I463" s="4"/>
      <c r="K463" s="5"/>
      <c r="L463" s="6"/>
      <c r="N463" s="3"/>
      <c r="O463" s="3"/>
      <c r="P463" s="4"/>
      <c r="Q463" s="4"/>
      <c r="S463" s="3"/>
      <c r="T463" s="3"/>
      <c r="U463" s="4"/>
      <c r="V463" s="4"/>
    </row>
    <row r="464" spans="1:22" x14ac:dyDescent="0.25">
      <c r="A464" s="3" t="str">
        <f>RTD("rtdtrading.rtdserver",, "BOOK0", "VOC", 460)</f>
        <v>Ferramenta Inválida</v>
      </c>
      <c r="B464" s="3" t="str">
        <f>RTD("rtdtrading.rtdserver",, "BOOK0", "OCP", 460)</f>
        <v>Ferramenta Inválida</v>
      </c>
      <c r="C464" s="4" t="str">
        <f>RTD("rtdtrading.rtdserver",, "BOOK0", "OVD", 460)</f>
        <v>Ferramenta Inválida</v>
      </c>
      <c r="D464" s="4" t="str">
        <f>RTD("rtdtrading.rtdserver",, "BOOK0", "VOV", 460)</f>
        <v>Ferramenta Inválida</v>
      </c>
      <c r="F464" s="3"/>
      <c r="G464" s="5"/>
      <c r="H464" s="6"/>
      <c r="I464" s="4"/>
      <c r="K464" s="5"/>
      <c r="L464" s="6"/>
      <c r="N464" s="3"/>
      <c r="O464" s="3"/>
      <c r="P464" s="4"/>
      <c r="Q464" s="4"/>
      <c r="S464" s="3"/>
      <c r="T464" s="3"/>
      <c r="U464" s="4"/>
      <c r="V464" s="4"/>
    </row>
    <row r="465" spans="1:22" x14ac:dyDescent="0.25">
      <c r="A465" s="3" t="str">
        <f>RTD("rtdtrading.rtdserver",, "BOOK0", "VOC", 461)</f>
        <v>Ferramenta Inválida</v>
      </c>
      <c r="B465" s="3" t="str">
        <f>RTD("rtdtrading.rtdserver",, "BOOK0", "OCP", 461)</f>
        <v>Ferramenta Inválida</v>
      </c>
      <c r="C465" s="4" t="str">
        <f>RTD("rtdtrading.rtdserver",, "BOOK0", "OVD", 461)</f>
        <v>Ferramenta Inválida</v>
      </c>
      <c r="D465" s="4" t="str">
        <f>RTD("rtdtrading.rtdserver",, "BOOK0", "VOV", 461)</f>
        <v>Ferramenta Inválida</v>
      </c>
      <c r="F465" s="3"/>
      <c r="G465" s="5"/>
      <c r="H465" s="6"/>
      <c r="I465" s="4"/>
      <c r="K465" s="5"/>
      <c r="L465" s="6"/>
      <c r="N465" s="3"/>
      <c r="O465" s="3"/>
      <c r="P465" s="4"/>
      <c r="Q465" s="4"/>
      <c r="S465" s="3"/>
      <c r="T465" s="3"/>
      <c r="U465" s="4"/>
      <c r="V465" s="4"/>
    </row>
    <row r="466" spans="1:22" x14ac:dyDescent="0.25">
      <c r="A466" s="3" t="str">
        <f>RTD("rtdtrading.rtdserver",, "BOOK0", "VOC", 462)</f>
        <v>Ferramenta Inválida</v>
      </c>
      <c r="B466" s="3" t="str">
        <f>RTD("rtdtrading.rtdserver",, "BOOK0", "OCP", 462)</f>
        <v>Ferramenta Inválida</v>
      </c>
      <c r="C466" s="4" t="str">
        <f>RTD("rtdtrading.rtdserver",, "BOOK0", "OVD", 462)</f>
        <v>Ferramenta Inválida</v>
      </c>
      <c r="D466" s="4" t="str">
        <f>RTD("rtdtrading.rtdserver",, "BOOK0", "VOV", 462)</f>
        <v>Ferramenta Inválida</v>
      </c>
      <c r="F466" s="3"/>
      <c r="G466" s="5"/>
      <c r="H466" s="6"/>
      <c r="I466" s="4"/>
      <c r="K466" s="5"/>
      <c r="L466" s="6"/>
      <c r="N466" s="3"/>
      <c r="O466" s="3"/>
      <c r="P466" s="4"/>
      <c r="Q466" s="4"/>
      <c r="S466" s="3"/>
      <c r="T466" s="3"/>
      <c r="U466" s="4"/>
      <c r="V466" s="4"/>
    </row>
    <row r="467" spans="1:22" x14ac:dyDescent="0.25">
      <c r="A467" s="3" t="str">
        <f>RTD("rtdtrading.rtdserver",, "BOOK0", "VOC", 463)</f>
        <v>Ferramenta Inválida</v>
      </c>
      <c r="B467" s="3" t="str">
        <f>RTD("rtdtrading.rtdserver",, "BOOK0", "OCP", 463)</f>
        <v>Ferramenta Inválida</v>
      </c>
      <c r="C467" s="4" t="str">
        <f>RTD("rtdtrading.rtdserver",, "BOOK0", "OVD", 463)</f>
        <v>Ferramenta Inválida</v>
      </c>
      <c r="D467" s="4" t="str">
        <f>RTD("rtdtrading.rtdserver",, "BOOK0", "VOV", 463)</f>
        <v>Ferramenta Inválida</v>
      </c>
      <c r="F467" s="3"/>
      <c r="G467" s="5"/>
      <c r="H467" s="6"/>
      <c r="I467" s="4"/>
      <c r="K467" s="5"/>
      <c r="L467" s="6"/>
      <c r="N467" s="3"/>
      <c r="O467" s="3"/>
      <c r="P467" s="4"/>
      <c r="Q467" s="4"/>
      <c r="S467" s="3"/>
      <c r="T467" s="3"/>
      <c r="U467" s="4"/>
      <c r="V467" s="4"/>
    </row>
    <row r="468" spans="1:22" x14ac:dyDescent="0.25">
      <c r="A468" s="3" t="str">
        <f>RTD("rtdtrading.rtdserver",, "BOOK0", "VOC", 464)</f>
        <v>Ferramenta Inválida</v>
      </c>
      <c r="B468" s="3" t="str">
        <f>RTD("rtdtrading.rtdserver",, "BOOK0", "OCP", 464)</f>
        <v>Ferramenta Inválida</v>
      </c>
      <c r="C468" s="4" t="str">
        <f>RTD("rtdtrading.rtdserver",, "BOOK0", "OVD", 464)</f>
        <v>Ferramenta Inválida</v>
      </c>
      <c r="D468" s="4" t="str">
        <f>RTD("rtdtrading.rtdserver",, "BOOK0", "VOV", 464)</f>
        <v>Ferramenta Inválida</v>
      </c>
      <c r="F468" s="3"/>
      <c r="G468" s="5"/>
      <c r="H468" s="6"/>
      <c r="I468" s="4"/>
      <c r="K468" s="5"/>
      <c r="L468" s="6"/>
      <c r="N468" s="3"/>
      <c r="O468" s="3"/>
      <c r="P468" s="4"/>
      <c r="Q468" s="4"/>
      <c r="S468" s="3"/>
      <c r="T468" s="3"/>
      <c r="U468" s="4"/>
      <c r="V468" s="4"/>
    </row>
    <row r="469" spans="1:22" x14ac:dyDescent="0.25">
      <c r="A469" s="3" t="str">
        <f>RTD("rtdtrading.rtdserver",, "BOOK0", "VOC", 465)</f>
        <v>Ferramenta Inválida</v>
      </c>
      <c r="B469" s="3" t="str">
        <f>RTD("rtdtrading.rtdserver",, "BOOK0", "OCP", 465)</f>
        <v>Ferramenta Inválida</v>
      </c>
      <c r="C469" s="4" t="str">
        <f>RTD("rtdtrading.rtdserver",, "BOOK0", "OVD", 465)</f>
        <v>Ferramenta Inválida</v>
      </c>
      <c r="D469" s="4" t="str">
        <f>RTD("rtdtrading.rtdserver",, "BOOK0", "VOV", 465)</f>
        <v>Ferramenta Inválida</v>
      </c>
      <c r="F469" s="3"/>
      <c r="G469" s="5"/>
      <c r="H469" s="6"/>
      <c r="I469" s="4"/>
      <c r="K469" s="5"/>
      <c r="L469" s="6"/>
      <c r="N469" s="3"/>
      <c r="O469" s="3"/>
      <c r="P469" s="4"/>
      <c r="Q469" s="4"/>
      <c r="S469" s="3"/>
      <c r="T469" s="3"/>
      <c r="U469" s="4"/>
      <c r="V469" s="4"/>
    </row>
    <row r="470" spans="1:22" x14ac:dyDescent="0.25">
      <c r="A470" s="3" t="str">
        <f>RTD("rtdtrading.rtdserver",, "BOOK0", "VOC", 466)</f>
        <v>Ferramenta Inválida</v>
      </c>
      <c r="B470" s="3" t="str">
        <f>RTD("rtdtrading.rtdserver",, "BOOK0", "OCP", 466)</f>
        <v>Ferramenta Inválida</v>
      </c>
      <c r="C470" s="4" t="str">
        <f>RTD("rtdtrading.rtdserver",, "BOOK0", "OVD", 466)</f>
        <v>Ferramenta Inválida</v>
      </c>
      <c r="D470" s="4" t="str">
        <f>RTD("rtdtrading.rtdserver",, "BOOK0", "VOV", 466)</f>
        <v>Ferramenta Inválida</v>
      </c>
      <c r="F470" s="3"/>
      <c r="G470" s="5"/>
      <c r="H470" s="6"/>
      <c r="I470" s="4"/>
      <c r="K470" s="5"/>
      <c r="L470" s="6"/>
      <c r="N470" s="3"/>
      <c r="O470" s="3"/>
      <c r="P470" s="4"/>
      <c r="Q470" s="4"/>
      <c r="S470" s="3"/>
      <c r="T470" s="3"/>
      <c r="U470" s="4"/>
      <c r="V470" s="4"/>
    </row>
    <row r="471" spans="1:22" x14ac:dyDescent="0.25">
      <c r="A471" s="3" t="str">
        <f>RTD("rtdtrading.rtdserver",, "BOOK0", "VOC", 467)</f>
        <v>Ferramenta Inválida</v>
      </c>
      <c r="B471" s="3" t="str">
        <f>RTD("rtdtrading.rtdserver",, "BOOK0", "OCP", 467)</f>
        <v>Ferramenta Inválida</v>
      </c>
      <c r="C471" s="4" t="str">
        <f>RTD("rtdtrading.rtdserver",, "BOOK0", "OVD", 467)</f>
        <v>Ferramenta Inválida</v>
      </c>
      <c r="D471" s="4" t="str">
        <f>RTD("rtdtrading.rtdserver",, "BOOK0", "VOV", 467)</f>
        <v>Ferramenta Inválida</v>
      </c>
      <c r="F471" s="3"/>
      <c r="G471" s="5"/>
      <c r="H471" s="6"/>
      <c r="I471" s="4"/>
      <c r="K471" s="5"/>
      <c r="L471" s="6"/>
      <c r="N471" s="3"/>
      <c r="O471" s="3"/>
      <c r="P471" s="4"/>
      <c r="Q471" s="4"/>
      <c r="S471" s="3"/>
      <c r="T471" s="3"/>
      <c r="U471" s="4"/>
      <c r="V471" s="4"/>
    </row>
    <row r="472" spans="1:22" x14ac:dyDescent="0.25">
      <c r="A472" s="3" t="str">
        <f>RTD("rtdtrading.rtdserver",, "BOOK0", "VOC", 468)</f>
        <v>Ferramenta Inválida</v>
      </c>
      <c r="B472" s="3" t="str">
        <f>RTD("rtdtrading.rtdserver",, "BOOK0", "OCP", 468)</f>
        <v>Ferramenta Inválida</v>
      </c>
      <c r="C472" s="4" t="str">
        <f>RTD("rtdtrading.rtdserver",, "BOOK0", "OVD", 468)</f>
        <v>Ferramenta Inválida</v>
      </c>
      <c r="D472" s="4" t="str">
        <f>RTD("rtdtrading.rtdserver",, "BOOK0", "VOV", 468)</f>
        <v>Ferramenta Inválida</v>
      </c>
      <c r="F472" s="3"/>
      <c r="G472" s="5"/>
      <c r="H472" s="6"/>
      <c r="I472" s="4"/>
      <c r="K472" s="5"/>
      <c r="L472" s="6"/>
      <c r="N472" s="3"/>
      <c r="O472" s="3"/>
      <c r="P472" s="4"/>
      <c r="Q472" s="4"/>
      <c r="S472" s="3"/>
      <c r="T472" s="3"/>
      <c r="U472" s="4"/>
      <c r="V472" s="4"/>
    </row>
    <row r="473" spans="1:22" x14ac:dyDescent="0.25">
      <c r="A473" s="3" t="str">
        <f>RTD("rtdtrading.rtdserver",, "BOOK0", "VOC", 469)</f>
        <v>Ferramenta Inválida</v>
      </c>
      <c r="B473" s="3" t="str">
        <f>RTD("rtdtrading.rtdserver",, "BOOK0", "OCP", 469)</f>
        <v>Ferramenta Inválida</v>
      </c>
      <c r="C473" s="4" t="str">
        <f>RTD("rtdtrading.rtdserver",, "BOOK0", "OVD", 469)</f>
        <v>Ferramenta Inválida</v>
      </c>
      <c r="D473" s="4" t="str">
        <f>RTD("rtdtrading.rtdserver",, "BOOK0", "VOV", 469)</f>
        <v>Ferramenta Inválida</v>
      </c>
      <c r="F473" s="3"/>
      <c r="G473" s="5"/>
      <c r="H473" s="6"/>
      <c r="I473" s="4"/>
      <c r="K473" s="5"/>
      <c r="L473" s="6"/>
      <c r="N473" s="3"/>
      <c r="O473" s="3"/>
      <c r="P473" s="4"/>
      <c r="Q473" s="4"/>
      <c r="S473" s="3"/>
      <c r="T473" s="3"/>
      <c r="U473" s="4"/>
      <c r="V473" s="4"/>
    </row>
    <row r="474" spans="1:22" x14ac:dyDescent="0.25">
      <c r="A474" s="3" t="str">
        <f>RTD("rtdtrading.rtdserver",, "BOOK0", "VOC", 470)</f>
        <v>Ferramenta Inválida</v>
      </c>
      <c r="B474" s="3" t="str">
        <f>RTD("rtdtrading.rtdserver",, "BOOK0", "OCP", 470)</f>
        <v>Ferramenta Inválida</v>
      </c>
      <c r="C474" s="4" t="str">
        <f>RTD("rtdtrading.rtdserver",, "BOOK0", "OVD", 470)</f>
        <v>Ferramenta Inválida</v>
      </c>
      <c r="D474" s="4" t="str">
        <f>RTD("rtdtrading.rtdserver",, "BOOK0", "VOV", 470)</f>
        <v>Ferramenta Inválida</v>
      </c>
      <c r="F474" s="3"/>
      <c r="G474" s="5"/>
      <c r="H474" s="6"/>
      <c r="I474" s="4"/>
      <c r="K474" s="5"/>
      <c r="L474" s="6"/>
      <c r="N474" s="3"/>
      <c r="O474" s="3"/>
      <c r="P474" s="4"/>
      <c r="Q474" s="4"/>
      <c r="S474" s="3"/>
      <c r="T474" s="3"/>
      <c r="U474" s="4"/>
      <c r="V474" s="4"/>
    </row>
    <row r="475" spans="1:22" x14ac:dyDescent="0.25">
      <c r="A475" s="3" t="str">
        <f>RTD("rtdtrading.rtdserver",, "BOOK0", "VOC", 471)</f>
        <v>Ferramenta Inválida</v>
      </c>
      <c r="B475" s="3" t="str">
        <f>RTD("rtdtrading.rtdserver",, "BOOK0", "OCP", 471)</f>
        <v>Ferramenta Inválida</v>
      </c>
      <c r="C475" s="4" t="str">
        <f>RTD("rtdtrading.rtdserver",, "BOOK0", "OVD", 471)</f>
        <v>Ferramenta Inválida</v>
      </c>
      <c r="D475" s="4" t="str">
        <f>RTD("rtdtrading.rtdserver",, "BOOK0", "VOV", 471)</f>
        <v>Ferramenta Inválida</v>
      </c>
      <c r="F475" s="3"/>
      <c r="G475" s="5"/>
      <c r="H475" s="6"/>
      <c r="I475" s="4"/>
      <c r="K475" s="5"/>
      <c r="L475" s="6"/>
      <c r="N475" s="3"/>
      <c r="O475" s="3"/>
      <c r="P475" s="4"/>
      <c r="Q475" s="4"/>
      <c r="S475" s="3"/>
      <c r="T475" s="3"/>
      <c r="U475" s="4"/>
      <c r="V475" s="4"/>
    </row>
    <row r="476" spans="1:22" x14ac:dyDescent="0.25">
      <c r="A476" s="3" t="str">
        <f>RTD("rtdtrading.rtdserver",, "BOOK0", "VOC", 472)</f>
        <v>Ferramenta Inválida</v>
      </c>
      <c r="B476" s="3" t="str">
        <f>RTD("rtdtrading.rtdserver",, "BOOK0", "OCP", 472)</f>
        <v>Ferramenta Inválida</v>
      </c>
      <c r="C476" s="4" t="str">
        <f>RTD("rtdtrading.rtdserver",, "BOOK0", "OVD", 472)</f>
        <v>Ferramenta Inválida</v>
      </c>
      <c r="D476" s="4" t="str">
        <f>RTD("rtdtrading.rtdserver",, "BOOK0", "VOV", 472)</f>
        <v>Ferramenta Inválida</v>
      </c>
      <c r="F476" s="3"/>
      <c r="G476" s="5"/>
      <c r="H476" s="6"/>
      <c r="I476" s="4"/>
      <c r="K476" s="5"/>
      <c r="L476" s="6"/>
      <c r="N476" s="3"/>
      <c r="O476" s="3"/>
      <c r="P476" s="4"/>
      <c r="Q476" s="4"/>
      <c r="S476" s="3"/>
      <c r="T476" s="3"/>
      <c r="U476" s="4"/>
      <c r="V476" s="4"/>
    </row>
    <row r="477" spans="1:22" x14ac:dyDescent="0.25">
      <c r="A477" s="3" t="str">
        <f>RTD("rtdtrading.rtdserver",, "BOOK0", "VOC", 473)</f>
        <v>Ferramenta Inválida</v>
      </c>
      <c r="B477" s="3" t="str">
        <f>RTD("rtdtrading.rtdserver",, "BOOK0", "OCP", 473)</f>
        <v>Ferramenta Inválida</v>
      </c>
      <c r="C477" s="4" t="str">
        <f>RTD("rtdtrading.rtdserver",, "BOOK0", "OVD", 473)</f>
        <v>Ferramenta Inválida</v>
      </c>
      <c r="D477" s="4" t="str">
        <f>RTD("rtdtrading.rtdserver",, "BOOK0", "VOV", 473)</f>
        <v>Ferramenta Inválida</v>
      </c>
      <c r="F477" s="3"/>
      <c r="G477" s="5"/>
      <c r="H477" s="6"/>
      <c r="I477" s="4"/>
      <c r="K477" s="5"/>
      <c r="L477" s="6"/>
      <c r="N477" s="3"/>
      <c r="O477" s="3"/>
      <c r="P477" s="4"/>
      <c r="Q477" s="4"/>
      <c r="S477" s="3"/>
      <c r="T477" s="3"/>
      <c r="U477" s="4"/>
      <c r="V477" s="4"/>
    </row>
    <row r="478" spans="1:22" x14ac:dyDescent="0.25">
      <c r="A478" s="3" t="str">
        <f>RTD("rtdtrading.rtdserver",, "BOOK0", "VOC", 474)</f>
        <v>Ferramenta Inválida</v>
      </c>
      <c r="B478" s="3" t="str">
        <f>RTD("rtdtrading.rtdserver",, "BOOK0", "OCP", 474)</f>
        <v>Ferramenta Inválida</v>
      </c>
      <c r="C478" s="4" t="str">
        <f>RTD("rtdtrading.rtdserver",, "BOOK0", "OVD", 474)</f>
        <v>Ferramenta Inválida</v>
      </c>
      <c r="D478" s="4" t="str">
        <f>RTD("rtdtrading.rtdserver",, "BOOK0", "VOV", 474)</f>
        <v>Ferramenta Inválida</v>
      </c>
      <c r="F478" s="3"/>
      <c r="G478" s="5"/>
      <c r="H478" s="6"/>
      <c r="I478" s="4"/>
      <c r="K478" s="5"/>
      <c r="L478" s="6"/>
      <c r="N478" s="3"/>
      <c r="O478" s="3"/>
      <c r="P478" s="4"/>
      <c r="Q478" s="4"/>
      <c r="S478" s="3"/>
      <c r="T478" s="3"/>
      <c r="U478" s="4"/>
      <c r="V478" s="4"/>
    </row>
    <row r="479" spans="1:22" x14ac:dyDescent="0.25">
      <c r="A479" s="3" t="str">
        <f>RTD("rtdtrading.rtdserver",, "BOOK0", "VOC", 475)</f>
        <v>Ferramenta Inválida</v>
      </c>
      <c r="B479" s="3" t="str">
        <f>RTD("rtdtrading.rtdserver",, "BOOK0", "OCP", 475)</f>
        <v>Ferramenta Inválida</v>
      </c>
      <c r="C479" s="4" t="str">
        <f>RTD("rtdtrading.rtdserver",, "BOOK0", "OVD", 475)</f>
        <v>Ferramenta Inválida</v>
      </c>
      <c r="D479" s="4" t="str">
        <f>RTD("rtdtrading.rtdserver",, "BOOK0", "VOV", 475)</f>
        <v>Ferramenta Inválida</v>
      </c>
      <c r="F479" s="3"/>
      <c r="G479" s="5"/>
      <c r="H479" s="6"/>
      <c r="I479" s="4"/>
      <c r="K479" s="5"/>
      <c r="L479" s="6"/>
      <c r="N479" s="3"/>
      <c r="O479" s="3"/>
      <c r="P479" s="4"/>
      <c r="Q479" s="4"/>
      <c r="S479" s="3"/>
      <c r="T479" s="3"/>
      <c r="U479" s="4"/>
      <c r="V479" s="4"/>
    </row>
    <row r="480" spans="1:22" x14ac:dyDescent="0.25">
      <c r="A480" s="3" t="str">
        <f>RTD("rtdtrading.rtdserver",, "BOOK0", "VOC", 476)</f>
        <v>Ferramenta Inválida</v>
      </c>
      <c r="B480" s="3" t="str">
        <f>RTD("rtdtrading.rtdserver",, "BOOK0", "OCP", 476)</f>
        <v>Ferramenta Inválida</v>
      </c>
      <c r="C480" s="4" t="str">
        <f>RTD("rtdtrading.rtdserver",, "BOOK0", "OVD", 476)</f>
        <v>Ferramenta Inválida</v>
      </c>
      <c r="D480" s="4" t="str">
        <f>RTD("rtdtrading.rtdserver",, "BOOK0", "VOV", 476)</f>
        <v>Ferramenta Inválida</v>
      </c>
      <c r="F480" s="3"/>
      <c r="G480" s="5"/>
      <c r="H480" s="6"/>
      <c r="I480" s="4"/>
      <c r="K480" s="5"/>
      <c r="L480" s="6"/>
      <c r="N480" s="3"/>
      <c r="O480" s="3"/>
      <c r="P480" s="4"/>
      <c r="Q480" s="4"/>
      <c r="S480" s="3"/>
      <c r="T480" s="3"/>
      <c r="U480" s="4"/>
      <c r="V480" s="4"/>
    </row>
    <row r="481" spans="1:22" x14ac:dyDescent="0.25">
      <c r="A481" s="3" t="str">
        <f>RTD("rtdtrading.rtdserver",, "BOOK0", "VOC", 477)</f>
        <v>Ferramenta Inválida</v>
      </c>
      <c r="B481" s="3" t="str">
        <f>RTD("rtdtrading.rtdserver",, "BOOK0", "OCP", 477)</f>
        <v>Ferramenta Inválida</v>
      </c>
      <c r="C481" s="4" t="str">
        <f>RTD("rtdtrading.rtdserver",, "BOOK0", "OVD", 477)</f>
        <v>Ferramenta Inválida</v>
      </c>
      <c r="D481" s="4" t="str">
        <f>RTD("rtdtrading.rtdserver",, "BOOK0", "VOV", 477)</f>
        <v>Ferramenta Inválida</v>
      </c>
      <c r="F481" s="3"/>
      <c r="G481" s="5"/>
      <c r="H481" s="6"/>
      <c r="I481" s="4"/>
      <c r="K481" s="5"/>
      <c r="L481" s="6"/>
      <c r="N481" s="3"/>
      <c r="O481" s="3"/>
      <c r="P481" s="4"/>
      <c r="Q481" s="4"/>
      <c r="S481" s="3"/>
      <c r="T481" s="3"/>
      <c r="U481" s="4"/>
      <c r="V481" s="4"/>
    </row>
    <row r="482" spans="1:22" x14ac:dyDescent="0.25">
      <c r="A482" s="3" t="str">
        <f>RTD("rtdtrading.rtdserver",, "BOOK0", "VOC", 478)</f>
        <v>Ferramenta Inválida</v>
      </c>
      <c r="B482" s="3" t="str">
        <f>RTD("rtdtrading.rtdserver",, "BOOK0", "OCP", 478)</f>
        <v>Ferramenta Inválida</v>
      </c>
      <c r="C482" s="4" t="str">
        <f>RTD("rtdtrading.rtdserver",, "BOOK0", "OVD", 478)</f>
        <v>Ferramenta Inválida</v>
      </c>
      <c r="D482" s="4" t="str">
        <f>RTD("rtdtrading.rtdserver",, "BOOK0", "VOV", 478)</f>
        <v>Ferramenta Inválida</v>
      </c>
      <c r="F482" s="3"/>
      <c r="G482" s="5"/>
      <c r="H482" s="6"/>
      <c r="I482" s="4"/>
      <c r="K482" s="5"/>
      <c r="L482" s="6"/>
      <c r="N482" s="3"/>
      <c r="O482" s="3"/>
      <c r="P482" s="4"/>
      <c r="Q482" s="4"/>
      <c r="S482" s="3"/>
      <c r="T482" s="3"/>
      <c r="U482" s="4"/>
      <c r="V482" s="4"/>
    </row>
    <row r="483" spans="1:22" x14ac:dyDescent="0.25">
      <c r="A483" s="3" t="str">
        <f>RTD("rtdtrading.rtdserver",, "BOOK0", "VOC", 479)</f>
        <v>Ferramenta Inválida</v>
      </c>
      <c r="B483" s="3" t="str">
        <f>RTD("rtdtrading.rtdserver",, "BOOK0", "OCP", 479)</f>
        <v>Ferramenta Inválida</v>
      </c>
      <c r="C483" s="4" t="str">
        <f>RTD("rtdtrading.rtdserver",, "BOOK0", "OVD", 479)</f>
        <v>Ferramenta Inválida</v>
      </c>
      <c r="D483" s="4" t="str">
        <f>RTD("rtdtrading.rtdserver",, "BOOK0", "VOV", 479)</f>
        <v>Ferramenta Inválida</v>
      </c>
      <c r="F483" s="3"/>
      <c r="G483" s="5"/>
      <c r="H483" s="6"/>
      <c r="I483" s="4"/>
      <c r="K483" s="5"/>
      <c r="L483" s="6"/>
      <c r="N483" s="3"/>
      <c r="O483" s="3"/>
      <c r="P483" s="4"/>
      <c r="Q483" s="4"/>
      <c r="S483" s="3"/>
      <c r="T483" s="3"/>
      <c r="U483" s="4"/>
      <c r="V483" s="4"/>
    </row>
    <row r="484" spans="1:22" x14ac:dyDescent="0.25">
      <c r="A484" s="3" t="str">
        <f>RTD("rtdtrading.rtdserver",, "BOOK0", "VOC", 480)</f>
        <v>Ferramenta Inválida</v>
      </c>
      <c r="B484" s="3" t="str">
        <f>RTD("rtdtrading.rtdserver",, "BOOK0", "OCP", 480)</f>
        <v>Ferramenta Inválida</v>
      </c>
      <c r="C484" s="4" t="str">
        <f>RTD("rtdtrading.rtdserver",, "BOOK0", "OVD", 480)</f>
        <v>Ferramenta Inválida</v>
      </c>
      <c r="D484" s="4" t="str">
        <f>RTD("rtdtrading.rtdserver",, "BOOK0", "VOV", 480)</f>
        <v>Ferramenta Inválida</v>
      </c>
      <c r="F484" s="3"/>
      <c r="G484" s="5"/>
      <c r="H484" s="6"/>
      <c r="I484" s="4"/>
      <c r="K484" s="5"/>
      <c r="L484" s="6"/>
      <c r="N484" s="3"/>
      <c r="O484" s="3"/>
      <c r="P484" s="4"/>
      <c r="Q484" s="4"/>
      <c r="S484" s="3"/>
      <c r="T484" s="3"/>
      <c r="U484" s="4"/>
      <c r="V484" s="4"/>
    </row>
    <row r="485" spans="1:22" x14ac:dyDescent="0.25">
      <c r="A485" s="3" t="str">
        <f>RTD("rtdtrading.rtdserver",, "BOOK0", "VOC", 481)</f>
        <v>Ferramenta Inválida</v>
      </c>
      <c r="B485" s="3" t="str">
        <f>RTD("rtdtrading.rtdserver",, "BOOK0", "OCP", 481)</f>
        <v>Ferramenta Inválida</v>
      </c>
      <c r="C485" s="4" t="str">
        <f>RTD("rtdtrading.rtdserver",, "BOOK0", "OVD", 481)</f>
        <v>Ferramenta Inválida</v>
      </c>
      <c r="D485" s="4" t="str">
        <f>RTD("rtdtrading.rtdserver",, "BOOK0", "VOV", 481)</f>
        <v>Ferramenta Inválida</v>
      </c>
      <c r="F485" s="3"/>
      <c r="G485" s="5"/>
      <c r="H485" s="6"/>
      <c r="I485" s="4"/>
      <c r="K485" s="5"/>
      <c r="L485" s="6"/>
      <c r="N485" s="3"/>
      <c r="O485" s="3"/>
      <c r="P485" s="4"/>
      <c r="Q485" s="4"/>
      <c r="S485" s="3"/>
      <c r="T485" s="3"/>
      <c r="U485" s="4"/>
      <c r="V485" s="4"/>
    </row>
    <row r="486" spans="1:22" x14ac:dyDescent="0.25">
      <c r="A486" s="3" t="str">
        <f>RTD("rtdtrading.rtdserver",, "BOOK0", "VOC", 482)</f>
        <v>Ferramenta Inválida</v>
      </c>
      <c r="B486" s="3" t="str">
        <f>RTD("rtdtrading.rtdserver",, "BOOK0", "OCP", 482)</f>
        <v>Ferramenta Inválida</v>
      </c>
      <c r="C486" s="4" t="str">
        <f>RTD("rtdtrading.rtdserver",, "BOOK0", "OVD", 482)</f>
        <v>Ferramenta Inválida</v>
      </c>
      <c r="D486" s="4" t="str">
        <f>RTD("rtdtrading.rtdserver",, "BOOK0", "VOV", 482)</f>
        <v>Ferramenta Inválida</v>
      </c>
      <c r="F486" s="3"/>
      <c r="G486" s="5"/>
      <c r="H486" s="6"/>
      <c r="I486" s="4"/>
      <c r="K486" s="5"/>
      <c r="L486" s="6"/>
      <c r="N486" s="3"/>
      <c r="O486" s="3"/>
      <c r="P486" s="4"/>
      <c r="Q486" s="4"/>
      <c r="S486" s="3"/>
      <c r="T486" s="3"/>
      <c r="U486" s="4"/>
      <c r="V486" s="4"/>
    </row>
    <row r="487" spans="1:22" x14ac:dyDescent="0.25">
      <c r="A487" s="3" t="str">
        <f>RTD("rtdtrading.rtdserver",, "BOOK0", "VOC", 483)</f>
        <v>Ferramenta Inválida</v>
      </c>
      <c r="B487" s="3" t="str">
        <f>RTD("rtdtrading.rtdserver",, "BOOK0", "OCP", 483)</f>
        <v>Ferramenta Inválida</v>
      </c>
      <c r="C487" s="4" t="str">
        <f>RTD("rtdtrading.rtdserver",, "BOOK0", "OVD", 483)</f>
        <v>Ferramenta Inválida</v>
      </c>
      <c r="D487" s="4" t="str">
        <f>RTD("rtdtrading.rtdserver",, "BOOK0", "VOV", 483)</f>
        <v>Ferramenta Inválida</v>
      </c>
      <c r="F487" s="3"/>
      <c r="G487" s="5"/>
      <c r="H487" s="6"/>
      <c r="I487" s="4"/>
      <c r="K487" s="5"/>
      <c r="L487" s="6"/>
      <c r="N487" s="3"/>
      <c r="O487" s="3"/>
      <c r="P487" s="4"/>
      <c r="Q487" s="4"/>
      <c r="S487" s="3"/>
      <c r="T487" s="3"/>
      <c r="U487" s="4"/>
      <c r="V487" s="4"/>
    </row>
    <row r="488" spans="1:22" x14ac:dyDescent="0.25">
      <c r="A488" s="3" t="str">
        <f>RTD("rtdtrading.rtdserver",, "BOOK0", "VOC", 484)</f>
        <v>Ferramenta Inválida</v>
      </c>
      <c r="B488" s="3" t="str">
        <f>RTD("rtdtrading.rtdserver",, "BOOK0", "OCP", 484)</f>
        <v>Ferramenta Inválida</v>
      </c>
      <c r="C488" s="4" t="str">
        <f>RTD("rtdtrading.rtdserver",, "BOOK0", "OVD", 484)</f>
        <v>Ferramenta Inválida</v>
      </c>
      <c r="D488" s="4" t="str">
        <f>RTD("rtdtrading.rtdserver",, "BOOK0", "VOV", 484)</f>
        <v>Ferramenta Inválida</v>
      </c>
      <c r="F488" s="3"/>
      <c r="G488" s="5"/>
      <c r="H488" s="6"/>
      <c r="I488" s="4"/>
      <c r="K488" s="5"/>
      <c r="L488" s="6"/>
      <c r="N488" s="3"/>
      <c r="O488" s="3"/>
      <c r="P488" s="4"/>
      <c r="Q488" s="4"/>
      <c r="S488" s="3"/>
      <c r="T488" s="3"/>
      <c r="U488" s="4"/>
      <c r="V488" s="4"/>
    </row>
    <row r="489" spans="1:22" x14ac:dyDescent="0.25">
      <c r="A489" s="3" t="str">
        <f>RTD("rtdtrading.rtdserver",, "BOOK0", "VOC", 485)</f>
        <v>Ferramenta Inválida</v>
      </c>
      <c r="B489" s="3" t="str">
        <f>RTD("rtdtrading.rtdserver",, "BOOK0", "OCP", 485)</f>
        <v>Ferramenta Inválida</v>
      </c>
      <c r="C489" s="4" t="str">
        <f>RTD("rtdtrading.rtdserver",, "BOOK0", "OVD", 485)</f>
        <v>Ferramenta Inválida</v>
      </c>
      <c r="D489" s="4" t="str">
        <f>RTD("rtdtrading.rtdserver",, "BOOK0", "VOV", 485)</f>
        <v>Ferramenta Inválida</v>
      </c>
      <c r="F489" s="3"/>
      <c r="G489" s="5"/>
      <c r="H489" s="6"/>
      <c r="I489" s="4"/>
      <c r="K489" s="5"/>
      <c r="L489" s="6"/>
      <c r="N489" s="3"/>
      <c r="O489" s="3"/>
      <c r="P489" s="4"/>
      <c r="Q489" s="4"/>
      <c r="S489" s="3"/>
      <c r="T489" s="3"/>
      <c r="U489" s="4"/>
      <c r="V489" s="4"/>
    </row>
    <row r="490" spans="1:22" x14ac:dyDescent="0.25">
      <c r="A490" s="3" t="str">
        <f>RTD("rtdtrading.rtdserver",, "BOOK0", "VOC", 486)</f>
        <v>Ferramenta Inválida</v>
      </c>
      <c r="B490" s="3" t="str">
        <f>RTD("rtdtrading.rtdserver",, "BOOK0", "OCP", 486)</f>
        <v>Ferramenta Inválida</v>
      </c>
      <c r="C490" s="4" t="str">
        <f>RTD("rtdtrading.rtdserver",, "BOOK0", "OVD", 486)</f>
        <v>Ferramenta Inválida</v>
      </c>
      <c r="D490" s="4" t="str">
        <f>RTD("rtdtrading.rtdserver",, "BOOK0", "VOV", 486)</f>
        <v>Ferramenta Inválida</v>
      </c>
      <c r="F490" s="3"/>
      <c r="G490" s="5"/>
      <c r="H490" s="6"/>
      <c r="I490" s="4"/>
      <c r="K490" s="5"/>
      <c r="L490" s="6"/>
      <c r="N490" s="3"/>
      <c r="O490" s="3"/>
      <c r="P490" s="4"/>
      <c r="Q490" s="4"/>
      <c r="S490" s="3"/>
      <c r="T490" s="3"/>
      <c r="U490" s="4"/>
      <c r="V490" s="4"/>
    </row>
    <row r="491" spans="1:22" x14ac:dyDescent="0.25">
      <c r="A491" s="3" t="str">
        <f>RTD("rtdtrading.rtdserver",, "BOOK0", "VOC", 487)</f>
        <v>Ferramenta Inválida</v>
      </c>
      <c r="B491" s="3" t="str">
        <f>RTD("rtdtrading.rtdserver",, "BOOK0", "OCP", 487)</f>
        <v>Ferramenta Inválida</v>
      </c>
      <c r="C491" s="4" t="str">
        <f>RTD("rtdtrading.rtdserver",, "BOOK0", "OVD", 487)</f>
        <v>Ferramenta Inválida</v>
      </c>
      <c r="D491" s="4" t="str">
        <f>RTD("rtdtrading.rtdserver",, "BOOK0", "VOV", 487)</f>
        <v>Ferramenta Inválida</v>
      </c>
      <c r="F491" s="3"/>
      <c r="G491" s="5"/>
      <c r="H491" s="6"/>
      <c r="I491" s="4"/>
      <c r="K491" s="5"/>
      <c r="L491" s="6"/>
      <c r="N491" s="3"/>
      <c r="O491" s="3"/>
      <c r="P491" s="4"/>
      <c r="Q491" s="4"/>
      <c r="S491" s="3"/>
      <c r="T491" s="3"/>
      <c r="U491" s="4"/>
      <c r="V491" s="4"/>
    </row>
    <row r="492" spans="1:22" x14ac:dyDescent="0.25">
      <c r="A492" s="3" t="str">
        <f>RTD("rtdtrading.rtdserver",, "BOOK0", "VOC", 488)</f>
        <v>Ferramenta Inválida</v>
      </c>
      <c r="B492" s="3" t="str">
        <f>RTD("rtdtrading.rtdserver",, "BOOK0", "OCP", 488)</f>
        <v>Ferramenta Inválida</v>
      </c>
      <c r="C492" s="4" t="str">
        <f>RTD("rtdtrading.rtdserver",, "BOOK0", "OVD", 488)</f>
        <v>Ferramenta Inválida</v>
      </c>
      <c r="D492" s="4" t="str">
        <f>RTD("rtdtrading.rtdserver",, "BOOK0", "VOV", 488)</f>
        <v>Ferramenta Inválida</v>
      </c>
      <c r="F492" s="3"/>
      <c r="G492" s="5"/>
      <c r="H492" s="6"/>
      <c r="I492" s="4"/>
      <c r="K492" s="5"/>
      <c r="L492" s="6"/>
      <c r="N492" s="3"/>
      <c r="O492" s="3"/>
      <c r="P492" s="4"/>
      <c r="Q492" s="4"/>
      <c r="S492" s="3"/>
      <c r="T492" s="3"/>
      <c r="U492" s="4"/>
      <c r="V492" s="4"/>
    </row>
    <row r="493" spans="1:22" x14ac:dyDescent="0.25">
      <c r="A493" s="3" t="str">
        <f>RTD("rtdtrading.rtdserver",, "BOOK0", "VOC", 489)</f>
        <v>Ferramenta Inválida</v>
      </c>
      <c r="B493" s="3" t="str">
        <f>RTD("rtdtrading.rtdserver",, "BOOK0", "OCP", 489)</f>
        <v>Ferramenta Inválida</v>
      </c>
      <c r="C493" s="4" t="str">
        <f>RTD("rtdtrading.rtdserver",, "BOOK0", "OVD", 489)</f>
        <v>Ferramenta Inválida</v>
      </c>
      <c r="D493" s="4" t="str">
        <f>RTD("rtdtrading.rtdserver",, "BOOK0", "VOV", 489)</f>
        <v>Ferramenta Inválida</v>
      </c>
      <c r="F493" s="3"/>
      <c r="G493" s="5"/>
      <c r="H493" s="6"/>
      <c r="I493" s="4"/>
      <c r="K493" s="5"/>
      <c r="L493" s="6"/>
      <c r="N493" s="3"/>
      <c r="O493" s="3"/>
      <c r="P493" s="4"/>
      <c r="Q493" s="4"/>
      <c r="S493" s="3"/>
      <c r="T493" s="3"/>
      <c r="U493" s="4"/>
      <c r="V493" s="4"/>
    </row>
    <row r="494" spans="1:22" x14ac:dyDescent="0.25">
      <c r="A494" s="3" t="str">
        <f>RTD("rtdtrading.rtdserver",, "BOOK0", "VOC", 490)</f>
        <v>Ferramenta Inválida</v>
      </c>
      <c r="B494" s="3" t="str">
        <f>RTD("rtdtrading.rtdserver",, "BOOK0", "OCP", 490)</f>
        <v>Ferramenta Inválida</v>
      </c>
      <c r="C494" s="4" t="str">
        <f>RTD("rtdtrading.rtdserver",, "BOOK0", "OVD", 490)</f>
        <v>Ferramenta Inválida</v>
      </c>
      <c r="D494" s="4" t="str">
        <f>RTD("rtdtrading.rtdserver",, "BOOK0", "VOV", 490)</f>
        <v>Ferramenta Inválida</v>
      </c>
      <c r="F494" s="3"/>
      <c r="G494" s="5"/>
      <c r="H494" s="6"/>
      <c r="I494" s="4"/>
      <c r="K494" s="5"/>
      <c r="L494" s="6"/>
      <c r="N494" s="3"/>
      <c r="O494" s="3"/>
      <c r="P494" s="4"/>
      <c r="Q494" s="4"/>
      <c r="S494" s="3"/>
      <c r="T494" s="3"/>
      <c r="U494" s="4"/>
      <c r="V494" s="4"/>
    </row>
    <row r="495" spans="1:22" x14ac:dyDescent="0.25">
      <c r="A495" s="3" t="str">
        <f>RTD("rtdtrading.rtdserver",, "BOOK0", "VOC", 491)</f>
        <v>Ferramenta Inválida</v>
      </c>
      <c r="B495" s="3" t="str">
        <f>RTD("rtdtrading.rtdserver",, "BOOK0", "OCP", 491)</f>
        <v>Ferramenta Inválida</v>
      </c>
      <c r="C495" s="4" t="str">
        <f>RTD("rtdtrading.rtdserver",, "BOOK0", "OVD", 491)</f>
        <v>Ferramenta Inválida</v>
      </c>
      <c r="D495" s="4" t="str">
        <f>RTD("rtdtrading.rtdserver",, "BOOK0", "VOV", 491)</f>
        <v>Ferramenta Inválida</v>
      </c>
      <c r="F495" s="3"/>
      <c r="G495" s="5"/>
      <c r="H495" s="6"/>
      <c r="I495" s="4"/>
      <c r="K495" s="5"/>
      <c r="L495" s="6"/>
      <c r="N495" s="3"/>
      <c r="O495" s="3"/>
      <c r="P495" s="4"/>
      <c r="Q495" s="4"/>
      <c r="S495" s="3"/>
      <c r="T495" s="3"/>
      <c r="U495" s="4"/>
      <c r="V495" s="4"/>
    </row>
    <row r="496" spans="1:22" x14ac:dyDescent="0.25">
      <c r="A496" s="3" t="str">
        <f>RTD("rtdtrading.rtdserver",, "BOOK0", "VOC", 492)</f>
        <v>Ferramenta Inválida</v>
      </c>
      <c r="B496" s="3" t="str">
        <f>RTD("rtdtrading.rtdserver",, "BOOK0", "OCP", 492)</f>
        <v>Ferramenta Inválida</v>
      </c>
      <c r="C496" s="4" t="str">
        <f>RTD("rtdtrading.rtdserver",, "BOOK0", "OVD", 492)</f>
        <v>Ferramenta Inválida</v>
      </c>
      <c r="D496" s="4" t="str">
        <f>RTD("rtdtrading.rtdserver",, "BOOK0", "VOV", 492)</f>
        <v>Ferramenta Inválida</v>
      </c>
      <c r="F496" s="3"/>
      <c r="G496" s="5"/>
      <c r="H496" s="6"/>
      <c r="I496" s="4"/>
      <c r="K496" s="5"/>
      <c r="L496" s="6"/>
      <c r="N496" s="3"/>
      <c r="O496" s="3"/>
      <c r="P496" s="4"/>
      <c r="Q496" s="4"/>
      <c r="S496" s="3"/>
      <c r="T496" s="3"/>
      <c r="U496" s="4"/>
      <c r="V496" s="4"/>
    </row>
    <row r="497" spans="1:22" x14ac:dyDescent="0.25">
      <c r="A497" s="3" t="str">
        <f>RTD("rtdtrading.rtdserver",, "BOOK0", "VOC", 493)</f>
        <v>Ferramenta Inválida</v>
      </c>
      <c r="B497" s="3" t="str">
        <f>RTD("rtdtrading.rtdserver",, "BOOK0", "OCP", 493)</f>
        <v>Ferramenta Inválida</v>
      </c>
      <c r="C497" s="4" t="str">
        <f>RTD("rtdtrading.rtdserver",, "BOOK0", "OVD", 493)</f>
        <v>Ferramenta Inválida</v>
      </c>
      <c r="D497" s="4" t="str">
        <f>RTD("rtdtrading.rtdserver",, "BOOK0", "VOV", 493)</f>
        <v>Ferramenta Inválida</v>
      </c>
      <c r="F497" s="3"/>
      <c r="G497" s="5"/>
      <c r="H497" s="6"/>
      <c r="I497" s="4"/>
      <c r="K497" s="5"/>
      <c r="L497" s="6"/>
      <c r="N497" s="3"/>
      <c r="O497" s="3"/>
      <c r="P497" s="4"/>
      <c r="Q497" s="4"/>
      <c r="S497" s="3"/>
      <c r="T497" s="3"/>
      <c r="U497" s="4"/>
      <c r="V497" s="4"/>
    </row>
    <row r="498" spans="1:22" x14ac:dyDescent="0.25">
      <c r="A498" s="3" t="str">
        <f>RTD("rtdtrading.rtdserver",, "BOOK0", "VOC", 494)</f>
        <v>Ferramenta Inválida</v>
      </c>
      <c r="B498" s="3" t="str">
        <f>RTD("rtdtrading.rtdserver",, "BOOK0", "OCP", 494)</f>
        <v>Ferramenta Inválida</v>
      </c>
      <c r="C498" s="4" t="str">
        <f>RTD("rtdtrading.rtdserver",, "BOOK0", "OVD", 494)</f>
        <v>Ferramenta Inválida</v>
      </c>
      <c r="D498" s="4" t="str">
        <f>RTD("rtdtrading.rtdserver",, "BOOK0", "VOV", 494)</f>
        <v>Ferramenta Inválida</v>
      </c>
      <c r="F498" s="3"/>
      <c r="G498" s="5"/>
      <c r="H498" s="6"/>
      <c r="I498" s="4"/>
      <c r="K498" s="5"/>
      <c r="L498" s="6"/>
      <c r="N498" s="3"/>
      <c r="O498" s="3"/>
      <c r="P498" s="4"/>
      <c r="Q498" s="4"/>
      <c r="S498" s="3"/>
      <c r="T498" s="3"/>
      <c r="U498" s="4"/>
      <c r="V498" s="4"/>
    </row>
    <row r="499" spans="1:22" x14ac:dyDescent="0.25">
      <c r="A499" s="3" t="str">
        <f>RTD("rtdtrading.rtdserver",, "BOOK0", "VOC", 495)</f>
        <v>Ferramenta Inválida</v>
      </c>
      <c r="B499" s="3" t="str">
        <f>RTD("rtdtrading.rtdserver",, "BOOK0", "OCP", 495)</f>
        <v>Ferramenta Inválida</v>
      </c>
      <c r="C499" s="4" t="str">
        <f>RTD("rtdtrading.rtdserver",, "BOOK0", "OVD", 495)</f>
        <v>Ferramenta Inválida</v>
      </c>
      <c r="D499" s="4" t="str">
        <f>RTD("rtdtrading.rtdserver",, "BOOK0", "VOV", 495)</f>
        <v>Ferramenta Inválida</v>
      </c>
      <c r="F499" s="3"/>
      <c r="G499" s="5"/>
      <c r="H499" s="6"/>
      <c r="I499" s="4"/>
      <c r="K499" s="5"/>
      <c r="L499" s="6"/>
      <c r="N499" s="3"/>
      <c r="O499" s="3"/>
      <c r="P499" s="4"/>
      <c r="Q499" s="4"/>
      <c r="S499" s="3"/>
      <c r="T499" s="3"/>
      <c r="U499" s="4"/>
      <c r="V499" s="4"/>
    </row>
    <row r="500" spans="1:22" x14ac:dyDescent="0.25">
      <c r="A500" s="3" t="str">
        <f>RTD("rtdtrading.rtdserver",, "BOOK0", "VOC", 496)</f>
        <v>Ferramenta Inválida</v>
      </c>
      <c r="B500" s="3" t="str">
        <f>RTD("rtdtrading.rtdserver",, "BOOK0", "OCP", 496)</f>
        <v>Ferramenta Inválida</v>
      </c>
      <c r="C500" s="4" t="str">
        <f>RTD("rtdtrading.rtdserver",, "BOOK0", "OVD", 496)</f>
        <v>Ferramenta Inválida</v>
      </c>
      <c r="D500" s="4" t="str">
        <f>RTD("rtdtrading.rtdserver",, "BOOK0", "VOV", 496)</f>
        <v>Ferramenta Inválida</v>
      </c>
      <c r="F500" s="3"/>
      <c r="G500" s="5"/>
      <c r="H500" s="6"/>
      <c r="I500" s="4"/>
      <c r="K500" s="5"/>
      <c r="L500" s="6"/>
      <c r="N500" s="3"/>
      <c r="O500" s="3"/>
      <c r="P500" s="4"/>
      <c r="Q500" s="4"/>
      <c r="S500" s="3"/>
      <c r="T500" s="3"/>
      <c r="U500" s="4"/>
      <c r="V500" s="4"/>
    </row>
    <row r="501" spans="1:22" x14ac:dyDescent="0.25">
      <c r="A501" s="3" t="str">
        <f>RTD("rtdtrading.rtdserver",, "BOOK0", "VOC", 497)</f>
        <v>Ferramenta Inválida</v>
      </c>
      <c r="B501" s="3" t="str">
        <f>RTD("rtdtrading.rtdserver",, "BOOK0", "OCP", 497)</f>
        <v>Ferramenta Inválida</v>
      </c>
      <c r="C501" s="4" t="str">
        <f>RTD("rtdtrading.rtdserver",, "BOOK0", "OVD", 497)</f>
        <v>Ferramenta Inválida</v>
      </c>
      <c r="D501" s="4" t="str">
        <f>RTD("rtdtrading.rtdserver",, "BOOK0", "VOV", 497)</f>
        <v>Ferramenta Inválida</v>
      </c>
      <c r="F501" s="3"/>
      <c r="G501" s="5"/>
      <c r="H501" s="6"/>
      <c r="I501" s="4"/>
      <c r="K501" s="5"/>
      <c r="L501" s="6"/>
      <c r="N501" s="3"/>
      <c r="O501" s="3"/>
      <c r="P501" s="4"/>
      <c r="Q501" s="4"/>
      <c r="S501" s="3"/>
      <c r="T501" s="3"/>
      <c r="U501" s="4"/>
      <c r="V501" s="4"/>
    </row>
    <row r="502" spans="1:22" x14ac:dyDescent="0.25">
      <c r="A502" s="3" t="str">
        <f>RTD("rtdtrading.rtdserver",, "BOOK0", "VOC", 498)</f>
        <v>Ferramenta Inválida</v>
      </c>
      <c r="B502" s="3" t="str">
        <f>RTD("rtdtrading.rtdserver",, "BOOK0", "OCP", 498)</f>
        <v>Ferramenta Inválida</v>
      </c>
      <c r="C502" s="4" t="str">
        <f>RTD("rtdtrading.rtdserver",, "BOOK0", "OVD", 498)</f>
        <v>Ferramenta Inválida</v>
      </c>
      <c r="D502" s="4" t="str">
        <f>RTD("rtdtrading.rtdserver",, "BOOK0", "VOV", 498)</f>
        <v>Ferramenta Inválida</v>
      </c>
      <c r="F502" s="3"/>
      <c r="G502" s="5"/>
      <c r="H502" s="6"/>
      <c r="I502" s="4"/>
      <c r="K502" s="5"/>
      <c r="L502" s="6"/>
      <c r="N502" s="3"/>
      <c r="O502" s="3"/>
      <c r="P502" s="4"/>
      <c r="Q502" s="4"/>
      <c r="S502" s="3"/>
      <c r="T502" s="3"/>
      <c r="U502" s="4"/>
      <c r="V502" s="4"/>
    </row>
    <row r="503" spans="1:22" x14ac:dyDescent="0.25">
      <c r="A503" s="3" t="str">
        <f>RTD("rtdtrading.rtdserver",, "BOOK0", "VOC", 499)</f>
        <v>Ferramenta Inválida</v>
      </c>
      <c r="B503" s="3" t="str">
        <f>RTD("rtdtrading.rtdserver",, "BOOK0", "OCP", 499)</f>
        <v>Ferramenta Inválida</v>
      </c>
      <c r="C503" s="4" t="str">
        <f>RTD("rtdtrading.rtdserver",, "BOOK0", "OVD", 499)</f>
        <v>Ferramenta Inválida</v>
      </c>
      <c r="D503" s="4" t="str">
        <f>RTD("rtdtrading.rtdserver",, "BOOK0", "VOV", 499)</f>
        <v>Ferramenta Inválida</v>
      </c>
      <c r="F503" s="3"/>
      <c r="G503" s="5"/>
      <c r="H503" s="6"/>
      <c r="I503" s="4"/>
      <c r="K503" s="5"/>
      <c r="L503" s="6"/>
      <c r="N503" s="3"/>
      <c r="O503" s="3"/>
      <c r="P503" s="4"/>
      <c r="Q503" s="4"/>
      <c r="S503" s="3"/>
      <c r="T503" s="3"/>
      <c r="U503" s="4"/>
      <c r="V503" s="4"/>
    </row>
    <row r="504" spans="1:22" x14ac:dyDescent="0.25">
      <c r="A504" s="3" t="str">
        <f>RTD("rtdtrading.rtdserver",, "BOOK0", "VOC", 500)</f>
        <v>Ferramenta Inválida</v>
      </c>
      <c r="B504" s="3" t="str">
        <f>RTD("rtdtrading.rtdserver",, "BOOK0", "OCP", 500)</f>
        <v>Ferramenta Inválida</v>
      </c>
      <c r="C504" s="4" t="str">
        <f>RTD("rtdtrading.rtdserver",, "BOOK0", "OVD", 500)</f>
        <v>Ferramenta Inválida</v>
      </c>
      <c r="D504" s="4" t="str">
        <f>RTD("rtdtrading.rtdserver",, "BOOK0", "VOV", 500)</f>
        <v>Ferramenta Inválida</v>
      </c>
      <c r="F504" s="3"/>
      <c r="G504" s="5"/>
      <c r="H504" s="6"/>
      <c r="I504" s="4"/>
      <c r="K504" s="5"/>
      <c r="L504" s="6"/>
      <c r="N504" s="3"/>
      <c r="O504" s="3"/>
      <c r="P504" s="4"/>
      <c r="Q504" s="4"/>
      <c r="S504" s="3"/>
      <c r="T504" s="3"/>
      <c r="U504" s="4"/>
      <c r="V504" s="4"/>
    </row>
    <row r="505" spans="1:22" x14ac:dyDescent="0.25">
      <c r="A505" s="3" t="str">
        <f>RTD("rtdtrading.rtdserver",, "BOOK0", "VOC", 501)</f>
        <v>Ferramenta Inválida</v>
      </c>
      <c r="B505" s="3" t="str">
        <f>RTD("rtdtrading.rtdserver",, "BOOK0", "OCP", 501)</f>
        <v>Ferramenta Inválida</v>
      </c>
      <c r="C505" s="4" t="str">
        <f>RTD("rtdtrading.rtdserver",, "BOOK0", "OVD", 501)</f>
        <v>Ferramenta Inválida</v>
      </c>
      <c r="D505" s="4" t="str">
        <f>RTD("rtdtrading.rtdserver",, "BOOK0", "VOV", 501)</f>
        <v>Ferramenta Inválida</v>
      </c>
      <c r="F505" s="3"/>
      <c r="G505" s="5"/>
      <c r="H505" s="6"/>
      <c r="I505" s="4"/>
      <c r="K505" s="5"/>
      <c r="L505" s="6"/>
      <c r="N505" s="3"/>
      <c r="O505" s="3"/>
      <c r="P505" s="4"/>
      <c r="Q505" s="4"/>
      <c r="S505" s="3"/>
      <c r="T505" s="3"/>
      <c r="U505" s="4"/>
      <c r="V505" s="4"/>
    </row>
    <row r="506" spans="1:22" x14ac:dyDescent="0.25">
      <c r="A506" s="3" t="str">
        <f>RTD("rtdtrading.rtdserver",, "BOOK0", "VOC", 502)</f>
        <v>Ferramenta Inválida</v>
      </c>
      <c r="B506" s="3" t="str">
        <f>RTD("rtdtrading.rtdserver",, "BOOK0", "OCP", 502)</f>
        <v>Ferramenta Inválida</v>
      </c>
      <c r="C506" s="4" t="str">
        <f>RTD("rtdtrading.rtdserver",, "BOOK0", "OVD", 502)</f>
        <v>Ferramenta Inválida</v>
      </c>
      <c r="D506" s="4" t="str">
        <f>RTD("rtdtrading.rtdserver",, "BOOK0", "VOV", 502)</f>
        <v>Ferramenta Inválida</v>
      </c>
      <c r="F506" s="3"/>
      <c r="G506" s="5"/>
      <c r="H506" s="6"/>
      <c r="I506" s="4"/>
      <c r="K506" s="5"/>
      <c r="L506" s="6"/>
      <c r="N506" s="3"/>
      <c r="O506" s="3"/>
      <c r="P506" s="4"/>
      <c r="Q506" s="4"/>
      <c r="S506" s="3"/>
      <c r="T506" s="3"/>
      <c r="U506" s="4"/>
      <c r="V506" s="4"/>
    </row>
    <row r="507" spans="1:22" x14ac:dyDescent="0.25">
      <c r="A507" s="3" t="str">
        <f>RTD("rtdtrading.rtdserver",, "BOOK0", "VOC", 503)</f>
        <v>Ferramenta Inválida</v>
      </c>
      <c r="B507" s="3" t="str">
        <f>RTD("rtdtrading.rtdserver",, "BOOK0", "OCP", 503)</f>
        <v>Ferramenta Inválida</v>
      </c>
      <c r="C507" s="4" t="str">
        <f>RTD("rtdtrading.rtdserver",, "BOOK0", "OVD", 503)</f>
        <v>Ferramenta Inválida</v>
      </c>
      <c r="D507" s="4" t="str">
        <f>RTD("rtdtrading.rtdserver",, "BOOK0", "VOV", 503)</f>
        <v>Ferramenta Inválida</v>
      </c>
      <c r="F507" s="3"/>
      <c r="G507" s="5"/>
      <c r="H507" s="6"/>
      <c r="I507" s="4"/>
      <c r="K507" s="5"/>
      <c r="L507" s="6"/>
      <c r="N507" s="3"/>
      <c r="O507" s="3"/>
      <c r="P507" s="4"/>
      <c r="Q507" s="4"/>
      <c r="S507" s="3"/>
      <c r="T507" s="3"/>
      <c r="U507" s="4"/>
      <c r="V507" s="4"/>
    </row>
    <row r="508" spans="1:22" x14ac:dyDescent="0.25">
      <c r="A508" s="3" t="str">
        <f>RTD("rtdtrading.rtdserver",, "BOOK0", "VOC", 504)</f>
        <v>Ferramenta Inválida</v>
      </c>
      <c r="B508" s="3" t="str">
        <f>RTD("rtdtrading.rtdserver",, "BOOK0", "OCP", 504)</f>
        <v>Ferramenta Inválida</v>
      </c>
      <c r="C508" s="4" t="str">
        <f>RTD("rtdtrading.rtdserver",, "BOOK0", "OVD", 504)</f>
        <v>Ferramenta Inválida</v>
      </c>
      <c r="D508" s="4" t="str">
        <f>RTD("rtdtrading.rtdserver",, "BOOK0", "VOV", 504)</f>
        <v>Ferramenta Inválida</v>
      </c>
      <c r="F508" s="3"/>
      <c r="G508" s="5"/>
      <c r="H508" s="6"/>
      <c r="I508" s="4"/>
      <c r="K508" s="5"/>
      <c r="L508" s="6"/>
      <c r="N508" s="3"/>
      <c r="O508" s="3"/>
      <c r="P508" s="4"/>
      <c r="Q508" s="4"/>
      <c r="S508" s="3"/>
      <c r="T508" s="3"/>
      <c r="U508" s="4"/>
      <c r="V508" s="4"/>
    </row>
    <row r="509" spans="1:22" x14ac:dyDescent="0.25">
      <c r="A509" s="3" t="str">
        <f>RTD("rtdtrading.rtdserver",, "BOOK0", "VOC", 505)</f>
        <v>Ferramenta Inválida</v>
      </c>
      <c r="B509" s="3" t="str">
        <f>RTD("rtdtrading.rtdserver",, "BOOK0", "OCP", 505)</f>
        <v>Ferramenta Inválida</v>
      </c>
      <c r="C509" s="4" t="str">
        <f>RTD("rtdtrading.rtdserver",, "BOOK0", "OVD", 505)</f>
        <v>Ferramenta Inválida</v>
      </c>
      <c r="D509" s="4" t="str">
        <f>RTD("rtdtrading.rtdserver",, "BOOK0", "VOV", 505)</f>
        <v>Ferramenta Inválida</v>
      </c>
      <c r="F509" s="3"/>
      <c r="G509" s="5"/>
      <c r="H509" s="6"/>
      <c r="I509" s="4"/>
      <c r="K509" s="5"/>
      <c r="L509" s="6"/>
      <c r="N509" s="3"/>
      <c r="O509" s="3"/>
      <c r="P509" s="4"/>
      <c r="Q509" s="4"/>
      <c r="S509" s="3"/>
      <c r="T509" s="3"/>
      <c r="U509" s="4"/>
      <c r="V509" s="4"/>
    </row>
    <row r="510" spans="1:22" x14ac:dyDescent="0.25">
      <c r="A510" s="3" t="str">
        <f>RTD("rtdtrading.rtdserver",, "BOOK0", "VOC", 506)</f>
        <v>Ferramenta Inválida</v>
      </c>
      <c r="B510" s="3" t="str">
        <f>RTD("rtdtrading.rtdserver",, "BOOK0", "OCP", 506)</f>
        <v>Ferramenta Inválida</v>
      </c>
      <c r="C510" s="4" t="str">
        <f>RTD("rtdtrading.rtdserver",, "BOOK0", "OVD", 506)</f>
        <v>Ferramenta Inválida</v>
      </c>
      <c r="D510" s="4" t="str">
        <f>RTD("rtdtrading.rtdserver",, "BOOK0", "VOV", 506)</f>
        <v>Ferramenta Inválida</v>
      </c>
      <c r="F510" s="3"/>
      <c r="G510" s="5"/>
      <c r="H510" s="6"/>
      <c r="I510" s="4"/>
      <c r="K510" s="5"/>
      <c r="L510" s="6"/>
      <c r="N510" s="3"/>
      <c r="O510" s="3"/>
      <c r="P510" s="4"/>
      <c r="Q510" s="4"/>
      <c r="S510" s="3"/>
      <c r="T510" s="3"/>
      <c r="U510" s="4"/>
      <c r="V510" s="4"/>
    </row>
    <row r="511" spans="1:22" x14ac:dyDescent="0.25">
      <c r="A511" s="3" t="str">
        <f>RTD("rtdtrading.rtdserver",, "BOOK0", "VOC", 507)</f>
        <v>Ferramenta Inválida</v>
      </c>
      <c r="B511" s="3" t="str">
        <f>RTD("rtdtrading.rtdserver",, "BOOK0", "OCP", 507)</f>
        <v>Ferramenta Inválida</v>
      </c>
      <c r="C511" s="4" t="str">
        <f>RTD("rtdtrading.rtdserver",, "BOOK0", "OVD", 507)</f>
        <v>Ferramenta Inválida</v>
      </c>
      <c r="D511" s="4" t="str">
        <f>RTD("rtdtrading.rtdserver",, "BOOK0", "VOV", 507)</f>
        <v>Ferramenta Inválida</v>
      </c>
      <c r="F511" s="3"/>
      <c r="G511" s="5"/>
      <c r="H511" s="6"/>
      <c r="I511" s="4"/>
      <c r="K511" s="5"/>
      <c r="L511" s="6"/>
      <c r="N511" s="3"/>
      <c r="O511" s="3"/>
      <c r="P511" s="4"/>
      <c r="Q511" s="4"/>
      <c r="S511" s="3"/>
      <c r="T511" s="3"/>
      <c r="U511" s="4"/>
      <c r="V511" s="4"/>
    </row>
    <row r="512" spans="1:22" x14ac:dyDescent="0.25">
      <c r="A512" s="3" t="str">
        <f>RTD("rtdtrading.rtdserver",, "BOOK0", "VOC", 508)</f>
        <v>Ferramenta Inválida</v>
      </c>
      <c r="B512" s="3" t="str">
        <f>RTD("rtdtrading.rtdserver",, "BOOK0", "OCP", 508)</f>
        <v>Ferramenta Inválida</v>
      </c>
      <c r="C512" s="4" t="str">
        <f>RTD("rtdtrading.rtdserver",, "BOOK0", "OVD", 508)</f>
        <v>Ferramenta Inválida</v>
      </c>
      <c r="D512" s="4" t="str">
        <f>RTD("rtdtrading.rtdserver",, "BOOK0", "VOV", 508)</f>
        <v>Ferramenta Inválida</v>
      </c>
      <c r="F512" s="3"/>
      <c r="G512" s="5"/>
      <c r="H512" s="6"/>
      <c r="I512" s="4"/>
      <c r="K512" s="5"/>
      <c r="L512" s="6"/>
      <c r="N512" s="3"/>
      <c r="O512" s="3"/>
      <c r="P512" s="4"/>
      <c r="Q512" s="4"/>
      <c r="S512" s="3"/>
      <c r="T512" s="3"/>
      <c r="U512" s="4"/>
      <c r="V512" s="4"/>
    </row>
    <row r="513" spans="1:22" x14ac:dyDescent="0.25">
      <c r="A513" s="3" t="str">
        <f>RTD("rtdtrading.rtdserver",, "BOOK0", "VOC", 509)</f>
        <v>Ferramenta Inválida</v>
      </c>
      <c r="B513" s="3" t="str">
        <f>RTD("rtdtrading.rtdserver",, "BOOK0", "OCP", 509)</f>
        <v>Ferramenta Inválida</v>
      </c>
      <c r="C513" s="4" t="str">
        <f>RTD("rtdtrading.rtdserver",, "BOOK0", "OVD", 509)</f>
        <v>Ferramenta Inválida</v>
      </c>
      <c r="D513" s="4" t="str">
        <f>RTD("rtdtrading.rtdserver",, "BOOK0", "VOV", 509)</f>
        <v>Ferramenta Inválida</v>
      </c>
      <c r="F513" s="3"/>
      <c r="G513" s="5"/>
      <c r="H513" s="6"/>
      <c r="I513" s="4"/>
      <c r="K513" s="5"/>
      <c r="L513" s="6"/>
      <c r="N513" s="3"/>
      <c r="O513" s="3"/>
      <c r="P513" s="4"/>
      <c r="Q513" s="4"/>
      <c r="S513" s="3"/>
      <c r="T513" s="3"/>
      <c r="U513" s="4"/>
      <c r="V513" s="4"/>
    </row>
    <row r="514" spans="1:22" x14ac:dyDescent="0.25">
      <c r="A514" s="3" t="str">
        <f>RTD("rtdtrading.rtdserver",, "BOOK0", "VOC", 510)</f>
        <v>Ferramenta Inválida</v>
      </c>
      <c r="B514" s="3" t="str">
        <f>RTD("rtdtrading.rtdserver",, "BOOK0", "OCP", 510)</f>
        <v>Ferramenta Inválida</v>
      </c>
      <c r="C514" s="4" t="str">
        <f>RTD("rtdtrading.rtdserver",, "BOOK0", "OVD", 510)</f>
        <v>Ferramenta Inválida</v>
      </c>
      <c r="D514" s="4" t="str">
        <f>RTD("rtdtrading.rtdserver",, "BOOK0", "VOV", 510)</f>
        <v>Ferramenta Inválida</v>
      </c>
      <c r="F514" s="3"/>
      <c r="G514" s="5"/>
      <c r="H514" s="6"/>
      <c r="I514" s="4"/>
      <c r="K514" s="5"/>
      <c r="L514" s="6"/>
      <c r="N514" s="3"/>
      <c r="O514" s="3"/>
      <c r="P514" s="4"/>
      <c r="Q514" s="4"/>
      <c r="S514" s="3"/>
      <c r="T514" s="3"/>
      <c r="U514" s="4"/>
      <c r="V514" s="4"/>
    </row>
    <row r="515" spans="1:22" x14ac:dyDescent="0.25">
      <c r="A515" s="3" t="str">
        <f>RTD("rtdtrading.rtdserver",, "BOOK0", "VOC", 511)</f>
        <v>Ferramenta Inválida</v>
      </c>
      <c r="B515" s="3" t="str">
        <f>RTD("rtdtrading.rtdserver",, "BOOK0", "OCP", 511)</f>
        <v>Ferramenta Inválida</v>
      </c>
      <c r="C515" s="4" t="str">
        <f>RTD("rtdtrading.rtdserver",, "BOOK0", "OVD", 511)</f>
        <v>Ferramenta Inválida</v>
      </c>
      <c r="D515" s="4" t="str">
        <f>RTD("rtdtrading.rtdserver",, "BOOK0", "VOV", 511)</f>
        <v>Ferramenta Inválida</v>
      </c>
      <c r="F515" s="3"/>
      <c r="G515" s="5"/>
      <c r="H515" s="6"/>
      <c r="I515" s="4"/>
      <c r="K515" s="5"/>
      <c r="L515" s="6"/>
      <c r="N515" s="3"/>
      <c r="O515" s="3"/>
      <c r="P515" s="4"/>
      <c r="Q515" s="4"/>
      <c r="S515" s="3"/>
      <c r="T515" s="3"/>
      <c r="U515" s="4"/>
      <c r="V515" s="4"/>
    </row>
    <row r="516" spans="1:22" x14ac:dyDescent="0.25">
      <c r="A516" s="3" t="str">
        <f>RTD("rtdtrading.rtdserver",, "BOOK0", "VOC", 512)</f>
        <v>Ferramenta Inválida</v>
      </c>
      <c r="B516" s="3" t="str">
        <f>RTD("rtdtrading.rtdserver",, "BOOK0", "OCP", 512)</f>
        <v>Ferramenta Inválida</v>
      </c>
      <c r="C516" s="4" t="str">
        <f>RTD("rtdtrading.rtdserver",, "BOOK0", "OVD", 512)</f>
        <v>Ferramenta Inválida</v>
      </c>
      <c r="D516" s="4" t="str">
        <f>RTD("rtdtrading.rtdserver",, "BOOK0", "VOV", 512)</f>
        <v>Ferramenta Inválida</v>
      </c>
      <c r="F516" s="3"/>
      <c r="G516" s="5"/>
      <c r="H516" s="6"/>
      <c r="I516" s="4"/>
      <c r="K516" s="5"/>
      <c r="L516" s="6"/>
      <c r="N516" s="3"/>
      <c r="O516" s="3"/>
      <c r="P516" s="4"/>
      <c r="Q516" s="4"/>
      <c r="S516" s="3"/>
      <c r="T516" s="3"/>
      <c r="U516" s="4"/>
      <c r="V516" s="4"/>
    </row>
    <row r="517" spans="1:22" x14ac:dyDescent="0.25">
      <c r="A517" s="3" t="str">
        <f>RTD("rtdtrading.rtdserver",, "BOOK0", "VOC", 513)</f>
        <v>Ferramenta Inválida</v>
      </c>
      <c r="B517" s="3" t="str">
        <f>RTD("rtdtrading.rtdserver",, "BOOK0", "OCP", 513)</f>
        <v>Ferramenta Inválida</v>
      </c>
      <c r="C517" s="4" t="str">
        <f>RTD("rtdtrading.rtdserver",, "BOOK0", "OVD", 513)</f>
        <v>Ferramenta Inválida</v>
      </c>
      <c r="D517" s="4" t="str">
        <f>RTD("rtdtrading.rtdserver",, "BOOK0", "VOV", 513)</f>
        <v>Ferramenta Inválida</v>
      </c>
      <c r="F517" s="3"/>
      <c r="G517" s="5"/>
      <c r="H517" s="6"/>
      <c r="I517" s="4"/>
      <c r="K517" s="5"/>
      <c r="L517" s="6"/>
      <c r="N517" s="3"/>
      <c r="O517" s="3"/>
      <c r="P517" s="4"/>
      <c r="Q517" s="4"/>
      <c r="S517" s="3"/>
      <c r="T517" s="3"/>
      <c r="U517" s="4"/>
      <c r="V517" s="4"/>
    </row>
    <row r="518" spans="1:22" x14ac:dyDescent="0.25">
      <c r="A518" s="3" t="str">
        <f>RTD("rtdtrading.rtdserver",, "BOOK0", "VOC", 514)</f>
        <v>Ferramenta Inválida</v>
      </c>
      <c r="B518" s="3" t="str">
        <f>RTD("rtdtrading.rtdserver",, "BOOK0", "OCP", 514)</f>
        <v>Ferramenta Inválida</v>
      </c>
      <c r="C518" s="4" t="str">
        <f>RTD("rtdtrading.rtdserver",, "BOOK0", "OVD", 514)</f>
        <v>Ferramenta Inválida</v>
      </c>
      <c r="D518" s="4" t="str">
        <f>RTD("rtdtrading.rtdserver",, "BOOK0", "VOV", 514)</f>
        <v>Ferramenta Inválida</v>
      </c>
      <c r="F518" s="3"/>
      <c r="G518" s="5"/>
      <c r="H518" s="6"/>
      <c r="I518" s="4"/>
      <c r="K518" s="5"/>
      <c r="L518" s="6"/>
      <c r="N518" s="3"/>
      <c r="O518" s="3"/>
      <c r="P518" s="4"/>
      <c r="Q518" s="4"/>
      <c r="S518" s="3"/>
      <c r="T518" s="3"/>
      <c r="U518" s="4"/>
      <c r="V518" s="4"/>
    </row>
    <row r="519" spans="1:22" x14ac:dyDescent="0.25">
      <c r="A519" s="3" t="str">
        <f>RTD("rtdtrading.rtdserver",, "BOOK0", "VOC", 515)</f>
        <v>Ferramenta Inválida</v>
      </c>
      <c r="B519" s="3" t="str">
        <f>RTD("rtdtrading.rtdserver",, "BOOK0", "OCP", 515)</f>
        <v>Ferramenta Inválida</v>
      </c>
      <c r="C519" s="4" t="str">
        <f>RTD("rtdtrading.rtdserver",, "BOOK0", "OVD", 515)</f>
        <v>Ferramenta Inválida</v>
      </c>
      <c r="D519" s="4" t="str">
        <f>RTD("rtdtrading.rtdserver",, "BOOK0", "VOV", 515)</f>
        <v>Ferramenta Inválida</v>
      </c>
      <c r="F519" s="3"/>
      <c r="G519" s="5"/>
      <c r="H519" s="6"/>
      <c r="I519" s="4"/>
      <c r="K519" s="5"/>
      <c r="L519" s="6"/>
      <c r="N519" s="3"/>
      <c r="O519" s="3"/>
      <c r="P519" s="4"/>
      <c r="Q519" s="4"/>
      <c r="S519" s="3"/>
      <c r="T519" s="3"/>
      <c r="U519" s="4"/>
      <c r="V519" s="4"/>
    </row>
    <row r="520" spans="1:22" x14ac:dyDescent="0.25">
      <c r="A520" s="3" t="str">
        <f>RTD("rtdtrading.rtdserver",, "BOOK0", "VOC", 516)</f>
        <v>Ferramenta Inválida</v>
      </c>
      <c r="B520" s="3" t="str">
        <f>RTD("rtdtrading.rtdserver",, "BOOK0", "OCP", 516)</f>
        <v>Ferramenta Inválida</v>
      </c>
      <c r="C520" s="4" t="str">
        <f>RTD("rtdtrading.rtdserver",, "BOOK0", "OVD", 516)</f>
        <v>Ferramenta Inválida</v>
      </c>
      <c r="D520" s="4" t="str">
        <f>RTD("rtdtrading.rtdserver",, "BOOK0", "VOV", 516)</f>
        <v>Ferramenta Inválida</v>
      </c>
      <c r="F520" s="3"/>
      <c r="G520" s="5"/>
      <c r="H520" s="6"/>
      <c r="I520" s="4"/>
      <c r="K520" s="5"/>
      <c r="L520" s="6"/>
      <c r="N520" s="3"/>
      <c r="O520" s="3"/>
      <c r="P520" s="4"/>
      <c r="Q520" s="4"/>
      <c r="S520" s="3"/>
      <c r="T520" s="3"/>
      <c r="U520" s="4"/>
      <c r="V520" s="4"/>
    </row>
    <row r="521" spans="1:22" x14ac:dyDescent="0.25">
      <c r="A521" s="3" t="str">
        <f>RTD("rtdtrading.rtdserver",, "BOOK0", "VOC", 517)</f>
        <v>Ferramenta Inválida</v>
      </c>
      <c r="B521" s="3" t="str">
        <f>RTD("rtdtrading.rtdserver",, "BOOK0", "OCP", 517)</f>
        <v>Ferramenta Inválida</v>
      </c>
      <c r="C521" s="4" t="str">
        <f>RTD("rtdtrading.rtdserver",, "BOOK0", "OVD", 517)</f>
        <v>Ferramenta Inválida</v>
      </c>
      <c r="D521" s="4" t="str">
        <f>RTD("rtdtrading.rtdserver",, "BOOK0", "VOV", 517)</f>
        <v>Ferramenta Inválida</v>
      </c>
      <c r="F521" s="3"/>
      <c r="G521" s="5"/>
      <c r="H521" s="6"/>
      <c r="I521" s="4"/>
      <c r="K521" s="5"/>
      <c r="L521" s="6"/>
      <c r="N521" s="3"/>
      <c r="O521" s="3"/>
      <c r="P521" s="4"/>
      <c r="Q521" s="4"/>
      <c r="S521" s="3"/>
      <c r="T521" s="3"/>
      <c r="U521" s="4"/>
      <c r="V521" s="4"/>
    </row>
    <row r="522" spans="1:22" x14ac:dyDescent="0.25">
      <c r="A522" s="3" t="str">
        <f>RTD("rtdtrading.rtdserver",, "BOOK0", "VOC", 518)</f>
        <v>Ferramenta Inválida</v>
      </c>
      <c r="B522" s="3" t="str">
        <f>RTD("rtdtrading.rtdserver",, "BOOK0", "OCP", 518)</f>
        <v>Ferramenta Inválida</v>
      </c>
      <c r="C522" s="4" t="str">
        <f>RTD("rtdtrading.rtdserver",, "BOOK0", "OVD", 518)</f>
        <v>Ferramenta Inválida</v>
      </c>
      <c r="D522" s="4" t="str">
        <f>RTD("rtdtrading.rtdserver",, "BOOK0", "VOV", 518)</f>
        <v>Ferramenta Inválida</v>
      </c>
      <c r="F522" s="3"/>
      <c r="G522" s="5"/>
      <c r="H522" s="6"/>
      <c r="I522" s="4"/>
      <c r="K522" s="5"/>
      <c r="L522" s="6"/>
      <c r="N522" s="3"/>
      <c r="O522" s="3"/>
      <c r="P522" s="4"/>
      <c r="Q522" s="4"/>
      <c r="S522" s="3"/>
      <c r="T522" s="3"/>
      <c r="U522" s="4"/>
      <c r="V522" s="4"/>
    </row>
    <row r="523" spans="1:22" x14ac:dyDescent="0.25">
      <c r="A523" s="3" t="str">
        <f>RTD("rtdtrading.rtdserver",, "BOOK0", "VOC", 519)</f>
        <v>Ferramenta Inválida</v>
      </c>
      <c r="B523" s="3" t="str">
        <f>RTD("rtdtrading.rtdserver",, "BOOK0", "OCP", 519)</f>
        <v>Ferramenta Inválida</v>
      </c>
      <c r="C523" s="4" t="str">
        <f>RTD("rtdtrading.rtdserver",, "BOOK0", "OVD", 519)</f>
        <v>Ferramenta Inválida</v>
      </c>
      <c r="D523" s="4" t="str">
        <f>RTD("rtdtrading.rtdserver",, "BOOK0", "VOV", 519)</f>
        <v>Ferramenta Inválida</v>
      </c>
      <c r="F523" s="3"/>
      <c r="G523" s="5"/>
      <c r="H523" s="6"/>
      <c r="I523" s="4"/>
      <c r="K523" s="5"/>
      <c r="L523" s="6"/>
      <c r="N523" s="3"/>
      <c r="O523" s="3"/>
      <c r="P523" s="4"/>
      <c r="Q523" s="4"/>
      <c r="S523" s="3"/>
      <c r="T523" s="3"/>
      <c r="U523" s="4"/>
      <c r="V523" s="4"/>
    </row>
    <row r="524" spans="1:22" x14ac:dyDescent="0.25">
      <c r="A524" s="3" t="str">
        <f>RTD("rtdtrading.rtdserver",, "BOOK0", "VOC", 520)</f>
        <v>Ferramenta Inválida</v>
      </c>
      <c r="B524" s="3" t="str">
        <f>RTD("rtdtrading.rtdserver",, "BOOK0", "OCP", 520)</f>
        <v>Ferramenta Inválida</v>
      </c>
      <c r="C524" s="4" t="str">
        <f>RTD("rtdtrading.rtdserver",, "BOOK0", "OVD", 520)</f>
        <v>Ferramenta Inválida</v>
      </c>
      <c r="D524" s="4" t="str">
        <f>RTD("rtdtrading.rtdserver",, "BOOK0", "VOV", 520)</f>
        <v>Ferramenta Inválida</v>
      </c>
      <c r="F524" s="3"/>
      <c r="G524" s="5"/>
      <c r="H524" s="6"/>
      <c r="I524" s="4"/>
      <c r="K524" s="5"/>
      <c r="L524" s="6"/>
      <c r="N524" s="3"/>
      <c r="O524" s="3"/>
      <c r="P524" s="4"/>
      <c r="Q524" s="4"/>
      <c r="S524" s="3"/>
      <c r="T524" s="3"/>
      <c r="U524" s="4"/>
      <c r="V524" s="4"/>
    </row>
    <row r="525" spans="1:22" x14ac:dyDescent="0.25">
      <c r="A525" s="3" t="str">
        <f>RTD("rtdtrading.rtdserver",, "BOOK0", "VOC", 521)</f>
        <v>Ferramenta Inválida</v>
      </c>
      <c r="B525" s="3" t="str">
        <f>RTD("rtdtrading.rtdserver",, "BOOK0", "OCP", 521)</f>
        <v>Ferramenta Inválida</v>
      </c>
      <c r="C525" s="4" t="str">
        <f>RTD("rtdtrading.rtdserver",, "BOOK0", "OVD", 521)</f>
        <v>Ferramenta Inválida</v>
      </c>
      <c r="D525" s="4" t="str">
        <f>RTD("rtdtrading.rtdserver",, "BOOK0", "VOV", 521)</f>
        <v>Ferramenta Inválida</v>
      </c>
      <c r="F525" s="3"/>
      <c r="G525" s="5"/>
      <c r="H525" s="6"/>
      <c r="I525" s="4"/>
      <c r="K525" s="5"/>
      <c r="L525" s="6"/>
      <c r="N525" s="3"/>
      <c r="O525" s="3"/>
      <c r="P525" s="4"/>
      <c r="Q525" s="4"/>
      <c r="S525" s="3"/>
      <c r="T525" s="3"/>
      <c r="U525" s="4"/>
      <c r="V525" s="4"/>
    </row>
    <row r="526" spans="1:22" x14ac:dyDescent="0.25">
      <c r="A526" s="3" t="str">
        <f>RTD("rtdtrading.rtdserver",, "BOOK0", "VOC", 522)</f>
        <v>Ferramenta Inválida</v>
      </c>
      <c r="B526" s="3" t="str">
        <f>RTD("rtdtrading.rtdserver",, "BOOK0", "OCP", 522)</f>
        <v>Ferramenta Inválida</v>
      </c>
      <c r="C526" s="4" t="str">
        <f>RTD("rtdtrading.rtdserver",, "BOOK0", "OVD", 522)</f>
        <v>Ferramenta Inválida</v>
      </c>
      <c r="D526" s="4" t="str">
        <f>RTD("rtdtrading.rtdserver",, "BOOK0", "VOV", 522)</f>
        <v>Ferramenta Inválida</v>
      </c>
      <c r="F526" s="3"/>
      <c r="G526" s="5"/>
      <c r="H526" s="6"/>
      <c r="I526" s="4"/>
      <c r="K526" s="5"/>
      <c r="L526" s="6"/>
      <c r="N526" s="3"/>
      <c r="O526" s="3"/>
      <c r="P526" s="4"/>
      <c r="Q526" s="4"/>
      <c r="S526" s="3"/>
      <c r="T526" s="3"/>
      <c r="U526" s="4"/>
      <c r="V526" s="4"/>
    </row>
    <row r="527" spans="1:22" x14ac:dyDescent="0.25">
      <c r="A527" s="3" t="str">
        <f>RTD("rtdtrading.rtdserver",, "BOOK0", "VOC", 523)</f>
        <v>Ferramenta Inválida</v>
      </c>
      <c r="B527" s="3" t="str">
        <f>RTD("rtdtrading.rtdserver",, "BOOK0", "OCP", 523)</f>
        <v>Ferramenta Inválida</v>
      </c>
      <c r="C527" s="4" t="str">
        <f>RTD("rtdtrading.rtdserver",, "BOOK0", "OVD", 523)</f>
        <v>Ferramenta Inválida</v>
      </c>
      <c r="D527" s="4" t="str">
        <f>RTD("rtdtrading.rtdserver",, "BOOK0", "VOV", 523)</f>
        <v>Ferramenta Inválida</v>
      </c>
      <c r="F527" s="3"/>
      <c r="G527" s="5"/>
      <c r="H527" s="6"/>
      <c r="I527" s="4"/>
      <c r="K527" s="5"/>
      <c r="L527" s="6"/>
      <c r="N527" s="3"/>
      <c r="O527" s="3"/>
      <c r="P527" s="4"/>
      <c r="Q527" s="4"/>
      <c r="S527" s="3"/>
      <c r="T527" s="3"/>
      <c r="U527" s="4"/>
      <c r="V527" s="4"/>
    </row>
    <row r="528" spans="1:22" x14ac:dyDescent="0.25">
      <c r="A528" s="3" t="str">
        <f>RTD("rtdtrading.rtdserver",, "BOOK0", "VOC", 524)</f>
        <v>Ferramenta Inválida</v>
      </c>
      <c r="B528" s="3" t="str">
        <f>RTD("rtdtrading.rtdserver",, "BOOK0", "OCP", 524)</f>
        <v>Ferramenta Inválida</v>
      </c>
      <c r="C528" s="4" t="str">
        <f>RTD("rtdtrading.rtdserver",, "BOOK0", "OVD", 524)</f>
        <v>Ferramenta Inválida</v>
      </c>
      <c r="D528" s="4" t="str">
        <f>RTD("rtdtrading.rtdserver",, "BOOK0", "VOV", 524)</f>
        <v>Ferramenta Inválida</v>
      </c>
      <c r="F528" s="3"/>
      <c r="G528" s="5"/>
      <c r="H528" s="6"/>
      <c r="I528" s="4"/>
      <c r="K528" s="5"/>
      <c r="L528" s="6"/>
      <c r="N528" s="3"/>
      <c r="O528" s="3"/>
      <c r="P528" s="4"/>
      <c r="Q528" s="4"/>
      <c r="S528" s="3"/>
      <c r="T528" s="3"/>
      <c r="U528" s="4"/>
      <c r="V528" s="4"/>
    </row>
    <row r="529" spans="1:22" x14ac:dyDescent="0.25">
      <c r="A529" s="3" t="str">
        <f>RTD("rtdtrading.rtdserver",, "BOOK0", "VOC", 525)</f>
        <v>Ferramenta Inválida</v>
      </c>
      <c r="B529" s="3" t="str">
        <f>RTD("rtdtrading.rtdserver",, "BOOK0", "OCP", 525)</f>
        <v>Ferramenta Inválida</v>
      </c>
      <c r="C529" s="4" t="str">
        <f>RTD("rtdtrading.rtdserver",, "BOOK0", "OVD", 525)</f>
        <v>Ferramenta Inválida</v>
      </c>
      <c r="D529" s="4" t="str">
        <f>RTD("rtdtrading.rtdserver",, "BOOK0", "VOV", 525)</f>
        <v>Ferramenta Inválida</v>
      </c>
      <c r="F529" s="3"/>
      <c r="G529" s="5"/>
      <c r="H529" s="6"/>
      <c r="I529" s="4"/>
      <c r="K529" s="5"/>
      <c r="L529" s="6"/>
      <c r="N529" s="3"/>
      <c r="O529" s="3"/>
      <c r="P529" s="4"/>
      <c r="Q529" s="4"/>
      <c r="S529" s="3"/>
      <c r="T529" s="3"/>
      <c r="U529" s="4"/>
      <c r="V529" s="4"/>
    </row>
    <row r="530" spans="1:22" x14ac:dyDescent="0.25">
      <c r="A530" s="3" t="str">
        <f>RTD("rtdtrading.rtdserver",, "BOOK0", "VOC", 526)</f>
        <v>Ferramenta Inválida</v>
      </c>
      <c r="B530" s="3" t="str">
        <f>RTD("rtdtrading.rtdserver",, "BOOK0", "OCP", 526)</f>
        <v>Ferramenta Inválida</v>
      </c>
      <c r="C530" s="4" t="str">
        <f>RTD("rtdtrading.rtdserver",, "BOOK0", "OVD", 526)</f>
        <v>Ferramenta Inválida</v>
      </c>
      <c r="D530" s="4" t="str">
        <f>RTD("rtdtrading.rtdserver",, "BOOK0", "VOV", 526)</f>
        <v>Ferramenta Inválida</v>
      </c>
      <c r="F530" s="3"/>
      <c r="G530" s="5"/>
      <c r="H530" s="6"/>
      <c r="I530" s="4"/>
      <c r="K530" s="5"/>
      <c r="L530" s="6"/>
      <c r="N530" s="3"/>
      <c r="O530" s="3"/>
      <c r="P530" s="4"/>
      <c r="Q530" s="4"/>
      <c r="S530" s="3"/>
      <c r="T530" s="3"/>
      <c r="U530" s="4"/>
      <c r="V530" s="4"/>
    </row>
    <row r="531" spans="1:22" x14ac:dyDescent="0.25">
      <c r="A531" s="3" t="str">
        <f>RTD("rtdtrading.rtdserver",, "BOOK0", "VOC", 527)</f>
        <v>Ferramenta Inválida</v>
      </c>
      <c r="B531" s="3" t="str">
        <f>RTD("rtdtrading.rtdserver",, "BOOK0", "OCP", 527)</f>
        <v>Ferramenta Inválida</v>
      </c>
      <c r="C531" s="4" t="str">
        <f>RTD("rtdtrading.rtdserver",, "BOOK0", "OVD", 527)</f>
        <v>Ferramenta Inválida</v>
      </c>
      <c r="D531" s="4" t="str">
        <f>RTD("rtdtrading.rtdserver",, "BOOK0", "VOV", 527)</f>
        <v>Ferramenta Inválida</v>
      </c>
      <c r="F531" s="3"/>
      <c r="G531" s="5"/>
      <c r="H531" s="6"/>
      <c r="I531" s="4"/>
      <c r="K531" s="5"/>
      <c r="L531" s="6"/>
      <c r="N531" s="3"/>
      <c r="O531" s="3"/>
      <c r="P531" s="4"/>
      <c r="Q531" s="4"/>
      <c r="S531" s="3"/>
      <c r="T531" s="3"/>
      <c r="U531" s="4"/>
      <c r="V531" s="4"/>
    </row>
    <row r="532" spans="1:22" x14ac:dyDescent="0.25">
      <c r="A532" s="3" t="str">
        <f>RTD("rtdtrading.rtdserver",, "BOOK0", "VOC", 528)</f>
        <v>Ferramenta Inválida</v>
      </c>
      <c r="B532" s="3" t="str">
        <f>RTD("rtdtrading.rtdserver",, "BOOK0", "OCP", 528)</f>
        <v>Ferramenta Inválida</v>
      </c>
      <c r="C532" s="4" t="str">
        <f>RTD("rtdtrading.rtdserver",, "BOOK0", "OVD", 528)</f>
        <v>Ferramenta Inválida</v>
      </c>
      <c r="D532" s="4" t="str">
        <f>RTD("rtdtrading.rtdserver",, "BOOK0", "VOV", 528)</f>
        <v>Ferramenta Inválida</v>
      </c>
      <c r="F532" s="3"/>
      <c r="G532" s="5"/>
      <c r="H532" s="6"/>
      <c r="I532" s="4"/>
      <c r="K532" s="5"/>
      <c r="L532" s="6"/>
      <c r="N532" s="3"/>
      <c r="O532" s="3"/>
      <c r="P532" s="4"/>
      <c r="Q532" s="4"/>
      <c r="S532" s="3"/>
      <c r="T532" s="3"/>
      <c r="U532" s="4"/>
      <c r="V532" s="4"/>
    </row>
    <row r="533" spans="1:22" x14ac:dyDescent="0.25">
      <c r="A533" s="3" t="str">
        <f>RTD("rtdtrading.rtdserver",, "BOOK0", "VOC", 529)</f>
        <v>Ferramenta Inválida</v>
      </c>
      <c r="B533" s="3" t="str">
        <f>RTD("rtdtrading.rtdserver",, "BOOK0", "OCP", 529)</f>
        <v>Ferramenta Inválida</v>
      </c>
      <c r="C533" s="4" t="str">
        <f>RTD("rtdtrading.rtdserver",, "BOOK0", "OVD", 529)</f>
        <v>Ferramenta Inválida</v>
      </c>
      <c r="D533" s="4" t="str">
        <f>RTD("rtdtrading.rtdserver",, "BOOK0", "VOV", 529)</f>
        <v>Ferramenta Inválida</v>
      </c>
      <c r="F533" s="3"/>
      <c r="G533" s="5"/>
      <c r="H533" s="6"/>
      <c r="I533" s="4"/>
      <c r="K533" s="5"/>
      <c r="L533" s="6"/>
      <c r="N533" s="3"/>
      <c r="O533" s="3"/>
      <c r="P533" s="4"/>
      <c r="Q533" s="4"/>
      <c r="S533" s="3"/>
      <c r="T533" s="3"/>
      <c r="U533" s="4"/>
      <c r="V533" s="4"/>
    </row>
    <row r="534" spans="1:22" x14ac:dyDescent="0.25">
      <c r="A534" s="3" t="str">
        <f>RTD("rtdtrading.rtdserver",, "BOOK0", "VOC", 530)</f>
        <v>Ferramenta Inválida</v>
      </c>
      <c r="B534" s="3" t="str">
        <f>RTD("rtdtrading.rtdserver",, "BOOK0", "OCP", 530)</f>
        <v>Ferramenta Inválida</v>
      </c>
      <c r="C534" s="4" t="str">
        <f>RTD("rtdtrading.rtdserver",, "BOOK0", "OVD", 530)</f>
        <v>Ferramenta Inválida</v>
      </c>
      <c r="D534" s="4" t="str">
        <f>RTD("rtdtrading.rtdserver",, "BOOK0", "VOV", 530)</f>
        <v>Ferramenta Inválida</v>
      </c>
      <c r="F534" s="3"/>
      <c r="G534" s="5"/>
      <c r="H534" s="6"/>
      <c r="I534" s="4"/>
      <c r="K534" s="5"/>
      <c r="L534" s="6"/>
      <c r="N534" s="3"/>
      <c r="O534" s="3"/>
      <c r="P534" s="4"/>
      <c r="Q534" s="4"/>
      <c r="S534" s="3"/>
      <c r="T534" s="3"/>
      <c r="U534" s="4"/>
      <c r="V534" s="4"/>
    </row>
    <row r="535" spans="1:22" x14ac:dyDescent="0.25">
      <c r="A535" s="3" t="str">
        <f>RTD("rtdtrading.rtdserver",, "BOOK0", "VOC", 531)</f>
        <v>Ferramenta Inválida</v>
      </c>
      <c r="B535" s="3" t="str">
        <f>RTD("rtdtrading.rtdserver",, "BOOK0", "OCP", 531)</f>
        <v>Ferramenta Inválida</v>
      </c>
      <c r="C535" s="4" t="str">
        <f>RTD("rtdtrading.rtdserver",, "BOOK0", "OVD", 531)</f>
        <v>Ferramenta Inválida</v>
      </c>
      <c r="D535" s="4" t="str">
        <f>RTD("rtdtrading.rtdserver",, "BOOK0", "VOV", 531)</f>
        <v>Ferramenta Inválida</v>
      </c>
      <c r="F535" s="3"/>
      <c r="G535" s="5"/>
      <c r="H535" s="6"/>
      <c r="I535" s="4"/>
      <c r="K535" s="5"/>
      <c r="L535" s="6"/>
      <c r="N535" s="3"/>
      <c r="O535" s="3"/>
      <c r="P535" s="4"/>
      <c r="Q535" s="4"/>
      <c r="S535" s="3"/>
      <c r="T535" s="3"/>
      <c r="U535" s="4"/>
      <c r="V535" s="4"/>
    </row>
    <row r="536" spans="1:22" x14ac:dyDescent="0.25">
      <c r="A536" s="3" t="str">
        <f>RTD("rtdtrading.rtdserver",, "BOOK0", "VOC", 532)</f>
        <v>Ferramenta Inválida</v>
      </c>
      <c r="B536" s="3" t="str">
        <f>RTD("rtdtrading.rtdserver",, "BOOK0", "OCP", 532)</f>
        <v>Ferramenta Inválida</v>
      </c>
      <c r="C536" s="4" t="str">
        <f>RTD("rtdtrading.rtdserver",, "BOOK0", "OVD", 532)</f>
        <v>Ferramenta Inválida</v>
      </c>
      <c r="D536" s="4" t="str">
        <f>RTD("rtdtrading.rtdserver",, "BOOK0", "VOV", 532)</f>
        <v>Ferramenta Inválida</v>
      </c>
      <c r="F536" s="3"/>
      <c r="G536" s="5"/>
      <c r="H536" s="6"/>
      <c r="I536" s="4"/>
      <c r="K536" s="5"/>
      <c r="L536" s="6"/>
      <c r="N536" s="3"/>
      <c r="O536" s="3"/>
      <c r="P536" s="4"/>
      <c r="Q536" s="4"/>
      <c r="S536" s="3"/>
      <c r="T536" s="3"/>
      <c r="U536" s="4"/>
      <c r="V536" s="4"/>
    </row>
    <row r="537" spans="1:22" x14ac:dyDescent="0.25">
      <c r="A537" s="3" t="str">
        <f>RTD("rtdtrading.rtdserver",, "BOOK0", "VOC", 533)</f>
        <v>Ferramenta Inválida</v>
      </c>
      <c r="B537" s="3" t="str">
        <f>RTD("rtdtrading.rtdserver",, "BOOK0", "OCP", 533)</f>
        <v>Ferramenta Inválida</v>
      </c>
      <c r="C537" s="4" t="str">
        <f>RTD("rtdtrading.rtdserver",, "BOOK0", "OVD", 533)</f>
        <v>Ferramenta Inválida</v>
      </c>
      <c r="D537" s="4" t="str">
        <f>RTD("rtdtrading.rtdserver",, "BOOK0", "VOV", 533)</f>
        <v>Ferramenta Inválida</v>
      </c>
      <c r="F537" s="3"/>
      <c r="G537" s="5"/>
      <c r="H537" s="6"/>
      <c r="I537" s="4"/>
      <c r="K537" s="5"/>
      <c r="L537" s="6"/>
      <c r="N537" s="3"/>
      <c r="O537" s="3"/>
      <c r="P537" s="4"/>
      <c r="Q537" s="4"/>
      <c r="S537" s="3"/>
      <c r="T537" s="3"/>
      <c r="U537" s="4"/>
      <c r="V537" s="4"/>
    </row>
    <row r="538" spans="1:22" x14ac:dyDescent="0.25">
      <c r="A538" s="3" t="str">
        <f>RTD("rtdtrading.rtdserver",, "BOOK0", "VOC", 534)</f>
        <v>Ferramenta Inválida</v>
      </c>
      <c r="B538" s="3" t="str">
        <f>RTD("rtdtrading.rtdserver",, "BOOK0", "OCP", 534)</f>
        <v>Ferramenta Inválida</v>
      </c>
      <c r="C538" s="4" t="str">
        <f>RTD("rtdtrading.rtdserver",, "BOOK0", "OVD", 534)</f>
        <v>Ferramenta Inválida</v>
      </c>
      <c r="D538" s="4" t="str">
        <f>RTD("rtdtrading.rtdserver",, "BOOK0", "VOV", 534)</f>
        <v>Ferramenta Inválida</v>
      </c>
      <c r="F538" s="3"/>
      <c r="G538" s="5"/>
      <c r="H538" s="6"/>
      <c r="I538" s="4"/>
      <c r="K538" s="5"/>
      <c r="L538" s="6"/>
      <c r="N538" s="3"/>
      <c r="O538" s="3"/>
      <c r="P538" s="4"/>
      <c r="Q538" s="4"/>
      <c r="S538" s="3"/>
      <c r="T538" s="3"/>
      <c r="U538" s="4"/>
      <c r="V538" s="4"/>
    </row>
    <row r="539" spans="1:22" x14ac:dyDescent="0.25">
      <c r="A539" s="3" t="str">
        <f>RTD("rtdtrading.rtdserver",, "BOOK0", "VOC", 535)</f>
        <v>Ferramenta Inválida</v>
      </c>
      <c r="B539" s="3" t="str">
        <f>RTD("rtdtrading.rtdserver",, "BOOK0", "OCP", 535)</f>
        <v>Ferramenta Inválida</v>
      </c>
      <c r="C539" s="4" t="str">
        <f>RTD("rtdtrading.rtdserver",, "BOOK0", "OVD", 535)</f>
        <v>Ferramenta Inválida</v>
      </c>
      <c r="D539" s="4" t="str">
        <f>RTD("rtdtrading.rtdserver",, "BOOK0", "VOV", 535)</f>
        <v>Ferramenta Inválida</v>
      </c>
      <c r="F539" s="3"/>
      <c r="G539" s="5"/>
      <c r="H539" s="6"/>
      <c r="I539" s="4"/>
      <c r="K539" s="5"/>
      <c r="L539" s="6"/>
      <c r="N539" s="3"/>
      <c r="O539" s="3"/>
      <c r="P539" s="4"/>
      <c r="Q539" s="4"/>
      <c r="S539" s="3"/>
      <c r="T539" s="3"/>
      <c r="U539" s="4"/>
      <c r="V539" s="4"/>
    </row>
    <row r="540" spans="1:22" x14ac:dyDescent="0.25">
      <c r="A540" s="3" t="str">
        <f>RTD("rtdtrading.rtdserver",, "BOOK0", "VOC", 536)</f>
        <v>Ferramenta Inválida</v>
      </c>
      <c r="B540" s="3" t="str">
        <f>RTD("rtdtrading.rtdserver",, "BOOK0", "OCP", 536)</f>
        <v>Ferramenta Inválida</v>
      </c>
      <c r="C540" s="4" t="str">
        <f>RTD("rtdtrading.rtdserver",, "BOOK0", "OVD", 536)</f>
        <v>Ferramenta Inválida</v>
      </c>
      <c r="D540" s="4" t="str">
        <f>RTD("rtdtrading.rtdserver",, "BOOK0", "VOV", 536)</f>
        <v>Ferramenta Inválida</v>
      </c>
      <c r="F540" s="3"/>
      <c r="G540" s="5"/>
      <c r="H540" s="6"/>
      <c r="I540" s="4"/>
      <c r="K540" s="5"/>
      <c r="L540" s="6"/>
      <c r="N540" s="3"/>
      <c r="O540" s="3"/>
      <c r="P540" s="4"/>
      <c r="Q540" s="4"/>
      <c r="S540" s="3"/>
      <c r="T540" s="3"/>
      <c r="U540" s="4"/>
      <c r="V540" s="4"/>
    </row>
    <row r="541" spans="1:22" x14ac:dyDescent="0.25">
      <c r="A541" s="3" t="str">
        <f>RTD("rtdtrading.rtdserver",, "BOOK0", "VOC", 537)</f>
        <v>Ferramenta Inválida</v>
      </c>
      <c r="B541" s="3" t="str">
        <f>RTD("rtdtrading.rtdserver",, "BOOK0", "OCP", 537)</f>
        <v>Ferramenta Inválida</v>
      </c>
      <c r="C541" s="4" t="str">
        <f>RTD("rtdtrading.rtdserver",, "BOOK0", "OVD", 537)</f>
        <v>Ferramenta Inválida</v>
      </c>
      <c r="D541" s="4" t="str">
        <f>RTD("rtdtrading.rtdserver",, "BOOK0", "VOV", 537)</f>
        <v>Ferramenta Inválida</v>
      </c>
      <c r="F541" s="3"/>
      <c r="G541" s="5"/>
      <c r="H541" s="6"/>
      <c r="I541" s="4"/>
      <c r="K541" s="5"/>
      <c r="L541" s="6"/>
      <c r="N541" s="3"/>
      <c r="O541" s="3"/>
      <c r="P541" s="4"/>
      <c r="Q541" s="4"/>
      <c r="S541" s="3"/>
      <c r="T541" s="3"/>
      <c r="U541" s="4"/>
      <c r="V541" s="4"/>
    </row>
    <row r="542" spans="1:22" x14ac:dyDescent="0.25">
      <c r="A542" s="3" t="str">
        <f>RTD("rtdtrading.rtdserver",, "BOOK0", "VOC", 538)</f>
        <v>Ferramenta Inválida</v>
      </c>
      <c r="B542" s="3" t="str">
        <f>RTD("rtdtrading.rtdserver",, "BOOK0", "OCP", 538)</f>
        <v>Ferramenta Inválida</v>
      </c>
      <c r="C542" s="4" t="str">
        <f>RTD("rtdtrading.rtdserver",, "BOOK0", "OVD", 538)</f>
        <v>Ferramenta Inválida</v>
      </c>
      <c r="D542" s="4" t="str">
        <f>RTD("rtdtrading.rtdserver",, "BOOK0", "VOV", 538)</f>
        <v>Ferramenta Inválida</v>
      </c>
      <c r="F542" s="3"/>
      <c r="G542" s="5"/>
      <c r="H542" s="6"/>
      <c r="I542" s="4"/>
      <c r="K542" s="5"/>
      <c r="L542" s="6"/>
      <c r="N542" s="3"/>
      <c r="O542" s="3"/>
      <c r="P542" s="4"/>
      <c r="Q542" s="4"/>
      <c r="S542" s="3"/>
      <c r="T542" s="3"/>
      <c r="U542" s="4"/>
      <c r="V542" s="4"/>
    </row>
    <row r="543" spans="1:22" x14ac:dyDescent="0.25">
      <c r="A543" s="3" t="str">
        <f>RTD("rtdtrading.rtdserver",, "BOOK0", "VOC", 539)</f>
        <v>Ferramenta Inválida</v>
      </c>
      <c r="B543" s="3" t="str">
        <f>RTD("rtdtrading.rtdserver",, "BOOK0", "OCP", 539)</f>
        <v>Ferramenta Inválida</v>
      </c>
      <c r="C543" s="4" t="str">
        <f>RTD("rtdtrading.rtdserver",, "BOOK0", "OVD", 539)</f>
        <v>Ferramenta Inválida</v>
      </c>
      <c r="D543" s="4" t="str">
        <f>RTD("rtdtrading.rtdserver",, "BOOK0", "VOV", 539)</f>
        <v>Ferramenta Inválida</v>
      </c>
      <c r="F543" s="3"/>
      <c r="G543" s="5"/>
      <c r="H543" s="6"/>
      <c r="I543" s="4"/>
      <c r="K543" s="5"/>
      <c r="L543" s="6"/>
      <c r="N543" s="3"/>
      <c r="O543" s="3"/>
      <c r="P543" s="4"/>
      <c r="Q543" s="4"/>
      <c r="S543" s="3"/>
      <c r="T543" s="3"/>
      <c r="U543" s="4"/>
      <c r="V543" s="4"/>
    </row>
    <row r="544" spans="1:22" x14ac:dyDescent="0.25">
      <c r="A544" s="3" t="str">
        <f>RTD("rtdtrading.rtdserver",, "BOOK0", "VOC", 540)</f>
        <v>Ferramenta Inválida</v>
      </c>
      <c r="B544" s="3" t="str">
        <f>RTD("rtdtrading.rtdserver",, "BOOK0", "OCP", 540)</f>
        <v>Ferramenta Inválida</v>
      </c>
      <c r="C544" s="4" t="str">
        <f>RTD("rtdtrading.rtdserver",, "BOOK0", "OVD", 540)</f>
        <v>Ferramenta Inválida</v>
      </c>
      <c r="D544" s="4" t="str">
        <f>RTD("rtdtrading.rtdserver",, "BOOK0", "VOV", 540)</f>
        <v>Ferramenta Inválida</v>
      </c>
      <c r="F544" s="3"/>
      <c r="G544" s="5"/>
      <c r="H544" s="6"/>
      <c r="I544" s="4"/>
      <c r="K544" s="5"/>
      <c r="L544" s="6"/>
      <c r="N544" s="3"/>
      <c r="O544" s="3"/>
      <c r="P544" s="4"/>
      <c r="Q544" s="4"/>
      <c r="S544" s="3"/>
      <c r="T544" s="3"/>
      <c r="U544" s="4"/>
      <c r="V544" s="4"/>
    </row>
    <row r="545" spans="1:22" x14ac:dyDescent="0.25">
      <c r="A545" s="3" t="str">
        <f>RTD("rtdtrading.rtdserver",, "BOOK0", "VOC", 541)</f>
        <v>Ferramenta Inválida</v>
      </c>
      <c r="B545" s="3" t="str">
        <f>RTD("rtdtrading.rtdserver",, "BOOK0", "OCP", 541)</f>
        <v>Ferramenta Inválida</v>
      </c>
      <c r="C545" s="4" t="str">
        <f>RTD("rtdtrading.rtdserver",, "BOOK0", "OVD", 541)</f>
        <v>Ferramenta Inválida</v>
      </c>
      <c r="D545" s="4" t="str">
        <f>RTD("rtdtrading.rtdserver",, "BOOK0", "VOV", 541)</f>
        <v>Ferramenta Inválida</v>
      </c>
      <c r="F545" s="3"/>
      <c r="G545" s="5"/>
      <c r="H545" s="6"/>
      <c r="I545" s="4"/>
      <c r="K545" s="5"/>
      <c r="L545" s="6"/>
      <c r="N545" s="3"/>
      <c r="O545" s="3"/>
      <c r="P545" s="4"/>
      <c r="Q545" s="4"/>
      <c r="S545" s="3"/>
      <c r="T545" s="3"/>
      <c r="U545" s="4"/>
      <c r="V545" s="4"/>
    </row>
    <row r="546" spans="1:22" x14ac:dyDescent="0.25">
      <c r="A546" s="3" t="str">
        <f>RTD("rtdtrading.rtdserver",, "BOOK0", "VOC", 542)</f>
        <v>Ferramenta Inválida</v>
      </c>
      <c r="B546" s="3" t="str">
        <f>RTD("rtdtrading.rtdserver",, "BOOK0", "OCP", 542)</f>
        <v>Ferramenta Inválida</v>
      </c>
      <c r="C546" s="4" t="str">
        <f>RTD("rtdtrading.rtdserver",, "BOOK0", "OVD", 542)</f>
        <v>Ferramenta Inválida</v>
      </c>
      <c r="D546" s="4" t="str">
        <f>RTD("rtdtrading.rtdserver",, "BOOK0", "VOV", 542)</f>
        <v>Ferramenta Inválida</v>
      </c>
      <c r="F546" s="3"/>
      <c r="G546" s="5"/>
      <c r="H546" s="6"/>
      <c r="I546" s="4"/>
      <c r="K546" s="5"/>
      <c r="L546" s="6"/>
      <c r="N546" s="3"/>
      <c r="O546" s="3"/>
      <c r="P546" s="4"/>
      <c r="Q546" s="4"/>
      <c r="S546" s="3"/>
      <c r="T546" s="3"/>
      <c r="U546" s="4"/>
      <c r="V546" s="4"/>
    </row>
    <row r="547" spans="1:22" x14ac:dyDescent="0.25">
      <c r="A547" s="3" t="str">
        <f>RTD("rtdtrading.rtdserver",, "BOOK0", "VOC", 543)</f>
        <v>Ferramenta Inválida</v>
      </c>
      <c r="B547" s="3" t="str">
        <f>RTD("rtdtrading.rtdserver",, "BOOK0", "OCP", 543)</f>
        <v>Ferramenta Inválida</v>
      </c>
      <c r="C547" s="4" t="str">
        <f>RTD("rtdtrading.rtdserver",, "BOOK0", "OVD", 543)</f>
        <v>Ferramenta Inválida</v>
      </c>
      <c r="D547" s="4" t="str">
        <f>RTD("rtdtrading.rtdserver",, "BOOK0", "VOV", 543)</f>
        <v>Ferramenta Inválida</v>
      </c>
      <c r="F547" s="3"/>
      <c r="G547" s="5"/>
      <c r="H547" s="6"/>
      <c r="I547" s="4"/>
      <c r="K547" s="5"/>
      <c r="L547" s="6"/>
      <c r="N547" s="3"/>
      <c r="O547" s="3"/>
      <c r="P547" s="4"/>
      <c r="Q547" s="4"/>
      <c r="S547" s="3"/>
      <c r="T547" s="3"/>
      <c r="U547" s="4"/>
      <c r="V547" s="4"/>
    </row>
    <row r="548" spans="1:22" x14ac:dyDescent="0.25">
      <c r="A548" s="3" t="str">
        <f>RTD("rtdtrading.rtdserver",, "BOOK0", "VOC", 544)</f>
        <v>Ferramenta Inválida</v>
      </c>
      <c r="B548" s="3" t="str">
        <f>RTD("rtdtrading.rtdserver",, "BOOK0", "OCP", 544)</f>
        <v>Ferramenta Inválida</v>
      </c>
      <c r="C548" s="4" t="str">
        <f>RTD("rtdtrading.rtdserver",, "BOOK0", "OVD", 544)</f>
        <v>Ferramenta Inválida</v>
      </c>
      <c r="D548" s="4" t="str">
        <f>RTD("rtdtrading.rtdserver",, "BOOK0", "VOV", 544)</f>
        <v>Ferramenta Inválida</v>
      </c>
      <c r="F548" s="3"/>
      <c r="G548" s="5"/>
      <c r="H548" s="6"/>
      <c r="I548" s="4"/>
      <c r="K548" s="5"/>
      <c r="L548" s="6"/>
      <c r="N548" s="3"/>
      <c r="O548" s="3"/>
      <c r="P548" s="4"/>
      <c r="Q548" s="4"/>
      <c r="S548" s="3"/>
      <c r="T548" s="3"/>
      <c r="U548" s="4"/>
      <c r="V548" s="4"/>
    </row>
    <row r="549" spans="1:22" x14ac:dyDescent="0.25">
      <c r="A549" s="3" t="str">
        <f>RTD("rtdtrading.rtdserver",, "BOOK0", "VOC", 545)</f>
        <v>Ferramenta Inválida</v>
      </c>
      <c r="B549" s="3" t="str">
        <f>RTD("rtdtrading.rtdserver",, "BOOK0", "OCP", 545)</f>
        <v>Ferramenta Inválida</v>
      </c>
      <c r="C549" s="4" t="str">
        <f>RTD("rtdtrading.rtdserver",, "BOOK0", "OVD", 545)</f>
        <v>Ferramenta Inválida</v>
      </c>
      <c r="D549" s="4" t="str">
        <f>RTD("rtdtrading.rtdserver",, "BOOK0", "VOV", 545)</f>
        <v>Ferramenta Inválida</v>
      </c>
      <c r="F549" s="3"/>
      <c r="G549" s="5"/>
      <c r="H549" s="6"/>
      <c r="I549" s="4"/>
      <c r="K549" s="5"/>
      <c r="L549" s="6"/>
      <c r="N549" s="3"/>
      <c r="O549" s="3"/>
      <c r="P549" s="4"/>
      <c r="Q549" s="4"/>
      <c r="S549" s="3"/>
      <c r="T549" s="3"/>
      <c r="U549" s="4"/>
      <c r="V549" s="4"/>
    </row>
    <row r="550" spans="1:22" x14ac:dyDescent="0.25">
      <c r="A550" s="3" t="str">
        <f>RTD("rtdtrading.rtdserver",, "BOOK0", "VOC", 546)</f>
        <v>Ferramenta Inválida</v>
      </c>
      <c r="B550" s="3" t="str">
        <f>RTD("rtdtrading.rtdserver",, "BOOK0", "OCP", 546)</f>
        <v>Ferramenta Inválida</v>
      </c>
      <c r="C550" s="4" t="str">
        <f>RTD("rtdtrading.rtdserver",, "BOOK0", "OVD", 546)</f>
        <v>Ferramenta Inválida</v>
      </c>
      <c r="D550" s="4" t="str">
        <f>RTD("rtdtrading.rtdserver",, "BOOK0", "VOV", 546)</f>
        <v>Ferramenta Inválida</v>
      </c>
      <c r="F550" s="3"/>
      <c r="G550" s="5"/>
      <c r="H550" s="6"/>
      <c r="I550" s="4"/>
      <c r="K550" s="5"/>
      <c r="L550" s="6"/>
      <c r="N550" s="3"/>
      <c r="O550" s="3"/>
      <c r="P550" s="4"/>
      <c r="Q550" s="4"/>
      <c r="S550" s="3"/>
      <c r="T550" s="3"/>
      <c r="U550" s="4"/>
      <c r="V550" s="4"/>
    </row>
    <row r="551" spans="1:22" x14ac:dyDescent="0.25">
      <c r="A551" s="3" t="str">
        <f>RTD("rtdtrading.rtdserver",, "BOOK0", "VOC", 547)</f>
        <v>Ferramenta Inválida</v>
      </c>
      <c r="B551" s="3" t="str">
        <f>RTD("rtdtrading.rtdserver",, "BOOK0", "OCP", 547)</f>
        <v>Ferramenta Inválida</v>
      </c>
      <c r="C551" s="4" t="str">
        <f>RTD("rtdtrading.rtdserver",, "BOOK0", "OVD", 547)</f>
        <v>Ferramenta Inválida</v>
      </c>
      <c r="D551" s="4" t="str">
        <f>RTD("rtdtrading.rtdserver",, "BOOK0", "VOV", 547)</f>
        <v>Ferramenta Inválida</v>
      </c>
      <c r="F551" s="3"/>
      <c r="G551" s="5"/>
      <c r="H551" s="6"/>
      <c r="I551" s="4"/>
      <c r="K551" s="5"/>
      <c r="L551" s="6"/>
      <c r="N551" s="3"/>
      <c r="O551" s="3"/>
      <c r="P551" s="4"/>
      <c r="Q551" s="4"/>
      <c r="S551" s="3"/>
      <c r="T551" s="3"/>
      <c r="U551" s="4"/>
      <c r="V551" s="4"/>
    </row>
    <row r="552" spans="1:22" x14ac:dyDescent="0.25">
      <c r="A552" s="3" t="str">
        <f>RTD("rtdtrading.rtdserver",, "BOOK0", "VOC", 548)</f>
        <v>Ferramenta Inválida</v>
      </c>
      <c r="B552" s="3" t="str">
        <f>RTD("rtdtrading.rtdserver",, "BOOK0", "OCP", 548)</f>
        <v>Ferramenta Inválida</v>
      </c>
      <c r="C552" s="4" t="str">
        <f>RTD("rtdtrading.rtdserver",, "BOOK0", "OVD", 548)</f>
        <v>Ferramenta Inválida</v>
      </c>
      <c r="D552" s="4" t="str">
        <f>RTD("rtdtrading.rtdserver",, "BOOK0", "VOV", 548)</f>
        <v>Ferramenta Inválida</v>
      </c>
      <c r="F552" s="3"/>
      <c r="G552" s="5"/>
      <c r="H552" s="6"/>
      <c r="I552" s="4"/>
      <c r="K552" s="5"/>
      <c r="L552" s="6"/>
      <c r="N552" s="3"/>
      <c r="O552" s="3"/>
      <c r="P552" s="4"/>
      <c r="Q552" s="4"/>
      <c r="S552" s="3"/>
      <c r="T552" s="3"/>
      <c r="U552" s="4"/>
      <c r="V552" s="4"/>
    </row>
    <row r="553" spans="1:22" x14ac:dyDescent="0.25">
      <c r="A553" s="3" t="str">
        <f>RTD("rtdtrading.rtdserver",, "BOOK0", "VOC", 549)</f>
        <v>Ferramenta Inválida</v>
      </c>
      <c r="B553" s="3" t="str">
        <f>RTD("rtdtrading.rtdserver",, "BOOK0", "OCP", 549)</f>
        <v>Ferramenta Inválida</v>
      </c>
      <c r="C553" s="4" t="str">
        <f>RTD("rtdtrading.rtdserver",, "BOOK0", "OVD", 549)</f>
        <v>Ferramenta Inválida</v>
      </c>
      <c r="D553" s="4" t="str">
        <f>RTD("rtdtrading.rtdserver",, "BOOK0", "VOV", 549)</f>
        <v>Ferramenta Inválida</v>
      </c>
      <c r="F553" s="3"/>
      <c r="G553" s="5"/>
      <c r="H553" s="6"/>
      <c r="I553" s="4"/>
      <c r="K553" s="5"/>
      <c r="L553" s="6"/>
      <c r="N553" s="3"/>
      <c r="O553" s="3"/>
      <c r="P553" s="4"/>
      <c r="Q553" s="4"/>
      <c r="S553" s="3"/>
      <c r="T553" s="3"/>
      <c r="U553" s="4"/>
      <c r="V553" s="4"/>
    </row>
    <row r="554" spans="1:22" x14ac:dyDescent="0.25">
      <c r="A554" s="3" t="str">
        <f>RTD("rtdtrading.rtdserver",, "BOOK0", "VOC", 550)</f>
        <v>Ferramenta Inválida</v>
      </c>
      <c r="B554" s="3" t="str">
        <f>RTD("rtdtrading.rtdserver",, "BOOK0", "OCP", 550)</f>
        <v>Ferramenta Inválida</v>
      </c>
      <c r="C554" s="4" t="str">
        <f>RTD("rtdtrading.rtdserver",, "BOOK0", "OVD", 550)</f>
        <v>Ferramenta Inválida</v>
      </c>
      <c r="D554" s="4" t="str">
        <f>RTD("rtdtrading.rtdserver",, "BOOK0", "VOV", 550)</f>
        <v>Ferramenta Inválida</v>
      </c>
      <c r="F554" s="3"/>
      <c r="G554" s="5"/>
      <c r="H554" s="6"/>
      <c r="I554" s="4"/>
      <c r="K554" s="5"/>
      <c r="L554" s="6"/>
      <c r="N554" s="3"/>
      <c r="O554" s="3"/>
      <c r="P554" s="4"/>
      <c r="Q554" s="4"/>
      <c r="S554" s="3"/>
      <c r="T554" s="3"/>
      <c r="U554" s="4"/>
      <c r="V554" s="4"/>
    </row>
    <row r="555" spans="1:22" x14ac:dyDescent="0.25">
      <c r="A555" s="3" t="str">
        <f>RTD("rtdtrading.rtdserver",, "BOOK0", "VOC", 551)</f>
        <v>Ferramenta Inválida</v>
      </c>
      <c r="B555" s="3" t="str">
        <f>RTD("rtdtrading.rtdserver",, "BOOK0", "OCP", 551)</f>
        <v>Ferramenta Inválida</v>
      </c>
      <c r="C555" s="4" t="str">
        <f>RTD("rtdtrading.rtdserver",, "BOOK0", "OVD", 551)</f>
        <v>Ferramenta Inválida</v>
      </c>
      <c r="D555" s="4" t="str">
        <f>RTD("rtdtrading.rtdserver",, "BOOK0", "VOV", 551)</f>
        <v>Ferramenta Inválida</v>
      </c>
      <c r="F555" s="3"/>
      <c r="G555" s="5"/>
      <c r="H555" s="6"/>
      <c r="I555" s="4"/>
      <c r="K555" s="5"/>
      <c r="L555" s="6"/>
      <c r="N555" s="3"/>
      <c r="O555" s="3"/>
      <c r="P555" s="4"/>
      <c r="Q555" s="4"/>
      <c r="S555" s="3"/>
      <c r="T555" s="3"/>
      <c r="U555" s="4"/>
      <c r="V555" s="4"/>
    </row>
    <row r="556" spans="1:22" x14ac:dyDescent="0.25">
      <c r="A556" s="3" t="str">
        <f>RTD("rtdtrading.rtdserver",, "BOOK0", "VOC", 552)</f>
        <v>Ferramenta Inválida</v>
      </c>
      <c r="B556" s="3" t="str">
        <f>RTD("rtdtrading.rtdserver",, "BOOK0", "OCP", 552)</f>
        <v>Ferramenta Inválida</v>
      </c>
      <c r="C556" s="4" t="str">
        <f>RTD("rtdtrading.rtdserver",, "BOOK0", "OVD", 552)</f>
        <v>Ferramenta Inválida</v>
      </c>
      <c r="D556" s="4" t="str">
        <f>RTD("rtdtrading.rtdserver",, "BOOK0", "VOV", 552)</f>
        <v>Ferramenta Inválida</v>
      </c>
      <c r="F556" s="3"/>
      <c r="G556" s="5"/>
      <c r="H556" s="6"/>
      <c r="I556" s="4"/>
      <c r="K556" s="5"/>
      <c r="L556" s="6"/>
      <c r="N556" s="3"/>
      <c r="O556" s="3"/>
      <c r="P556" s="4"/>
      <c r="Q556" s="4"/>
      <c r="S556" s="3"/>
      <c r="T556" s="3"/>
      <c r="U556" s="4"/>
      <c r="V556" s="4"/>
    </row>
    <row r="557" spans="1:22" x14ac:dyDescent="0.25">
      <c r="A557" s="3" t="str">
        <f>RTD("rtdtrading.rtdserver",, "BOOK0", "VOC", 553)</f>
        <v>Ferramenta Inválida</v>
      </c>
      <c r="B557" s="3" t="str">
        <f>RTD("rtdtrading.rtdserver",, "BOOK0", "OCP", 553)</f>
        <v>Ferramenta Inválida</v>
      </c>
      <c r="C557" s="4" t="str">
        <f>RTD("rtdtrading.rtdserver",, "BOOK0", "OVD", 553)</f>
        <v>Ferramenta Inválida</v>
      </c>
      <c r="D557" s="4" t="str">
        <f>RTD("rtdtrading.rtdserver",, "BOOK0", "VOV", 553)</f>
        <v>Ferramenta Inválida</v>
      </c>
      <c r="F557" s="3"/>
      <c r="G557" s="5"/>
      <c r="H557" s="6"/>
      <c r="I557" s="4"/>
      <c r="K557" s="5"/>
      <c r="L557" s="6"/>
      <c r="N557" s="3"/>
      <c r="O557" s="3"/>
      <c r="P557" s="4"/>
      <c r="Q557" s="4"/>
      <c r="S557" s="3"/>
      <c r="T557" s="3"/>
      <c r="U557" s="4"/>
      <c r="V557" s="4"/>
    </row>
    <row r="558" spans="1:22" x14ac:dyDescent="0.25">
      <c r="A558" s="3" t="str">
        <f>RTD("rtdtrading.rtdserver",, "BOOK0", "VOC", 554)</f>
        <v>Ferramenta Inválida</v>
      </c>
      <c r="B558" s="3" t="str">
        <f>RTD("rtdtrading.rtdserver",, "BOOK0", "OCP", 554)</f>
        <v>Ferramenta Inválida</v>
      </c>
      <c r="C558" s="4" t="str">
        <f>RTD("rtdtrading.rtdserver",, "BOOK0", "OVD", 554)</f>
        <v>Ferramenta Inválida</v>
      </c>
      <c r="D558" s="4" t="str">
        <f>RTD("rtdtrading.rtdserver",, "BOOK0", "VOV", 554)</f>
        <v>Ferramenta Inválida</v>
      </c>
      <c r="F558" s="3"/>
      <c r="G558" s="5"/>
      <c r="H558" s="6"/>
      <c r="I558" s="4"/>
      <c r="K558" s="5"/>
      <c r="L558" s="6"/>
      <c r="N558" s="3"/>
      <c r="O558" s="3"/>
      <c r="P558" s="4"/>
      <c r="Q558" s="4"/>
      <c r="S558" s="3"/>
      <c r="T558" s="3"/>
      <c r="U558" s="4"/>
      <c r="V558" s="4"/>
    </row>
    <row r="559" spans="1:22" x14ac:dyDescent="0.25">
      <c r="A559" s="3" t="str">
        <f>RTD("rtdtrading.rtdserver",, "BOOK0", "VOC", 555)</f>
        <v>Ferramenta Inválida</v>
      </c>
      <c r="B559" s="3" t="str">
        <f>RTD("rtdtrading.rtdserver",, "BOOK0", "OCP", 555)</f>
        <v>Ferramenta Inválida</v>
      </c>
      <c r="C559" s="4" t="str">
        <f>RTD("rtdtrading.rtdserver",, "BOOK0", "OVD", 555)</f>
        <v>Ferramenta Inválida</v>
      </c>
      <c r="D559" s="4" t="str">
        <f>RTD("rtdtrading.rtdserver",, "BOOK0", "VOV", 555)</f>
        <v>Ferramenta Inválida</v>
      </c>
      <c r="F559" s="3"/>
      <c r="G559" s="5"/>
      <c r="H559" s="6"/>
      <c r="I559" s="4"/>
      <c r="K559" s="5"/>
      <c r="L559" s="6"/>
      <c r="N559" s="3"/>
      <c r="O559" s="3"/>
      <c r="P559" s="4"/>
      <c r="Q559" s="4"/>
      <c r="S559" s="3"/>
      <c r="T559" s="3"/>
      <c r="U559" s="4"/>
      <c r="V559" s="4"/>
    </row>
    <row r="560" spans="1:22" x14ac:dyDescent="0.25">
      <c r="A560" s="3" t="str">
        <f>RTD("rtdtrading.rtdserver",, "BOOK0", "VOC", 556)</f>
        <v>Ferramenta Inválida</v>
      </c>
      <c r="B560" s="3" t="str">
        <f>RTD("rtdtrading.rtdserver",, "BOOK0", "OCP", 556)</f>
        <v>Ferramenta Inválida</v>
      </c>
      <c r="C560" s="4" t="str">
        <f>RTD("rtdtrading.rtdserver",, "BOOK0", "OVD", 556)</f>
        <v>Ferramenta Inválida</v>
      </c>
      <c r="D560" s="4" t="str">
        <f>RTD("rtdtrading.rtdserver",, "BOOK0", "VOV", 556)</f>
        <v>Ferramenta Inválida</v>
      </c>
      <c r="F560" s="3"/>
      <c r="G560" s="5"/>
      <c r="H560" s="6"/>
      <c r="I560" s="4"/>
      <c r="K560" s="5"/>
      <c r="L560" s="6"/>
      <c r="N560" s="3"/>
      <c r="O560" s="3"/>
      <c r="P560" s="4"/>
      <c r="Q560" s="4"/>
      <c r="S560" s="3"/>
      <c r="T560" s="3"/>
      <c r="U560" s="4"/>
      <c r="V560" s="4"/>
    </row>
    <row r="561" spans="1:22" x14ac:dyDescent="0.25">
      <c r="A561" s="3" t="str">
        <f>RTD("rtdtrading.rtdserver",, "BOOK0", "VOC", 557)</f>
        <v>Ferramenta Inválida</v>
      </c>
      <c r="B561" s="3" t="str">
        <f>RTD("rtdtrading.rtdserver",, "BOOK0", "OCP", 557)</f>
        <v>Ferramenta Inválida</v>
      </c>
      <c r="C561" s="4" t="str">
        <f>RTD("rtdtrading.rtdserver",, "BOOK0", "OVD", 557)</f>
        <v>Ferramenta Inválida</v>
      </c>
      <c r="D561" s="4" t="str">
        <f>RTD("rtdtrading.rtdserver",, "BOOK0", "VOV", 557)</f>
        <v>Ferramenta Inválida</v>
      </c>
      <c r="F561" s="3"/>
      <c r="G561" s="5"/>
      <c r="H561" s="6"/>
      <c r="I561" s="4"/>
      <c r="K561" s="5"/>
      <c r="L561" s="6"/>
      <c r="N561" s="3"/>
      <c r="O561" s="3"/>
      <c r="P561" s="4"/>
      <c r="Q561" s="4"/>
      <c r="S561" s="3"/>
      <c r="T561" s="3"/>
      <c r="U561" s="4"/>
      <c r="V561" s="4"/>
    </row>
    <row r="562" spans="1:22" x14ac:dyDescent="0.25">
      <c r="A562" s="3" t="str">
        <f>RTD("rtdtrading.rtdserver",, "BOOK0", "VOC", 558)</f>
        <v>Ferramenta Inválida</v>
      </c>
      <c r="B562" s="3" t="str">
        <f>RTD("rtdtrading.rtdserver",, "BOOK0", "OCP", 558)</f>
        <v>Ferramenta Inválida</v>
      </c>
      <c r="C562" s="4" t="str">
        <f>RTD("rtdtrading.rtdserver",, "BOOK0", "OVD", 558)</f>
        <v>Ferramenta Inválida</v>
      </c>
      <c r="D562" s="4" t="str">
        <f>RTD("rtdtrading.rtdserver",, "BOOK0", "VOV", 558)</f>
        <v>Ferramenta Inválida</v>
      </c>
      <c r="F562" s="3"/>
      <c r="G562" s="5"/>
      <c r="H562" s="6"/>
      <c r="I562" s="4"/>
      <c r="K562" s="5"/>
      <c r="L562" s="6"/>
      <c r="N562" s="3"/>
      <c r="O562" s="3"/>
      <c r="P562" s="4"/>
      <c r="Q562" s="4"/>
      <c r="S562" s="3"/>
      <c r="T562" s="3"/>
      <c r="U562" s="4"/>
      <c r="V562" s="4"/>
    </row>
    <row r="563" spans="1:22" x14ac:dyDescent="0.25">
      <c r="A563" s="3" t="str">
        <f>RTD("rtdtrading.rtdserver",, "BOOK0", "VOC", 559)</f>
        <v>Ferramenta Inválida</v>
      </c>
      <c r="B563" s="3" t="str">
        <f>RTD("rtdtrading.rtdserver",, "BOOK0", "OCP", 559)</f>
        <v>Ferramenta Inválida</v>
      </c>
      <c r="C563" s="4" t="str">
        <f>RTD("rtdtrading.rtdserver",, "BOOK0", "OVD", 559)</f>
        <v>Ferramenta Inválida</v>
      </c>
      <c r="D563" s="4" t="str">
        <f>RTD("rtdtrading.rtdserver",, "BOOK0", "VOV", 559)</f>
        <v>Ferramenta Inválida</v>
      </c>
      <c r="F563" s="3"/>
      <c r="G563" s="5"/>
      <c r="H563" s="6"/>
      <c r="I563" s="4"/>
      <c r="K563" s="5"/>
      <c r="L563" s="6"/>
      <c r="N563" s="3"/>
      <c r="O563" s="3"/>
      <c r="P563" s="4"/>
      <c r="Q563" s="4"/>
      <c r="S563" s="3"/>
      <c r="T563" s="3"/>
      <c r="U563" s="4"/>
      <c r="V563" s="4"/>
    </row>
    <row r="564" spans="1:22" x14ac:dyDescent="0.25">
      <c r="A564" s="3" t="str">
        <f>RTD("rtdtrading.rtdserver",, "BOOK0", "VOC", 560)</f>
        <v>Ferramenta Inválida</v>
      </c>
      <c r="B564" s="3" t="str">
        <f>RTD("rtdtrading.rtdserver",, "BOOK0", "OCP", 560)</f>
        <v>Ferramenta Inválida</v>
      </c>
      <c r="C564" s="4" t="str">
        <f>RTD("rtdtrading.rtdserver",, "BOOK0", "OVD", 560)</f>
        <v>Ferramenta Inválida</v>
      </c>
      <c r="D564" s="4" t="str">
        <f>RTD("rtdtrading.rtdserver",, "BOOK0", "VOV", 560)</f>
        <v>Ferramenta Inválida</v>
      </c>
      <c r="F564" s="3"/>
      <c r="G564" s="5"/>
      <c r="H564" s="6"/>
      <c r="I564" s="4"/>
      <c r="K564" s="5"/>
      <c r="L564" s="6"/>
      <c r="N564" s="3"/>
      <c r="O564" s="3"/>
      <c r="P564" s="4"/>
      <c r="Q564" s="4"/>
      <c r="S564" s="3"/>
      <c r="T564" s="3"/>
      <c r="U564" s="4"/>
      <c r="V564" s="4"/>
    </row>
    <row r="565" spans="1:22" x14ac:dyDescent="0.25">
      <c r="A565" s="3" t="str">
        <f>RTD("rtdtrading.rtdserver",, "BOOK0", "VOC", 561)</f>
        <v>Ferramenta Inválida</v>
      </c>
      <c r="B565" s="3" t="str">
        <f>RTD("rtdtrading.rtdserver",, "BOOK0", "OCP", 561)</f>
        <v>Ferramenta Inválida</v>
      </c>
      <c r="C565" s="4" t="str">
        <f>RTD("rtdtrading.rtdserver",, "BOOK0", "OVD", 561)</f>
        <v>Ferramenta Inválida</v>
      </c>
      <c r="D565" s="4" t="str">
        <f>RTD("rtdtrading.rtdserver",, "BOOK0", "VOV", 561)</f>
        <v>Ferramenta Inválida</v>
      </c>
      <c r="F565" s="3"/>
      <c r="G565" s="5"/>
      <c r="H565" s="6"/>
      <c r="I565" s="4"/>
      <c r="K565" s="5"/>
      <c r="L565" s="6"/>
      <c r="N565" s="3"/>
      <c r="O565" s="3"/>
      <c r="P565" s="4"/>
      <c r="Q565" s="4"/>
      <c r="S565" s="3"/>
      <c r="T565" s="3"/>
      <c r="U565" s="4"/>
      <c r="V565" s="4"/>
    </row>
    <row r="566" spans="1:22" x14ac:dyDescent="0.25">
      <c r="A566" s="3" t="str">
        <f>RTD("rtdtrading.rtdserver",, "BOOK0", "VOC", 562)</f>
        <v>Ferramenta Inválida</v>
      </c>
      <c r="B566" s="3" t="str">
        <f>RTD("rtdtrading.rtdserver",, "BOOK0", "OCP", 562)</f>
        <v>Ferramenta Inválida</v>
      </c>
      <c r="C566" s="4" t="str">
        <f>RTD("rtdtrading.rtdserver",, "BOOK0", "OVD", 562)</f>
        <v>Ferramenta Inválida</v>
      </c>
      <c r="D566" s="4" t="str">
        <f>RTD("rtdtrading.rtdserver",, "BOOK0", "VOV", 562)</f>
        <v>Ferramenta Inválida</v>
      </c>
      <c r="F566" s="3"/>
      <c r="G566" s="5"/>
      <c r="H566" s="6"/>
      <c r="I566" s="4"/>
      <c r="K566" s="5"/>
      <c r="L566" s="6"/>
      <c r="N566" s="3"/>
      <c r="O566" s="3"/>
      <c r="P566" s="4"/>
      <c r="Q566" s="4"/>
      <c r="S566" s="3"/>
      <c r="T566" s="3"/>
      <c r="U566" s="4"/>
      <c r="V566" s="4"/>
    </row>
    <row r="567" spans="1:22" x14ac:dyDescent="0.25">
      <c r="A567" s="3" t="str">
        <f>RTD("rtdtrading.rtdserver",, "BOOK0", "VOC", 563)</f>
        <v>Ferramenta Inválida</v>
      </c>
      <c r="B567" s="3" t="str">
        <f>RTD("rtdtrading.rtdserver",, "BOOK0", "OCP", 563)</f>
        <v>Ferramenta Inválida</v>
      </c>
      <c r="C567" s="4" t="str">
        <f>RTD("rtdtrading.rtdserver",, "BOOK0", "OVD", 563)</f>
        <v>Ferramenta Inválida</v>
      </c>
      <c r="D567" s="4" t="str">
        <f>RTD("rtdtrading.rtdserver",, "BOOK0", "VOV", 563)</f>
        <v>Ferramenta Inválida</v>
      </c>
      <c r="F567" s="3"/>
      <c r="G567" s="5"/>
      <c r="H567" s="6"/>
      <c r="I567" s="4"/>
      <c r="K567" s="5"/>
      <c r="L567" s="6"/>
      <c r="N567" s="3"/>
      <c r="O567" s="3"/>
      <c r="P567" s="4"/>
      <c r="Q567" s="4"/>
      <c r="S567" s="3"/>
      <c r="T567" s="3"/>
      <c r="U567" s="4"/>
      <c r="V567" s="4"/>
    </row>
    <row r="568" spans="1:22" x14ac:dyDescent="0.25">
      <c r="A568" s="3" t="str">
        <f>RTD("rtdtrading.rtdserver",, "BOOK0", "VOC", 564)</f>
        <v>Ferramenta Inválida</v>
      </c>
      <c r="B568" s="3" t="str">
        <f>RTD("rtdtrading.rtdserver",, "BOOK0", "OCP", 564)</f>
        <v>Ferramenta Inválida</v>
      </c>
      <c r="C568" s="4" t="str">
        <f>RTD("rtdtrading.rtdserver",, "BOOK0", "OVD", 564)</f>
        <v>Ferramenta Inválida</v>
      </c>
      <c r="D568" s="4" t="str">
        <f>RTD("rtdtrading.rtdserver",, "BOOK0", "VOV", 564)</f>
        <v>Ferramenta Inválida</v>
      </c>
      <c r="F568" s="3"/>
      <c r="G568" s="5"/>
      <c r="H568" s="6"/>
      <c r="I568" s="4"/>
      <c r="K568" s="5"/>
      <c r="L568" s="6"/>
      <c r="N568" s="3"/>
      <c r="O568" s="3"/>
      <c r="P568" s="4"/>
      <c r="Q568" s="4"/>
      <c r="S568" s="3"/>
      <c r="T568" s="3"/>
      <c r="U568" s="4"/>
      <c r="V568" s="4"/>
    </row>
    <row r="569" spans="1:22" x14ac:dyDescent="0.25">
      <c r="A569" s="3" t="str">
        <f>RTD("rtdtrading.rtdserver",, "BOOK0", "VOC", 565)</f>
        <v>Ferramenta Inválida</v>
      </c>
      <c r="B569" s="3" t="str">
        <f>RTD("rtdtrading.rtdserver",, "BOOK0", "OCP", 565)</f>
        <v>Ferramenta Inválida</v>
      </c>
      <c r="C569" s="4" t="str">
        <f>RTD("rtdtrading.rtdserver",, "BOOK0", "OVD", 565)</f>
        <v>Ferramenta Inválida</v>
      </c>
      <c r="D569" s="4" t="str">
        <f>RTD("rtdtrading.rtdserver",, "BOOK0", "VOV", 565)</f>
        <v>Ferramenta Inválida</v>
      </c>
      <c r="F569" s="3"/>
      <c r="G569" s="5"/>
      <c r="H569" s="6"/>
      <c r="I569" s="4"/>
      <c r="K569" s="5"/>
      <c r="L569" s="6"/>
      <c r="N569" s="3"/>
      <c r="O569" s="3"/>
      <c r="P569" s="4"/>
      <c r="Q569" s="4"/>
      <c r="S569" s="3"/>
      <c r="T569" s="3"/>
      <c r="U569" s="4"/>
      <c r="V569" s="4"/>
    </row>
    <row r="570" spans="1:22" x14ac:dyDescent="0.25">
      <c r="A570" s="3" t="str">
        <f>RTD("rtdtrading.rtdserver",, "BOOK0", "VOC", 566)</f>
        <v>Ferramenta Inválida</v>
      </c>
      <c r="B570" s="3" t="str">
        <f>RTD("rtdtrading.rtdserver",, "BOOK0", "OCP", 566)</f>
        <v>Ferramenta Inválida</v>
      </c>
      <c r="C570" s="4" t="str">
        <f>RTD("rtdtrading.rtdserver",, "BOOK0", "OVD", 566)</f>
        <v>Ferramenta Inválida</v>
      </c>
      <c r="D570" s="4" t="str">
        <f>RTD("rtdtrading.rtdserver",, "BOOK0", "VOV", 566)</f>
        <v>Ferramenta Inválida</v>
      </c>
      <c r="F570" s="3"/>
      <c r="G570" s="5"/>
      <c r="H570" s="6"/>
      <c r="I570" s="4"/>
      <c r="K570" s="5"/>
      <c r="L570" s="6"/>
      <c r="N570" s="3"/>
      <c r="O570" s="3"/>
      <c r="P570" s="4"/>
      <c r="Q570" s="4"/>
      <c r="S570" s="3"/>
      <c r="T570" s="3"/>
      <c r="U570" s="4"/>
      <c r="V570" s="4"/>
    </row>
    <row r="571" spans="1:22" x14ac:dyDescent="0.25">
      <c r="A571" s="3" t="str">
        <f>RTD("rtdtrading.rtdserver",, "BOOK0", "VOC", 567)</f>
        <v>Ferramenta Inválida</v>
      </c>
      <c r="B571" s="3" t="str">
        <f>RTD("rtdtrading.rtdserver",, "BOOK0", "OCP", 567)</f>
        <v>Ferramenta Inválida</v>
      </c>
      <c r="C571" s="4" t="str">
        <f>RTD("rtdtrading.rtdserver",, "BOOK0", "OVD", 567)</f>
        <v>Ferramenta Inválida</v>
      </c>
      <c r="D571" s="4" t="str">
        <f>RTD("rtdtrading.rtdserver",, "BOOK0", "VOV", 567)</f>
        <v>Ferramenta Inválida</v>
      </c>
      <c r="F571" s="3"/>
      <c r="G571" s="5"/>
      <c r="H571" s="6"/>
      <c r="I571" s="4"/>
      <c r="K571" s="5"/>
      <c r="L571" s="6"/>
      <c r="N571" s="3"/>
      <c r="O571" s="3"/>
      <c r="P571" s="4"/>
      <c r="Q571" s="4"/>
      <c r="S571" s="3"/>
      <c r="T571" s="3"/>
      <c r="U571" s="4"/>
      <c r="V571" s="4"/>
    </row>
    <row r="572" spans="1:22" x14ac:dyDescent="0.25">
      <c r="A572" s="3" t="str">
        <f>RTD("rtdtrading.rtdserver",, "BOOK0", "VOC", 568)</f>
        <v>Ferramenta Inválida</v>
      </c>
      <c r="B572" s="3" t="str">
        <f>RTD("rtdtrading.rtdserver",, "BOOK0", "OCP", 568)</f>
        <v>Ferramenta Inválida</v>
      </c>
      <c r="C572" s="4" t="str">
        <f>RTD("rtdtrading.rtdserver",, "BOOK0", "OVD", 568)</f>
        <v>Ferramenta Inválida</v>
      </c>
      <c r="D572" s="4" t="str">
        <f>RTD("rtdtrading.rtdserver",, "BOOK0", "VOV", 568)</f>
        <v>Ferramenta Inválida</v>
      </c>
      <c r="F572" s="3"/>
      <c r="G572" s="5"/>
      <c r="H572" s="6"/>
      <c r="I572" s="4"/>
      <c r="K572" s="5"/>
      <c r="L572" s="6"/>
      <c r="N572" s="3"/>
      <c r="O572" s="3"/>
      <c r="P572" s="4"/>
      <c r="Q572" s="4"/>
      <c r="S572" s="3"/>
      <c r="T572" s="3"/>
      <c r="U572" s="4"/>
      <c r="V572" s="4"/>
    </row>
    <row r="573" spans="1:22" x14ac:dyDescent="0.25">
      <c r="A573" s="3" t="str">
        <f>RTD("rtdtrading.rtdserver",, "BOOK0", "VOC", 569)</f>
        <v>Ferramenta Inválida</v>
      </c>
      <c r="B573" s="3" t="str">
        <f>RTD("rtdtrading.rtdserver",, "BOOK0", "OCP", 569)</f>
        <v>Ferramenta Inválida</v>
      </c>
      <c r="C573" s="4" t="str">
        <f>RTD("rtdtrading.rtdserver",, "BOOK0", "OVD", 569)</f>
        <v>Ferramenta Inválida</v>
      </c>
      <c r="D573" s="4" t="str">
        <f>RTD("rtdtrading.rtdserver",, "BOOK0", "VOV", 569)</f>
        <v>Ferramenta Inválida</v>
      </c>
      <c r="F573" s="3"/>
      <c r="G573" s="5"/>
      <c r="H573" s="6"/>
      <c r="I573" s="4"/>
      <c r="K573" s="5"/>
      <c r="L573" s="6"/>
      <c r="N573" s="3"/>
      <c r="O573" s="3"/>
      <c r="P573" s="4"/>
      <c r="Q573" s="4"/>
      <c r="S573" s="3"/>
      <c r="T573" s="3"/>
      <c r="U573" s="4"/>
      <c r="V573" s="4"/>
    </row>
    <row r="574" spans="1:22" x14ac:dyDescent="0.25">
      <c r="A574" s="3" t="str">
        <f>RTD("rtdtrading.rtdserver",, "BOOK0", "VOC", 570)</f>
        <v>Ferramenta Inválida</v>
      </c>
      <c r="B574" s="3" t="str">
        <f>RTD("rtdtrading.rtdserver",, "BOOK0", "OCP", 570)</f>
        <v>Ferramenta Inválida</v>
      </c>
      <c r="C574" s="4" t="str">
        <f>RTD("rtdtrading.rtdserver",, "BOOK0", "OVD", 570)</f>
        <v>Ferramenta Inválida</v>
      </c>
      <c r="D574" s="4" t="str">
        <f>RTD("rtdtrading.rtdserver",, "BOOK0", "VOV", 570)</f>
        <v>Ferramenta Inválida</v>
      </c>
      <c r="F574" s="3"/>
      <c r="G574" s="5"/>
      <c r="H574" s="6"/>
      <c r="I574" s="4"/>
      <c r="K574" s="5"/>
      <c r="L574" s="6"/>
      <c r="N574" s="3"/>
      <c r="O574" s="3"/>
      <c r="P574" s="4"/>
      <c r="Q574" s="4"/>
      <c r="S574" s="3"/>
      <c r="T574" s="3"/>
      <c r="U574" s="4"/>
      <c r="V574" s="4"/>
    </row>
    <row r="575" spans="1:22" x14ac:dyDescent="0.25">
      <c r="A575" s="3" t="str">
        <f>RTD("rtdtrading.rtdserver",, "BOOK0", "VOC", 571)</f>
        <v>Ferramenta Inválida</v>
      </c>
      <c r="B575" s="3" t="str">
        <f>RTD("rtdtrading.rtdserver",, "BOOK0", "OCP", 571)</f>
        <v>Ferramenta Inválida</v>
      </c>
      <c r="C575" s="4" t="str">
        <f>RTD("rtdtrading.rtdserver",, "BOOK0", "OVD", 571)</f>
        <v>Ferramenta Inválida</v>
      </c>
      <c r="D575" s="4" t="str">
        <f>RTD("rtdtrading.rtdserver",, "BOOK0", "VOV", 571)</f>
        <v>Ferramenta Inválida</v>
      </c>
      <c r="F575" s="3"/>
      <c r="G575" s="5"/>
      <c r="H575" s="6"/>
      <c r="I575" s="4"/>
      <c r="K575" s="5"/>
      <c r="L575" s="6"/>
      <c r="N575" s="3"/>
      <c r="O575" s="3"/>
      <c r="P575" s="4"/>
      <c r="Q575" s="4"/>
      <c r="S575" s="3"/>
      <c r="T575" s="3"/>
      <c r="U575" s="4"/>
      <c r="V575" s="4"/>
    </row>
    <row r="576" spans="1:22" x14ac:dyDescent="0.25">
      <c r="A576" s="3" t="str">
        <f>RTD("rtdtrading.rtdserver",, "BOOK0", "VOC", 572)</f>
        <v>Ferramenta Inválida</v>
      </c>
      <c r="B576" s="3" t="str">
        <f>RTD("rtdtrading.rtdserver",, "BOOK0", "OCP", 572)</f>
        <v>Ferramenta Inválida</v>
      </c>
      <c r="C576" s="4" t="str">
        <f>RTD("rtdtrading.rtdserver",, "BOOK0", "OVD", 572)</f>
        <v>Ferramenta Inválida</v>
      </c>
      <c r="D576" s="4" t="str">
        <f>RTD("rtdtrading.rtdserver",, "BOOK0", "VOV", 572)</f>
        <v>Ferramenta Inválida</v>
      </c>
      <c r="F576" s="3"/>
      <c r="G576" s="5"/>
      <c r="H576" s="6"/>
      <c r="I576" s="4"/>
      <c r="K576" s="5"/>
      <c r="L576" s="6"/>
      <c r="N576" s="3"/>
      <c r="O576" s="3"/>
      <c r="P576" s="4"/>
      <c r="Q576" s="4"/>
      <c r="S576" s="3"/>
      <c r="T576" s="3"/>
      <c r="U576" s="4"/>
      <c r="V576" s="4"/>
    </row>
    <row r="577" spans="1:22" x14ac:dyDescent="0.25">
      <c r="A577" s="3" t="str">
        <f>RTD("rtdtrading.rtdserver",, "BOOK0", "VOC", 573)</f>
        <v>Ferramenta Inválida</v>
      </c>
      <c r="B577" s="3" t="str">
        <f>RTD("rtdtrading.rtdserver",, "BOOK0", "OCP", 573)</f>
        <v>Ferramenta Inválida</v>
      </c>
      <c r="C577" s="4" t="str">
        <f>RTD("rtdtrading.rtdserver",, "BOOK0", "OVD", 573)</f>
        <v>Ferramenta Inválida</v>
      </c>
      <c r="D577" s="4" t="str">
        <f>RTD("rtdtrading.rtdserver",, "BOOK0", "VOV", 573)</f>
        <v>Ferramenta Inválida</v>
      </c>
      <c r="F577" s="3"/>
      <c r="G577" s="5"/>
      <c r="H577" s="6"/>
      <c r="I577" s="4"/>
      <c r="K577" s="5"/>
      <c r="L577" s="6"/>
      <c r="N577" s="3"/>
      <c r="O577" s="3"/>
      <c r="P577" s="4"/>
      <c r="Q577" s="4"/>
      <c r="S577" s="3"/>
      <c r="T577" s="3"/>
      <c r="U577" s="4"/>
      <c r="V577" s="4"/>
    </row>
    <row r="578" spans="1:22" x14ac:dyDescent="0.25">
      <c r="A578" s="3" t="str">
        <f>RTD("rtdtrading.rtdserver",, "BOOK0", "VOC", 574)</f>
        <v>Ferramenta Inválida</v>
      </c>
      <c r="B578" s="3" t="str">
        <f>RTD("rtdtrading.rtdserver",, "BOOK0", "OCP", 574)</f>
        <v>Ferramenta Inválida</v>
      </c>
      <c r="C578" s="4" t="str">
        <f>RTD("rtdtrading.rtdserver",, "BOOK0", "OVD", 574)</f>
        <v>Ferramenta Inválida</v>
      </c>
      <c r="D578" s="4" t="str">
        <f>RTD("rtdtrading.rtdserver",, "BOOK0", "VOV", 574)</f>
        <v>Ferramenta Inválida</v>
      </c>
      <c r="F578" s="3"/>
      <c r="G578" s="5"/>
      <c r="H578" s="6"/>
      <c r="I578" s="4"/>
      <c r="K578" s="5"/>
      <c r="L578" s="6"/>
      <c r="N578" s="3"/>
      <c r="O578" s="3"/>
      <c r="P578" s="4"/>
      <c r="Q578" s="4"/>
      <c r="S578" s="3"/>
      <c r="T578" s="3"/>
      <c r="U578" s="4"/>
      <c r="V578" s="4"/>
    </row>
    <row r="579" spans="1:22" x14ac:dyDescent="0.25">
      <c r="A579" s="3" t="str">
        <f>RTD("rtdtrading.rtdserver",, "BOOK0", "VOC", 575)</f>
        <v>Ferramenta Inválida</v>
      </c>
      <c r="B579" s="3" t="str">
        <f>RTD("rtdtrading.rtdserver",, "BOOK0", "OCP", 575)</f>
        <v>Ferramenta Inválida</v>
      </c>
      <c r="C579" s="4" t="str">
        <f>RTD("rtdtrading.rtdserver",, "BOOK0", "OVD", 575)</f>
        <v>Ferramenta Inválida</v>
      </c>
      <c r="D579" s="4" t="str">
        <f>RTD("rtdtrading.rtdserver",, "BOOK0", "VOV", 575)</f>
        <v>Ferramenta Inválida</v>
      </c>
      <c r="F579" s="3"/>
      <c r="G579" s="5"/>
      <c r="H579" s="6"/>
      <c r="I579" s="4"/>
      <c r="K579" s="5"/>
      <c r="L579" s="6"/>
      <c r="N579" s="3"/>
      <c r="O579" s="3"/>
      <c r="P579" s="4"/>
      <c r="Q579" s="4"/>
      <c r="S579" s="3"/>
      <c r="T579" s="3"/>
      <c r="U579" s="4"/>
      <c r="V579" s="4"/>
    </row>
    <row r="580" spans="1:22" x14ac:dyDescent="0.25">
      <c r="A580" s="3" t="str">
        <f>RTD("rtdtrading.rtdserver",, "BOOK0", "VOC", 576)</f>
        <v>Ferramenta Inválida</v>
      </c>
      <c r="B580" s="3" t="str">
        <f>RTD("rtdtrading.rtdserver",, "BOOK0", "OCP", 576)</f>
        <v>Ferramenta Inválida</v>
      </c>
      <c r="C580" s="4" t="str">
        <f>RTD("rtdtrading.rtdserver",, "BOOK0", "OVD", 576)</f>
        <v>Ferramenta Inválida</v>
      </c>
      <c r="D580" s="4" t="str">
        <f>RTD("rtdtrading.rtdserver",, "BOOK0", "VOV", 576)</f>
        <v>Ferramenta Inválida</v>
      </c>
      <c r="F580" s="3"/>
      <c r="G580" s="5"/>
      <c r="H580" s="6"/>
      <c r="I580" s="4"/>
      <c r="K580" s="5"/>
      <c r="L580" s="6"/>
      <c r="N580" s="3"/>
      <c r="O580" s="3"/>
      <c r="P580" s="4"/>
      <c r="Q580" s="4"/>
      <c r="S580" s="3"/>
      <c r="T580" s="3"/>
      <c r="U580" s="4"/>
      <c r="V580" s="4"/>
    </row>
    <row r="581" spans="1:22" x14ac:dyDescent="0.25">
      <c r="A581" s="3" t="str">
        <f>RTD("rtdtrading.rtdserver",, "BOOK0", "VOC", 577)</f>
        <v>Ferramenta Inválida</v>
      </c>
      <c r="B581" s="3" t="str">
        <f>RTD("rtdtrading.rtdserver",, "BOOK0", "OCP", 577)</f>
        <v>Ferramenta Inválida</v>
      </c>
      <c r="C581" s="4" t="str">
        <f>RTD("rtdtrading.rtdserver",, "BOOK0", "OVD", 577)</f>
        <v>Ferramenta Inválida</v>
      </c>
      <c r="D581" s="4" t="str">
        <f>RTD("rtdtrading.rtdserver",, "BOOK0", "VOV", 577)</f>
        <v>Ferramenta Inválida</v>
      </c>
      <c r="F581" s="3"/>
      <c r="G581" s="5"/>
      <c r="H581" s="6"/>
      <c r="I581" s="4"/>
      <c r="K581" s="5"/>
      <c r="L581" s="6"/>
      <c r="N581" s="3"/>
      <c r="O581" s="3"/>
      <c r="P581" s="4"/>
      <c r="Q581" s="4"/>
      <c r="S581" s="3"/>
      <c r="T581" s="3"/>
      <c r="U581" s="4"/>
      <c r="V581" s="4"/>
    </row>
    <row r="582" spans="1:22" x14ac:dyDescent="0.25">
      <c r="A582" s="3" t="str">
        <f>RTD("rtdtrading.rtdserver",, "BOOK0", "VOC", 578)</f>
        <v>Ferramenta Inválida</v>
      </c>
      <c r="B582" s="3" t="str">
        <f>RTD("rtdtrading.rtdserver",, "BOOK0", "OCP", 578)</f>
        <v>Ferramenta Inválida</v>
      </c>
      <c r="C582" s="4" t="str">
        <f>RTD("rtdtrading.rtdserver",, "BOOK0", "OVD", 578)</f>
        <v>Ferramenta Inválida</v>
      </c>
      <c r="D582" s="4" t="str">
        <f>RTD("rtdtrading.rtdserver",, "BOOK0", "VOV", 578)</f>
        <v>Ferramenta Inválida</v>
      </c>
      <c r="F582" s="3"/>
      <c r="G582" s="5"/>
      <c r="H582" s="6"/>
      <c r="I582" s="4"/>
      <c r="K582" s="5"/>
      <c r="L582" s="6"/>
      <c r="N582" s="3"/>
      <c r="O582" s="3"/>
      <c r="P582" s="4"/>
      <c r="Q582" s="4"/>
      <c r="S582" s="3"/>
      <c r="T582" s="3"/>
      <c r="U582" s="4"/>
      <c r="V582" s="4"/>
    </row>
    <row r="583" spans="1:22" x14ac:dyDescent="0.25">
      <c r="A583" s="3" t="str">
        <f>RTD("rtdtrading.rtdserver",, "BOOK0", "VOC", 579)</f>
        <v>Ferramenta Inválida</v>
      </c>
      <c r="B583" s="3" t="str">
        <f>RTD("rtdtrading.rtdserver",, "BOOK0", "OCP", 579)</f>
        <v>Ferramenta Inválida</v>
      </c>
      <c r="C583" s="4" t="str">
        <f>RTD("rtdtrading.rtdserver",, "BOOK0", "OVD", 579)</f>
        <v>Ferramenta Inválida</v>
      </c>
      <c r="D583" s="4" t="str">
        <f>RTD("rtdtrading.rtdserver",, "BOOK0", "VOV", 579)</f>
        <v>Ferramenta Inválida</v>
      </c>
      <c r="F583" s="3"/>
      <c r="G583" s="5"/>
      <c r="H583" s="6"/>
      <c r="I583" s="4"/>
      <c r="K583" s="5"/>
      <c r="L583" s="6"/>
      <c r="N583" s="3"/>
      <c r="O583" s="3"/>
      <c r="P583" s="4"/>
      <c r="Q583" s="4"/>
      <c r="S583" s="3"/>
      <c r="T583" s="3"/>
      <c r="U583" s="4"/>
      <c r="V583" s="4"/>
    </row>
    <row r="584" spans="1:22" x14ac:dyDescent="0.25">
      <c r="A584" s="3" t="str">
        <f>RTD("rtdtrading.rtdserver",, "BOOK0", "VOC", 580)</f>
        <v>Ferramenta Inválida</v>
      </c>
      <c r="B584" s="3" t="str">
        <f>RTD("rtdtrading.rtdserver",, "BOOK0", "OCP", 580)</f>
        <v>Ferramenta Inválida</v>
      </c>
      <c r="C584" s="4" t="str">
        <f>RTD("rtdtrading.rtdserver",, "BOOK0", "OVD", 580)</f>
        <v>Ferramenta Inválida</v>
      </c>
      <c r="D584" s="4" t="str">
        <f>RTD("rtdtrading.rtdserver",, "BOOK0", "VOV", 580)</f>
        <v>Ferramenta Inválida</v>
      </c>
      <c r="F584" s="3"/>
      <c r="G584" s="5"/>
      <c r="H584" s="6"/>
      <c r="I584" s="4"/>
      <c r="K584" s="5"/>
      <c r="L584" s="6"/>
      <c r="N584" s="3"/>
      <c r="O584" s="3"/>
      <c r="P584" s="4"/>
      <c r="Q584" s="4"/>
      <c r="S584" s="3"/>
      <c r="T584" s="3"/>
      <c r="U584" s="4"/>
      <c r="V584" s="4"/>
    </row>
    <row r="585" spans="1:22" x14ac:dyDescent="0.25">
      <c r="A585" s="3" t="str">
        <f>RTD("rtdtrading.rtdserver",, "BOOK0", "VOC", 581)</f>
        <v>Ferramenta Inválida</v>
      </c>
      <c r="B585" s="3" t="str">
        <f>RTD("rtdtrading.rtdserver",, "BOOK0", "OCP", 581)</f>
        <v>Ferramenta Inválida</v>
      </c>
      <c r="C585" s="4" t="str">
        <f>RTD("rtdtrading.rtdserver",, "BOOK0", "OVD", 581)</f>
        <v>Ferramenta Inválida</v>
      </c>
      <c r="D585" s="4" t="str">
        <f>RTD("rtdtrading.rtdserver",, "BOOK0", "VOV", 581)</f>
        <v>Ferramenta Inválida</v>
      </c>
      <c r="F585" s="3"/>
      <c r="G585" s="5"/>
      <c r="H585" s="6"/>
      <c r="I585" s="4"/>
      <c r="K585" s="5"/>
      <c r="L585" s="6"/>
      <c r="N585" s="3"/>
      <c r="O585" s="3"/>
      <c r="P585" s="4"/>
      <c r="Q585" s="4"/>
      <c r="S585" s="3"/>
      <c r="T585" s="3"/>
      <c r="U585" s="4"/>
      <c r="V585" s="4"/>
    </row>
    <row r="586" spans="1:22" x14ac:dyDescent="0.25">
      <c r="A586" s="3" t="str">
        <f>RTD("rtdtrading.rtdserver",, "BOOK0", "VOC", 582)</f>
        <v>Ferramenta Inválida</v>
      </c>
      <c r="B586" s="3" t="str">
        <f>RTD("rtdtrading.rtdserver",, "BOOK0", "OCP", 582)</f>
        <v>Ferramenta Inválida</v>
      </c>
      <c r="C586" s="4" t="str">
        <f>RTD("rtdtrading.rtdserver",, "BOOK0", "OVD", 582)</f>
        <v>Ferramenta Inválida</v>
      </c>
      <c r="D586" s="4" t="str">
        <f>RTD("rtdtrading.rtdserver",, "BOOK0", "VOV", 582)</f>
        <v>Ferramenta Inválida</v>
      </c>
      <c r="F586" s="3"/>
      <c r="G586" s="5"/>
      <c r="H586" s="6"/>
      <c r="I586" s="4"/>
      <c r="K586" s="5"/>
      <c r="L586" s="6"/>
      <c r="N586" s="3"/>
      <c r="O586" s="3"/>
      <c r="P586" s="4"/>
      <c r="Q586" s="4"/>
      <c r="S586" s="3"/>
      <c r="T586" s="3"/>
      <c r="U586" s="4"/>
      <c r="V586" s="4"/>
    </row>
    <row r="587" spans="1:22" x14ac:dyDescent="0.25">
      <c r="A587" s="3" t="str">
        <f>RTD("rtdtrading.rtdserver",, "BOOK0", "VOC", 583)</f>
        <v>Ferramenta Inválida</v>
      </c>
      <c r="B587" s="3" t="str">
        <f>RTD("rtdtrading.rtdserver",, "BOOK0", "OCP", 583)</f>
        <v>Ferramenta Inválida</v>
      </c>
      <c r="C587" s="4" t="str">
        <f>RTD("rtdtrading.rtdserver",, "BOOK0", "OVD", 583)</f>
        <v>Ferramenta Inválida</v>
      </c>
      <c r="D587" s="4" t="str">
        <f>RTD("rtdtrading.rtdserver",, "BOOK0", "VOV", 583)</f>
        <v>Ferramenta Inválida</v>
      </c>
      <c r="F587" s="3"/>
      <c r="G587" s="5"/>
      <c r="H587" s="6"/>
      <c r="I587" s="4"/>
      <c r="K587" s="5"/>
      <c r="L587" s="6"/>
      <c r="N587" s="3"/>
      <c r="O587" s="3"/>
      <c r="P587" s="4"/>
      <c r="Q587" s="4"/>
      <c r="S587" s="3"/>
      <c r="T587" s="3"/>
      <c r="U587" s="4"/>
      <c r="V587" s="4"/>
    </row>
    <row r="588" spans="1:22" x14ac:dyDescent="0.25">
      <c r="A588" s="3" t="str">
        <f>RTD("rtdtrading.rtdserver",, "BOOK0", "VOC", 584)</f>
        <v>Ferramenta Inválida</v>
      </c>
      <c r="B588" s="3" t="str">
        <f>RTD("rtdtrading.rtdserver",, "BOOK0", "OCP", 584)</f>
        <v>Ferramenta Inválida</v>
      </c>
      <c r="C588" s="4" t="str">
        <f>RTD("rtdtrading.rtdserver",, "BOOK0", "OVD", 584)</f>
        <v>Ferramenta Inválida</v>
      </c>
      <c r="D588" s="4" t="str">
        <f>RTD("rtdtrading.rtdserver",, "BOOK0", "VOV", 584)</f>
        <v>Ferramenta Inválida</v>
      </c>
      <c r="F588" s="3"/>
      <c r="G588" s="5"/>
      <c r="H588" s="6"/>
      <c r="I588" s="4"/>
      <c r="K588" s="5"/>
      <c r="L588" s="6"/>
      <c r="N588" s="3"/>
      <c r="O588" s="3"/>
      <c r="P588" s="4"/>
      <c r="Q588" s="4"/>
      <c r="S588" s="3"/>
      <c r="T588" s="3"/>
      <c r="U588" s="4"/>
      <c r="V588" s="4"/>
    </row>
    <row r="589" spans="1:22" x14ac:dyDescent="0.25">
      <c r="A589" s="3" t="str">
        <f>RTD("rtdtrading.rtdserver",, "BOOK0", "VOC", 585)</f>
        <v>Ferramenta Inválida</v>
      </c>
      <c r="B589" s="3" t="str">
        <f>RTD("rtdtrading.rtdserver",, "BOOK0", "OCP", 585)</f>
        <v>Ferramenta Inválida</v>
      </c>
      <c r="C589" s="4" t="str">
        <f>RTD("rtdtrading.rtdserver",, "BOOK0", "OVD", 585)</f>
        <v>Ferramenta Inválida</v>
      </c>
      <c r="D589" s="4" t="str">
        <f>RTD("rtdtrading.rtdserver",, "BOOK0", "VOV", 585)</f>
        <v>Ferramenta Inválida</v>
      </c>
      <c r="F589" s="3"/>
      <c r="G589" s="5"/>
      <c r="H589" s="6"/>
      <c r="I589" s="4"/>
      <c r="K589" s="5"/>
      <c r="L589" s="6"/>
      <c r="N589" s="3"/>
      <c r="O589" s="3"/>
      <c r="P589" s="4"/>
      <c r="Q589" s="4"/>
      <c r="S589" s="3"/>
      <c r="T589" s="3"/>
      <c r="U589" s="4"/>
      <c r="V589" s="4"/>
    </row>
    <row r="590" spans="1:22" x14ac:dyDescent="0.25">
      <c r="A590" s="3" t="str">
        <f>RTD("rtdtrading.rtdserver",, "BOOK0", "VOC", 586)</f>
        <v>Ferramenta Inválida</v>
      </c>
      <c r="B590" s="3" t="str">
        <f>RTD("rtdtrading.rtdserver",, "BOOK0", "OCP", 586)</f>
        <v>Ferramenta Inválida</v>
      </c>
      <c r="C590" s="4" t="str">
        <f>RTD("rtdtrading.rtdserver",, "BOOK0", "OVD", 586)</f>
        <v>Ferramenta Inválida</v>
      </c>
      <c r="D590" s="4" t="str">
        <f>RTD("rtdtrading.rtdserver",, "BOOK0", "VOV", 586)</f>
        <v>Ferramenta Inválida</v>
      </c>
      <c r="F590" s="3"/>
      <c r="G590" s="5"/>
      <c r="H590" s="6"/>
      <c r="I590" s="4"/>
      <c r="K590" s="5"/>
      <c r="L590" s="6"/>
      <c r="N590" s="3"/>
      <c r="O590" s="3"/>
      <c r="P590" s="4"/>
      <c r="Q590" s="4"/>
      <c r="S590" s="3"/>
      <c r="T590" s="3"/>
      <c r="U590" s="4"/>
      <c r="V590" s="4"/>
    </row>
    <row r="591" spans="1:22" x14ac:dyDescent="0.25">
      <c r="A591" s="3" t="str">
        <f>RTD("rtdtrading.rtdserver",, "BOOK0", "VOC", 587)</f>
        <v>Ferramenta Inválida</v>
      </c>
      <c r="B591" s="3" t="str">
        <f>RTD("rtdtrading.rtdserver",, "BOOK0", "OCP", 587)</f>
        <v>Ferramenta Inválida</v>
      </c>
      <c r="C591" s="4" t="str">
        <f>RTD("rtdtrading.rtdserver",, "BOOK0", "OVD", 587)</f>
        <v>Ferramenta Inválida</v>
      </c>
      <c r="D591" s="4" t="str">
        <f>RTD("rtdtrading.rtdserver",, "BOOK0", "VOV", 587)</f>
        <v>Ferramenta Inválida</v>
      </c>
      <c r="F591" s="3"/>
      <c r="G591" s="5"/>
      <c r="H591" s="6"/>
      <c r="I591" s="4"/>
      <c r="K591" s="5"/>
      <c r="L591" s="6"/>
      <c r="N591" s="3"/>
      <c r="O591" s="3"/>
      <c r="P591" s="4"/>
      <c r="Q591" s="4"/>
      <c r="S591" s="3"/>
      <c r="T591" s="3"/>
      <c r="U591" s="4"/>
      <c r="V591" s="4"/>
    </row>
    <row r="592" spans="1:22" x14ac:dyDescent="0.25">
      <c r="A592" s="3" t="str">
        <f>RTD("rtdtrading.rtdserver",, "BOOK0", "VOC", 588)</f>
        <v>Ferramenta Inválida</v>
      </c>
      <c r="B592" s="3" t="str">
        <f>RTD("rtdtrading.rtdserver",, "BOOK0", "OCP", 588)</f>
        <v>Ferramenta Inválida</v>
      </c>
      <c r="C592" s="4" t="str">
        <f>RTD("rtdtrading.rtdserver",, "BOOK0", "OVD", 588)</f>
        <v>Ferramenta Inválida</v>
      </c>
      <c r="D592" s="4" t="str">
        <f>RTD("rtdtrading.rtdserver",, "BOOK0", "VOV", 588)</f>
        <v>Ferramenta Inválida</v>
      </c>
      <c r="F592" s="3"/>
      <c r="G592" s="5"/>
      <c r="H592" s="6"/>
      <c r="I592" s="4"/>
      <c r="K592" s="5"/>
      <c r="L592" s="6"/>
      <c r="N592" s="3"/>
      <c r="O592" s="3"/>
      <c r="P592" s="4"/>
      <c r="Q592" s="4"/>
      <c r="S592" s="3"/>
      <c r="T592" s="3"/>
      <c r="U592" s="4"/>
      <c r="V592" s="4"/>
    </row>
    <row r="593" spans="1:22" x14ac:dyDescent="0.25">
      <c r="A593" s="3" t="str">
        <f>RTD("rtdtrading.rtdserver",, "BOOK0", "VOC", 589)</f>
        <v>Ferramenta Inválida</v>
      </c>
      <c r="B593" s="3" t="str">
        <f>RTD("rtdtrading.rtdserver",, "BOOK0", "OCP", 589)</f>
        <v>Ferramenta Inválida</v>
      </c>
      <c r="C593" s="4" t="str">
        <f>RTD("rtdtrading.rtdserver",, "BOOK0", "OVD", 589)</f>
        <v>Ferramenta Inválida</v>
      </c>
      <c r="D593" s="4" t="str">
        <f>RTD("rtdtrading.rtdserver",, "BOOK0", "VOV", 589)</f>
        <v>Ferramenta Inválida</v>
      </c>
      <c r="F593" s="3"/>
      <c r="G593" s="5"/>
      <c r="H593" s="6"/>
      <c r="I593" s="4"/>
      <c r="K593" s="5"/>
      <c r="L593" s="6"/>
      <c r="N593" s="3"/>
      <c r="O593" s="3"/>
      <c r="P593" s="4"/>
      <c r="Q593" s="4"/>
      <c r="S593" s="3"/>
      <c r="T593" s="3"/>
      <c r="U593" s="4"/>
      <c r="V593" s="4"/>
    </row>
    <row r="594" spans="1:22" x14ac:dyDescent="0.25">
      <c r="A594" s="3" t="str">
        <f>RTD("rtdtrading.rtdserver",, "BOOK0", "VOC", 590)</f>
        <v>Ferramenta Inválida</v>
      </c>
      <c r="B594" s="3" t="str">
        <f>RTD("rtdtrading.rtdserver",, "BOOK0", "OCP", 590)</f>
        <v>Ferramenta Inválida</v>
      </c>
      <c r="C594" s="4" t="str">
        <f>RTD("rtdtrading.rtdserver",, "BOOK0", "OVD", 590)</f>
        <v>Ferramenta Inválida</v>
      </c>
      <c r="D594" s="4" t="str">
        <f>RTD("rtdtrading.rtdserver",, "BOOK0", "VOV", 590)</f>
        <v>Ferramenta Inválida</v>
      </c>
      <c r="F594" s="3"/>
      <c r="G594" s="5"/>
      <c r="H594" s="6"/>
      <c r="I594" s="4"/>
      <c r="K594" s="5"/>
      <c r="L594" s="6"/>
      <c r="N594" s="3"/>
      <c r="O594" s="3"/>
      <c r="P594" s="4"/>
      <c r="Q594" s="4"/>
      <c r="S594" s="3"/>
      <c r="T594" s="3"/>
      <c r="U594" s="4"/>
      <c r="V594" s="4"/>
    </row>
    <row r="595" spans="1:22" x14ac:dyDescent="0.25">
      <c r="A595" s="3" t="str">
        <f>RTD("rtdtrading.rtdserver",, "BOOK0", "VOC", 591)</f>
        <v>Ferramenta Inválida</v>
      </c>
      <c r="B595" s="3" t="str">
        <f>RTD("rtdtrading.rtdserver",, "BOOK0", "OCP", 591)</f>
        <v>Ferramenta Inválida</v>
      </c>
      <c r="C595" s="4" t="str">
        <f>RTD("rtdtrading.rtdserver",, "BOOK0", "OVD", 591)</f>
        <v>Ferramenta Inválida</v>
      </c>
      <c r="D595" s="4" t="str">
        <f>RTD("rtdtrading.rtdserver",, "BOOK0", "VOV", 591)</f>
        <v>Ferramenta Inválida</v>
      </c>
      <c r="F595" s="3"/>
      <c r="G595" s="5"/>
      <c r="H595" s="6"/>
      <c r="I595" s="4"/>
      <c r="K595" s="5"/>
      <c r="L595" s="6"/>
      <c r="N595" s="3"/>
      <c r="O595" s="3"/>
      <c r="P595" s="4"/>
      <c r="Q595" s="4"/>
      <c r="S595" s="3"/>
      <c r="T595" s="3"/>
      <c r="U595" s="4"/>
      <c r="V595" s="4"/>
    </row>
    <row r="596" spans="1:22" x14ac:dyDescent="0.25">
      <c r="A596" s="3" t="str">
        <f>RTD("rtdtrading.rtdserver",, "BOOK0", "VOC", 592)</f>
        <v>Ferramenta Inválida</v>
      </c>
      <c r="B596" s="3" t="str">
        <f>RTD("rtdtrading.rtdserver",, "BOOK0", "OCP", 592)</f>
        <v>Ferramenta Inválida</v>
      </c>
      <c r="C596" s="4" t="str">
        <f>RTD("rtdtrading.rtdserver",, "BOOK0", "OVD", 592)</f>
        <v>Ferramenta Inválida</v>
      </c>
      <c r="D596" s="4" t="str">
        <f>RTD("rtdtrading.rtdserver",, "BOOK0", "VOV", 592)</f>
        <v>Ferramenta Inválida</v>
      </c>
      <c r="F596" s="3"/>
      <c r="G596" s="5"/>
      <c r="H596" s="6"/>
      <c r="I596" s="4"/>
      <c r="K596" s="5"/>
      <c r="L596" s="6"/>
      <c r="N596" s="3"/>
      <c r="O596" s="3"/>
      <c r="P596" s="4"/>
      <c r="Q596" s="4"/>
      <c r="S596" s="3"/>
      <c r="T596" s="3"/>
      <c r="U596" s="4"/>
      <c r="V596" s="4"/>
    </row>
    <row r="597" spans="1:22" x14ac:dyDescent="0.25">
      <c r="A597" s="3" t="str">
        <f>RTD("rtdtrading.rtdserver",, "BOOK0", "VOC", 593)</f>
        <v>Ferramenta Inválida</v>
      </c>
      <c r="B597" s="3" t="str">
        <f>RTD("rtdtrading.rtdserver",, "BOOK0", "OCP", 593)</f>
        <v>Ferramenta Inválida</v>
      </c>
      <c r="C597" s="4" t="str">
        <f>RTD("rtdtrading.rtdserver",, "BOOK0", "OVD", 593)</f>
        <v>Ferramenta Inválida</v>
      </c>
      <c r="D597" s="4" t="str">
        <f>RTD("rtdtrading.rtdserver",, "BOOK0", "VOV", 593)</f>
        <v>Ferramenta Inválida</v>
      </c>
      <c r="F597" s="3"/>
      <c r="G597" s="5"/>
      <c r="H597" s="6"/>
      <c r="I597" s="4"/>
      <c r="K597" s="5"/>
      <c r="L597" s="6"/>
      <c r="N597" s="3"/>
      <c r="O597" s="3"/>
      <c r="P597" s="4"/>
      <c r="Q597" s="4"/>
      <c r="S597" s="3"/>
      <c r="T597" s="3"/>
      <c r="U597" s="4"/>
      <c r="V597" s="4"/>
    </row>
    <row r="598" spans="1:22" x14ac:dyDescent="0.25">
      <c r="A598" s="3" t="str">
        <f>RTD("rtdtrading.rtdserver",, "BOOK0", "VOC", 594)</f>
        <v>Ferramenta Inválida</v>
      </c>
      <c r="B598" s="3" t="str">
        <f>RTD("rtdtrading.rtdserver",, "BOOK0", "OCP", 594)</f>
        <v>Ferramenta Inválida</v>
      </c>
      <c r="C598" s="4" t="str">
        <f>RTD("rtdtrading.rtdserver",, "BOOK0", "OVD", 594)</f>
        <v>Ferramenta Inválida</v>
      </c>
      <c r="D598" s="4" t="str">
        <f>RTD("rtdtrading.rtdserver",, "BOOK0", "VOV", 594)</f>
        <v>Ferramenta Inválida</v>
      </c>
      <c r="F598" s="3"/>
      <c r="G598" s="5"/>
      <c r="H598" s="6"/>
      <c r="I598" s="4"/>
      <c r="K598" s="5"/>
      <c r="L598" s="6"/>
      <c r="N598" s="3"/>
      <c r="O598" s="3"/>
      <c r="P598" s="4"/>
      <c r="Q598" s="4"/>
      <c r="S598" s="3"/>
      <c r="T598" s="3"/>
      <c r="U598" s="4"/>
      <c r="V598" s="4"/>
    </row>
    <row r="599" spans="1:22" x14ac:dyDescent="0.25">
      <c r="A599" s="3" t="str">
        <f>RTD("rtdtrading.rtdserver",, "BOOK0", "VOC", 595)</f>
        <v>Ferramenta Inválida</v>
      </c>
      <c r="B599" s="3" t="str">
        <f>RTD("rtdtrading.rtdserver",, "BOOK0", "OCP", 595)</f>
        <v>Ferramenta Inválida</v>
      </c>
      <c r="C599" s="4" t="str">
        <f>RTD("rtdtrading.rtdserver",, "BOOK0", "OVD", 595)</f>
        <v>Ferramenta Inválida</v>
      </c>
      <c r="D599" s="4" t="str">
        <f>RTD("rtdtrading.rtdserver",, "BOOK0", "VOV", 595)</f>
        <v>Ferramenta Inválida</v>
      </c>
      <c r="F599" s="3"/>
      <c r="G599" s="5"/>
      <c r="H599" s="6"/>
      <c r="I599" s="4"/>
      <c r="K599" s="5"/>
      <c r="L599" s="6"/>
      <c r="N599" s="3"/>
      <c r="O599" s="3"/>
      <c r="P599" s="4"/>
      <c r="Q599" s="4"/>
      <c r="S599" s="3"/>
      <c r="T599" s="3"/>
      <c r="U599" s="4"/>
      <c r="V599" s="4"/>
    </row>
    <row r="600" spans="1:22" x14ac:dyDescent="0.25">
      <c r="A600" s="3" t="str">
        <f>RTD("rtdtrading.rtdserver",, "BOOK0", "VOC", 596)</f>
        <v>Ferramenta Inválida</v>
      </c>
      <c r="B600" s="3" t="str">
        <f>RTD("rtdtrading.rtdserver",, "BOOK0", "OCP", 596)</f>
        <v>Ferramenta Inválida</v>
      </c>
      <c r="C600" s="4" t="str">
        <f>RTD("rtdtrading.rtdserver",, "BOOK0", "OVD", 596)</f>
        <v>Ferramenta Inválida</v>
      </c>
      <c r="D600" s="4" t="str">
        <f>RTD("rtdtrading.rtdserver",, "BOOK0", "VOV", 596)</f>
        <v>Ferramenta Inválida</v>
      </c>
      <c r="F600" s="3"/>
      <c r="G600" s="5"/>
      <c r="H600" s="6"/>
      <c r="I600" s="4"/>
      <c r="K600" s="5"/>
      <c r="L600" s="6"/>
      <c r="N600" s="3"/>
      <c r="O600" s="3"/>
      <c r="P600" s="4"/>
      <c r="Q600" s="4"/>
      <c r="S600" s="3"/>
      <c r="T600" s="3"/>
      <c r="U600" s="4"/>
      <c r="V600" s="4"/>
    </row>
    <row r="601" spans="1:22" x14ac:dyDescent="0.25">
      <c r="A601" s="3" t="str">
        <f>RTD("rtdtrading.rtdserver",, "BOOK0", "VOC", 597)</f>
        <v>Ferramenta Inválida</v>
      </c>
      <c r="B601" s="3" t="str">
        <f>RTD("rtdtrading.rtdserver",, "BOOK0", "OCP", 597)</f>
        <v>Ferramenta Inválida</v>
      </c>
      <c r="C601" s="4" t="str">
        <f>RTD("rtdtrading.rtdserver",, "BOOK0", "OVD", 597)</f>
        <v>Ferramenta Inválida</v>
      </c>
      <c r="D601" s="4" t="str">
        <f>RTD("rtdtrading.rtdserver",, "BOOK0", "VOV", 597)</f>
        <v>Ferramenta Inválida</v>
      </c>
      <c r="F601" s="3"/>
      <c r="G601" s="5"/>
      <c r="H601" s="6"/>
      <c r="I601" s="4"/>
      <c r="K601" s="5"/>
      <c r="L601" s="6"/>
      <c r="N601" s="3"/>
      <c r="O601" s="3"/>
      <c r="P601" s="4"/>
      <c r="Q601" s="4"/>
      <c r="S601" s="3"/>
      <c r="T601" s="3"/>
      <c r="U601" s="4"/>
      <c r="V601" s="4"/>
    </row>
    <row r="602" spans="1:22" x14ac:dyDescent="0.25">
      <c r="A602" s="3" t="str">
        <f>RTD("rtdtrading.rtdserver",, "BOOK0", "VOC", 598)</f>
        <v>Ferramenta Inválida</v>
      </c>
      <c r="B602" s="3" t="str">
        <f>RTD("rtdtrading.rtdserver",, "BOOK0", "OCP", 598)</f>
        <v>Ferramenta Inválida</v>
      </c>
      <c r="C602" s="4" t="str">
        <f>RTD("rtdtrading.rtdserver",, "BOOK0", "OVD", 598)</f>
        <v>Ferramenta Inválida</v>
      </c>
      <c r="D602" s="4" t="str">
        <f>RTD("rtdtrading.rtdserver",, "BOOK0", "VOV", 598)</f>
        <v>Ferramenta Inválida</v>
      </c>
      <c r="F602" s="3"/>
      <c r="G602" s="5"/>
      <c r="H602" s="6"/>
      <c r="I602" s="4"/>
      <c r="K602" s="5"/>
      <c r="L602" s="6"/>
      <c r="N602" s="3"/>
      <c r="O602" s="3"/>
      <c r="P602" s="4"/>
      <c r="Q602" s="4"/>
      <c r="S602" s="3"/>
      <c r="T602" s="3"/>
      <c r="U602" s="4"/>
      <c r="V602" s="4"/>
    </row>
    <row r="603" spans="1:22" x14ac:dyDescent="0.25">
      <c r="A603" s="3" t="str">
        <f>RTD("rtdtrading.rtdserver",, "BOOK0", "VOC", 599)</f>
        <v>Ferramenta Inválida</v>
      </c>
      <c r="B603" s="3" t="str">
        <f>RTD("rtdtrading.rtdserver",, "BOOK0", "OCP", 599)</f>
        <v>Ferramenta Inválida</v>
      </c>
      <c r="C603" s="4" t="str">
        <f>RTD("rtdtrading.rtdserver",, "BOOK0", "OVD", 599)</f>
        <v>Ferramenta Inválida</v>
      </c>
      <c r="D603" s="4" t="str">
        <f>RTD("rtdtrading.rtdserver",, "BOOK0", "VOV", 599)</f>
        <v>Ferramenta Inválida</v>
      </c>
      <c r="F603" s="3"/>
      <c r="G603" s="5"/>
      <c r="H603" s="6"/>
      <c r="I603" s="4"/>
      <c r="K603" s="5"/>
      <c r="L603" s="6"/>
      <c r="N603" s="3"/>
      <c r="O603" s="3"/>
      <c r="P603" s="4"/>
      <c r="Q603" s="4"/>
      <c r="S603" s="3"/>
      <c r="T603" s="3"/>
      <c r="U603" s="4"/>
      <c r="V603" s="4"/>
    </row>
    <row r="604" spans="1:22" x14ac:dyDescent="0.25">
      <c r="A604" s="3" t="str">
        <f>RTD("rtdtrading.rtdserver",, "BOOK0", "VOC", 600)</f>
        <v>Ferramenta Inválida</v>
      </c>
      <c r="B604" s="3" t="str">
        <f>RTD("rtdtrading.rtdserver",, "BOOK0", "OCP", 600)</f>
        <v>Ferramenta Inválida</v>
      </c>
      <c r="C604" s="4" t="str">
        <f>RTD("rtdtrading.rtdserver",, "BOOK0", "OVD", 600)</f>
        <v>Ferramenta Inválida</v>
      </c>
      <c r="D604" s="4" t="str">
        <f>RTD("rtdtrading.rtdserver",, "BOOK0", "VOV", 600)</f>
        <v>Ferramenta Inválida</v>
      </c>
      <c r="F604" s="3"/>
      <c r="G604" s="5"/>
      <c r="H604" s="6"/>
      <c r="I604" s="4"/>
      <c r="K604" s="5"/>
      <c r="L604" s="6"/>
      <c r="N604" s="3"/>
      <c r="O604" s="3"/>
      <c r="P604" s="4"/>
      <c r="Q604" s="4"/>
      <c r="S604" s="3"/>
      <c r="T604" s="3"/>
      <c r="U604" s="4"/>
      <c r="V604" s="4"/>
    </row>
    <row r="605" spans="1:22" x14ac:dyDescent="0.25">
      <c r="A605" s="3" t="str">
        <f>RTD("rtdtrading.rtdserver",, "BOOK0", "VOC", 601)</f>
        <v>Ferramenta Inválida</v>
      </c>
      <c r="B605" s="3" t="str">
        <f>RTD("rtdtrading.rtdserver",, "BOOK0", "OCP", 601)</f>
        <v>Ferramenta Inválida</v>
      </c>
      <c r="C605" s="4" t="str">
        <f>RTD("rtdtrading.rtdserver",, "BOOK0", "OVD", 601)</f>
        <v>Ferramenta Inválida</v>
      </c>
      <c r="D605" s="4" t="str">
        <f>RTD("rtdtrading.rtdserver",, "BOOK0", "VOV", 601)</f>
        <v>Ferramenta Inválida</v>
      </c>
      <c r="F605" s="3"/>
      <c r="G605" s="5"/>
      <c r="H605" s="6"/>
      <c r="I605" s="4"/>
      <c r="K605" s="5"/>
      <c r="L605" s="6"/>
      <c r="N605" s="3"/>
      <c r="O605" s="3"/>
      <c r="P605" s="4"/>
      <c r="Q605" s="4"/>
      <c r="S605" s="3"/>
      <c r="T605" s="3"/>
      <c r="U605" s="4"/>
      <c r="V605" s="4"/>
    </row>
    <row r="606" spans="1:22" x14ac:dyDescent="0.25">
      <c r="A606" s="3" t="str">
        <f>RTD("rtdtrading.rtdserver",, "BOOK0", "VOC", 602)</f>
        <v>Ferramenta Inválida</v>
      </c>
      <c r="B606" s="3" t="str">
        <f>RTD("rtdtrading.rtdserver",, "BOOK0", "OCP", 602)</f>
        <v>Ferramenta Inválida</v>
      </c>
      <c r="C606" s="4" t="str">
        <f>RTD("rtdtrading.rtdserver",, "BOOK0", "OVD", 602)</f>
        <v>Ferramenta Inválida</v>
      </c>
      <c r="D606" s="4" t="str">
        <f>RTD("rtdtrading.rtdserver",, "BOOK0", "VOV", 602)</f>
        <v>Ferramenta Inválida</v>
      </c>
      <c r="F606" s="3"/>
      <c r="G606" s="5"/>
      <c r="H606" s="6"/>
      <c r="I606" s="4"/>
      <c r="K606" s="5"/>
      <c r="L606" s="6"/>
      <c r="N606" s="3"/>
      <c r="O606" s="3"/>
      <c r="P606" s="4"/>
      <c r="Q606" s="4"/>
      <c r="S606" s="3"/>
      <c r="T606" s="3"/>
      <c r="U606" s="4"/>
      <c r="V606" s="4"/>
    </row>
    <row r="607" spans="1:22" x14ac:dyDescent="0.25">
      <c r="A607" s="3" t="str">
        <f>RTD("rtdtrading.rtdserver",, "BOOK0", "VOC", 603)</f>
        <v>Ferramenta Inválida</v>
      </c>
      <c r="B607" s="3" t="str">
        <f>RTD("rtdtrading.rtdserver",, "BOOK0", "OCP", 603)</f>
        <v>Ferramenta Inválida</v>
      </c>
      <c r="C607" s="4" t="str">
        <f>RTD("rtdtrading.rtdserver",, "BOOK0", "OVD", 603)</f>
        <v>Ferramenta Inválida</v>
      </c>
      <c r="D607" s="4" t="str">
        <f>RTD("rtdtrading.rtdserver",, "BOOK0", "VOV", 603)</f>
        <v>Ferramenta Inválida</v>
      </c>
      <c r="F607" s="3"/>
      <c r="G607" s="5"/>
      <c r="H607" s="6"/>
      <c r="I607" s="4"/>
      <c r="K607" s="5"/>
      <c r="L607" s="6"/>
      <c r="N607" s="3"/>
      <c r="O607" s="3"/>
      <c r="P607" s="4"/>
      <c r="Q607" s="4"/>
      <c r="S607" s="3"/>
      <c r="T607" s="3"/>
      <c r="U607" s="4"/>
      <c r="V607" s="4"/>
    </row>
    <row r="608" spans="1:22" x14ac:dyDescent="0.25">
      <c r="A608" s="3" t="str">
        <f>RTD("rtdtrading.rtdserver",, "BOOK0", "VOC", 604)</f>
        <v>Ferramenta Inválida</v>
      </c>
      <c r="B608" s="3" t="str">
        <f>RTD("rtdtrading.rtdserver",, "BOOK0", "OCP", 604)</f>
        <v>Ferramenta Inválida</v>
      </c>
      <c r="C608" s="4" t="str">
        <f>RTD("rtdtrading.rtdserver",, "BOOK0", "OVD", 604)</f>
        <v>Ferramenta Inválida</v>
      </c>
      <c r="D608" s="4" t="str">
        <f>RTD("rtdtrading.rtdserver",, "BOOK0", "VOV", 604)</f>
        <v>Ferramenta Inválida</v>
      </c>
      <c r="F608" s="3"/>
      <c r="G608" s="5"/>
      <c r="H608" s="6"/>
      <c r="I608" s="4"/>
      <c r="K608" s="5"/>
      <c r="L608" s="6"/>
      <c r="N608" s="3"/>
      <c r="O608" s="3"/>
      <c r="P608" s="4"/>
      <c r="Q608" s="4"/>
      <c r="S608" s="3"/>
      <c r="T608" s="3"/>
      <c r="U608" s="4"/>
      <c r="V608" s="4"/>
    </row>
    <row r="609" spans="1:22" x14ac:dyDescent="0.25">
      <c r="A609" s="3" t="str">
        <f>RTD("rtdtrading.rtdserver",, "BOOK0", "VOC", 605)</f>
        <v>Ferramenta Inválida</v>
      </c>
      <c r="B609" s="3" t="str">
        <f>RTD("rtdtrading.rtdserver",, "BOOK0", "OCP", 605)</f>
        <v>Ferramenta Inválida</v>
      </c>
      <c r="C609" s="4" t="str">
        <f>RTD("rtdtrading.rtdserver",, "BOOK0", "OVD", 605)</f>
        <v>Ferramenta Inválida</v>
      </c>
      <c r="D609" s="4" t="str">
        <f>RTD("rtdtrading.rtdserver",, "BOOK0", "VOV", 605)</f>
        <v>Ferramenta Inválida</v>
      </c>
      <c r="F609" s="3"/>
      <c r="G609" s="5"/>
      <c r="H609" s="6"/>
      <c r="I609" s="4"/>
      <c r="K609" s="5"/>
      <c r="L609" s="6"/>
      <c r="N609" s="3"/>
      <c r="O609" s="3"/>
      <c r="P609" s="4"/>
      <c r="Q609" s="4"/>
      <c r="S609" s="3"/>
      <c r="T609" s="3"/>
      <c r="U609" s="4"/>
      <c r="V609" s="4"/>
    </row>
    <row r="610" spans="1:22" x14ac:dyDescent="0.25">
      <c r="A610" s="3" t="str">
        <f>RTD("rtdtrading.rtdserver",, "BOOK0", "VOC", 606)</f>
        <v>Ferramenta Inválida</v>
      </c>
      <c r="B610" s="3" t="str">
        <f>RTD("rtdtrading.rtdserver",, "BOOK0", "OCP", 606)</f>
        <v>Ferramenta Inválida</v>
      </c>
      <c r="C610" s="4" t="str">
        <f>RTD("rtdtrading.rtdserver",, "BOOK0", "OVD", 606)</f>
        <v>Ferramenta Inválida</v>
      </c>
      <c r="D610" s="4" t="str">
        <f>RTD("rtdtrading.rtdserver",, "BOOK0", "VOV", 606)</f>
        <v>Ferramenta Inválida</v>
      </c>
      <c r="F610" s="3"/>
      <c r="G610" s="5"/>
      <c r="H610" s="6"/>
      <c r="I610" s="4"/>
      <c r="K610" s="5"/>
      <c r="L610" s="6"/>
      <c r="N610" s="3"/>
      <c r="O610" s="3"/>
      <c r="P610" s="4"/>
      <c r="Q610" s="4"/>
      <c r="S610" s="3"/>
      <c r="T610" s="3"/>
      <c r="U610" s="4"/>
      <c r="V610" s="4"/>
    </row>
    <row r="611" spans="1:22" x14ac:dyDescent="0.25">
      <c r="A611" s="3" t="str">
        <f>RTD("rtdtrading.rtdserver",, "BOOK0", "VOC", 607)</f>
        <v>Ferramenta Inválida</v>
      </c>
      <c r="B611" s="3" t="str">
        <f>RTD("rtdtrading.rtdserver",, "BOOK0", "OCP", 607)</f>
        <v>Ferramenta Inválida</v>
      </c>
      <c r="C611" s="4" t="str">
        <f>RTD("rtdtrading.rtdserver",, "BOOK0", "OVD", 607)</f>
        <v>Ferramenta Inválida</v>
      </c>
      <c r="D611" s="4" t="str">
        <f>RTD("rtdtrading.rtdserver",, "BOOK0", "VOV", 607)</f>
        <v>Ferramenta Inválida</v>
      </c>
      <c r="F611" s="3"/>
      <c r="G611" s="5"/>
      <c r="H611" s="6"/>
      <c r="I611" s="4"/>
      <c r="K611" s="5"/>
      <c r="L611" s="6"/>
      <c r="N611" s="3"/>
      <c r="O611" s="3"/>
      <c r="P611" s="4"/>
      <c r="Q611" s="4"/>
      <c r="S611" s="3"/>
      <c r="T611" s="3"/>
      <c r="U611" s="4"/>
      <c r="V611" s="4"/>
    </row>
    <row r="612" spans="1:22" x14ac:dyDescent="0.25">
      <c r="A612" s="3" t="str">
        <f>RTD("rtdtrading.rtdserver",, "BOOK0", "VOC", 608)</f>
        <v>Ferramenta Inválida</v>
      </c>
      <c r="B612" s="3" t="str">
        <f>RTD("rtdtrading.rtdserver",, "BOOK0", "OCP", 608)</f>
        <v>Ferramenta Inválida</v>
      </c>
      <c r="C612" s="4" t="str">
        <f>RTD("rtdtrading.rtdserver",, "BOOK0", "OVD", 608)</f>
        <v>Ferramenta Inválida</v>
      </c>
      <c r="D612" s="4" t="str">
        <f>RTD("rtdtrading.rtdserver",, "BOOK0", "VOV", 608)</f>
        <v>Ferramenta Inválida</v>
      </c>
      <c r="F612" s="3"/>
      <c r="G612" s="5"/>
      <c r="H612" s="6"/>
      <c r="I612" s="4"/>
      <c r="K612" s="5"/>
      <c r="L612" s="6"/>
      <c r="N612" s="3"/>
      <c r="O612" s="3"/>
      <c r="P612" s="4"/>
      <c r="Q612" s="4"/>
      <c r="S612" s="3"/>
      <c r="T612" s="3"/>
      <c r="U612" s="4"/>
      <c r="V612" s="4"/>
    </row>
    <row r="613" spans="1:22" x14ac:dyDescent="0.25">
      <c r="A613" s="3" t="str">
        <f>RTD("rtdtrading.rtdserver",, "BOOK0", "VOC", 609)</f>
        <v>Ferramenta Inválida</v>
      </c>
      <c r="B613" s="3" t="str">
        <f>RTD("rtdtrading.rtdserver",, "BOOK0", "OCP", 609)</f>
        <v>Ferramenta Inválida</v>
      </c>
      <c r="C613" s="4" t="str">
        <f>RTD("rtdtrading.rtdserver",, "BOOK0", "OVD", 609)</f>
        <v>Ferramenta Inválida</v>
      </c>
      <c r="D613" s="4" t="str">
        <f>RTD("rtdtrading.rtdserver",, "BOOK0", "VOV", 609)</f>
        <v>Ferramenta Inválida</v>
      </c>
      <c r="F613" s="3"/>
      <c r="G613" s="5"/>
      <c r="H613" s="6"/>
      <c r="I613" s="4"/>
      <c r="K613" s="5"/>
      <c r="L613" s="6"/>
      <c r="N613" s="3"/>
      <c r="O613" s="3"/>
      <c r="P613" s="4"/>
      <c r="Q613" s="4"/>
      <c r="S613" s="3"/>
      <c r="T613" s="3"/>
      <c r="U613" s="4"/>
      <c r="V613" s="4"/>
    </row>
    <row r="614" spans="1:22" x14ac:dyDescent="0.25">
      <c r="A614" s="3" t="str">
        <f>RTD("rtdtrading.rtdserver",, "BOOK0", "VOC", 610)</f>
        <v>Ferramenta Inválida</v>
      </c>
      <c r="B614" s="3" t="str">
        <f>RTD("rtdtrading.rtdserver",, "BOOK0", "OCP", 610)</f>
        <v>Ferramenta Inválida</v>
      </c>
      <c r="C614" s="4" t="str">
        <f>RTD("rtdtrading.rtdserver",, "BOOK0", "OVD", 610)</f>
        <v>Ferramenta Inválida</v>
      </c>
      <c r="D614" s="4" t="str">
        <f>RTD("rtdtrading.rtdserver",, "BOOK0", "VOV", 610)</f>
        <v>Ferramenta Inválida</v>
      </c>
      <c r="F614" s="3"/>
      <c r="G614" s="5"/>
      <c r="H614" s="6"/>
      <c r="I614" s="4"/>
      <c r="K614" s="5"/>
      <c r="L614" s="6"/>
      <c r="N614" s="3"/>
      <c r="O614" s="3"/>
      <c r="P614" s="4"/>
      <c r="Q614" s="4"/>
      <c r="S614" s="3"/>
      <c r="T614" s="3"/>
      <c r="U614" s="4"/>
      <c r="V614" s="4"/>
    </row>
    <row r="615" spans="1:22" x14ac:dyDescent="0.25">
      <c r="A615" s="3" t="str">
        <f>RTD("rtdtrading.rtdserver",, "BOOK0", "VOC", 611)</f>
        <v>Ferramenta Inválida</v>
      </c>
      <c r="B615" s="3" t="str">
        <f>RTD("rtdtrading.rtdserver",, "BOOK0", "OCP", 611)</f>
        <v>Ferramenta Inválida</v>
      </c>
      <c r="C615" s="4" t="str">
        <f>RTD("rtdtrading.rtdserver",, "BOOK0", "OVD", 611)</f>
        <v>Ferramenta Inválida</v>
      </c>
      <c r="D615" s="4" t="str">
        <f>RTD("rtdtrading.rtdserver",, "BOOK0", "VOV", 611)</f>
        <v>Ferramenta Inválida</v>
      </c>
      <c r="F615" s="3"/>
      <c r="G615" s="5"/>
      <c r="H615" s="6"/>
      <c r="I615" s="4"/>
      <c r="K615" s="5"/>
      <c r="L615" s="6"/>
      <c r="N615" s="3"/>
      <c r="O615" s="3"/>
      <c r="P615" s="4"/>
      <c r="Q615" s="4"/>
      <c r="S615" s="3"/>
      <c r="T615" s="3"/>
      <c r="U615" s="4"/>
      <c r="V615" s="4"/>
    </row>
    <row r="616" spans="1:22" x14ac:dyDescent="0.25">
      <c r="A616" s="3" t="str">
        <f>RTD("rtdtrading.rtdserver",, "BOOK0", "VOC", 612)</f>
        <v>Ferramenta Inválida</v>
      </c>
      <c r="B616" s="3" t="str">
        <f>RTD("rtdtrading.rtdserver",, "BOOK0", "OCP", 612)</f>
        <v>Ferramenta Inválida</v>
      </c>
      <c r="C616" s="4" t="str">
        <f>RTD("rtdtrading.rtdserver",, "BOOK0", "OVD", 612)</f>
        <v>Ferramenta Inválida</v>
      </c>
      <c r="D616" s="4" t="str">
        <f>RTD("rtdtrading.rtdserver",, "BOOK0", "VOV", 612)</f>
        <v>Ferramenta Inválida</v>
      </c>
      <c r="F616" s="3"/>
      <c r="G616" s="5"/>
      <c r="H616" s="6"/>
      <c r="I616" s="4"/>
      <c r="K616" s="5"/>
      <c r="L616" s="6"/>
      <c r="N616" s="3"/>
      <c r="O616" s="3"/>
      <c r="P616" s="4"/>
      <c r="Q616" s="4"/>
      <c r="S616" s="3"/>
      <c r="T616" s="3"/>
      <c r="U616" s="4"/>
      <c r="V616" s="4"/>
    </row>
    <row r="617" spans="1:22" x14ac:dyDescent="0.25">
      <c r="A617" s="3" t="str">
        <f>RTD("rtdtrading.rtdserver",, "BOOK0", "VOC", 613)</f>
        <v>Ferramenta Inválida</v>
      </c>
      <c r="B617" s="3" t="str">
        <f>RTD("rtdtrading.rtdserver",, "BOOK0", "OCP", 613)</f>
        <v>Ferramenta Inválida</v>
      </c>
      <c r="C617" s="4" t="str">
        <f>RTD("rtdtrading.rtdserver",, "BOOK0", "OVD", 613)</f>
        <v>Ferramenta Inválida</v>
      </c>
      <c r="D617" s="4" t="str">
        <f>RTD("rtdtrading.rtdserver",, "BOOK0", "VOV", 613)</f>
        <v>Ferramenta Inválida</v>
      </c>
      <c r="F617" s="3"/>
      <c r="G617" s="5"/>
      <c r="H617" s="6"/>
      <c r="I617" s="4"/>
      <c r="K617" s="5"/>
      <c r="L617" s="6"/>
      <c r="N617" s="3"/>
      <c r="O617" s="3"/>
      <c r="P617" s="4"/>
      <c r="Q617" s="4"/>
      <c r="S617" s="3"/>
      <c r="T617" s="3"/>
      <c r="U617" s="4"/>
      <c r="V617" s="4"/>
    </row>
    <row r="618" spans="1:22" x14ac:dyDescent="0.25">
      <c r="A618" s="3" t="str">
        <f>RTD("rtdtrading.rtdserver",, "BOOK0", "VOC", 614)</f>
        <v>Ferramenta Inválida</v>
      </c>
      <c r="B618" s="3" t="str">
        <f>RTD("rtdtrading.rtdserver",, "BOOK0", "OCP", 614)</f>
        <v>Ferramenta Inválida</v>
      </c>
      <c r="C618" s="4" t="str">
        <f>RTD("rtdtrading.rtdserver",, "BOOK0", "OVD", 614)</f>
        <v>Ferramenta Inválida</v>
      </c>
      <c r="D618" s="4" t="str">
        <f>RTD("rtdtrading.rtdserver",, "BOOK0", "VOV", 614)</f>
        <v>Ferramenta Inválida</v>
      </c>
      <c r="F618" s="3"/>
      <c r="G618" s="5"/>
      <c r="H618" s="6"/>
      <c r="I618" s="4"/>
      <c r="K618" s="5"/>
      <c r="L618" s="6"/>
      <c r="N618" s="3"/>
      <c r="O618" s="3"/>
      <c r="P618" s="4"/>
      <c r="Q618" s="4"/>
      <c r="S618" s="3"/>
      <c r="T618" s="3"/>
      <c r="U618" s="4"/>
      <c r="V618" s="4"/>
    </row>
    <row r="619" spans="1:22" x14ac:dyDescent="0.25">
      <c r="A619" s="3" t="str">
        <f>RTD("rtdtrading.rtdserver",, "BOOK0", "VOC", 615)</f>
        <v>Ferramenta Inválida</v>
      </c>
      <c r="B619" s="3" t="str">
        <f>RTD("rtdtrading.rtdserver",, "BOOK0", "OCP", 615)</f>
        <v>Ferramenta Inválida</v>
      </c>
      <c r="C619" s="4" t="str">
        <f>RTD("rtdtrading.rtdserver",, "BOOK0", "OVD", 615)</f>
        <v>Ferramenta Inválida</v>
      </c>
      <c r="D619" s="4" t="str">
        <f>RTD("rtdtrading.rtdserver",, "BOOK0", "VOV", 615)</f>
        <v>Ferramenta Inválida</v>
      </c>
      <c r="F619" s="3"/>
      <c r="G619" s="5"/>
      <c r="H619" s="6"/>
      <c r="I619" s="4"/>
      <c r="K619" s="5"/>
      <c r="L619" s="6"/>
      <c r="N619" s="3"/>
      <c r="O619" s="3"/>
      <c r="P619" s="4"/>
      <c r="Q619" s="4"/>
      <c r="S619" s="3"/>
      <c r="T619" s="3"/>
      <c r="U619" s="4"/>
      <c r="V619" s="4"/>
    </row>
    <row r="620" spans="1:22" x14ac:dyDescent="0.25">
      <c r="A620" s="3" t="str">
        <f>RTD("rtdtrading.rtdserver",, "BOOK0", "VOC", 616)</f>
        <v>Ferramenta Inválida</v>
      </c>
      <c r="B620" s="3" t="str">
        <f>RTD("rtdtrading.rtdserver",, "BOOK0", "OCP", 616)</f>
        <v>Ferramenta Inválida</v>
      </c>
      <c r="C620" s="4" t="str">
        <f>RTD("rtdtrading.rtdserver",, "BOOK0", "OVD", 616)</f>
        <v>Ferramenta Inválida</v>
      </c>
      <c r="D620" s="4" t="str">
        <f>RTD("rtdtrading.rtdserver",, "BOOK0", "VOV", 616)</f>
        <v>Ferramenta Inválida</v>
      </c>
      <c r="F620" s="3"/>
      <c r="G620" s="5"/>
      <c r="H620" s="6"/>
      <c r="I620" s="4"/>
      <c r="K620" s="5"/>
      <c r="L620" s="6"/>
      <c r="N620" s="3"/>
      <c r="O620" s="3"/>
      <c r="P620" s="4"/>
      <c r="Q620" s="4"/>
      <c r="S620" s="3"/>
      <c r="T620" s="3"/>
      <c r="U620" s="4"/>
      <c r="V620" s="4"/>
    </row>
    <row r="621" spans="1:22" x14ac:dyDescent="0.25">
      <c r="A621" s="3" t="str">
        <f>RTD("rtdtrading.rtdserver",, "BOOK0", "VOC", 617)</f>
        <v>Ferramenta Inválida</v>
      </c>
      <c r="B621" s="3" t="str">
        <f>RTD("rtdtrading.rtdserver",, "BOOK0", "OCP", 617)</f>
        <v>Ferramenta Inválida</v>
      </c>
      <c r="C621" s="4" t="str">
        <f>RTD("rtdtrading.rtdserver",, "BOOK0", "OVD", 617)</f>
        <v>Ferramenta Inválida</v>
      </c>
      <c r="D621" s="4" t="str">
        <f>RTD("rtdtrading.rtdserver",, "BOOK0", "VOV", 617)</f>
        <v>Ferramenta Inválida</v>
      </c>
      <c r="F621" s="3"/>
      <c r="G621" s="5"/>
      <c r="H621" s="6"/>
      <c r="I621" s="4"/>
      <c r="K621" s="5"/>
      <c r="L621" s="6"/>
      <c r="N621" s="3"/>
      <c r="O621" s="3"/>
      <c r="P621" s="4"/>
      <c r="Q621" s="4"/>
      <c r="S621" s="3"/>
      <c r="T621" s="3"/>
      <c r="U621" s="4"/>
      <c r="V621" s="4"/>
    </row>
    <row r="622" spans="1:22" x14ac:dyDescent="0.25">
      <c r="A622" s="3" t="str">
        <f>RTD("rtdtrading.rtdserver",, "BOOK0", "VOC", 618)</f>
        <v>Ferramenta Inválida</v>
      </c>
      <c r="B622" s="3" t="str">
        <f>RTD("rtdtrading.rtdserver",, "BOOK0", "OCP", 618)</f>
        <v>Ferramenta Inválida</v>
      </c>
      <c r="C622" s="4" t="str">
        <f>RTD("rtdtrading.rtdserver",, "BOOK0", "OVD", 618)</f>
        <v>Ferramenta Inválida</v>
      </c>
      <c r="D622" s="4" t="str">
        <f>RTD("rtdtrading.rtdserver",, "BOOK0", "VOV", 618)</f>
        <v>Ferramenta Inválida</v>
      </c>
      <c r="F622" s="3"/>
      <c r="G622" s="5"/>
      <c r="H622" s="6"/>
      <c r="I622" s="4"/>
      <c r="K622" s="5"/>
      <c r="L622" s="6"/>
      <c r="N622" s="3"/>
      <c r="O622" s="3"/>
      <c r="P622" s="4"/>
      <c r="Q622" s="4"/>
      <c r="S622" s="3"/>
      <c r="T622" s="3"/>
      <c r="U622" s="4"/>
      <c r="V622" s="4"/>
    </row>
    <row r="623" spans="1:22" x14ac:dyDescent="0.25">
      <c r="A623" s="3" t="str">
        <f>RTD("rtdtrading.rtdserver",, "BOOK0", "VOC", 619)</f>
        <v>Ferramenta Inválida</v>
      </c>
      <c r="B623" s="3" t="str">
        <f>RTD("rtdtrading.rtdserver",, "BOOK0", "OCP", 619)</f>
        <v>Ferramenta Inválida</v>
      </c>
      <c r="C623" s="4" t="str">
        <f>RTD("rtdtrading.rtdserver",, "BOOK0", "OVD", 619)</f>
        <v>Ferramenta Inválida</v>
      </c>
      <c r="D623" s="4" t="str">
        <f>RTD("rtdtrading.rtdserver",, "BOOK0", "VOV", 619)</f>
        <v>Ferramenta Inválida</v>
      </c>
      <c r="F623" s="3"/>
      <c r="G623" s="5"/>
      <c r="H623" s="6"/>
      <c r="I623" s="4"/>
      <c r="K623" s="5"/>
      <c r="L623" s="6"/>
      <c r="N623" s="3"/>
      <c r="O623" s="3"/>
      <c r="P623" s="4"/>
      <c r="Q623" s="4"/>
      <c r="S623" s="3"/>
      <c r="T623" s="3"/>
      <c r="U623" s="4"/>
      <c r="V623" s="4"/>
    </row>
    <row r="624" spans="1:22" x14ac:dyDescent="0.25">
      <c r="A624" s="3" t="str">
        <f>RTD("rtdtrading.rtdserver",, "BOOK0", "VOC", 620)</f>
        <v>Ferramenta Inválida</v>
      </c>
      <c r="B624" s="3" t="str">
        <f>RTD("rtdtrading.rtdserver",, "BOOK0", "OCP", 620)</f>
        <v>Ferramenta Inválida</v>
      </c>
      <c r="C624" s="4" t="str">
        <f>RTD("rtdtrading.rtdserver",, "BOOK0", "OVD", 620)</f>
        <v>Ferramenta Inválida</v>
      </c>
      <c r="D624" s="4" t="str">
        <f>RTD("rtdtrading.rtdserver",, "BOOK0", "VOV", 620)</f>
        <v>Ferramenta Inválida</v>
      </c>
      <c r="F624" s="3"/>
      <c r="G624" s="5"/>
      <c r="H624" s="6"/>
      <c r="I624" s="4"/>
      <c r="K624" s="5"/>
      <c r="L624" s="6"/>
      <c r="N624" s="3"/>
      <c r="O624" s="3"/>
      <c r="P624" s="4"/>
      <c r="Q624" s="4"/>
      <c r="S624" s="3"/>
      <c r="T624" s="3"/>
      <c r="U624" s="4"/>
      <c r="V624" s="4"/>
    </row>
    <row r="625" spans="1:22" x14ac:dyDescent="0.25">
      <c r="A625" s="3" t="str">
        <f>RTD("rtdtrading.rtdserver",, "BOOK0", "VOC", 621)</f>
        <v>Ferramenta Inválida</v>
      </c>
      <c r="B625" s="3" t="str">
        <f>RTD("rtdtrading.rtdserver",, "BOOK0", "OCP", 621)</f>
        <v>Ferramenta Inválida</v>
      </c>
      <c r="C625" s="4" t="str">
        <f>RTD("rtdtrading.rtdserver",, "BOOK0", "OVD", 621)</f>
        <v>Ferramenta Inválida</v>
      </c>
      <c r="D625" s="4" t="str">
        <f>RTD("rtdtrading.rtdserver",, "BOOK0", "VOV", 621)</f>
        <v>Ferramenta Inválida</v>
      </c>
      <c r="F625" s="3"/>
      <c r="G625" s="5"/>
      <c r="H625" s="6"/>
      <c r="I625" s="4"/>
      <c r="K625" s="5"/>
      <c r="L625" s="6"/>
      <c r="N625" s="3"/>
      <c r="O625" s="3"/>
      <c r="P625" s="4"/>
      <c r="Q625" s="4"/>
      <c r="S625" s="3"/>
      <c r="T625" s="3"/>
      <c r="U625" s="4"/>
      <c r="V625" s="4"/>
    </row>
    <row r="626" spans="1:22" x14ac:dyDescent="0.25">
      <c r="A626" s="3" t="str">
        <f>RTD("rtdtrading.rtdserver",, "BOOK0", "VOC", 622)</f>
        <v>Ferramenta Inválida</v>
      </c>
      <c r="B626" s="3" t="str">
        <f>RTD("rtdtrading.rtdserver",, "BOOK0", "OCP", 622)</f>
        <v>Ferramenta Inválida</v>
      </c>
      <c r="C626" s="4" t="str">
        <f>RTD("rtdtrading.rtdserver",, "BOOK0", "OVD", 622)</f>
        <v>Ferramenta Inválida</v>
      </c>
      <c r="D626" s="4" t="str">
        <f>RTD("rtdtrading.rtdserver",, "BOOK0", "VOV", 622)</f>
        <v>Ferramenta Inválida</v>
      </c>
      <c r="F626" s="3"/>
      <c r="G626" s="5"/>
      <c r="H626" s="6"/>
      <c r="I626" s="4"/>
      <c r="K626" s="5"/>
      <c r="L626" s="6"/>
      <c r="N626" s="3"/>
      <c r="O626" s="3"/>
      <c r="P626" s="4"/>
      <c r="Q626" s="4"/>
      <c r="S626" s="3"/>
      <c r="T626" s="3"/>
      <c r="U626" s="4"/>
      <c r="V626" s="4"/>
    </row>
    <row r="627" spans="1:22" x14ac:dyDescent="0.25">
      <c r="A627" s="3" t="str">
        <f>RTD("rtdtrading.rtdserver",, "BOOK0", "VOC", 623)</f>
        <v>Ferramenta Inválida</v>
      </c>
      <c r="B627" s="3" t="str">
        <f>RTD("rtdtrading.rtdserver",, "BOOK0", "OCP", 623)</f>
        <v>Ferramenta Inválida</v>
      </c>
      <c r="C627" s="4" t="str">
        <f>RTD("rtdtrading.rtdserver",, "BOOK0", "OVD", 623)</f>
        <v>Ferramenta Inválida</v>
      </c>
      <c r="D627" s="4" t="str">
        <f>RTD("rtdtrading.rtdserver",, "BOOK0", "VOV", 623)</f>
        <v>Ferramenta Inválida</v>
      </c>
      <c r="F627" s="3"/>
      <c r="G627" s="5"/>
      <c r="H627" s="6"/>
      <c r="I627" s="4"/>
      <c r="K627" s="5"/>
      <c r="L627" s="6"/>
      <c r="N627" s="3"/>
      <c r="O627" s="3"/>
      <c r="P627" s="4"/>
      <c r="Q627" s="4"/>
      <c r="S627" s="3"/>
      <c r="T627" s="3"/>
      <c r="U627" s="4"/>
      <c r="V627" s="4"/>
    </row>
    <row r="628" spans="1:22" x14ac:dyDescent="0.25">
      <c r="A628" s="3" t="str">
        <f>RTD("rtdtrading.rtdserver",, "BOOK0", "VOC", 624)</f>
        <v>Ferramenta Inválida</v>
      </c>
      <c r="B628" s="3" t="str">
        <f>RTD("rtdtrading.rtdserver",, "BOOK0", "OCP", 624)</f>
        <v>Ferramenta Inválida</v>
      </c>
      <c r="C628" s="4" t="str">
        <f>RTD("rtdtrading.rtdserver",, "BOOK0", "OVD", 624)</f>
        <v>Ferramenta Inválida</v>
      </c>
      <c r="D628" s="4" t="str">
        <f>RTD("rtdtrading.rtdserver",, "BOOK0", "VOV", 624)</f>
        <v>Ferramenta Inválida</v>
      </c>
      <c r="F628" s="3"/>
      <c r="G628" s="5"/>
      <c r="H628" s="6"/>
      <c r="I628" s="4"/>
      <c r="K628" s="5"/>
      <c r="L628" s="6"/>
      <c r="N628" s="3"/>
      <c r="O628" s="3"/>
      <c r="P628" s="4"/>
      <c r="Q628" s="4"/>
      <c r="S628" s="3"/>
      <c r="T628" s="3"/>
      <c r="U628" s="4"/>
      <c r="V628" s="4"/>
    </row>
    <row r="629" spans="1:22" x14ac:dyDescent="0.25">
      <c r="A629" s="3" t="str">
        <f>RTD("rtdtrading.rtdserver",, "BOOK0", "VOC", 625)</f>
        <v>Ferramenta Inválida</v>
      </c>
      <c r="B629" s="3" t="str">
        <f>RTD("rtdtrading.rtdserver",, "BOOK0", "OCP", 625)</f>
        <v>Ferramenta Inválida</v>
      </c>
      <c r="C629" s="4" t="str">
        <f>RTD("rtdtrading.rtdserver",, "BOOK0", "OVD", 625)</f>
        <v>Ferramenta Inválida</v>
      </c>
      <c r="D629" s="4" t="str">
        <f>RTD("rtdtrading.rtdserver",, "BOOK0", "VOV", 625)</f>
        <v>Ferramenta Inválida</v>
      </c>
      <c r="F629" s="3"/>
      <c r="G629" s="5"/>
      <c r="H629" s="6"/>
      <c r="I629" s="4"/>
      <c r="K629" s="5"/>
      <c r="L629" s="6"/>
      <c r="N629" s="3"/>
      <c r="O629" s="3"/>
      <c r="P629" s="4"/>
      <c r="Q629" s="4"/>
      <c r="S629" s="3"/>
      <c r="T629" s="3"/>
      <c r="U629" s="4"/>
      <c r="V629" s="4"/>
    </row>
    <row r="630" spans="1:22" x14ac:dyDescent="0.25">
      <c r="A630" s="3" t="str">
        <f>RTD("rtdtrading.rtdserver",, "BOOK0", "VOC", 626)</f>
        <v>Ferramenta Inválida</v>
      </c>
      <c r="B630" s="3" t="str">
        <f>RTD("rtdtrading.rtdserver",, "BOOK0", "OCP", 626)</f>
        <v>Ferramenta Inválida</v>
      </c>
      <c r="C630" s="4" t="str">
        <f>RTD("rtdtrading.rtdserver",, "BOOK0", "OVD", 626)</f>
        <v>Ferramenta Inválida</v>
      </c>
      <c r="D630" s="4" t="str">
        <f>RTD("rtdtrading.rtdserver",, "BOOK0", "VOV", 626)</f>
        <v>Ferramenta Inválida</v>
      </c>
      <c r="F630" s="3"/>
      <c r="G630" s="5"/>
      <c r="H630" s="6"/>
      <c r="I630" s="4"/>
      <c r="K630" s="5"/>
      <c r="L630" s="6"/>
      <c r="N630" s="3"/>
      <c r="O630" s="3"/>
      <c r="P630" s="4"/>
      <c r="Q630" s="4"/>
      <c r="S630" s="3"/>
      <c r="T630" s="3"/>
      <c r="U630" s="4"/>
      <c r="V630" s="4"/>
    </row>
    <row r="631" spans="1:22" x14ac:dyDescent="0.25">
      <c r="A631" s="3" t="str">
        <f>RTD("rtdtrading.rtdserver",, "BOOK0", "VOC", 627)</f>
        <v>Ferramenta Inválida</v>
      </c>
      <c r="B631" s="3" t="str">
        <f>RTD("rtdtrading.rtdserver",, "BOOK0", "OCP", 627)</f>
        <v>Ferramenta Inválida</v>
      </c>
      <c r="C631" s="4" t="str">
        <f>RTD("rtdtrading.rtdserver",, "BOOK0", "OVD", 627)</f>
        <v>Ferramenta Inválida</v>
      </c>
      <c r="D631" s="4" t="str">
        <f>RTD("rtdtrading.rtdserver",, "BOOK0", "VOV", 627)</f>
        <v>Ferramenta Inválida</v>
      </c>
      <c r="F631" s="3"/>
      <c r="G631" s="5"/>
      <c r="H631" s="6"/>
      <c r="I631" s="4"/>
      <c r="K631" s="5"/>
      <c r="L631" s="6"/>
      <c r="N631" s="3"/>
      <c r="O631" s="3"/>
      <c r="P631" s="4"/>
      <c r="Q631" s="4"/>
      <c r="S631" s="3"/>
      <c r="T631" s="3"/>
      <c r="U631" s="4"/>
      <c r="V631" s="4"/>
    </row>
    <row r="632" spans="1:22" x14ac:dyDescent="0.25">
      <c r="A632" s="3" t="str">
        <f>RTD("rtdtrading.rtdserver",, "BOOK0", "VOC", 628)</f>
        <v>Ferramenta Inválida</v>
      </c>
      <c r="B632" s="3" t="str">
        <f>RTD("rtdtrading.rtdserver",, "BOOK0", "OCP", 628)</f>
        <v>Ferramenta Inválida</v>
      </c>
      <c r="C632" s="4" t="str">
        <f>RTD("rtdtrading.rtdserver",, "BOOK0", "OVD", 628)</f>
        <v>Ferramenta Inválida</v>
      </c>
      <c r="D632" s="4" t="str">
        <f>RTD("rtdtrading.rtdserver",, "BOOK0", "VOV", 628)</f>
        <v>Ferramenta Inválida</v>
      </c>
      <c r="F632" s="3"/>
      <c r="G632" s="5"/>
      <c r="H632" s="6"/>
      <c r="I632" s="4"/>
      <c r="K632" s="5"/>
      <c r="L632" s="6"/>
      <c r="N632" s="3"/>
      <c r="O632" s="3"/>
      <c r="P632" s="4"/>
      <c r="Q632" s="4"/>
      <c r="S632" s="3"/>
      <c r="T632" s="3"/>
      <c r="U632" s="4"/>
      <c r="V632" s="4"/>
    </row>
    <row r="633" spans="1:22" x14ac:dyDescent="0.25">
      <c r="A633" s="3" t="str">
        <f>RTD("rtdtrading.rtdserver",, "BOOK0", "VOC", 629)</f>
        <v>Ferramenta Inválida</v>
      </c>
      <c r="B633" s="3" t="str">
        <f>RTD("rtdtrading.rtdserver",, "BOOK0", "OCP", 629)</f>
        <v>Ferramenta Inválida</v>
      </c>
      <c r="C633" s="4" t="str">
        <f>RTD("rtdtrading.rtdserver",, "BOOK0", "OVD", 629)</f>
        <v>Ferramenta Inválida</v>
      </c>
      <c r="D633" s="4" t="str">
        <f>RTD("rtdtrading.rtdserver",, "BOOK0", "VOV", 629)</f>
        <v>Ferramenta Inválida</v>
      </c>
      <c r="F633" s="3"/>
      <c r="G633" s="5"/>
      <c r="H633" s="6"/>
      <c r="I633" s="4"/>
      <c r="K633" s="5"/>
      <c r="L633" s="6"/>
      <c r="N633" s="3"/>
      <c r="O633" s="3"/>
      <c r="P633" s="4"/>
      <c r="Q633" s="4"/>
      <c r="S633" s="3"/>
      <c r="T633" s="3"/>
      <c r="U633" s="4"/>
      <c r="V633" s="4"/>
    </row>
    <row r="634" spans="1:22" x14ac:dyDescent="0.25">
      <c r="A634" s="3" t="str">
        <f>RTD("rtdtrading.rtdserver",, "BOOK0", "VOC", 630)</f>
        <v>Ferramenta Inválida</v>
      </c>
      <c r="B634" s="3" t="str">
        <f>RTD("rtdtrading.rtdserver",, "BOOK0", "OCP", 630)</f>
        <v>Ferramenta Inválida</v>
      </c>
      <c r="C634" s="4" t="str">
        <f>RTD("rtdtrading.rtdserver",, "BOOK0", "OVD", 630)</f>
        <v>Ferramenta Inválida</v>
      </c>
      <c r="D634" s="4" t="str">
        <f>RTD("rtdtrading.rtdserver",, "BOOK0", "VOV", 630)</f>
        <v>Ferramenta Inválida</v>
      </c>
      <c r="F634" s="3"/>
      <c r="G634" s="5"/>
      <c r="H634" s="6"/>
      <c r="I634" s="4"/>
      <c r="K634" s="5"/>
      <c r="L634" s="6"/>
      <c r="N634" s="3"/>
      <c r="O634" s="3"/>
      <c r="P634" s="4"/>
      <c r="Q634" s="4"/>
      <c r="S634" s="3"/>
      <c r="T634" s="3"/>
      <c r="U634" s="4"/>
      <c r="V634" s="4"/>
    </row>
    <row r="635" spans="1:22" x14ac:dyDescent="0.25">
      <c r="A635" s="3" t="str">
        <f>RTD("rtdtrading.rtdserver",, "BOOK0", "VOC", 631)</f>
        <v>Ferramenta Inválida</v>
      </c>
      <c r="B635" s="3" t="str">
        <f>RTD("rtdtrading.rtdserver",, "BOOK0", "OCP", 631)</f>
        <v>Ferramenta Inválida</v>
      </c>
      <c r="C635" s="4" t="str">
        <f>RTD("rtdtrading.rtdserver",, "BOOK0", "OVD", 631)</f>
        <v>Ferramenta Inválida</v>
      </c>
      <c r="D635" s="4" t="str">
        <f>RTD("rtdtrading.rtdserver",, "BOOK0", "VOV", 631)</f>
        <v>Ferramenta Inválida</v>
      </c>
      <c r="F635" s="3"/>
      <c r="G635" s="5"/>
      <c r="H635" s="6"/>
      <c r="I635" s="4"/>
      <c r="K635" s="5"/>
      <c r="L635" s="6"/>
      <c r="N635" s="3"/>
      <c r="O635" s="3"/>
      <c r="P635" s="4"/>
      <c r="Q635" s="4"/>
      <c r="S635" s="3"/>
      <c r="T635" s="3"/>
      <c r="U635" s="4"/>
      <c r="V635" s="4"/>
    </row>
    <row r="636" spans="1:22" x14ac:dyDescent="0.25">
      <c r="A636" s="3" t="str">
        <f>RTD("rtdtrading.rtdserver",, "BOOK0", "VOC", 632)</f>
        <v>Ferramenta Inválida</v>
      </c>
      <c r="B636" s="3" t="str">
        <f>RTD("rtdtrading.rtdserver",, "BOOK0", "OCP", 632)</f>
        <v>Ferramenta Inválida</v>
      </c>
      <c r="C636" s="4" t="str">
        <f>RTD("rtdtrading.rtdserver",, "BOOK0", "OVD", 632)</f>
        <v>Ferramenta Inválida</v>
      </c>
      <c r="D636" s="4" t="str">
        <f>RTD("rtdtrading.rtdserver",, "BOOK0", "VOV", 632)</f>
        <v>Ferramenta Inválida</v>
      </c>
      <c r="F636" s="3"/>
      <c r="G636" s="5"/>
      <c r="H636" s="6"/>
      <c r="I636" s="4"/>
      <c r="K636" s="5"/>
      <c r="L636" s="6"/>
      <c r="N636" s="3"/>
      <c r="O636" s="3"/>
      <c r="P636" s="4"/>
      <c r="Q636" s="4"/>
      <c r="S636" s="3"/>
      <c r="T636" s="3"/>
      <c r="U636" s="4"/>
      <c r="V636" s="4"/>
    </row>
    <row r="637" spans="1:22" x14ac:dyDescent="0.25">
      <c r="A637" s="3" t="str">
        <f>RTD("rtdtrading.rtdserver",, "BOOK0", "VOC", 633)</f>
        <v>Ferramenta Inválida</v>
      </c>
      <c r="B637" s="3" t="str">
        <f>RTD("rtdtrading.rtdserver",, "BOOK0", "OCP", 633)</f>
        <v>Ferramenta Inválida</v>
      </c>
      <c r="C637" s="4" t="str">
        <f>RTD("rtdtrading.rtdserver",, "BOOK0", "OVD", 633)</f>
        <v>Ferramenta Inválida</v>
      </c>
      <c r="D637" s="4" t="str">
        <f>RTD("rtdtrading.rtdserver",, "BOOK0", "VOV", 633)</f>
        <v>Ferramenta Inválida</v>
      </c>
      <c r="F637" s="3"/>
      <c r="G637" s="5"/>
      <c r="H637" s="6"/>
      <c r="I637" s="4"/>
      <c r="K637" s="5"/>
      <c r="L637" s="6"/>
      <c r="N637" s="3"/>
      <c r="O637" s="3"/>
      <c r="P637" s="4"/>
      <c r="Q637" s="4"/>
      <c r="S637" s="3"/>
      <c r="T637" s="3"/>
      <c r="U637" s="4"/>
      <c r="V637" s="4"/>
    </row>
    <row r="638" spans="1:22" x14ac:dyDescent="0.25">
      <c r="A638" s="3" t="str">
        <f>RTD("rtdtrading.rtdserver",, "BOOK0", "VOC", 634)</f>
        <v>Ferramenta Inválida</v>
      </c>
      <c r="B638" s="3" t="str">
        <f>RTD("rtdtrading.rtdserver",, "BOOK0", "OCP", 634)</f>
        <v>Ferramenta Inválida</v>
      </c>
      <c r="C638" s="4" t="str">
        <f>RTD("rtdtrading.rtdserver",, "BOOK0", "OVD", 634)</f>
        <v>Ferramenta Inválida</v>
      </c>
      <c r="D638" s="4" t="str">
        <f>RTD("rtdtrading.rtdserver",, "BOOK0", "VOV", 634)</f>
        <v>Ferramenta Inválida</v>
      </c>
      <c r="F638" s="3"/>
      <c r="G638" s="5"/>
      <c r="H638" s="6"/>
      <c r="I638" s="4"/>
      <c r="K638" s="5"/>
      <c r="L638" s="6"/>
      <c r="N638" s="3"/>
      <c r="O638" s="3"/>
      <c r="P638" s="4"/>
      <c r="Q638" s="4"/>
      <c r="S638" s="3"/>
      <c r="T638" s="3"/>
      <c r="U638" s="4"/>
      <c r="V638" s="4"/>
    </row>
    <row r="639" spans="1:22" x14ac:dyDescent="0.25">
      <c r="A639" s="3" t="str">
        <f>RTD("rtdtrading.rtdserver",, "BOOK0", "VOC", 635)</f>
        <v>Ferramenta Inválida</v>
      </c>
      <c r="B639" s="3" t="str">
        <f>RTD("rtdtrading.rtdserver",, "BOOK0", "OCP", 635)</f>
        <v>Ferramenta Inválida</v>
      </c>
      <c r="C639" s="4" t="str">
        <f>RTD("rtdtrading.rtdserver",, "BOOK0", "OVD", 635)</f>
        <v>Ferramenta Inválida</v>
      </c>
      <c r="D639" s="4" t="str">
        <f>RTD("rtdtrading.rtdserver",, "BOOK0", "VOV", 635)</f>
        <v>Ferramenta Inválida</v>
      </c>
      <c r="F639" s="3"/>
      <c r="G639" s="5"/>
      <c r="H639" s="6"/>
      <c r="I639" s="4"/>
      <c r="K639" s="5"/>
      <c r="L639" s="6"/>
      <c r="N639" s="3"/>
      <c r="O639" s="3"/>
      <c r="P639" s="4"/>
      <c r="Q639" s="4"/>
      <c r="S639" s="3"/>
      <c r="T639" s="3"/>
      <c r="U639" s="4"/>
      <c r="V639" s="4"/>
    </row>
    <row r="640" spans="1:22" x14ac:dyDescent="0.25">
      <c r="A640" s="3" t="str">
        <f>RTD("rtdtrading.rtdserver",, "BOOK0", "VOC", 636)</f>
        <v>Ferramenta Inválida</v>
      </c>
      <c r="B640" s="3" t="str">
        <f>RTD("rtdtrading.rtdserver",, "BOOK0", "OCP", 636)</f>
        <v>Ferramenta Inválida</v>
      </c>
      <c r="C640" s="4" t="str">
        <f>RTD("rtdtrading.rtdserver",, "BOOK0", "OVD", 636)</f>
        <v>Ferramenta Inválida</v>
      </c>
      <c r="D640" s="4" t="str">
        <f>RTD("rtdtrading.rtdserver",, "BOOK0", "VOV", 636)</f>
        <v>Ferramenta Inválida</v>
      </c>
      <c r="F640" s="3"/>
      <c r="G640" s="5"/>
      <c r="H640" s="6"/>
      <c r="I640" s="4"/>
      <c r="K640" s="5"/>
      <c r="L640" s="6"/>
      <c r="N640" s="3"/>
      <c r="O640" s="3"/>
      <c r="P640" s="4"/>
      <c r="Q640" s="4"/>
      <c r="S640" s="3"/>
      <c r="T640" s="3"/>
      <c r="U640" s="4"/>
      <c r="V640" s="4"/>
    </row>
    <row r="641" spans="1:22" x14ac:dyDescent="0.25">
      <c r="A641" s="3" t="str">
        <f>RTD("rtdtrading.rtdserver",, "BOOK0", "VOC", 637)</f>
        <v>Ferramenta Inválida</v>
      </c>
      <c r="B641" s="3" t="str">
        <f>RTD("rtdtrading.rtdserver",, "BOOK0", "OCP", 637)</f>
        <v>Ferramenta Inválida</v>
      </c>
      <c r="C641" s="4" t="str">
        <f>RTD("rtdtrading.rtdserver",, "BOOK0", "OVD", 637)</f>
        <v>Ferramenta Inválida</v>
      </c>
      <c r="D641" s="4" t="str">
        <f>RTD("rtdtrading.rtdserver",, "BOOK0", "VOV", 637)</f>
        <v>Ferramenta Inválida</v>
      </c>
      <c r="F641" s="3"/>
      <c r="G641" s="5"/>
      <c r="H641" s="6"/>
      <c r="I641" s="4"/>
      <c r="K641" s="5"/>
      <c r="L641" s="6"/>
      <c r="N641" s="3"/>
      <c r="O641" s="3"/>
      <c r="P641" s="4"/>
      <c r="Q641" s="4"/>
      <c r="S641" s="3"/>
      <c r="T641" s="3"/>
      <c r="U641" s="4"/>
      <c r="V641" s="4"/>
    </row>
    <row r="642" spans="1:22" x14ac:dyDescent="0.25">
      <c r="A642" s="3" t="str">
        <f>RTD("rtdtrading.rtdserver",, "BOOK0", "VOC", 638)</f>
        <v>Ferramenta Inválida</v>
      </c>
      <c r="B642" s="3" t="str">
        <f>RTD("rtdtrading.rtdserver",, "BOOK0", "OCP", 638)</f>
        <v>Ferramenta Inválida</v>
      </c>
      <c r="C642" s="4" t="str">
        <f>RTD("rtdtrading.rtdserver",, "BOOK0", "OVD", 638)</f>
        <v>Ferramenta Inválida</v>
      </c>
      <c r="D642" s="4" t="str">
        <f>RTD("rtdtrading.rtdserver",, "BOOK0", "VOV", 638)</f>
        <v>Ferramenta Inválida</v>
      </c>
      <c r="F642" s="3"/>
      <c r="G642" s="5"/>
      <c r="H642" s="6"/>
      <c r="I642" s="4"/>
      <c r="K642" s="5"/>
      <c r="L642" s="6"/>
      <c r="N642" s="3"/>
      <c r="O642" s="3"/>
      <c r="P642" s="4"/>
      <c r="Q642" s="4"/>
      <c r="S642" s="3"/>
      <c r="T642" s="3"/>
      <c r="U642" s="4"/>
      <c r="V642" s="4"/>
    </row>
    <row r="643" spans="1:22" x14ac:dyDescent="0.25">
      <c r="A643" s="3" t="str">
        <f>RTD("rtdtrading.rtdserver",, "BOOK0", "VOC", 639)</f>
        <v>Ferramenta Inválida</v>
      </c>
      <c r="B643" s="3" t="str">
        <f>RTD("rtdtrading.rtdserver",, "BOOK0", "OCP", 639)</f>
        <v>Ferramenta Inválida</v>
      </c>
      <c r="C643" s="4" t="str">
        <f>RTD("rtdtrading.rtdserver",, "BOOK0", "OVD", 639)</f>
        <v>Ferramenta Inválida</v>
      </c>
      <c r="D643" s="4" t="str">
        <f>RTD("rtdtrading.rtdserver",, "BOOK0", "VOV", 639)</f>
        <v>Ferramenta Inválida</v>
      </c>
      <c r="F643" s="3"/>
      <c r="G643" s="5"/>
      <c r="H643" s="6"/>
      <c r="I643" s="4"/>
      <c r="K643" s="5"/>
      <c r="L643" s="6"/>
      <c r="N643" s="3"/>
      <c r="O643" s="3"/>
      <c r="P643" s="4"/>
      <c r="Q643" s="4"/>
      <c r="S643" s="3"/>
      <c r="T643" s="3"/>
      <c r="U643" s="4"/>
      <c r="V643" s="4"/>
    </row>
    <row r="644" spans="1:22" x14ac:dyDescent="0.25">
      <c r="A644" s="3" t="str">
        <f>RTD("rtdtrading.rtdserver",, "BOOK0", "VOC", 640)</f>
        <v>Ferramenta Inválida</v>
      </c>
      <c r="B644" s="3" t="str">
        <f>RTD("rtdtrading.rtdserver",, "BOOK0", "OCP", 640)</f>
        <v>Ferramenta Inválida</v>
      </c>
      <c r="C644" s="4" t="str">
        <f>RTD("rtdtrading.rtdserver",, "BOOK0", "OVD", 640)</f>
        <v>Ferramenta Inválida</v>
      </c>
      <c r="D644" s="4" t="str">
        <f>RTD("rtdtrading.rtdserver",, "BOOK0", "VOV", 640)</f>
        <v>Ferramenta Inválida</v>
      </c>
      <c r="F644" s="3"/>
      <c r="G644" s="5"/>
      <c r="H644" s="6"/>
      <c r="I644" s="4"/>
      <c r="K644" s="5"/>
      <c r="L644" s="6"/>
      <c r="N644" s="3"/>
      <c r="O644" s="3"/>
      <c r="P644" s="4"/>
      <c r="Q644" s="4"/>
      <c r="S644" s="3"/>
      <c r="T644" s="3"/>
      <c r="U644" s="4"/>
      <c r="V644" s="4"/>
    </row>
    <row r="645" spans="1:22" x14ac:dyDescent="0.25">
      <c r="A645" s="3" t="str">
        <f>RTD("rtdtrading.rtdserver",, "BOOK0", "VOC", 641)</f>
        <v>Ferramenta Inválida</v>
      </c>
      <c r="B645" s="3" t="str">
        <f>RTD("rtdtrading.rtdserver",, "BOOK0", "OCP", 641)</f>
        <v>Ferramenta Inválida</v>
      </c>
      <c r="C645" s="4" t="str">
        <f>RTD("rtdtrading.rtdserver",, "BOOK0", "OVD", 641)</f>
        <v>Ferramenta Inválida</v>
      </c>
      <c r="D645" s="4" t="str">
        <f>RTD("rtdtrading.rtdserver",, "BOOK0", "VOV", 641)</f>
        <v>Ferramenta Inválida</v>
      </c>
      <c r="F645" s="3"/>
      <c r="G645" s="5"/>
      <c r="H645" s="6"/>
      <c r="I645" s="4"/>
      <c r="K645" s="5"/>
      <c r="L645" s="6"/>
      <c r="N645" s="3"/>
      <c r="O645" s="3"/>
      <c r="P645" s="4"/>
      <c r="Q645" s="4"/>
      <c r="S645" s="3"/>
      <c r="T645" s="3"/>
      <c r="U645" s="4"/>
      <c r="V645" s="4"/>
    </row>
    <row r="646" spans="1:22" x14ac:dyDescent="0.25">
      <c r="A646" s="3" t="str">
        <f>RTD("rtdtrading.rtdserver",, "BOOK0", "VOC", 642)</f>
        <v>Ferramenta Inválida</v>
      </c>
      <c r="B646" s="3" t="str">
        <f>RTD("rtdtrading.rtdserver",, "BOOK0", "OCP", 642)</f>
        <v>Ferramenta Inválida</v>
      </c>
      <c r="C646" s="4" t="str">
        <f>RTD("rtdtrading.rtdserver",, "BOOK0", "OVD", 642)</f>
        <v>Ferramenta Inválida</v>
      </c>
      <c r="D646" s="4" t="str">
        <f>RTD("rtdtrading.rtdserver",, "BOOK0", "VOV", 642)</f>
        <v>Ferramenta Inválida</v>
      </c>
      <c r="F646" s="3"/>
      <c r="G646" s="5"/>
      <c r="H646" s="6"/>
      <c r="I646" s="4"/>
      <c r="K646" s="5"/>
      <c r="L646" s="6"/>
      <c r="N646" s="3"/>
      <c r="O646" s="3"/>
      <c r="P646" s="4"/>
      <c r="Q646" s="4"/>
      <c r="S646" s="3"/>
      <c r="T646" s="3"/>
      <c r="U646" s="4"/>
      <c r="V646" s="4"/>
    </row>
    <row r="647" spans="1:22" x14ac:dyDescent="0.25">
      <c r="A647" s="3" t="str">
        <f>RTD("rtdtrading.rtdserver",, "BOOK0", "VOC", 643)</f>
        <v>Ferramenta Inválida</v>
      </c>
      <c r="B647" s="3" t="str">
        <f>RTD("rtdtrading.rtdserver",, "BOOK0", "OCP", 643)</f>
        <v>Ferramenta Inválida</v>
      </c>
      <c r="C647" s="4" t="str">
        <f>RTD("rtdtrading.rtdserver",, "BOOK0", "OVD", 643)</f>
        <v>Ferramenta Inválida</v>
      </c>
      <c r="D647" s="4" t="str">
        <f>RTD("rtdtrading.rtdserver",, "BOOK0", "VOV", 643)</f>
        <v>Ferramenta Inválida</v>
      </c>
      <c r="F647" s="3"/>
      <c r="G647" s="5"/>
      <c r="H647" s="6"/>
      <c r="I647" s="4"/>
      <c r="K647" s="5"/>
      <c r="L647" s="6"/>
      <c r="N647" s="3"/>
      <c r="O647" s="3"/>
      <c r="P647" s="4"/>
      <c r="Q647" s="4"/>
      <c r="S647" s="3"/>
      <c r="T647" s="3"/>
      <c r="U647" s="4"/>
      <c r="V647" s="4"/>
    </row>
    <row r="648" spans="1:22" x14ac:dyDescent="0.25">
      <c r="A648" s="3" t="str">
        <f>RTD("rtdtrading.rtdserver",, "BOOK0", "VOC", 644)</f>
        <v>Ferramenta Inválida</v>
      </c>
      <c r="B648" s="3" t="str">
        <f>RTD("rtdtrading.rtdserver",, "BOOK0", "OCP", 644)</f>
        <v>Ferramenta Inválida</v>
      </c>
      <c r="C648" s="4" t="str">
        <f>RTD("rtdtrading.rtdserver",, "BOOK0", "OVD", 644)</f>
        <v>Ferramenta Inválida</v>
      </c>
      <c r="D648" s="4" t="str">
        <f>RTD("rtdtrading.rtdserver",, "BOOK0", "VOV", 644)</f>
        <v>Ferramenta Inválida</v>
      </c>
      <c r="F648" s="3"/>
      <c r="G648" s="5"/>
      <c r="H648" s="6"/>
      <c r="I648" s="4"/>
      <c r="K648" s="5"/>
      <c r="L648" s="6"/>
      <c r="N648" s="3"/>
      <c r="O648" s="3"/>
      <c r="P648" s="4"/>
      <c r="Q648" s="4"/>
      <c r="S648" s="3"/>
      <c r="T648" s="3"/>
      <c r="U648" s="4"/>
      <c r="V648" s="4"/>
    </row>
    <row r="649" spans="1:22" x14ac:dyDescent="0.25">
      <c r="A649" s="3" t="str">
        <f>RTD("rtdtrading.rtdserver",, "BOOK0", "VOC", 645)</f>
        <v>Ferramenta Inválida</v>
      </c>
      <c r="B649" s="3" t="str">
        <f>RTD("rtdtrading.rtdserver",, "BOOK0", "OCP", 645)</f>
        <v>Ferramenta Inválida</v>
      </c>
      <c r="C649" s="4" t="str">
        <f>RTD("rtdtrading.rtdserver",, "BOOK0", "OVD", 645)</f>
        <v>Ferramenta Inválida</v>
      </c>
      <c r="D649" s="4" t="str">
        <f>RTD("rtdtrading.rtdserver",, "BOOK0", "VOV", 645)</f>
        <v>Ferramenta Inválida</v>
      </c>
      <c r="F649" s="3"/>
      <c r="G649" s="5"/>
      <c r="H649" s="6"/>
      <c r="I649" s="4"/>
      <c r="K649" s="5"/>
      <c r="L649" s="6"/>
      <c r="N649" s="3"/>
      <c r="O649" s="3"/>
      <c r="P649" s="4"/>
      <c r="Q649" s="4"/>
      <c r="S649" s="3"/>
      <c r="T649" s="3"/>
      <c r="U649" s="4"/>
      <c r="V649" s="4"/>
    </row>
    <row r="650" spans="1:22" x14ac:dyDescent="0.25">
      <c r="A650" s="3" t="str">
        <f>RTD("rtdtrading.rtdserver",, "BOOK0", "VOC", 646)</f>
        <v>Ferramenta Inválida</v>
      </c>
      <c r="B650" s="3" t="str">
        <f>RTD("rtdtrading.rtdserver",, "BOOK0", "OCP", 646)</f>
        <v>Ferramenta Inválida</v>
      </c>
      <c r="C650" s="4" t="str">
        <f>RTD("rtdtrading.rtdserver",, "BOOK0", "OVD", 646)</f>
        <v>Ferramenta Inválida</v>
      </c>
      <c r="D650" s="4" t="str">
        <f>RTD("rtdtrading.rtdserver",, "BOOK0", "VOV", 646)</f>
        <v>Ferramenta Inválida</v>
      </c>
      <c r="F650" s="3"/>
      <c r="G650" s="5"/>
      <c r="H650" s="6"/>
      <c r="I650" s="4"/>
      <c r="K650" s="5"/>
      <c r="L650" s="6"/>
      <c r="N650" s="3"/>
      <c r="O650" s="3"/>
      <c r="P650" s="4"/>
      <c r="Q650" s="4"/>
      <c r="S650" s="3"/>
      <c r="T650" s="3"/>
      <c r="U650" s="4"/>
      <c r="V650" s="4"/>
    </row>
    <row r="651" spans="1:22" x14ac:dyDescent="0.25">
      <c r="A651" s="3" t="str">
        <f>RTD("rtdtrading.rtdserver",, "BOOK0", "VOC", 647)</f>
        <v>Ferramenta Inválida</v>
      </c>
      <c r="B651" s="3" t="str">
        <f>RTD("rtdtrading.rtdserver",, "BOOK0", "OCP", 647)</f>
        <v>Ferramenta Inválida</v>
      </c>
      <c r="C651" s="4" t="str">
        <f>RTD("rtdtrading.rtdserver",, "BOOK0", "OVD", 647)</f>
        <v>Ferramenta Inválida</v>
      </c>
      <c r="D651" s="4" t="str">
        <f>RTD("rtdtrading.rtdserver",, "BOOK0", "VOV", 647)</f>
        <v>Ferramenta Inválida</v>
      </c>
      <c r="F651" s="3"/>
      <c r="G651" s="5"/>
      <c r="H651" s="6"/>
      <c r="I651" s="4"/>
      <c r="K651" s="5"/>
      <c r="L651" s="6"/>
      <c r="N651" s="3"/>
      <c r="O651" s="3"/>
      <c r="P651" s="4"/>
      <c r="Q651" s="4"/>
      <c r="S651" s="3"/>
      <c r="T651" s="3"/>
      <c r="U651" s="4"/>
      <c r="V651" s="4"/>
    </row>
    <row r="652" spans="1:22" x14ac:dyDescent="0.25">
      <c r="A652" s="3" t="str">
        <f>RTD("rtdtrading.rtdserver",, "BOOK0", "VOC", 648)</f>
        <v>Ferramenta Inválida</v>
      </c>
      <c r="B652" s="3" t="str">
        <f>RTD("rtdtrading.rtdserver",, "BOOK0", "OCP", 648)</f>
        <v>Ferramenta Inválida</v>
      </c>
      <c r="C652" s="4" t="str">
        <f>RTD("rtdtrading.rtdserver",, "BOOK0", "OVD", 648)</f>
        <v>Ferramenta Inválida</v>
      </c>
      <c r="D652" s="4" t="str">
        <f>RTD("rtdtrading.rtdserver",, "BOOK0", "VOV", 648)</f>
        <v>Ferramenta Inválida</v>
      </c>
      <c r="F652" s="3"/>
      <c r="G652" s="5"/>
      <c r="H652" s="6"/>
      <c r="I652" s="4"/>
      <c r="K652" s="5"/>
      <c r="L652" s="6"/>
      <c r="N652" s="3"/>
      <c r="O652" s="3"/>
      <c r="P652" s="4"/>
      <c r="Q652" s="4"/>
      <c r="S652" s="3"/>
      <c r="T652" s="3"/>
      <c r="U652" s="4"/>
      <c r="V652" s="4"/>
    </row>
    <row r="653" spans="1:22" x14ac:dyDescent="0.25">
      <c r="A653" s="3" t="str">
        <f>RTD("rtdtrading.rtdserver",, "BOOK0", "VOC", 649)</f>
        <v>Ferramenta Inválida</v>
      </c>
      <c r="B653" s="3" t="str">
        <f>RTD("rtdtrading.rtdserver",, "BOOK0", "OCP", 649)</f>
        <v>Ferramenta Inválida</v>
      </c>
      <c r="C653" s="4" t="str">
        <f>RTD("rtdtrading.rtdserver",, "BOOK0", "OVD", 649)</f>
        <v>Ferramenta Inválida</v>
      </c>
      <c r="D653" s="4" t="str">
        <f>RTD("rtdtrading.rtdserver",, "BOOK0", "VOV", 649)</f>
        <v>Ferramenta Inválida</v>
      </c>
      <c r="F653" s="3"/>
      <c r="G653" s="5"/>
      <c r="H653" s="6"/>
      <c r="I653" s="4"/>
      <c r="K653" s="5"/>
      <c r="L653" s="6"/>
      <c r="N653" s="3"/>
      <c r="O653" s="3"/>
      <c r="P653" s="4"/>
      <c r="Q653" s="4"/>
      <c r="S653" s="3"/>
      <c r="T653" s="3"/>
      <c r="U653" s="4"/>
      <c r="V653" s="4"/>
    </row>
    <row r="654" spans="1:22" x14ac:dyDescent="0.25">
      <c r="A654" s="3" t="str">
        <f>RTD("rtdtrading.rtdserver",, "BOOK0", "VOC", 650)</f>
        <v>Ferramenta Inválida</v>
      </c>
      <c r="B654" s="3" t="str">
        <f>RTD("rtdtrading.rtdserver",, "BOOK0", "OCP", 650)</f>
        <v>Ferramenta Inválida</v>
      </c>
      <c r="C654" s="4" t="str">
        <f>RTD("rtdtrading.rtdserver",, "BOOK0", "OVD", 650)</f>
        <v>Ferramenta Inválida</v>
      </c>
      <c r="D654" s="4" t="str">
        <f>RTD("rtdtrading.rtdserver",, "BOOK0", "VOV", 650)</f>
        <v>Ferramenta Inválida</v>
      </c>
      <c r="F654" s="3"/>
      <c r="G654" s="5"/>
      <c r="H654" s="6"/>
      <c r="I654" s="4"/>
      <c r="K654" s="5"/>
      <c r="L654" s="6"/>
      <c r="N654" s="3"/>
      <c r="O654" s="3"/>
      <c r="P654" s="4"/>
      <c r="Q654" s="4"/>
      <c r="S654" s="3"/>
      <c r="T654" s="3"/>
      <c r="U654" s="4"/>
      <c r="V654" s="4"/>
    </row>
    <row r="655" spans="1:22" x14ac:dyDescent="0.25">
      <c r="A655" s="3" t="str">
        <f>RTD("rtdtrading.rtdserver",, "BOOK0", "VOC", 651)</f>
        <v>Ferramenta Inválida</v>
      </c>
      <c r="B655" s="3" t="str">
        <f>RTD("rtdtrading.rtdserver",, "BOOK0", "OCP", 651)</f>
        <v>Ferramenta Inválida</v>
      </c>
      <c r="C655" s="4" t="str">
        <f>RTD("rtdtrading.rtdserver",, "BOOK0", "OVD", 651)</f>
        <v>Ferramenta Inválida</v>
      </c>
      <c r="D655" s="4" t="str">
        <f>RTD("rtdtrading.rtdserver",, "BOOK0", "VOV", 651)</f>
        <v>Ferramenta Inválida</v>
      </c>
      <c r="F655" s="3"/>
      <c r="G655" s="5"/>
      <c r="H655" s="6"/>
      <c r="I655" s="4"/>
      <c r="K655" s="5"/>
      <c r="L655" s="6"/>
      <c r="N655" s="3"/>
      <c r="O655" s="3"/>
      <c r="P655" s="4"/>
      <c r="Q655" s="4"/>
      <c r="S655" s="3"/>
      <c r="T655" s="3"/>
      <c r="U655" s="4"/>
      <c r="V655" s="4"/>
    </row>
    <row r="656" spans="1:22" x14ac:dyDescent="0.25">
      <c r="A656" s="3" t="str">
        <f>RTD("rtdtrading.rtdserver",, "BOOK0", "VOC", 652)</f>
        <v>Ferramenta Inválida</v>
      </c>
      <c r="B656" s="3" t="str">
        <f>RTD("rtdtrading.rtdserver",, "BOOK0", "OCP", 652)</f>
        <v>Ferramenta Inválida</v>
      </c>
      <c r="C656" s="4" t="str">
        <f>RTD("rtdtrading.rtdserver",, "BOOK0", "OVD", 652)</f>
        <v>Ferramenta Inválida</v>
      </c>
      <c r="D656" s="4" t="str">
        <f>RTD("rtdtrading.rtdserver",, "BOOK0", "VOV", 652)</f>
        <v>Ferramenta Inválida</v>
      </c>
      <c r="F656" s="3"/>
      <c r="G656" s="5"/>
      <c r="H656" s="6"/>
      <c r="I656" s="4"/>
      <c r="K656" s="5"/>
      <c r="L656" s="6"/>
      <c r="N656" s="3"/>
      <c r="O656" s="3"/>
      <c r="P656" s="4"/>
      <c r="Q656" s="4"/>
      <c r="S656" s="3"/>
      <c r="T656" s="3"/>
      <c r="U656" s="4"/>
      <c r="V656" s="4"/>
    </row>
    <row r="657" spans="1:22" x14ac:dyDescent="0.25">
      <c r="A657" s="3" t="str">
        <f>RTD("rtdtrading.rtdserver",, "BOOK0", "VOC", 653)</f>
        <v>Ferramenta Inválida</v>
      </c>
      <c r="B657" s="3" t="str">
        <f>RTD("rtdtrading.rtdserver",, "BOOK0", "OCP", 653)</f>
        <v>Ferramenta Inválida</v>
      </c>
      <c r="C657" s="4" t="str">
        <f>RTD("rtdtrading.rtdserver",, "BOOK0", "OVD", 653)</f>
        <v>Ferramenta Inválida</v>
      </c>
      <c r="D657" s="4" t="str">
        <f>RTD("rtdtrading.rtdserver",, "BOOK0", "VOV", 653)</f>
        <v>Ferramenta Inválida</v>
      </c>
      <c r="F657" s="3"/>
      <c r="G657" s="5"/>
      <c r="H657" s="6"/>
      <c r="I657" s="4"/>
      <c r="K657" s="5"/>
      <c r="L657" s="6"/>
      <c r="N657" s="3"/>
      <c r="O657" s="3"/>
      <c r="P657" s="4"/>
      <c r="Q657" s="4"/>
      <c r="S657" s="3"/>
      <c r="T657" s="3"/>
      <c r="U657" s="4"/>
      <c r="V657" s="4"/>
    </row>
    <row r="658" spans="1:22" x14ac:dyDescent="0.25">
      <c r="A658" s="3" t="str">
        <f>RTD("rtdtrading.rtdserver",, "BOOK0", "VOC", 654)</f>
        <v>Ferramenta Inválida</v>
      </c>
      <c r="B658" s="3" t="str">
        <f>RTD("rtdtrading.rtdserver",, "BOOK0", "OCP", 654)</f>
        <v>Ferramenta Inválida</v>
      </c>
      <c r="C658" s="4" t="str">
        <f>RTD("rtdtrading.rtdserver",, "BOOK0", "OVD", 654)</f>
        <v>Ferramenta Inválida</v>
      </c>
      <c r="D658" s="4" t="str">
        <f>RTD("rtdtrading.rtdserver",, "BOOK0", "VOV", 654)</f>
        <v>Ferramenta Inválida</v>
      </c>
      <c r="F658" s="3"/>
      <c r="G658" s="5"/>
      <c r="H658" s="6"/>
      <c r="I658" s="4"/>
      <c r="K658" s="5"/>
      <c r="L658" s="6"/>
      <c r="N658" s="3"/>
      <c r="O658" s="3"/>
      <c r="P658" s="4"/>
      <c r="Q658" s="4"/>
      <c r="S658" s="3"/>
      <c r="T658" s="3"/>
      <c r="U658" s="4"/>
      <c r="V658" s="4"/>
    </row>
    <row r="659" spans="1:22" x14ac:dyDescent="0.25">
      <c r="A659" s="3" t="str">
        <f>RTD("rtdtrading.rtdserver",, "BOOK0", "VOC", 655)</f>
        <v>Ferramenta Inválida</v>
      </c>
      <c r="B659" s="3" t="str">
        <f>RTD("rtdtrading.rtdserver",, "BOOK0", "OCP", 655)</f>
        <v>Ferramenta Inválida</v>
      </c>
      <c r="C659" s="4" t="str">
        <f>RTD("rtdtrading.rtdserver",, "BOOK0", "OVD", 655)</f>
        <v>Ferramenta Inválida</v>
      </c>
      <c r="D659" s="4" t="str">
        <f>RTD("rtdtrading.rtdserver",, "BOOK0", "VOV", 655)</f>
        <v>Ferramenta Inválida</v>
      </c>
      <c r="F659" s="3"/>
      <c r="G659" s="5"/>
      <c r="H659" s="6"/>
      <c r="I659" s="4"/>
      <c r="K659" s="5"/>
      <c r="L659" s="6"/>
      <c r="N659" s="3"/>
      <c r="O659" s="3"/>
      <c r="P659" s="4"/>
      <c r="Q659" s="4"/>
      <c r="S659" s="3"/>
      <c r="T659" s="3"/>
      <c r="U659" s="4"/>
      <c r="V659" s="4"/>
    </row>
    <row r="660" spans="1:22" x14ac:dyDescent="0.25">
      <c r="A660" s="3" t="str">
        <f>RTD("rtdtrading.rtdserver",, "BOOK0", "VOC", 656)</f>
        <v>Ferramenta Inválida</v>
      </c>
      <c r="B660" s="3" t="str">
        <f>RTD("rtdtrading.rtdserver",, "BOOK0", "OCP", 656)</f>
        <v>Ferramenta Inválida</v>
      </c>
      <c r="C660" s="4" t="str">
        <f>RTD("rtdtrading.rtdserver",, "BOOK0", "OVD", 656)</f>
        <v>Ferramenta Inválida</v>
      </c>
      <c r="D660" s="4" t="str">
        <f>RTD("rtdtrading.rtdserver",, "BOOK0", "VOV", 656)</f>
        <v>Ferramenta Inválida</v>
      </c>
      <c r="F660" s="3"/>
      <c r="G660" s="5"/>
      <c r="H660" s="6"/>
      <c r="I660" s="4"/>
      <c r="K660" s="5"/>
      <c r="L660" s="6"/>
      <c r="N660" s="3"/>
      <c r="O660" s="3"/>
      <c r="P660" s="4"/>
      <c r="Q660" s="4"/>
      <c r="S660" s="3"/>
      <c r="T660" s="3"/>
      <c r="U660" s="4"/>
      <c r="V660" s="4"/>
    </row>
    <row r="661" spans="1:22" x14ac:dyDescent="0.25">
      <c r="A661" s="3" t="str">
        <f>RTD("rtdtrading.rtdserver",, "BOOK0", "VOC", 657)</f>
        <v>Ferramenta Inválida</v>
      </c>
      <c r="B661" s="3" t="str">
        <f>RTD("rtdtrading.rtdserver",, "BOOK0", "OCP", 657)</f>
        <v>Ferramenta Inválida</v>
      </c>
      <c r="C661" s="4" t="str">
        <f>RTD("rtdtrading.rtdserver",, "BOOK0", "OVD", 657)</f>
        <v>Ferramenta Inválida</v>
      </c>
      <c r="D661" s="4" t="str">
        <f>RTD("rtdtrading.rtdserver",, "BOOK0", "VOV", 657)</f>
        <v>Ferramenta Inválida</v>
      </c>
      <c r="F661" s="3"/>
      <c r="G661" s="5"/>
      <c r="H661" s="6"/>
      <c r="I661" s="4"/>
      <c r="K661" s="5"/>
      <c r="L661" s="6"/>
      <c r="N661" s="3"/>
      <c r="O661" s="3"/>
      <c r="P661" s="4"/>
      <c r="Q661" s="4"/>
      <c r="S661" s="3"/>
      <c r="T661" s="3"/>
      <c r="U661" s="4"/>
      <c r="V661" s="4"/>
    </row>
    <row r="662" spans="1:22" x14ac:dyDescent="0.25">
      <c r="A662" s="3" t="str">
        <f>RTD("rtdtrading.rtdserver",, "BOOK0", "VOC", 658)</f>
        <v>Ferramenta Inválida</v>
      </c>
      <c r="B662" s="3" t="str">
        <f>RTD("rtdtrading.rtdserver",, "BOOK0", "OCP", 658)</f>
        <v>Ferramenta Inválida</v>
      </c>
      <c r="C662" s="4" t="str">
        <f>RTD("rtdtrading.rtdserver",, "BOOK0", "OVD", 658)</f>
        <v>Ferramenta Inválida</v>
      </c>
      <c r="D662" s="4" t="str">
        <f>RTD("rtdtrading.rtdserver",, "BOOK0", "VOV", 658)</f>
        <v>Ferramenta Inválida</v>
      </c>
      <c r="F662" s="3"/>
      <c r="G662" s="5"/>
      <c r="H662" s="6"/>
      <c r="I662" s="4"/>
      <c r="K662" s="5"/>
      <c r="L662" s="6"/>
      <c r="N662" s="3"/>
      <c r="O662" s="3"/>
      <c r="P662" s="4"/>
      <c r="Q662" s="4"/>
      <c r="S662" s="3"/>
      <c r="T662" s="3"/>
      <c r="U662" s="4"/>
      <c r="V662" s="4"/>
    </row>
    <row r="663" spans="1:22" x14ac:dyDescent="0.25">
      <c r="A663" s="3" t="str">
        <f>RTD("rtdtrading.rtdserver",, "BOOK0", "VOC", 659)</f>
        <v>Ferramenta Inválida</v>
      </c>
      <c r="B663" s="3" t="str">
        <f>RTD("rtdtrading.rtdserver",, "BOOK0", "OCP", 659)</f>
        <v>Ferramenta Inválida</v>
      </c>
      <c r="C663" s="4" t="str">
        <f>RTD("rtdtrading.rtdserver",, "BOOK0", "OVD", 659)</f>
        <v>Ferramenta Inválida</v>
      </c>
      <c r="D663" s="4" t="str">
        <f>RTD("rtdtrading.rtdserver",, "BOOK0", "VOV", 659)</f>
        <v>Ferramenta Inválida</v>
      </c>
      <c r="F663" s="3"/>
      <c r="G663" s="5"/>
      <c r="H663" s="6"/>
      <c r="I663" s="4"/>
      <c r="K663" s="5"/>
      <c r="L663" s="6"/>
      <c r="N663" s="3"/>
      <c r="O663" s="3"/>
      <c r="P663" s="4"/>
      <c r="Q663" s="4"/>
      <c r="S663" s="3"/>
      <c r="T663" s="3"/>
      <c r="U663" s="4"/>
      <c r="V663" s="4"/>
    </row>
    <row r="664" spans="1:22" x14ac:dyDescent="0.25">
      <c r="A664" s="3" t="str">
        <f>RTD("rtdtrading.rtdserver",, "BOOK0", "VOC", 660)</f>
        <v>Ferramenta Inválida</v>
      </c>
      <c r="B664" s="3" t="str">
        <f>RTD("rtdtrading.rtdserver",, "BOOK0", "OCP", 660)</f>
        <v>Ferramenta Inválida</v>
      </c>
      <c r="C664" s="4" t="str">
        <f>RTD("rtdtrading.rtdserver",, "BOOK0", "OVD", 660)</f>
        <v>Ferramenta Inválida</v>
      </c>
      <c r="D664" s="4" t="str">
        <f>RTD("rtdtrading.rtdserver",, "BOOK0", "VOV", 660)</f>
        <v>Ferramenta Inválida</v>
      </c>
      <c r="F664" s="3"/>
      <c r="G664" s="5"/>
      <c r="H664" s="6"/>
      <c r="I664" s="4"/>
      <c r="K664" s="5"/>
      <c r="L664" s="6"/>
      <c r="N664" s="3"/>
      <c r="O664" s="3"/>
      <c r="P664" s="4"/>
      <c r="Q664" s="4"/>
      <c r="S664" s="3"/>
      <c r="T664" s="3"/>
      <c r="U664" s="4"/>
      <c r="V664" s="4"/>
    </row>
    <row r="665" spans="1:22" x14ac:dyDescent="0.25">
      <c r="A665" s="3" t="str">
        <f>RTD("rtdtrading.rtdserver",, "BOOK0", "VOC", 661)</f>
        <v>Ferramenta Inválida</v>
      </c>
      <c r="B665" s="3" t="str">
        <f>RTD("rtdtrading.rtdserver",, "BOOK0", "OCP", 661)</f>
        <v>Ferramenta Inválida</v>
      </c>
      <c r="C665" s="4" t="str">
        <f>RTD("rtdtrading.rtdserver",, "BOOK0", "OVD", 661)</f>
        <v>Ferramenta Inválida</v>
      </c>
      <c r="D665" s="4" t="str">
        <f>RTD("rtdtrading.rtdserver",, "BOOK0", "VOV", 661)</f>
        <v>Ferramenta Inválida</v>
      </c>
      <c r="F665" s="3"/>
      <c r="G665" s="5"/>
      <c r="H665" s="6"/>
      <c r="I665" s="4"/>
      <c r="K665" s="5"/>
      <c r="L665" s="6"/>
      <c r="N665" s="3"/>
      <c r="O665" s="3"/>
      <c r="P665" s="4"/>
      <c r="Q665" s="4"/>
      <c r="S665" s="3"/>
      <c r="T665" s="3"/>
      <c r="U665" s="4"/>
      <c r="V665" s="4"/>
    </row>
    <row r="666" spans="1:22" x14ac:dyDescent="0.25">
      <c r="A666" s="3" t="str">
        <f>RTD("rtdtrading.rtdserver",, "BOOK0", "VOC", 662)</f>
        <v>Ferramenta Inválida</v>
      </c>
      <c r="B666" s="3" t="str">
        <f>RTD("rtdtrading.rtdserver",, "BOOK0", "OCP", 662)</f>
        <v>Ferramenta Inválida</v>
      </c>
      <c r="C666" s="4" t="str">
        <f>RTD("rtdtrading.rtdserver",, "BOOK0", "OVD", 662)</f>
        <v>Ferramenta Inválida</v>
      </c>
      <c r="D666" s="4" t="str">
        <f>RTD("rtdtrading.rtdserver",, "BOOK0", "VOV", 662)</f>
        <v>Ferramenta Inválida</v>
      </c>
      <c r="F666" s="3"/>
      <c r="G666" s="5"/>
      <c r="H666" s="6"/>
      <c r="I666" s="4"/>
      <c r="K666" s="5"/>
      <c r="L666" s="6"/>
      <c r="N666" s="3"/>
      <c r="O666" s="3"/>
      <c r="P666" s="4"/>
      <c r="Q666" s="4"/>
      <c r="S666" s="3"/>
      <c r="T666" s="3"/>
      <c r="U666" s="4"/>
      <c r="V666" s="4"/>
    </row>
    <row r="667" spans="1:22" x14ac:dyDescent="0.25">
      <c r="A667" s="3" t="str">
        <f>RTD("rtdtrading.rtdserver",, "BOOK0", "VOC", 663)</f>
        <v>Ferramenta Inválida</v>
      </c>
      <c r="B667" s="3" t="str">
        <f>RTD("rtdtrading.rtdserver",, "BOOK0", "OCP", 663)</f>
        <v>Ferramenta Inválida</v>
      </c>
      <c r="C667" s="4" t="str">
        <f>RTD("rtdtrading.rtdserver",, "BOOK0", "OVD", 663)</f>
        <v>Ferramenta Inválida</v>
      </c>
      <c r="D667" s="4" t="str">
        <f>RTD("rtdtrading.rtdserver",, "BOOK0", "VOV", 663)</f>
        <v>Ferramenta Inválida</v>
      </c>
      <c r="F667" s="3"/>
      <c r="G667" s="5"/>
      <c r="H667" s="6"/>
      <c r="I667" s="4"/>
      <c r="K667" s="5"/>
      <c r="L667" s="6"/>
      <c r="N667" s="3"/>
      <c r="O667" s="3"/>
      <c r="P667" s="4"/>
      <c r="Q667" s="4"/>
      <c r="S667" s="3"/>
      <c r="T667" s="3"/>
      <c r="U667" s="4"/>
      <c r="V667" s="4"/>
    </row>
    <row r="668" spans="1:22" x14ac:dyDescent="0.25">
      <c r="A668" s="3" t="str">
        <f>RTD("rtdtrading.rtdserver",, "BOOK0", "VOC", 664)</f>
        <v>Ferramenta Inválida</v>
      </c>
      <c r="B668" s="3" t="str">
        <f>RTD("rtdtrading.rtdserver",, "BOOK0", "OCP", 664)</f>
        <v>Ferramenta Inválida</v>
      </c>
      <c r="C668" s="4" t="str">
        <f>RTD("rtdtrading.rtdserver",, "BOOK0", "OVD", 664)</f>
        <v>Ferramenta Inválida</v>
      </c>
      <c r="D668" s="4" t="str">
        <f>RTD("rtdtrading.rtdserver",, "BOOK0", "VOV", 664)</f>
        <v>Ferramenta Inválida</v>
      </c>
      <c r="F668" s="3"/>
      <c r="G668" s="5"/>
      <c r="H668" s="6"/>
      <c r="I668" s="4"/>
      <c r="K668" s="5"/>
      <c r="L668" s="6"/>
      <c r="N668" s="3"/>
      <c r="O668" s="3"/>
      <c r="P668" s="4"/>
      <c r="Q668" s="4"/>
      <c r="S668" s="3"/>
      <c r="T668" s="3"/>
      <c r="U668" s="4"/>
      <c r="V668" s="4"/>
    </row>
    <row r="669" spans="1:22" x14ac:dyDescent="0.25">
      <c r="A669" s="3" t="str">
        <f>RTD("rtdtrading.rtdserver",, "BOOK0", "VOC", 665)</f>
        <v>Ferramenta Inválida</v>
      </c>
      <c r="B669" s="3" t="str">
        <f>RTD("rtdtrading.rtdserver",, "BOOK0", "OCP", 665)</f>
        <v>Ferramenta Inválida</v>
      </c>
      <c r="C669" s="4" t="str">
        <f>RTD("rtdtrading.rtdserver",, "BOOK0", "OVD", 665)</f>
        <v>Ferramenta Inválida</v>
      </c>
      <c r="D669" s="4" t="str">
        <f>RTD("rtdtrading.rtdserver",, "BOOK0", "VOV", 665)</f>
        <v>Ferramenta Inválida</v>
      </c>
      <c r="F669" s="3"/>
      <c r="G669" s="5"/>
      <c r="H669" s="6"/>
      <c r="I669" s="4"/>
      <c r="K669" s="5"/>
      <c r="L669" s="6"/>
      <c r="N669" s="3"/>
      <c r="O669" s="3"/>
      <c r="P669" s="4"/>
      <c r="Q669" s="4"/>
      <c r="S669" s="3"/>
      <c r="T669" s="3"/>
      <c r="U669" s="4"/>
      <c r="V669" s="4"/>
    </row>
    <row r="670" spans="1:22" x14ac:dyDescent="0.25">
      <c r="A670" s="3" t="str">
        <f>RTD("rtdtrading.rtdserver",, "BOOK0", "VOC", 666)</f>
        <v>Ferramenta Inválida</v>
      </c>
      <c r="B670" s="3" t="str">
        <f>RTD("rtdtrading.rtdserver",, "BOOK0", "OCP", 666)</f>
        <v>Ferramenta Inválida</v>
      </c>
      <c r="C670" s="4" t="str">
        <f>RTD("rtdtrading.rtdserver",, "BOOK0", "OVD", 666)</f>
        <v>Ferramenta Inválida</v>
      </c>
      <c r="D670" s="4" t="str">
        <f>RTD("rtdtrading.rtdserver",, "BOOK0", "VOV", 666)</f>
        <v>Ferramenta Inválida</v>
      </c>
      <c r="F670" s="3"/>
      <c r="G670" s="5"/>
      <c r="H670" s="6"/>
      <c r="I670" s="4"/>
      <c r="K670" s="5"/>
      <c r="L670" s="6"/>
      <c r="N670" s="3"/>
      <c r="O670" s="3"/>
      <c r="P670" s="4"/>
      <c r="Q670" s="4"/>
      <c r="S670" s="3"/>
      <c r="T670" s="3"/>
      <c r="U670" s="4"/>
      <c r="V670" s="4"/>
    </row>
    <row r="671" spans="1:22" x14ac:dyDescent="0.25">
      <c r="A671" s="3" t="str">
        <f>RTD("rtdtrading.rtdserver",, "BOOK0", "VOC", 667)</f>
        <v>Ferramenta Inválida</v>
      </c>
      <c r="B671" s="3" t="str">
        <f>RTD("rtdtrading.rtdserver",, "BOOK0", "OCP", 667)</f>
        <v>Ferramenta Inválida</v>
      </c>
      <c r="C671" s="4" t="str">
        <f>RTD("rtdtrading.rtdserver",, "BOOK0", "OVD", 667)</f>
        <v>Ferramenta Inválida</v>
      </c>
      <c r="D671" s="4" t="str">
        <f>RTD("rtdtrading.rtdserver",, "BOOK0", "VOV", 667)</f>
        <v>Ferramenta Inválida</v>
      </c>
      <c r="F671" s="3"/>
      <c r="G671" s="5"/>
      <c r="H671" s="6"/>
      <c r="I671" s="4"/>
      <c r="K671" s="5"/>
      <c r="L671" s="6"/>
      <c r="N671" s="3"/>
      <c r="O671" s="3"/>
      <c r="P671" s="4"/>
      <c r="Q671" s="4"/>
      <c r="S671" s="3"/>
      <c r="T671" s="3"/>
      <c r="U671" s="4"/>
      <c r="V671" s="4"/>
    </row>
    <row r="672" spans="1:22" x14ac:dyDescent="0.25">
      <c r="A672" s="3" t="str">
        <f>RTD("rtdtrading.rtdserver",, "BOOK0", "VOC", 668)</f>
        <v>Ferramenta Inválida</v>
      </c>
      <c r="B672" s="3" t="str">
        <f>RTD("rtdtrading.rtdserver",, "BOOK0", "OCP", 668)</f>
        <v>Ferramenta Inválida</v>
      </c>
      <c r="C672" s="4" t="str">
        <f>RTD("rtdtrading.rtdserver",, "BOOK0", "OVD", 668)</f>
        <v>Ferramenta Inválida</v>
      </c>
      <c r="D672" s="4" t="str">
        <f>RTD("rtdtrading.rtdserver",, "BOOK0", "VOV", 668)</f>
        <v>Ferramenta Inválida</v>
      </c>
      <c r="F672" s="3"/>
      <c r="G672" s="5"/>
      <c r="H672" s="6"/>
      <c r="I672" s="4"/>
      <c r="K672" s="5"/>
      <c r="L672" s="6"/>
      <c r="N672" s="3"/>
      <c r="O672" s="3"/>
      <c r="P672" s="4"/>
      <c r="Q672" s="4"/>
      <c r="S672" s="3"/>
      <c r="T672" s="3"/>
      <c r="U672" s="4"/>
      <c r="V672" s="4"/>
    </row>
    <row r="673" spans="1:22" x14ac:dyDescent="0.25">
      <c r="A673" s="3" t="str">
        <f>RTD("rtdtrading.rtdserver",, "BOOK0", "VOC", 669)</f>
        <v>Ferramenta Inválida</v>
      </c>
      <c r="B673" s="3" t="str">
        <f>RTD("rtdtrading.rtdserver",, "BOOK0", "OCP", 669)</f>
        <v>Ferramenta Inválida</v>
      </c>
      <c r="C673" s="4" t="str">
        <f>RTD("rtdtrading.rtdserver",, "BOOK0", "OVD", 669)</f>
        <v>Ferramenta Inválida</v>
      </c>
      <c r="D673" s="4" t="str">
        <f>RTD("rtdtrading.rtdserver",, "BOOK0", "VOV", 669)</f>
        <v>Ferramenta Inválida</v>
      </c>
      <c r="F673" s="3"/>
      <c r="G673" s="5"/>
      <c r="H673" s="6"/>
      <c r="I673" s="4"/>
      <c r="K673" s="5"/>
      <c r="L673" s="6"/>
      <c r="N673" s="3"/>
      <c r="O673" s="3"/>
      <c r="P673" s="4"/>
      <c r="Q673" s="4"/>
      <c r="S673" s="3"/>
      <c r="T673" s="3"/>
      <c r="U673" s="4"/>
      <c r="V673" s="4"/>
    </row>
    <row r="674" spans="1:22" x14ac:dyDescent="0.25">
      <c r="A674" s="3" t="str">
        <f>RTD("rtdtrading.rtdserver",, "BOOK0", "VOC", 670)</f>
        <v>Ferramenta Inválida</v>
      </c>
      <c r="B674" s="3" t="str">
        <f>RTD("rtdtrading.rtdserver",, "BOOK0", "OCP", 670)</f>
        <v>Ferramenta Inválida</v>
      </c>
      <c r="C674" s="4" t="str">
        <f>RTD("rtdtrading.rtdserver",, "BOOK0", "OVD", 670)</f>
        <v>Ferramenta Inválida</v>
      </c>
      <c r="D674" s="4" t="str">
        <f>RTD("rtdtrading.rtdserver",, "BOOK0", "VOV", 670)</f>
        <v>Ferramenta Inválida</v>
      </c>
      <c r="F674" s="3"/>
      <c r="G674" s="5"/>
      <c r="H674" s="6"/>
      <c r="I674" s="4"/>
      <c r="K674" s="5"/>
      <c r="L674" s="6"/>
      <c r="N674" s="3"/>
      <c r="O674" s="3"/>
      <c r="P674" s="4"/>
      <c r="Q674" s="4"/>
      <c r="S674" s="3"/>
      <c r="T674" s="3"/>
      <c r="U674" s="4"/>
      <c r="V674" s="4"/>
    </row>
    <row r="675" spans="1:22" x14ac:dyDescent="0.25">
      <c r="A675" s="3" t="str">
        <f>RTD("rtdtrading.rtdserver",, "BOOK0", "VOC", 671)</f>
        <v>Ferramenta Inválida</v>
      </c>
      <c r="B675" s="3" t="str">
        <f>RTD("rtdtrading.rtdserver",, "BOOK0", "OCP", 671)</f>
        <v>Ferramenta Inválida</v>
      </c>
      <c r="C675" s="4" t="str">
        <f>RTD("rtdtrading.rtdserver",, "BOOK0", "OVD", 671)</f>
        <v>Ferramenta Inválida</v>
      </c>
      <c r="D675" s="4" t="str">
        <f>RTD("rtdtrading.rtdserver",, "BOOK0", "VOV", 671)</f>
        <v>Ferramenta Inválida</v>
      </c>
      <c r="F675" s="3"/>
      <c r="G675" s="5"/>
      <c r="H675" s="6"/>
      <c r="I675" s="4"/>
      <c r="K675" s="5"/>
      <c r="L675" s="6"/>
      <c r="N675" s="3"/>
      <c r="O675" s="3"/>
      <c r="P675" s="4"/>
      <c r="Q675" s="4"/>
      <c r="S675" s="3"/>
      <c r="T675" s="3"/>
      <c r="U675" s="4"/>
      <c r="V675" s="4"/>
    </row>
    <row r="676" spans="1:22" x14ac:dyDescent="0.25">
      <c r="A676" s="3" t="str">
        <f>RTD("rtdtrading.rtdserver",, "BOOK0", "VOC", 672)</f>
        <v>Ferramenta Inválida</v>
      </c>
      <c r="B676" s="3" t="str">
        <f>RTD("rtdtrading.rtdserver",, "BOOK0", "OCP", 672)</f>
        <v>Ferramenta Inválida</v>
      </c>
      <c r="C676" s="4" t="str">
        <f>RTD("rtdtrading.rtdserver",, "BOOK0", "OVD", 672)</f>
        <v>Ferramenta Inválida</v>
      </c>
      <c r="D676" s="4" t="str">
        <f>RTD("rtdtrading.rtdserver",, "BOOK0", "VOV", 672)</f>
        <v>Ferramenta Inválida</v>
      </c>
      <c r="F676" s="3"/>
      <c r="G676" s="5"/>
      <c r="H676" s="6"/>
      <c r="I676" s="4"/>
      <c r="K676" s="5"/>
      <c r="L676" s="6"/>
      <c r="N676" s="3"/>
      <c r="O676" s="3"/>
      <c r="P676" s="4"/>
      <c r="Q676" s="4"/>
      <c r="S676" s="3"/>
      <c r="T676" s="3"/>
      <c r="U676" s="4"/>
      <c r="V676" s="4"/>
    </row>
    <row r="677" spans="1:22" x14ac:dyDescent="0.25">
      <c r="A677" s="3" t="str">
        <f>RTD("rtdtrading.rtdserver",, "BOOK0", "VOC", 673)</f>
        <v>Ferramenta Inválida</v>
      </c>
      <c r="B677" s="3" t="str">
        <f>RTD("rtdtrading.rtdserver",, "BOOK0", "OCP", 673)</f>
        <v>Ferramenta Inválida</v>
      </c>
      <c r="C677" s="4" t="str">
        <f>RTD("rtdtrading.rtdserver",, "BOOK0", "OVD", 673)</f>
        <v>Ferramenta Inválida</v>
      </c>
      <c r="D677" s="4" t="str">
        <f>RTD("rtdtrading.rtdserver",, "BOOK0", "VOV", 673)</f>
        <v>Ferramenta Inválida</v>
      </c>
      <c r="F677" s="3"/>
      <c r="G677" s="5"/>
      <c r="H677" s="6"/>
      <c r="I677" s="4"/>
      <c r="K677" s="5"/>
      <c r="L677" s="6"/>
      <c r="N677" s="3"/>
      <c r="O677" s="3"/>
      <c r="P677" s="4"/>
      <c r="Q677" s="4"/>
      <c r="S677" s="3"/>
      <c r="T677" s="3"/>
      <c r="U677" s="4"/>
      <c r="V677" s="4"/>
    </row>
    <row r="678" spans="1:22" x14ac:dyDescent="0.25">
      <c r="A678" s="3" t="str">
        <f>RTD("rtdtrading.rtdserver",, "BOOK0", "VOC", 674)</f>
        <v>Ferramenta Inválida</v>
      </c>
      <c r="B678" s="3" t="str">
        <f>RTD("rtdtrading.rtdserver",, "BOOK0", "OCP", 674)</f>
        <v>Ferramenta Inválida</v>
      </c>
      <c r="C678" s="4" t="str">
        <f>RTD("rtdtrading.rtdserver",, "BOOK0", "OVD", 674)</f>
        <v>Ferramenta Inválida</v>
      </c>
      <c r="D678" s="4" t="str">
        <f>RTD("rtdtrading.rtdserver",, "BOOK0", "VOV", 674)</f>
        <v>Ferramenta Inválida</v>
      </c>
      <c r="F678" s="3"/>
      <c r="G678" s="5"/>
      <c r="H678" s="6"/>
      <c r="I678" s="4"/>
      <c r="K678" s="5"/>
      <c r="L678" s="6"/>
      <c r="N678" s="3"/>
      <c r="O678" s="3"/>
      <c r="P678" s="4"/>
      <c r="Q678" s="4"/>
      <c r="S678" s="3"/>
      <c r="T678" s="3"/>
      <c r="U678" s="4"/>
      <c r="V678" s="4"/>
    </row>
    <row r="679" spans="1:22" x14ac:dyDescent="0.25">
      <c r="A679" s="3" t="str">
        <f>RTD("rtdtrading.rtdserver",, "BOOK0", "VOC", 675)</f>
        <v>Ferramenta Inválida</v>
      </c>
      <c r="B679" s="3" t="str">
        <f>RTD("rtdtrading.rtdserver",, "BOOK0", "OCP", 675)</f>
        <v>Ferramenta Inválida</v>
      </c>
      <c r="C679" s="4" t="str">
        <f>RTD("rtdtrading.rtdserver",, "BOOK0", "OVD", 675)</f>
        <v>Ferramenta Inválida</v>
      </c>
      <c r="D679" s="4" t="str">
        <f>RTD("rtdtrading.rtdserver",, "BOOK0", "VOV", 675)</f>
        <v>Ferramenta Inválida</v>
      </c>
      <c r="F679" s="3"/>
      <c r="G679" s="5"/>
      <c r="H679" s="6"/>
      <c r="I679" s="4"/>
      <c r="K679" s="5"/>
      <c r="L679" s="6"/>
      <c r="N679" s="3"/>
      <c r="O679" s="3"/>
      <c r="P679" s="4"/>
      <c r="Q679" s="4"/>
      <c r="S679" s="3"/>
      <c r="T679" s="3"/>
      <c r="U679" s="4"/>
      <c r="V679" s="4"/>
    </row>
    <row r="680" spans="1:22" x14ac:dyDescent="0.25">
      <c r="A680" s="3" t="str">
        <f>RTD("rtdtrading.rtdserver",, "BOOK0", "VOC", 676)</f>
        <v>Ferramenta Inválida</v>
      </c>
      <c r="B680" s="3" t="str">
        <f>RTD("rtdtrading.rtdserver",, "BOOK0", "OCP", 676)</f>
        <v>Ferramenta Inválida</v>
      </c>
      <c r="C680" s="4" t="str">
        <f>RTD("rtdtrading.rtdserver",, "BOOK0", "OVD", 676)</f>
        <v>Ferramenta Inválida</v>
      </c>
      <c r="D680" s="4" t="str">
        <f>RTD("rtdtrading.rtdserver",, "BOOK0", "VOV", 676)</f>
        <v>Ferramenta Inválida</v>
      </c>
      <c r="F680" s="3"/>
      <c r="G680" s="5"/>
      <c r="H680" s="6"/>
      <c r="I680" s="4"/>
      <c r="K680" s="5"/>
      <c r="L680" s="6"/>
      <c r="N680" s="3"/>
      <c r="O680" s="3"/>
      <c r="P680" s="4"/>
      <c r="Q680" s="4"/>
      <c r="S680" s="3"/>
      <c r="T680" s="3"/>
      <c r="U680" s="4"/>
      <c r="V680" s="4"/>
    </row>
    <row r="681" spans="1:22" x14ac:dyDescent="0.25">
      <c r="A681" s="3" t="str">
        <f>RTD("rtdtrading.rtdserver",, "BOOK0", "VOC", 677)</f>
        <v>Ferramenta Inválida</v>
      </c>
      <c r="B681" s="3" t="str">
        <f>RTD("rtdtrading.rtdserver",, "BOOK0", "OCP", 677)</f>
        <v>Ferramenta Inválida</v>
      </c>
      <c r="C681" s="4" t="str">
        <f>RTD("rtdtrading.rtdserver",, "BOOK0", "OVD", 677)</f>
        <v>Ferramenta Inválida</v>
      </c>
      <c r="D681" s="4" t="str">
        <f>RTD("rtdtrading.rtdserver",, "BOOK0", "VOV", 677)</f>
        <v>Ferramenta Inválida</v>
      </c>
      <c r="F681" s="3"/>
      <c r="G681" s="5"/>
      <c r="H681" s="6"/>
      <c r="I681" s="4"/>
      <c r="K681" s="5"/>
      <c r="L681" s="6"/>
      <c r="N681" s="3"/>
      <c r="O681" s="3"/>
      <c r="P681" s="4"/>
      <c r="Q681" s="4"/>
      <c r="S681" s="3"/>
      <c r="T681" s="3"/>
      <c r="U681" s="4"/>
      <c r="V681" s="4"/>
    </row>
    <row r="682" spans="1:22" x14ac:dyDescent="0.25">
      <c r="A682" s="3" t="str">
        <f>RTD("rtdtrading.rtdserver",, "BOOK0", "VOC", 678)</f>
        <v>Ferramenta Inválida</v>
      </c>
      <c r="B682" s="3" t="str">
        <f>RTD("rtdtrading.rtdserver",, "BOOK0", "OCP", 678)</f>
        <v>Ferramenta Inválida</v>
      </c>
      <c r="C682" s="4" t="str">
        <f>RTD("rtdtrading.rtdserver",, "BOOK0", "OVD", 678)</f>
        <v>Ferramenta Inválida</v>
      </c>
      <c r="D682" s="4" t="str">
        <f>RTD("rtdtrading.rtdserver",, "BOOK0", "VOV", 678)</f>
        <v>Ferramenta Inválida</v>
      </c>
      <c r="F682" s="3"/>
      <c r="G682" s="5"/>
      <c r="H682" s="6"/>
      <c r="I682" s="4"/>
      <c r="K682" s="5"/>
      <c r="L682" s="6"/>
      <c r="N682" s="3"/>
      <c r="O682" s="3"/>
      <c r="P682" s="4"/>
      <c r="Q682" s="4"/>
      <c r="S682" s="3"/>
      <c r="T682" s="3"/>
      <c r="U682" s="4"/>
      <c r="V682" s="4"/>
    </row>
    <row r="683" spans="1:22" x14ac:dyDescent="0.25">
      <c r="A683" s="3" t="str">
        <f>RTD("rtdtrading.rtdserver",, "BOOK0", "VOC", 679)</f>
        <v>Ferramenta Inválida</v>
      </c>
      <c r="B683" s="3" t="str">
        <f>RTD("rtdtrading.rtdserver",, "BOOK0", "OCP", 679)</f>
        <v>Ferramenta Inválida</v>
      </c>
      <c r="C683" s="4" t="str">
        <f>RTD("rtdtrading.rtdserver",, "BOOK0", "OVD", 679)</f>
        <v>Ferramenta Inválida</v>
      </c>
      <c r="D683" s="4" t="str">
        <f>RTD("rtdtrading.rtdserver",, "BOOK0", "VOV", 679)</f>
        <v>Ferramenta Inválida</v>
      </c>
      <c r="F683" s="3"/>
      <c r="G683" s="5"/>
      <c r="H683" s="6"/>
      <c r="I683" s="4"/>
      <c r="K683" s="5"/>
      <c r="L683" s="6"/>
      <c r="N683" s="3"/>
      <c r="O683" s="3"/>
      <c r="P683" s="4"/>
      <c r="Q683" s="4"/>
      <c r="S683" s="3"/>
      <c r="T683" s="3"/>
      <c r="U683" s="4"/>
      <c r="V683" s="4"/>
    </row>
    <row r="684" spans="1:22" x14ac:dyDescent="0.25">
      <c r="A684" s="3" t="str">
        <f>RTD("rtdtrading.rtdserver",, "BOOK0", "VOC", 680)</f>
        <v>Ferramenta Inválida</v>
      </c>
      <c r="B684" s="3" t="str">
        <f>RTD("rtdtrading.rtdserver",, "BOOK0", "OCP", 680)</f>
        <v>Ferramenta Inválida</v>
      </c>
      <c r="C684" s="4" t="str">
        <f>RTD("rtdtrading.rtdserver",, "BOOK0", "OVD", 680)</f>
        <v>Ferramenta Inválida</v>
      </c>
      <c r="D684" s="4" t="str">
        <f>RTD("rtdtrading.rtdserver",, "BOOK0", "VOV", 680)</f>
        <v>Ferramenta Inválida</v>
      </c>
      <c r="F684" s="3"/>
      <c r="G684" s="5"/>
      <c r="H684" s="6"/>
      <c r="I684" s="4"/>
      <c r="K684" s="5"/>
      <c r="L684" s="6"/>
      <c r="N684" s="3"/>
      <c r="O684" s="3"/>
      <c r="P684" s="4"/>
      <c r="Q684" s="4"/>
      <c r="S684" s="3"/>
      <c r="T684" s="3"/>
      <c r="U684" s="4"/>
      <c r="V684" s="4"/>
    </row>
    <row r="685" spans="1:22" x14ac:dyDescent="0.25">
      <c r="A685" s="3" t="str">
        <f>RTD("rtdtrading.rtdserver",, "BOOK0", "VOC", 681)</f>
        <v>Ferramenta Inválida</v>
      </c>
      <c r="B685" s="3" t="str">
        <f>RTD("rtdtrading.rtdserver",, "BOOK0", "OCP", 681)</f>
        <v>Ferramenta Inválida</v>
      </c>
      <c r="C685" s="4" t="str">
        <f>RTD("rtdtrading.rtdserver",, "BOOK0", "OVD", 681)</f>
        <v>Ferramenta Inválida</v>
      </c>
      <c r="D685" s="4" t="str">
        <f>RTD("rtdtrading.rtdserver",, "BOOK0", "VOV", 681)</f>
        <v>Ferramenta Inválida</v>
      </c>
      <c r="F685" s="3"/>
      <c r="G685" s="5"/>
      <c r="H685" s="6"/>
      <c r="I685" s="4"/>
      <c r="K685" s="5"/>
      <c r="L685" s="6"/>
      <c r="N685" s="3"/>
      <c r="O685" s="3"/>
      <c r="P685" s="4"/>
      <c r="Q685" s="4"/>
      <c r="S685" s="3"/>
      <c r="T685" s="3"/>
      <c r="U685" s="4"/>
      <c r="V685" s="4"/>
    </row>
    <row r="686" spans="1:22" x14ac:dyDescent="0.25">
      <c r="A686" s="3" t="str">
        <f>RTD("rtdtrading.rtdserver",, "BOOK0", "VOC", 682)</f>
        <v>Ferramenta Inválida</v>
      </c>
      <c r="B686" s="3" t="str">
        <f>RTD("rtdtrading.rtdserver",, "BOOK0", "OCP", 682)</f>
        <v>Ferramenta Inválida</v>
      </c>
      <c r="C686" s="4" t="str">
        <f>RTD("rtdtrading.rtdserver",, "BOOK0", "OVD", 682)</f>
        <v>Ferramenta Inválida</v>
      </c>
      <c r="D686" s="4" t="str">
        <f>RTD("rtdtrading.rtdserver",, "BOOK0", "VOV", 682)</f>
        <v>Ferramenta Inválida</v>
      </c>
      <c r="F686" s="3"/>
      <c r="G686" s="5"/>
      <c r="H686" s="6"/>
      <c r="I686" s="4"/>
      <c r="K686" s="5"/>
      <c r="L686" s="6"/>
      <c r="N686" s="3"/>
      <c r="O686" s="3"/>
      <c r="P686" s="4"/>
      <c r="Q686" s="4"/>
      <c r="S686" s="3"/>
      <c r="T686" s="3"/>
      <c r="U686" s="4"/>
      <c r="V686" s="4"/>
    </row>
    <row r="687" spans="1:22" x14ac:dyDescent="0.25">
      <c r="A687" s="3" t="str">
        <f>RTD("rtdtrading.rtdserver",, "BOOK0", "VOC", 683)</f>
        <v>Ferramenta Inválida</v>
      </c>
      <c r="B687" s="3" t="str">
        <f>RTD("rtdtrading.rtdserver",, "BOOK0", "OCP", 683)</f>
        <v>Ferramenta Inválida</v>
      </c>
      <c r="C687" s="4" t="str">
        <f>RTD("rtdtrading.rtdserver",, "BOOK0", "OVD", 683)</f>
        <v>Ferramenta Inválida</v>
      </c>
      <c r="D687" s="4" t="str">
        <f>RTD("rtdtrading.rtdserver",, "BOOK0", "VOV", 683)</f>
        <v>Ferramenta Inválida</v>
      </c>
      <c r="F687" s="3"/>
      <c r="G687" s="5"/>
      <c r="H687" s="6"/>
      <c r="I687" s="4"/>
      <c r="K687" s="5"/>
      <c r="L687" s="6"/>
      <c r="N687" s="3"/>
      <c r="O687" s="3"/>
      <c r="P687" s="4"/>
      <c r="Q687" s="4"/>
      <c r="S687" s="3"/>
      <c r="T687" s="3"/>
      <c r="U687" s="4"/>
      <c r="V687" s="4"/>
    </row>
    <row r="688" spans="1:22" x14ac:dyDescent="0.25">
      <c r="A688" s="3" t="str">
        <f>RTD("rtdtrading.rtdserver",, "BOOK0", "VOC", 684)</f>
        <v>Ferramenta Inválida</v>
      </c>
      <c r="B688" s="3" t="str">
        <f>RTD("rtdtrading.rtdserver",, "BOOK0", "OCP", 684)</f>
        <v>Ferramenta Inválida</v>
      </c>
      <c r="C688" s="4" t="str">
        <f>RTD("rtdtrading.rtdserver",, "BOOK0", "OVD", 684)</f>
        <v>Ferramenta Inválida</v>
      </c>
      <c r="D688" s="4" t="str">
        <f>RTD("rtdtrading.rtdserver",, "BOOK0", "VOV", 684)</f>
        <v>Ferramenta Inválida</v>
      </c>
      <c r="F688" s="3"/>
      <c r="G688" s="5"/>
      <c r="H688" s="6"/>
      <c r="I688" s="4"/>
      <c r="K688" s="5"/>
      <c r="L688" s="6"/>
      <c r="N688" s="3"/>
      <c r="O688" s="3"/>
      <c r="P688" s="4"/>
      <c r="Q688" s="4"/>
      <c r="S688" s="3"/>
      <c r="T688" s="3"/>
      <c r="U688" s="4"/>
      <c r="V688" s="4"/>
    </row>
    <row r="689" spans="1:22" x14ac:dyDescent="0.25">
      <c r="A689" s="3" t="str">
        <f>RTD("rtdtrading.rtdserver",, "BOOK0", "VOC", 685)</f>
        <v>Ferramenta Inválida</v>
      </c>
      <c r="B689" s="3" t="str">
        <f>RTD("rtdtrading.rtdserver",, "BOOK0", "OCP", 685)</f>
        <v>Ferramenta Inválida</v>
      </c>
      <c r="C689" s="4" t="str">
        <f>RTD("rtdtrading.rtdserver",, "BOOK0", "OVD", 685)</f>
        <v>Ferramenta Inválida</v>
      </c>
      <c r="D689" s="4" t="str">
        <f>RTD("rtdtrading.rtdserver",, "BOOK0", "VOV", 685)</f>
        <v>Ferramenta Inválida</v>
      </c>
      <c r="F689" s="3"/>
      <c r="G689" s="5"/>
      <c r="H689" s="6"/>
      <c r="I689" s="4"/>
      <c r="K689" s="5"/>
      <c r="L689" s="6"/>
      <c r="N689" s="3"/>
      <c r="O689" s="3"/>
      <c r="P689" s="4"/>
      <c r="Q689" s="4"/>
      <c r="S689" s="3"/>
      <c r="T689" s="3"/>
      <c r="U689" s="4"/>
      <c r="V689" s="4"/>
    </row>
    <row r="690" spans="1:22" x14ac:dyDescent="0.25">
      <c r="A690" s="3" t="str">
        <f>RTD("rtdtrading.rtdserver",, "BOOK0", "VOC", 686)</f>
        <v>Ferramenta Inválida</v>
      </c>
      <c r="B690" s="3" t="str">
        <f>RTD("rtdtrading.rtdserver",, "BOOK0", "OCP", 686)</f>
        <v>Ferramenta Inválida</v>
      </c>
      <c r="C690" s="4" t="str">
        <f>RTD("rtdtrading.rtdserver",, "BOOK0", "OVD", 686)</f>
        <v>Ferramenta Inválida</v>
      </c>
      <c r="D690" s="4" t="str">
        <f>RTD("rtdtrading.rtdserver",, "BOOK0", "VOV", 686)</f>
        <v>Ferramenta Inválida</v>
      </c>
      <c r="F690" s="3"/>
      <c r="G690" s="5"/>
      <c r="H690" s="6"/>
      <c r="I690" s="4"/>
      <c r="K690" s="5"/>
      <c r="L690" s="6"/>
      <c r="N690" s="3"/>
      <c r="O690" s="3"/>
      <c r="P690" s="4"/>
      <c r="Q690" s="4"/>
      <c r="S690" s="3"/>
      <c r="T690" s="3"/>
      <c r="U690" s="4"/>
      <c r="V690" s="4"/>
    </row>
    <row r="691" spans="1:22" x14ac:dyDescent="0.25">
      <c r="A691" s="3" t="str">
        <f>RTD("rtdtrading.rtdserver",, "BOOK0", "VOC", 687)</f>
        <v>Ferramenta Inválida</v>
      </c>
      <c r="B691" s="3" t="str">
        <f>RTD("rtdtrading.rtdserver",, "BOOK0", "OCP", 687)</f>
        <v>Ferramenta Inválida</v>
      </c>
      <c r="C691" s="4" t="str">
        <f>RTD("rtdtrading.rtdserver",, "BOOK0", "OVD", 687)</f>
        <v>Ferramenta Inválida</v>
      </c>
      <c r="D691" s="4" t="str">
        <f>RTD("rtdtrading.rtdserver",, "BOOK0", "VOV", 687)</f>
        <v>Ferramenta Inválida</v>
      </c>
      <c r="F691" s="3"/>
      <c r="G691" s="5"/>
      <c r="H691" s="6"/>
      <c r="I691" s="4"/>
      <c r="K691" s="5"/>
      <c r="L691" s="6"/>
      <c r="N691" s="3"/>
      <c r="O691" s="3"/>
      <c r="P691" s="4"/>
      <c r="Q691" s="4"/>
      <c r="S691" s="3"/>
      <c r="T691" s="3"/>
      <c r="U691" s="4"/>
      <c r="V691" s="4"/>
    </row>
    <row r="692" spans="1:22" x14ac:dyDescent="0.25">
      <c r="A692" s="3" t="str">
        <f>RTD("rtdtrading.rtdserver",, "BOOK0", "VOC", 688)</f>
        <v>Ferramenta Inválida</v>
      </c>
      <c r="B692" s="3" t="str">
        <f>RTD("rtdtrading.rtdserver",, "BOOK0", "OCP", 688)</f>
        <v>Ferramenta Inválida</v>
      </c>
      <c r="C692" s="4" t="str">
        <f>RTD("rtdtrading.rtdserver",, "BOOK0", "OVD", 688)</f>
        <v>Ferramenta Inválida</v>
      </c>
      <c r="D692" s="4" t="str">
        <f>RTD("rtdtrading.rtdserver",, "BOOK0", "VOV", 688)</f>
        <v>Ferramenta Inválida</v>
      </c>
      <c r="F692" s="3"/>
      <c r="G692" s="5"/>
      <c r="H692" s="6"/>
      <c r="I692" s="4"/>
      <c r="K692" s="5"/>
      <c r="L692" s="6"/>
      <c r="N692" s="3"/>
      <c r="O692" s="3"/>
      <c r="P692" s="4"/>
      <c r="Q692" s="4"/>
      <c r="S692" s="3"/>
      <c r="T692" s="3"/>
      <c r="U692" s="4"/>
      <c r="V692" s="4"/>
    </row>
    <row r="693" spans="1:22" x14ac:dyDescent="0.25">
      <c r="A693" s="3" t="str">
        <f>RTD("rtdtrading.rtdserver",, "BOOK0", "VOC", 689)</f>
        <v>Ferramenta Inválida</v>
      </c>
      <c r="B693" s="3" t="str">
        <f>RTD("rtdtrading.rtdserver",, "BOOK0", "OCP", 689)</f>
        <v>Ferramenta Inválida</v>
      </c>
      <c r="C693" s="4" t="str">
        <f>RTD("rtdtrading.rtdserver",, "BOOK0", "OVD", 689)</f>
        <v>Ferramenta Inválida</v>
      </c>
      <c r="D693" s="4" t="str">
        <f>RTD("rtdtrading.rtdserver",, "BOOK0", "VOV", 689)</f>
        <v>Ferramenta Inválida</v>
      </c>
      <c r="F693" s="3"/>
      <c r="G693" s="5"/>
      <c r="H693" s="6"/>
      <c r="I693" s="4"/>
      <c r="K693" s="5"/>
      <c r="L693" s="6"/>
      <c r="N693" s="3"/>
      <c r="O693" s="3"/>
      <c r="P693" s="4"/>
      <c r="Q693" s="4"/>
      <c r="S693" s="3"/>
      <c r="T693" s="3"/>
      <c r="U693" s="4"/>
      <c r="V693" s="4"/>
    </row>
    <row r="694" spans="1:22" x14ac:dyDescent="0.25">
      <c r="A694" s="3" t="str">
        <f>RTD("rtdtrading.rtdserver",, "BOOK0", "VOC", 690)</f>
        <v>Ferramenta Inválida</v>
      </c>
      <c r="B694" s="3" t="str">
        <f>RTD("rtdtrading.rtdserver",, "BOOK0", "OCP", 690)</f>
        <v>Ferramenta Inválida</v>
      </c>
      <c r="C694" s="4" t="str">
        <f>RTD("rtdtrading.rtdserver",, "BOOK0", "OVD", 690)</f>
        <v>Ferramenta Inválida</v>
      </c>
      <c r="D694" s="4" t="str">
        <f>RTD("rtdtrading.rtdserver",, "BOOK0", "VOV", 690)</f>
        <v>Ferramenta Inválida</v>
      </c>
      <c r="F694" s="3"/>
      <c r="G694" s="5"/>
      <c r="H694" s="6"/>
      <c r="I694" s="4"/>
      <c r="K694" s="5"/>
      <c r="L694" s="6"/>
      <c r="N694" s="3"/>
      <c r="O694" s="3"/>
      <c r="P694" s="4"/>
      <c r="Q694" s="4"/>
      <c r="S694" s="3"/>
      <c r="T694" s="3"/>
      <c r="U694" s="4"/>
      <c r="V694" s="4"/>
    </row>
    <row r="695" spans="1:22" x14ac:dyDescent="0.25">
      <c r="A695" s="3" t="str">
        <f>RTD("rtdtrading.rtdserver",, "BOOK0", "VOC", 691)</f>
        <v>Ferramenta Inválida</v>
      </c>
      <c r="B695" s="3" t="str">
        <f>RTD("rtdtrading.rtdserver",, "BOOK0", "OCP", 691)</f>
        <v>Ferramenta Inválida</v>
      </c>
      <c r="C695" s="4" t="str">
        <f>RTD("rtdtrading.rtdserver",, "BOOK0", "OVD", 691)</f>
        <v>Ferramenta Inválida</v>
      </c>
      <c r="D695" s="4" t="str">
        <f>RTD("rtdtrading.rtdserver",, "BOOK0", "VOV", 691)</f>
        <v>Ferramenta Inválida</v>
      </c>
      <c r="F695" s="3"/>
      <c r="G695" s="5"/>
      <c r="H695" s="6"/>
      <c r="I695" s="4"/>
      <c r="K695" s="5"/>
      <c r="L695" s="6"/>
      <c r="N695" s="3"/>
      <c r="O695" s="3"/>
      <c r="P695" s="4"/>
      <c r="Q695" s="4"/>
      <c r="S695" s="3"/>
      <c r="T695" s="3"/>
      <c r="U695" s="4"/>
      <c r="V695" s="4"/>
    </row>
    <row r="696" spans="1:22" x14ac:dyDescent="0.25">
      <c r="A696" s="3" t="str">
        <f>RTD("rtdtrading.rtdserver",, "BOOK0", "VOC", 692)</f>
        <v>Ferramenta Inválida</v>
      </c>
      <c r="B696" s="3" t="str">
        <f>RTD("rtdtrading.rtdserver",, "BOOK0", "OCP", 692)</f>
        <v>Ferramenta Inválida</v>
      </c>
      <c r="C696" s="4" t="str">
        <f>RTD("rtdtrading.rtdserver",, "BOOK0", "OVD", 692)</f>
        <v>Ferramenta Inválida</v>
      </c>
      <c r="D696" s="4" t="str">
        <f>RTD("rtdtrading.rtdserver",, "BOOK0", "VOV", 692)</f>
        <v>Ferramenta Inválida</v>
      </c>
      <c r="F696" s="3"/>
      <c r="G696" s="5"/>
      <c r="H696" s="6"/>
      <c r="I696" s="4"/>
      <c r="K696" s="5"/>
      <c r="L696" s="6"/>
      <c r="N696" s="3"/>
      <c r="O696" s="3"/>
      <c r="P696" s="4"/>
      <c r="Q696" s="4"/>
      <c r="S696" s="3"/>
      <c r="T696" s="3"/>
      <c r="U696" s="4"/>
      <c r="V696" s="4"/>
    </row>
    <row r="697" spans="1:22" x14ac:dyDescent="0.25">
      <c r="A697" s="3" t="str">
        <f>RTD("rtdtrading.rtdserver",, "BOOK0", "VOC", 693)</f>
        <v>Ferramenta Inválida</v>
      </c>
      <c r="B697" s="3" t="str">
        <f>RTD("rtdtrading.rtdserver",, "BOOK0", "OCP", 693)</f>
        <v>Ferramenta Inválida</v>
      </c>
      <c r="C697" s="4" t="str">
        <f>RTD("rtdtrading.rtdserver",, "BOOK0", "OVD", 693)</f>
        <v>Ferramenta Inválida</v>
      </c>
      <c r="D697" s="4" t="str">
        <f>RTD("rtdtrading.rtdserver",, "BOOK0", "VOV", 693)</f>
        <v>Ferramenta Inválida</v>
      </c>
      <c r="F697" s="3"/>
      <c r="G697" s="5"/>
      <c r="H697" s="6"/>
      <c r="I697" s="4"/>
      <c r="K697" s="5"/>
      <c r="L697" s="6"/>
      <c r="N697" s="3"/>
      <c r="O697" s="3"/>
      <c r="P697" s="4"/>
      <c r="Q697" s="4"/>
      <c r="S697" s="3"/>
      <c r="T697" s="3"/>
      <c r="U697" s="4"/>
      <c r="V697" s="4"/>
    </row>
    <row r="698" spans="1:22" x14ac:dyDescent="0.25">
      <c r="A698" s="3" t="str">
        <f>RTD("rtdtrading.rtdserver",, "BOOK0", "VOC", 694)</f>
        <v>Ferramenta Inválida</v>
      </c>
      <c r="B698" s="3" t="str">
        <f>RTD("rtdtrading.rtdserver",, "BOOK0", "OCP", 694)</f>
        <v>Ferramenta Inválida</v>
      </c>
      <c r="C698" s="4" t="str">
        <f>RTD("rtdtrading.rtdserver",, "BOOK0", "OVD", 694)</f>
        <v>Ferramenta Inválida</v>
      </c>
      <c r="D698" s="4" t="str">
        <f>RTD("rtdtrading.rtdserver",, "BOOK0", "VOV", 694)</f>
        <v>Ferramenta Inválida</v>
      </c>
      <c r="F698" s="3"/>
      <c r="G698" s="5"/>
      <c r="H698" s="6"/>
      <c r="I698" s="4"/>
      <c r="K698" s="5"/>
      <c r="L698" s="6"/>
      <c r="N698" s="3"/>
      <c r="O698" s="3"/>
      <c r="P698" s="4"/>
      <c r="Q698" s="4"/>
      <c r="S698" s="3"/>
      <c r="T698" s="3"/>
      <c r="U698" s="4"/>
      <c r="V698" s="4"/>
    </row>
    <row r="699" spans="1:22" x14ac:dyDescent="0.25">
      <c r="A699" s="3" t="str">
        <f>RTD("rtdtrading.rtdserver",, "BOOK0", "VOC", 695)</f>
        <v>Ferramenta Inválida</v>
      </c>
      <c r="B699" s="3" t="str">
        <f>RTD("rtdtrading.rtdserver",, "BOOK0", "OCP", 695)</f>
        <v>Ferramenta Inválida</v>
      </c>
      <c r="C699" s="4" t="str">
        <f>RTD("rtdtrading.rtdserver",, "BOOK0", "OVD", 695)</f>
        <v>Ferramenta Inválida</v>
      </c>
      <c r="D699" s="4" t="str">
        <f>RTD("rtdtrading.rtdserver",, "BOOK0", "VOV", 695)</f>
        <v>Ferramenta Inválida</v>
      </c>
      <c r="F699" s="3"/>
      <c r="G699" s="5"/>
      <c r="H699" s="6"/>
      <c r="I699" s="4"/>
      <c r="K699" s="5"/>
      <c r="L699" s="6"/>
      <c r="N699" s="3"/>
      <c r="O699" s="3"/>
      <c r="P699" s="4"/>
      <c r="Q699" s="4"/>
      <c r="S699" s="3"/>
      <c r="T699" s="3"/>
      <c r="U699" s="4"/>
      <c r="V699" s="4"/>
    </row>
    <row r="700" spans="1:22" x14ac:dyDescent="0.25">
      <c r="A700" s="3" t="str">
        <f>RTD("rtdtrading.rtdserver",, "BOOK0", "VOC", 696)</f>
        <v>Ferramenta Inválida</v>
      </c>
      <c r="B700" s="3" t="str">
        <f>RTD("rtdtrading.rtdserver",, "BOOK0", "OCP", 696)</f>
        <v>Ferramenta Inválida</v>
      </c>
      <c r="C700" s="4" t="str">
        <f>RTD("rtdtrading.rtdserver",, "BOOK0", "OVD", 696)</f>
        <v>Ferramenta Inválida</v>
      </c>
      <c r="D700" s="4" t="str">
        <f>RTD("rtdtrading.rtdserver",, "BOOK0", "VOV", 696)</f>
        <v>Ferramenta Inválida</v>
      </c>
      <c r="F700" s="3"/>
      <c r="G700" s="5"/>
      <c r="H700" s="6"/>
      <c r="I700" s="4"/>
      <c r="K700" s="5"/>
      <c r="L700" s="6"/>
      <c r="N700" s="3"/>
      <c r="O700" s="3"/>
      <c r="P700" s="4"/>
      <c r="Q700" s="4"/>
      <c r="S700" s="3"/>
      <c r="T700" s="3"/>
      <c r="U700" s="4"/>
      <c r="V700" s="4"/>
    </row>
    <row r="701" spans="1:22" x14ac:dyDescent="0.25">
      <c r="A701" s="3" t="str">
        <f>RTD("rtdtrading.rtdserver",, "BOOK0", "VOC", 697)</f>
        <v>Ferramenta Inválida</v>
      </c>
      <c r="B701" s="3" t="str">
        <f>RTD("rtdtrading.rtdserver",, "BOOK0", "OCP", 697)</f>
        <v>Ferramenta Inválida</v>
      </c>
      <c r="C701" s="4" t="str">
        <f>RTD("rtdtrading.rtdserver",, "BOOK0", "OVD", 697)</f>
        <v>Ferramenta Inválida</v>
      </c>
      <c r="D701" s="4" t="str">
        <f>RTD("rtdtrading.rtdserver",, "BOOK0", "VOV", 697)</f>
        <v>Ferramenta Inválida</v>
      </c>
      <c r="F701" s="3"/>
      <c r="G701" s="5"/>
      <c r="H701" s="6"/>
      <c r="I701" s="4"/>
      <c r="K701" s="5"/>
      <c r="L701" s="6"/>
      <c r="N701" s="3"/>
      <c r="O701" s="3"/>
      <c r="P701" s="4"/>
      <c r="Q701" s="4"/>
      <c r="S701" s="3"/>
      <c r="T701" s="3"/>
      <c r="U701" s="4"/>
      <c r="V701" s="4"/>
    </row>
    <row r="702" spans="1:22" x14ac:dyDescent="0.25">
      <c r="A702" s="3" t="str">
        <f>RTD("rtdtrading.rtdserver",, "BOOK0", "VOC", 698)</f>
        <v>Ferramenta Inválida</v>
      </c>
      <c r="B702" s="3" t="str">
        <f>RTD("rtdtrading.rtdserver",, "BOOK0", "OCP", 698)</f>
        <v>Ferramenta Inválida</v>
      </c>
      <c r="C702" s="4" t="str">
        <f>RTD("rtdtrading.rtdserver",, "BOOK0", "OVD", 698)</f>
        <v>Ferramenta Inválida</v>
      </c>
      <c r="D702" s="4" t="str">
        <f>RTD("rtdtrading.rtdserver",, "BOOK0", "VOV", 698)</f>
        <v>Ferramenta Inválida</v>
      </c>
      <c r="F702" s="3"/>
      <c r="G702" s="5"/>
      <c r="H702" s="6"/>
      <c r="I702" s="4"/>
      <c r="K702" s="5"/>
      <c r="L702" s="6"/>
      <c r="N702" s="3"/>
      <c r="O702" s="3"/>
      <c r="P702" s="4"/>
      <c r="Q702" s="4"/>
      <c r="S702" s="3"/>
      <c r="T702" s="3"/>
      <c r="U702" s="4"/>
      <c r="V702" s="4"/>
    </row>
    <row r="703" spans="1:22" x14ac:dyDescent="0.25">
      <c r="A703" s="3" t="str">
        <f>RTD("rtdtrading.rtdserver",, "BOOK0", "VOC", 699)</f>
        <v>Ferramenta Inválida</v>
      </c>
      <c r="B703" s="3" t="str">
        <f>RTD("rtdtrading.rtdserver",, "BOOK0", "OCP", 699)</f>
        <v>Ferramenta Inválida</v>
      </c>
      <c r="C703" s="4" t="str">
        <f>RTD("rtdtrading.rtdserver",, "BOOK0", "OVD", 699)</f>
        <v>Ferramenta Inválida</v>
      </c>
      <c r="D703" s="4" t="str">
        <f>RTD("rtdtrading.rtdserver",, "BOOK0", "VOV", 699)</f>
        <v>Ferramenta Inválida</v>
      </c>
      <c r="F703" s="3"/>
      <c r="G703" s="5"/>
      <c r="H703" s="6"/>
      <c r="I703" s="4"/>
      <c r="K703" s="5"/>
      <c r="L703" s="6"/>
      <c r="N703" s="3"/>
      <c r="O703" s="3"/>
      <c r="P703" s="4"/>
      <c r="Q703" s="4"/>
      <c r="S703" s="3"/>
      <c r="T703" s="3"/>
      <c r="U703" s="4"/>
      <c r="V703" s="4"/>
    </row>
    <row r="704" spans="1:22" x14ac:dyDescent="0.25">
      <c r="A704" s="3" t="str">
        <f>RTD("rtdtrading.rtdserver",, "BOOK0", "VOC", 700)</f>
        <v>Ferramenta Inválida</v>
      </c>
      <c r="B704" s="3" t="str">
        <f>RTD("rtdtrading.rtdserver",, "BOOK0", "OCP", 700)</f>
        <v>Ferramenta Inválida</v>
      </c>
      <c r="C704" s="4" t="str">
        <f>RTD("rtdtrading.rtdserver",, "BOOK0", "OVD", 700)</f>
        <v>Ferramenta Inválida</v>
      </c>
      <c r="D704" s="4" t="str">
        <f>RTD("rtdtrading.rtdserver",, "BOOK0", "VOV", 700)</f>
        <v>Ferramenta Inválida</v>
      </c>
      <c r="F704" s="3"/>
      <c r="G704" s="5"/>
      <c r="H704" s="6"/>
      <c r="I704" s="4"/>
      <c r="K704" s="5"/>
      <c r="L704" s="6"/>
      <c r="N704" s="3"/>
      <c r="O704" s="3"/>
      <c r="P704" s="4"/>
      <c r="Q704" s="4"/>
      <c r="S704" s="3"/>
      <c r="T704" s="3"/>
      <c r="U704" s="4"/>
      <c r="V704" s="4"/>
    </row>
    <row r="705" spans="1:22" x14ac:dyDescent="0.25">
      <c r="A705" s="3" t="str">
        <f>RTD("rtdtrading.rtdserver",, "BOOK0", "VOC", 701)</f>
        <v>Ferramenta Inválida</v>
      </c>
      <c r="B705" s="3" t="str">
        <f>RTD("rtdtrading.rtdserver",, "BOOK0", "OCP", 701)</f>
        <v>Ferramenta Inválida</v>
      </c>
      <c r="C705" s="4" t="str">
        <f>RTD("rtdtrading.rtdserver",, "BOOK0", "OVD", 701)</f>
        <v>Ferramenta Inválida</v>
      </c>
      <c r="D705" s="4" t="str">
        <f>RTD("rtdtrading.rtdserver",, "BOOK0", "VOV", 701)</f>
        <v>Ferramenta Inválida</v>
      </c>
      <c r="F705" s="3"/>
      <c r="G705" s="5"/>
      <c r="H705" s="6"/>
      <c r="I705" s="4"/>
      <c r="K705" s="5"/>
      <c r="L705" s="6"/>
      <c r="N705" s="3"/>
      <c r="O705" s="3"/>
      <c r="P705" s="4"/>
      <c r="Q705" s="4"/>
      <c r="S705" s="3"/>
      <c r="T705" s="3"/>
      <c r="U705" s="4"/>
      <c r="V705" s="4"/>
    </row>
    <row r="706" spans="1:22" x14ac:dyDescent="0.25">
      <c r="A706" s="3" t="str">
        <f>RTD("rtdtrading.rtdserver",, "BOOK0", "VOC", 702)</f>
        <v>Ferramenta Inválida</v>
      </c>
      <c r="B706" s="3" t="str">
        <f>RTD("rtdtrading.rtdserver",, "BOOK0", "OCP", 702)</f>
        <v>Ferramenta Inválida</v>
      </c>
      <c r="C706" s="4" t="str">
        <f>RTD("rtdtrading.rtdserver",, "BOOK0", "OVD", 702)</f>
        <v>Ferramenta Inválida</v>
      </c>
      <c r="D706" s="4" t="str">
        <f>RTD("rtdtrading.rtdserver",, "BOOK0", "VOV", 702)</f>
        <v>Ferramenta Inválida</v>
      </c>
      <c r="F706" s="3"/>
      <c r="G706" s="5"/>
      <c r="H706" s="6"/>
      <c r="I706" s="4"/>
      <c r="K706" s="5"/>
      <c r="L706" s="6"/>
      <c r="N706" s="3"/>
      <c r="O706" s="3"/>
      <c r="P706" s="4"/>
      <c r="Q706" s="4"/>
      <c r="S706" s="3"/>
      <c r="T706" s="3"/>
      <c r="U706" s="4"/>
      <c r="V706" s="4"/>
    </row>
    <row r="707" spans="1:22" x14ac:dyDescent="0.25">
      <c r="A707" s="3" t="str">
        <f>RTD("rtdtrading.rtdserver",, "BOOK0", "VOC", 703)</f>
        <v>Ferramenta Inválida</v>
      </c>
      <c r="B707" s="3" t="str">
        <f>RTD("rtdtrading.rtdserver",, "BOOK0", "OCP", 703)</f>
        <v>Ferramenta Inválida</v>
      </c>
      <c r="C707" s="4" t="str">
        <f>RTD("rtdtrading.rtdserver",, "BOOK0", "OVD", 703)</f>
        <v>Ferramenta Inválida</v>
      </c>
      <c r="D707" s="4" t="str">
        <f>RTD("rtdtrading.rtdserver",, "BOOK0", "VOV", 703)</f>
        <v>Ferramenta Inválida</v>
      </c>
      <c r="F707" s="3"/>
      <c r="G707" s="5"/>
      <c r="H707" s="6"/>
      <c r="I707" s="4"/>
      <c r="K707" s="5"/>
      <c r="L707" s="6"/>
      <c r="N707" s="3"/>
      <c r="O707" s="3"/>
      <c r="P707" s="4"/>
      <c r="Q707" s="4"/>
      <c r="S707" s="3"/>
      <c r="T707" s="3"/>
      <c r="U707" s="4"/>
      <c r="V707" s="4"/>
    </row>
    <row r="708" spans="1:22" x14ac:dyDescent="0.25">
      <c r="A708" s="3" t="str">
        <f>RTD("rtdtrading.rtdserver",, "BOOK0", "VOC", 704)</f>
        <v>Ferramenta Inválida</v>
      </c>
      <c r="B708" s="3" t="str">
        <f>RTD("rtdtrading.rtdserver",, "BOOK0", "OCP", 704)</f>
        <v>Ferramenta Inválida</v>
      </c>
      <c r="C708" s="4" t="str">
        <f>RTD("rtdtrading.rtdserver",, "BOOK0", "OVD", 704)</f>
        <v>Ferramenta Inválida</v>
      </c>
      <c r="D708" s="4" t="str">
        <f>RTD("rtdtrading.rtdserver",, "BOOK0", "VOV", 704)</f>
        <v>Ferramenta Inválida</v>
      </c>
      <c r="F708" s="3"/>
      <c r="G708" s="5"/>
      <c r="H708" s="6"/>
      <c r="I708" s="4"/>
      <c r="K708" s="5"/>
      <c r="L708" s="6"/>
      <c r="N708" s="3"/>
      <c r="O708" s="3"/>
      <c r="P708" s="4"/>
      <c r="Q708" s="4"/>
      <c r="S708" s="3"/>
      <c r="T708" s="3"/>
      <c r="U708" s="4"/>
      <c r="V708" s="4"/>
    </row>
    <row r="709" spans="1:22" x14ac:dyDescent="0.25">
      <c r="A709" s="3" t="str">
        <f>RTD("rtdtrading.rtdserver",, "BOOK0", "VOC", 705)</f>
        <v>Ferramenta Inválida</v>
      </c>
      <c r="B709" s="3" t="str">
        <f>RTD("rtdtrading.rtdserver",, "BOOK0", "OCP", 705)</f>
        <v>Ferramenta Inválida</v>
      </c>
      <c r="C709" s="4" t="str">
        <f>RTD("rtdtrading.rtdserver",, "BOOK0", "OVD", 705)</f>
        <v>Ferramenta Inválida</v>
      </c>
      <c r="D709" s="4" t="str">
        <f>RTD("rtdtrading.rtdserver",, "BOOK0", "VOV", 705)</f>
        <v>Ferramenta Inválida</v>
      </c>
      <c r="F709" s="3"/>
      <c r="G709" s="5"/>
      <c r="H709" s="6"/>
      <c r="I709" s="4"/>
      <c r="K709" s="5"/>
      <c r="L709" s="6"/>
      <c r="N709" s="3"/>
      <c r="O709" s="3"/>
      <c r="P709" s="4"/>
      <c r="Q709" s="4"/>
      <c r="S709" s="3"/>
      <c r="T709" s="3"/>
      <c r="U709" s="4"/>
      <c r="V709" s="4"/>
    </row>
    <row r="710" spans="1:22" x14ac:dyDescent="0.25">
      <c r="A710" s="3" t="str">
        <f>RTD("rtdtrading.rtdserver",, "BOOK0", "VOC", 706)</f>
        <v>Ferramenta Inválida</v>
      </c>
      <c r="B710" s="3" t="str">
        <f>RTD("rtdtrading.rtdserver",, "BOOK0", "OCP", 706)</f>
        <v>Ferramenta Inválida</v>
      </c>
      <c r="C710" s="4" t="str">
        <f>RTD("rtdtrading.rtdserver",, "BOOK0", "OVD", 706)</f>
        <v>Ferramenta Inválida</v>
      </c>
      <c r="D710" s="4" t="str">
        <f>RTD("rtdtrading.rtdserver",, "BOOK0", "VOV", 706)</f>
        <v>Ferramenta Inválida</v>
      </c>
      <c r="F710" s="3"/>
      <c r="G710" s="5"/>
      <c r="H710" s="6"/>
      <c r="I710" s="4"/>
      <c r="K710" s="5"/>
      <c r="L710" s="6"/>
      <c r="N710" s="3"/>
      <c r="O710" s="3"/>
      <c r="P710" s="4"/>
      <c r="Q710" s="4"/>
      <c r="S710" s="3"/>
      <c r="T710" s="3"/>
      <c r="U710" s="4"/>
      <c r="V710" s="4"/>
    </row>
    <row r="711" spans="1:22" x14ac:dyDescent="0.25">
      <c r="A711" s="3" t="str">
        <f>RTD("rtdtrading.rtdserver",, "BOOK0", "VOC", 707)</f>
        <v>Ferramenta Inválida</v>
      </c>
      <c r="B711" s="3" t="str">
        <f>RTD("rtdtrading.rtdserver",, "BOOK0", "OCP", 707)</f>
        <v>Ferramenta Inválida</v>
      </c>
      <c r="C711" s="4" t="str">
        <f>RTD("rtdtrading.rtdserver",, "BOOK0", "OVD", 707)</f>
        <v>Ferramenta Inválida</v>
      </c>
      <c r="D711" s="4" t="str">
        <f>RTD("rtdtrading.rtdserver",, "BOOK0", "VOV", 707)</f>
        <v>Ferramenta Inválida</v>
      </c>
      <c r="F711" s="3"/>
      <c r="G711" s="5"/>
      <c r="H711" s="6"/>
      <c r="I711" s="4"/>
      <c r="K711" s="5"/>
      <c r="L711" s="6"/>
      <c r="N711" s="3"/>
      <c r="O711" s="3"/>
      <c r="P711" s="4"/>
      <c r="Q711" s="4"/>
      <c r="S711" s="3"/>
      <c r="T711" s="3"/>
      <c r="U711" s="4"/>
      <c r="V711" s="4"/>
    </row>
    <row r="712" spans="1:22" x14ac:dyDescent="0.25">
      <c r="A712" s="3" t="str">
        <f>RTD("rtdtrading.rtdserver",, "BOOK0", "VOC", 708)</f>
        <v>Ferramenta Inválida</v>
      </c>
      <c r="B712" s="3" t="str">
        <f>RTD("rtdtrading.rtdserver",, "BOOK0", "OCP", 708)</f>
        <v>Ferramenta Inválida</v>
      </c>
      <c r="C712" s="4" t="str">
        <f>RTD("rtdtrading.rtdserver",, "BOOK0", "OVD", 708)</f>
        <v>Ferramenta Inválida</v>
      </c>
      <c r="D712" s="4" t="str">
        <f>RTD("rtdtrading.rtdserver",, "BOOK0", "VOV", 708)</f>
        <v>Ferramenta Inválida</v>
      </c>
      <c r="F712" s="3"/>
      <c r="G712" s="5"/>
      <c r="H712" s="6"/>
      <c r="I712" s="4"/>
      <c r="K712" s="5"/>
      <c r="L712" s="6"/>
      <c r="N712" s="3"/>
      <c r="O712" s="3"/>
      <c r="P712" s="4"/>
      <c r="Q712" s="4"/>
      <c r="S712" s="3"/>
      <c r="T712" s="3"/>
      <c r="U712" s="4"/>
      <c r="V712" s="4"/>
    </row>
    <row r="713" spans="1:22" x14ac:dyDescent="0.25">
      <c r="A713" s="3" t="str">
        <f>RTD("rtdtrading.rtdserver",, "BOOK0", "VOC", 709)</f>
        <v>Ferramenta Inválida</v>
      </c>
      <c r="B713" s="3" t="str">
        <f>RTD("rtdtrading.rtdserver",, "BOOK0", "OCP", 709)</f>
        <v>Ferramenta Inválida</v>
      </c>
      <c r="C713" s="4" t="str">
        <f>RTD("rtdtrading.rtdserver",, "BOOK0", "OVD", 709)</f>
        <v>Ferramenta Inválida</v>
      </c>
      <c r="D713" s="4" t="str">
        <f>RTD("rtdtrading.rtdserver",, "BOOK0", "VOV", 709)</f>
        <v>Ferramenta Inválida</v>
      </c>
      <c r="F713" s="3"/>
      <c r="G713" s="5"/>
      <c r="H713" s="6"/>
      <c r="I713" s="4"/>
      <c r="K713" s="5"/>
      <c r="L713" s="6"/>
      <c r="N713" s="3"/>
      <c r="O713" s="3"/>
      <c r="P713" s="4"/>
      <c r="Q713" s="4"/>
      <c r="S713" s="3"/>
      <c r="T713" s="3"/>
      <c r="U713" s="4"/>
      <c r="V713" s="4"/>
    </row>
    <row r="714" spans="1:22" x14ac:dyDescent="0.25">
      <c r="A714" s="3" t="str">
        <f>RTD("rtdtrading.rtdserver",, "BOOK0", "VOC", 710)</f>
        <v>Ferramenta Inválida</v>
      </c>
      <c r="B714" s="3" t="str">
        <f>RTD("rtdtrading.rtdserver",, "BOOK0", "OCP", 710)</f>
        <v>Ferramenta Inválida</v>
      </c>
      <c r="C714" s="4" t="str">
        <f>RTD("rtdtrading.rtdserver",, "BOOK0", "OVD", 710)</f>
        <v>Ferramenta Inválida</v>
      </c>
      <c r="D714" s="4" t="str">
        <f>RTD("rtdtrading.rtdserver",, "BOOK0", "VOV", 710)</f>
        <v>Ferramenta Inválida</v>
      </c>
      <c r="F714" s="3"/>
      <c r="G714" s="5"/>
      <c r="H714" s="6"/>
      <c r="I714" s="4"/>
      <c r="K714" s="5"/>
      <c r="L714" s="6"/>
      <c r="N714" s="3"/>
      <c r="O714" s="3"/>
      <c r="P714" s="4"/>
      <c r="Q714" s="4"/>
      <c r="S714" s="3"/>
      <c r="T714" s="3"/>
      <c r="U714" s="4"/>
      <c r="V714" s="4"/>
    </row>
    <row r="715" spans="1:22" x14ac:dyDescent="0.25">
      <c r="A715" s="3" t="str">
        <f>RTD("rtdtrading.rtdserver",, "BOOK0", "VOC", 711)</f>
        <v>Ferramenta Inválida</v>
      </c>
      <c r="B715" s="3" t="str">
        <f>RTD("rtdtrading.rtdserver",, "BOOK0", "OCP", 711)</f>
        <v>Ferramenta Inválida</v>
      </c>
      <c r="C715" s="4" t="str">
        <f>RTD("rtdtrading.rtdserver",, "BOOK0", "OVD", 711)</f>
        <v>Ferramenta Inválida</v>
      </c>
      <c r="D715" s="4" t="str">
        <f>RTD("rtdtrading.rtdserver",, "BOOK0", "VOV", 711)</f>
        <v>Ferramenta Inválida</v>
      </c>
      <c r="F715" s="3"/>
      <c r="G715" s="5"/>
      <c r="H715" s="6"/>
      <c r="I715" s="4"/>
      <c r="K715" s="5"/>
      <c r="L715" s="6"/>
      <c r="N715" s="3"/>
      <c r="O715" s="3"/>
      <c r="P715" s="4"/>
      <c r="Q715" s="4"/>
      <c r="S715" s="3"/>
      <c r="T715" s="3"/>
      <c r="U715" s="4"/>
      <c r="V715" s="4"/>
    </row>
    <row r="716" spans="1:22" x14ac:dyDescent="0.25">
      <c r="A716" s="3" t="str">
        <f>RTD("rtdtrading.rtdserver",, "BOOK0", "VOC", 712)</f>
        <v>Ferramenta Inválida</v>
      </c>
      <c r="B716" s="3" t="str">
        <f>RTD("rtdtrading.rtdserver",, "BOOK0", "OCP", 712)</f>
        <v>Ferramenta Inválida</v>
      </c>
      <c r="C716" s="4" t="str">
        <f>RTD("rtdtrading.rtdserver",, "BOOK0", "OVD", 712)</f>
        <v>Ferramenta Inválida</v>
      </c>
      <c r="D716" s="4" t="str">
        <f>RTD("rtdtrading.rtdserver",, "BOOK0", "VOV", 712)</f>
        <v>Ferramenta Inválida</v>
      </c>
      <c r="F716" s="3"/>
      <c r="G716" s="5"/>
      <c r="H716" s="6"/>
      <c r="I716" s="4"/>
      <c r="K716" s="5"/>
      <c r="L716" s="6"/>
      <c r="N716" s="3"/>
      <c r="O716" s="3"/>
      <c r="P716" s="4"/>
      <c r="Q716" s="4"/>
      <c r="S716" s="3"/>
      <c r="T716" s="3"/>
      <c r="U716" s="4"/>
      <c r="V716" s="4"/>
    </row>
    <row r="717" spans="1:22" x14ac:dyDescent="0.25">
      <c r="A717" s="3" t="str">
        <f>RTD("rtdtrading.rtdserver",, "BOOK0", "VOC", 713)</f>
        <v>Ferramenta Inválida</v>
      </c>
      <c r="B717" s="3" t="str">
        <f>RTD("rtdtrading.rtdserver",, "BOOK0", "OCP", 713)</f>
        <v>Ferramenta Inválida</v>
      </c>
      <c r="C717" s="4" t="str">
        <f>RTD("rtdtrading.rtdserver",, "BOOK0", "OVD", 713)</f>
        <v>Ferramenta Inválida</v>
      </c>
      <c r="D717" s="4" t="str">
        <f>RTD("rtdtrading.rtdserver",, "BOOK0", "VOV", 713)</f>
        <v>Ferramenta Inválida</v>
      </c>
      <c r="F717" s="3"/>
      <c r="G717" s="5"/>
      <c r="H717" s="6"/>
      <c r="I717" s="4"/>
      <c r="K717" s="5"/>
      <c r="L717" s="6"/>
      <c r="N717" s="3"/>
      <c r="O717" s="3"/>
      <c r="P717" s="4"/>
      <c r="Q717" s="4"/>
      <c r="S717" s="3"/>
      <c r="T717" s="3"/>
      <c r="U717" s="4"/>
      <c r="V717" s="4"/>
    </row>
    <row r="718" spans="1:22" x14ac:dyDescent="0.25">
      <c r="A718" s="3" t="str">
        <f>RTD("rtdtrading.rtdserver",, "BOOK0", "VOC", 714)</f>
        <v>Ferramenta Inválida</v>
      </c>
      <c r="B718" s="3" t="str">
        <f>RTD("rtdtrading.rtdserver",, "BOOK0", "OCP", 714)</f>
        <v>Ferramenta Inválida</v>
      </c>
      <c r="C718" s="4" t="str">
        <f>RTD("rtdtrading.rtdserver",, "BOOK0", "OVD", 714)</f>
        <v>Ferramenta Inválida</v>
      </c>
      <c r="D718" s="4" t="str">
        <f>RTD("rtdtrading.rtdserver",, "BOOK0", "VOV", 714)</f>
        <v>Ferramenta Inválida</v>
      </c>
      <c r="F718" s="3"/>
      <c r="G718" s="5"/>
      <c r="H718" s="6"/>
      <c r="I718" s="4"/>
      <c r="K718" s="5"/>
      <c r="L718" s="6"/>
      <c r="N718" s="3"/>
      <c r="O718" s="3"/>
      <c r="P718" s="4"/>
      <c r="Q718" s="4"/>
      <c r="S718" s="3"/>
      <c r="T718" s="3"/>
      <c r="U718" s="4"/>
      <c r="V718" s="4"/>
    </row>
    <row r="719" spans="1:22" x14ac:dyDescent="0.25">
      <c r="A719" s="3" t="str">
        <f>RTD("rtdtrading.rtdserver",, "BOOK0", "VOC", 715)</f>
        <v>Ferramenta Inválida</v>
      </c>
      <c r="B719" s="3" t="str">
        <f>RTD("rtdtrading.rtdserver",, "BOOK0", "OCP", 715)</f>
        <v>Ferramenta Inválida</v>
      </c>
      <c r="C719" s="4" t="str">
        <f>RTD("rtdtrading.rtdserver",, "BOOK0", "OVD", 715)</f>
        <v>Ferramenta Inválida</v>
      </c>
      <c r="D719" s="4" t="str">
        <f>RTD("rtdtrading.rtdserver",, "BOOK0", "VOV", 715)</f>
        <v>Ferramenta Inválida</v>
      </c>
      <c r="F719" s="3"/>
      <c r="G719" s="5"/>
      <c r="H719" s="6"/>
      <c r="I719" s="4"/>
      <c r="K719" s="5"/>
      <c r="L719" s="6"/>
      <c r="N719" s="3"/>
      <c r="O719" s="3"/>
      <c r="P719" s="4"/>
      <c r="Q719" s="4"/>
      <c r="S719" s="3"/>
      <c r="T719" s="3"/>
      <c r="U719" s="4"/>
      <c r="V719" s="4"/>
    </row>
    <row r="720" spans="1:22" x14ac:dyDescent="0.25">
      <c r="A720" s="3" t="str">
        <f>RTD("rtdtrading.rtdserver",, "BOOK0", "VOC", 716)</f>
        <v>Ferramenta Inválida</v>
      </c>
      <c r="B720" s="3" t="str">
        <f>RTD("rtdtrading.rtdserver",, "BOOK0", "OCP", 716)</f>
        <v>Ferramenta Inválida</v>
      </c>
      <c r="C720" s="4" t="str">
        <f>RTD("rtdtrading.rtdserver",, "BOOK0", "OVD", 716)</f>
        <v>Ferramenta Inválida</v>
      </c>
      <c r="D720" s="4" t="str">
        <f>RTD("rtdtrading.rtdserver",, "BOOK0", "VOV", 716)</f>
        <v>Ferramenta Inválida</v>
      </c>
      <c r="F720" s="3"/>
      <c r="G720" s="5"/>
      <c r="H720" s="6"/>
      <c r="I720" s="4"/>
      <c r="K720" s="5"/>
      <c r="L720" s="6"/>
      <c r="N720" s="3"/>
      <c r="O720" s="3"/>
      <c r="P720" s="4"/>
      <c r="Q720" s="4"/>
      <c r="S720" s="3"/>
      <c r="T720" s="3"/>
      <c r="U720" s="4"/>
      <c r="V720" s="4"/>
    </row>
    <row r="721" spans="1:22" x14ac:dyDescent="0.25">
      <c r="A721" s="3" t="str">
        <f>RTD("rtdtrading.rtdserver",, "BOOK0", "VOC", 717)</f>
        <v>Ferramenta Inválida</v>
      </c>
      <c r="B721" s="3" t="str">
        <f>RTD("rtdtrading.rtdserver",, "BOOK0", "OCP", 717)</f>
        <v>Ferramenta Inválida</v>
      </c>
      <c r="C721" s="4" t="str">
        <f>RTD("rtdtrading.rtdserver",, "BOOK0", "OVD", 717)</f>
        <v>Ferramenta Inválida</v>
      </c>
      <c r="D721" s="4" t="str">
        <f>RTD("rtdtrading.rtdserver",, "BOOK0", "VOV", 717)</f>
        <v>Ferramenta Inválida</v>
      </c>
      <c r="F721" s="3"/>
      <c r="G721" s="5"/>
      <c r="H721" s="6"/>
      <c r="I721" s="4"/>
      <c r="K721" s="5"/>
      <c r="L721" s="6"/>
      <c r="N721" s="3"/>
      <c r="O721" s="3"/>
      <c r="P721" s="4"/>
      <c r="Q721" s="4"/>
      <c r="S721" s="3"/>
      <c r="T721" s="3"/>
      <c r="U721" s="4"/>
      <c r="V721" s="4"/>
    </row>
    <row r="722" spans="1:22" x14ac:dyDescent="0.25">
      <c r="A722" s="3" t="str">
        <f>RTD("rtdtrading.rtdserver",, "BOOK0", "VOC", 718)</f>
        <v>Ferramenta Inválida</v>
      </c>
      <c r="B722" s="3" t="str">
        <f>RTD("rtdtrading.rtdserver",, "BOOK0", "OCP", 718)</f>
        <v>Ferramenta Inválida</v>
      </c>
      <c r="C722" s="4" t="str">
        <f>RTD("rtdtrading.rtdserver",, "BOOK0", "OVD", 718)</f>
        <v>Ferramenta Inválida</v>
      </c>
      <c r="D722" s="4" t="str">
        <f>RTD("rtdtrading.rtdserver",, "BOOK0", "VOV", 718)</f>
        <v>Ferramenta Inválida</v>
      </c>
      <c r="F722" s="3"/>
      <c r="G722" s="5"/>
      <c r="H722" s="6"/>
      <c r="I722" s="4"/>
      <c r="K722" s="5"/>
      <c r="L722" s="6"/>
      <c r="N722" s="3"/>
      <c r="O722" s="3"/>
      <c r="P722" s="4"/>
      <c r="Q722" s="4"/>
      <c r="S722" s="3"/>
      <c r="T722" s="3"/>
      <c r="U722" s="4"/>
      <c r="V722" s="4"/>
    </row>
    <row r="723" spans="1:22" x14ac:dyDescent="0.25">
      <c r="A723" s="3" t="str">
        <f>RTD("rtdtrading.rtdserver",, "BOOK0", "VOC", 719)</f>
        <v>Ferramenta Inválida</v>
      </c>
      <c r="B723" s="3" t="str">
        <f>RTD("rtdtrading.rtdserver",, "BOOK0", "OCP", 719)</f>
        <v>Ferramenta Inválida</v>
      </c>
      <c r="C723" s="4" t="str">
        <f>RTD("rtdtrading.rtdserver",, "BOOK0", "OVD", 719)</f>
        <v>Ferramenta Inválida</v>
      </c>
      <c r="D723" s="4" t="str">
        <f>RTD("rtdtrading.rtdserver",, "BOOK0", "VOV", 719)</f>
        <v>Ferramenta Inválida</v>
      </c>
      <c r="F723" s="3"/>
      <c r="G723" s="5"/>
      <c r="H723" s="6"/>
      <c r="I723" s="4"/>
      <c r="K723" s="5"/>
      <c r="L723" s="6"/>
      <c r="N723" s="3"/>
      <c r="O723" s="3"/>
      <c r="P723" s="4"/>
      <c r="Q723" s="4"/>
      <c r="S723" s="3"/>
      <c r="T723" s="3"/>
      <c r="U723" s="4"/>
      <c r="V723" s="4"/>
    </row>
    <row r="724" spans="1:22" x14ac:dyDescent="0.25">
      <c r="A724" s="3" t="str">
        <f>RTD("rtdtrading.rtdserver",, "BOOK0", "VOC", 720)</f>
        <v>Ferramenta Inválida</v>
      </c>
      <c r="B724" s="3" t="str">
        <f>RTD("rtdtrading.rtdserver",, "BOOK0", "OCP", 720)</f>
        <v>Ferramenta Inválida</v>
      </c>
      <c r="C724" s="4" t="str">
        <f>RTD("rtdtrading.rtdserver",, "BOOK0", "OVD", 720)</f>
        <v>Ferramenta Inválida</v>
      </c>
      <c r="D724" s="4" t="str">
        <f>RTD("rtdtrading.rtdserver",, "BOOK0", "VOV", 720)</f>
        <v>Ferramenta Inválida</v>
      </c>
      <c r="F724" s="3"/>
      <c r="G724" s="5"/>
      <c r="H724" s="6"/>
      <c r="I724" s="4"/>
      <c r="K724" s="5"/>
      <c r="L724" s="6"/>
      <c r="N724" s="3"/>
      <c r="O724" s="3"/>
      <c r="P724" s="4"/>
      <c r="Q724" s="4"/>
      <c r="S724" s="3"/>
      <c r="T724" s="3"/>
      <c r="U724" s="4"/>
      <c r="V724" s="4"/>
    </row>
    <row r="725" spans="1:22" x14ac:dyDescent="0.25">
      <c r="A725" s="3" t="str">
        <f>RTD("rtdtrading.rtdserver",, "BOOK0", "VOC", 721)</f>
        <v>Ferramenta Inválida</v>
      </c>
      <c r="B725" s="3" t="str">
        <f>RTD("rtdtrading.rtdserver",, "BOOK0", "OCP", 721)</f>
        <v>Ferramenta Inválida</v>
      </c>
      <c r="C725" s="4" t="str">
        <f>RTD("rtdtrading.rtdserver",, "BOOK0", "OVD", 721)</f>
        <v>Ferramenta Inválida</v>
      </c>
      <c r="D725" s="4" t="str">
        <f>RTD("rtdtrading.rtdserver",, "BOOK0", "VOV", 721)</f>
        <v>Ferramenta Inválida</v>
      </c>
      <c r="F725" s="3"/>
      <c r="G725" s="5"/>
      <c r="H725" s="6"/>
      <c r="I725" s="4"/>
      <c r="K725" s="5"/>
      <c r="L725" s="6"/>
      <c r="N725" s="3"/>
      <c r="O725" s="3"/>
      <c r="P725" s="4"/>
      <c r="Q725" s="4"/>
      <c r="S725" s="3"/>
      <c r="T725" s="3"/>
      <c r="U725" s="4"/>
      <c r="V725" s="4"/>
    </row>
    <row r="726" spans="1:22" x14ac:dyDescent="0.25">
      <c r="A726" s="3" t="str">
        <f>RTD("rtdtrading.rtdserver",, "BOOK0", "VOC", 722)</f>
        <v>Ferramenta Inválida</v>
      </c>
      <c r="B726" s="3" t="str">
        <f>RTD("rtdtrading.rtdserver",, "BOOK0", "OCP", 722)</f>
        <v>Ferramenta Inválida</v>
      </c>
      <c r="C726" s="4" t="str">
        <f>RTD("rtdtrading.rtdserver",, "BOOK0", "OVD", 722)</f>
        <v>Ferramenta Inválida</v>
      </c>
      <c r="D726" s="4" t="str">
        <f>RTD("rtdtrading.rtdserver",, "BOOK0", "VOV", 722)</f>
        <v>Ferramenta Inválida</v>
      </c>
      <c r="F726" s="3"/>
      <c r="G726" s="5"/>
      <c r="H726" s="6"/>
      <c r="I726" s="4"/>
      <c r="K726" s="5"/>
      <c r="L726" s="6"/>
      <c r="N726" s="3"/>
      <c r="O726" s="3"/>
      <c r="P726" s="4"/>
      <c r="Q726" s="4"/>
      <c r="S726" s="3"/>
      <c r="T726" s="3"/>
      <c r="U726" s="4"/>
      <c r="V726" s="4"/>
    </row>
    <row r="727" spans="1:22" x14ac:dyDescent="0.25">
      <c r="A727" s="3" t="str">
        <f>RTD("rtdtrading.rtdserver",, "BOOK0", "VOC", 723)</f>
        <v>Ferramenta Inválida</v>
      </c>
      <c r="B727" s="3" t="str">
        <f>RTD("rtdtrading.rtdserver",, "BOOK0", "OCP", 723)</f>
        <v>Ferramenta Inválida</v>
      </c>
      <c r="C727" s="4" t="str">
        <f>RTD("rtdtrading.rtdserver",, "BOOK0", "OVD", 723)</f>
        <v>Ferramenta Inválida</v>
      </c>
      <c r="D727" s="4" t="str">
        <f>RTD("rtdtrading.rtdserver",, "BOOK0", "VOV", 723)</f>
        <v>Ferramenta Inválida</v>
      </c>
      <c r="F727" s="3"/>
      <c r="G727" s="5"/>
      <c r="H727" s="6"/>
      <c r="I727" s="4"/>
      <c r="K727" s="5"/>
      <c r="L727" s="6"/>
      <c r="N727" s="3"/>
      <c r="O727" s="3"/>
      <c r="P727" s="4"/>
      <c r="Q727" s="4"/>
      <c r="S727" s="3"/>
      <c r="T727" s="3"/>
      <c r="U727" s="4"/>
      <c r="V727" s="4"/>
    </row>
    <row r="728" spans="1:22" x14ac:dyDescent="0.25">
      <c r="A728" s="3" t="str">
        <f>RTD("rtdtrading.rtdserver",, "BOOK0", "VOC", 724)</f>
        <v>Ferramenta Inválida</v>
      </c>
      <c r="B728" s="3" t="str">
        <f>RTD("rtdtrading.rtdserver",, "BOOK0", "OCP", 724)</f>
        <v>Ferramenta Inválida</v>
      </c>
      <c r="C728" s="4" t="str">
        <f>RTD("rtdtrading.rtdserver",, "BOOK0", "OVD", 724)</f>
        <v>Ferramenta Inválida</v>
      </c>
      <c r="D728" s="4" t="str">
        <f>RTD("rtdtrading.rtdserver",, "BOOK0", "VOV", 724)</f>
        <v>Ferramenta Inválida</v>
      </c>
      <c r="F728" s="3"/>
      <c r="G728" s="5"/>
      <c r="H728" s="6"/>
      <c r="I728" s="4"/>
      <c r="K728" s="5"/>
      <c r="L728" s="6"/>
      <c r="N728" s="3"/>
      <c r="O728" s="3"/>
      <c r="P728" s="4"/>
      <c r="Q728" s="4"/>
      <c r="S728" s="3"/>
      <c r="T728" s="3"/>
      <c r="U728" s="4"/>
      <c r="V728" s="4"/>
    </row>
    <row r="729" spans="1:22" x14ac:dyDescent="0.25">
      <c r="A729" s="3" t="str">
        <f>RTD("rtdtrading.rtdserver",, "BOOK0", "VOC", 725)</f>
        <v>Ferramenta Inválida</v>
      </c>
      <c r="B729" s="3" t="str">
        <f>RTD("rtdtrading.rtdserver",, "BOOK0", "OCP", 725)</f>
        <v>Ferramenta Inválida</v>
      </c>
      <c r="C729" s="4" t="str">
        <f>RTD("rtdtrading.rtdserver",, "BOOK0", "OVD", 725)</f>
        <v>Ferramenta Inválida</v>
      </c>
      <c r="D729" s="4" t="str">
        <f>RTD("rtdtrading.rtdserver",, "BOOK0", "VOV", 725)</f>
        <v>Ferramenta Inválida</v>
      </c>
      <c r="F729" s="3"/>
      <c r="G729" s="5"/>
      <c r="H729" s="6"/>
      <c r="I729" s="4"/>
      <c r="K729" s="5"/>
      <c r="L729" s="6"/>
      <c r="N729" s="3"/>
      <c r="O729" s="3"/>
      <c r="P729" s="4"/>
      <c r="Q729" s="4"/>
      <c r="S729" s="3"/>
      <c r="T729" s="3"/>
      <c r="U729" s="4"/>
      <c r="V729" s="4"/>
    </row>
    <row r="730" spans="1:22" x14ac:dyDescent="0.25">
      <c r="A730" s="3" t="str">
        <f>RTD("rtdtrading.rtdserver",, "BOOK0", "VOC", 726)</f>
        <v>Ferramenta Inválida</v>
      </c>
      <c r="B730" s="3" t="str">
        <f>RTD("rtdtrading.rtdserver",, "BOOK0", "OCP", 726)</f>
        <v>Ferramenta Inválida</v>
      </c>
      <c r="C730" s="4" t="str">
        <f>RTD("rtdtrading.rtdserver",, "BOOK0", "OVD", 726)</f>
        <v>Ferramenta Inválida</v>
      </c>
      <c r="D730" s="4" t="str">
        <f>RTD("rtdtrading.rtdserver",, "BOOK0", "VOV", 726)</f>
        <v>Ferramenta Inválida</v>
      </c>
      <c r="F730" s="3"/>
      <c r="G730" s="5"/>
      <c r="H730" s="6"/>
      <c r="I730" s="4"/>
      <c r="K730" s="5"/>
      <c r="L730" s="6"/>
      <c r="N730" s="3"/>
      <c r="O730" s="3"/>
      <c r="P730" s="4"/>
      <c r="Q730" s="4"/>
      <c r="S730" s="3"/>
      <c r="T730" s="3"/>
      <c r="U730" s="4"/>
      <c r="V730" s="4"/>
    </row>
    <row r="731" spans="1:22" x14ac:dyDescent="0.25">
      <c r="A731" s="3" t="str">
        <f>RTD("rtdtrading.rtdserver",, "BOOK0", "VOC", 727)</f>
        <v>Ferramenta Inválida</v>
      </c>
      <c r="B731" s="3" t="str">
        <f>RTD("rtdtrading.rtdserver",, "BOOK0", "OCP", 727)</f>
        <v>Ferramenta Inválida</v>
      </c>
      <c r="C731" s="4" t="str">
        <f>RTD("rtdtrading.rtdserver",, "BOOK0", "OVD", 727)</f>
        <v>Ferramenta Inválida</v>
      </c>
      <c r="D731" s="4" t="str">
        <f>RTD("rtdtrading.rtdserver",, "BOOK0", "VOV", 727)</f>
        <v>Ferramenta Inválida</v>
      </c>
      <c r="F731" s="3"/>
      <c r="G731" s="5"/>
      <c r="H731" s="6"/>
      <c r="I731" s="4"/>
      <c r="K731" s="5"/>
      <c r="L731" s="6"/>
      <c r="N731" s="3"/>
      <c r="O731" s="3"/>
      <c r="P731" s="4"/>
      <c r="Q731" s="4"/>
      <c r="S731" s="3"/>
      <c r="T731" s="3"/>
      <c r="U731" s="4"/>
      <c r="V731" s="4"/>
    </row>
    <row r="732" spans="1:22" x14ac:dyDescent="0.25">
      <c r="A732" s="3" t="str">
        <f>RTD("rtdtrading.rtdserver",, "BOOK0", "VOC", 728)</f>
        <v>Ferramenta Inválida</v>
      </c>
      <c r="B732" s="3" t="str">
        <f>RTD("rtdtrading.rtdserver",, "BOOK0", "OCP", 728)</f>
        <v>Ferramenta Inválida</v>
      </c>
      <c r="C732" s="4" t="str">
        <f>RTD("rtdtrading.rtdserver",, "BOOK0", "OVD", 728)</f>
        <v>Ferramenta Inválida</v>
      </c>
      <c r="D732" s="4" t="str">
        <f>RTD("rtdtrading.rtdserver",, "BOOK0", "VOV", 728)</f>
        <v>Ferramenta Inválida</v>
      </c>
      <c r="F732" s="3"/>
      <c r="G732" s="5"/>
      <c r="H732" s="6"/>
      <c r="I732" s="4"/>
      <c r="K732" s="5"/>
      <c r="L732" s="6"/>
      <c r="N732" s="3"/>
      <c r="O732" s="3"/>
      <c r="P732" s="4"/>
      <c r="Q732" s="4"/>
      <c r="S732" s="3"/>
      <c r="T732" s="3"/>
      <c r="U732" s="4"/>
      <c r="V732" s="4"/>
    </row>
    <row r="733" spans="1:22" x14ac:dyDescent="0.25">
      <c r="A733" s="3" t="str">
        <f>RTD("rtdtrading.rtdserver",, "BOOK0", "VOC", 729)</f>
        <v>Ferramenta Inválida</v>
      </c>
      <c r="B733" s="3" t="str">
        <f>RTD("rtdtrading.rtdserver",, "BOOK0", "OCP", 729)</f>
        <v>Ferramenta Inválida</v>
      </c>
      <c r="C733" s="4" t="str">
        <f>RTD("rtdtrading.rtdserver",, "BOOK0", "OVD", 729)</f>
        <v>Ferramenta Inválida</v>
      </c>
      <c r="D733" s="4" t="str">
        <f>RTD("rtdtrading.rtdserver",, "BOOK0", "VOV", 729)</f>
        <v>Ferramenta Inválida</v>
      </c>
      <c r="F733" s="3"/>
      <c r="G733" s="5"/>
      <c r="H733" s="6"/>
      <c r="I733" s="4"/>
      <c r="K733" s="5"/>
      <c r="L733" s="6"/>
      <c r="N733" s="3"/>
      <c r="O733" s="3"/>
      <c r="P733" s="4"/>
      <c r="Q733" s="4"/>
      <c r="S733" s="3"/>
      <c r="T733" s="3"/>
      <c r="U733" s="4"/>
      <c r="V733" s="4"/>
    </row>
    <row r="734" spans="1:22" x14ac:dyDescent="0.25">
      <c r="A734" s="3" t="str">
        <f>RTD("rtdtrading.rtdserver",, "BOOK0", "VOC", 730)</f>
        <v>Ferramenta Inválida</v>
      </c>
      <c r="B734" s="3" t="str">
        <f>RTD("rtdtrading.rtdserver",, "BOOK0", "OCP", 730)</f>
        <v>Ferramenta Inválida</v>
      </c>
      <c r="C734" s="4" t="str">
        <f>RTD("rtdtrading.rtdserver",, "BOOK0", "OVD", 730)</f>
        <v>Ferramenta Inválida</v>
      </c>
      <c r="D734" s="4" t="str">
        <f>RTD("rtdtrading.rtdserver",, "BOOK0", "VOV", 730)</f>
        <v>Ferramenta Inválida</v>
      </c>
      <c r="F734" s="3"/>
      <c r="G734" s="5"/>
      <c r="H734" s="6"/>
      <c r="I734" s="4"/>
      <c r="K734" s="5"/>
      <c r="L734" s="6"/>
      <c r="N734" s="3"/>
      <c r="O734" s="3"/>
      <c r="P734" s="4"/>
      <c r="Q734" s="4"/>
      <c r="S734" s="3"/>
      <c r="T734" s="3"/>
      <c r="U734" s="4"/>
      <c r="V734" s="4"/>
    </row>
    <row r="735" spans="1:22" x14ac:dyDescent="0.25">
      <c r="A735" s="3" t="str">
        <f>RTD("rtdtrading.rtdserver",, "BOOK0", "VOC", 731)</f>
        <v>Ferramenta Inválida</v>
      </c>
      <c r="B735" s="3" t="str">
        <f>RTD("rtdtrading.rtdserver",, "BOOK0", "OCP", 731)</f>
        <v>Ferramenta Inválida</v>
      </c>
      <c r="C735" s="4" t="str">
        <f>RTD("rtdtrading.rtdserver",, "BOOK0", "OVD", 731)</f>
        <v>Ferramenta Inválida</v>
      </c>
      <c r="D735" s="4" t="str">
        <f>RTD("rtdtrading.rtdserver",, "BOOK0", "VOV", 731)</f>
        <v>Ferramenta Inválida</v>
      </c>
      <c r="F735" s="3"/>
      <c r="G735" s="5"/>
      <c r="H735" s="6"/>
      <c r="I735" s="4"/>
      <c r="K735" s="5"/>
      <c r="L735" s="6"/>
      <c r="N735" s="3"/>
      <c r="O735" s="3"/>
      <c r="P735" s="4"/>
      <c r="Q735" s="4"/>
      <c r="S735" s="3"/>
      <c r="T735" s="3"/>
      <c r="U735" s="4"/>
      <c r="V735" s="4"/>
    </row>
    <row r="736" spans="1:22" x14ac:dyDescent="0.25">
      <c r="A736" s="3" t="str">
        <f>RTD("rtdtrading.rtdserver",, "BOOK0", "VOC", 732)</f>
        <v>Ferramenta Inválida</v>
      </c>
      <c r="B736" s="3" t="str">
        <f>RTD("rtdtrading.rtdserver",, "BOOK0", "OCP", 732)</f>
        <v>Ferramenta Inválida</v>
      </c>
      <c r="C736" s="4" t="str">
        <f>RTD("rtdtrading.rtdserver",, "BOOK0", "OVD", 732)</f>
        <v>Ferramenta Inválida</v>
      </c>
      <c r="D736" s="4" t="str">
        <f>RTD("rtdtrading.rtdserver",, "BOOK0", "VOV", 732)</f>
        <v>Ferramenta Inválida</v>
      </c>
      <c r="F736" s="3"/>
      <c r="G736" s="5"/>
      <c r="H736" s="6"/>
      <c r="I736" s="4"/>
      <c r="K736" s="5"/>
      <c r="L736" s="6"/>
      <c r="N736" s="3"/>
      <c r="O736" s="3"/>
      <c r="P736" s="4"/>
      <c r="Q736" s="4"/>
      <c r="S736" s="3"/>
      <c r="T736" s="3"/>
      <c r="U736" s="4"/>
      <c r="V736" s="4"/>
    </row>
    <row r="737" spans="1:22" x14ac:dyDescent="0.25">
      <c r="A737" s="3" t="str">
        <f>RTD("rtdtrading.rtdserver",, "BOOK0", "VOC", 733)</f>
        <v>Ferramenta Inválida</v>
      </c>
      <c r="B737" s="3" t="str">
        <f>RTD("rtdtrading.rtdserver",, "BOOK0", "OCP", 733)</f>
        <v>Ferramenta Inválida</v>
      </c>
      <c r="C737" s="4" t="str">
        <f>RTD("rtdtrading.rtdserver",, "BOOK0", "OVD", 733)</f>
        <v>Ferramenta Inválida</v>
      </c>
      <c r="D737" s="4" t="str">
        <f>RTD("rtdtrading.rtdserver",, "BOOK0", "VOV", 733)</f>
        <v>Ferramenta Inválida</v>
      </c>
      <c r="F737" s="3"/>
      <c r="G737" s="5"/>
      <c r="H737" s="6"/>
      <c r="I737" s="4"/>
      <c r="K737" s="5"/>
      <c r="L737" s="6"/>
      <c r="N737" s="3"/>
      <c r="O737" s="3"/>
      <c r="P737" s="4"/>
      <c r="Q737" s="4"/>
      <c r="S737" s="3"/>
      <c r="T737" s="3"/>
      <c r="U737" s="4"/>
      <c r="V737" s="4"/>
    </row>
    <row r="738" spans="1:22" x14ac:dyDescent="0.25">
      <c r="A738" s="3" t="str">
        <f>RTD("rtdtrading.rtdserver",, "BOOK0", "VOC", 734)</f>
        <v>Ferramenta Inválida</v>
      </c>
      <c r="B738" s="3" t="str">
        <f>RTD("rtdtrading.rtdserver",, "BOOK0", "OCP", 734)</f>
        <v>Ferramenta Inválida</v>
      </c>
      <c r="C738" s="4" t="str">
        <f>RTD("rtdtrading.rtdserver",, "BOOK0", "OVD", 734)</f>
        <v>Ferramenta Inválida</v>
      </c>
      <c r="D738" s="4" t="str">
        <f>RTD("rtdtrading.rtdserver",, "BOOK0", "VOV", 734)</f>
        <v>Ferramenta Inválida</v>
      </c>
      <c r="F738" s="3"/>
      <c r="G738" s="5"/>
      <c r="H738" s="6"/>
      <c r="I738" s="4"/>
      <c r="K738" s="5"/>
      <c r="L738" s="6"/>
      <c r="N738" s="3"/>
      <c r="O738" s="3"/>
      <c r="P738" s="4"/>
      <c r="Q738" s="4"/>
      <c r="S738" s="3"/>
      <c r="T738" s="3"/>
      <c r="U738" s="4"/>
      <c r="V738" s="4"/>
    </row>
    <row r="739" spans="1:22" x14ac:dyDescent="0.25">
      <c r="A739" s="3" t="str">
        <f>RTD("rtdtrading.rtdserver",, "BOOK0", "VOC", 735)</f>
        <v>Ferramenta Inválida</v>
      </c>
      <c r="B739" s="3" t="str">
        <f>RTD("rtdtrading.rtdserver",, "BOOK0", "OCP", 735)</f>
        <v>Ferramenta Inválida</v>
      </c>
      <c r="C739" s="4" t="str">
        <f>RTD("rtdtrading.rtdserver",, "BOOK0", "OVD", 735)</f>
        <v>Ferramenta Inválida</v>
      </c>
      <c r="D739" s="4" t="str">
        <f>RTD("rtdtrading.rtdserver",, "BOOK0", "VOV", 735)</f>
        <v>Ferramenta Inválida</v>
      </c>
      <c r="F739" s="3"/>
      <c r="G739" s="5"/>
      <c r="H739" s="6"/>
      <c r="I739" s="4"/>
      <c r="K739" s="5"/>
      <c r="L739" s="6"/>
      <c r="N739" s="3"/>
      <c r="O739" s="3"/>
      <c r="P739" s="4"/>
      <c r="Q739" s="4"/>
      <c r="S739" s="3"/>
      <c r="T739" s="3"/>
      <c r="U739" s="4"/>
      <c r="V739" s="4"/>
    </row>
    <row r="740" spans="1:22" x14ac:dyDescent="0.25">
      <c r="A740" s="3" t="str">
        <f>RTD("rtdtrading.rtdserver",, "BOOK0", "VOC", 736)</f>
        <v>Ferramenta Inválida</v>
      </c>
      <c r="B740" s="3" t="str">
        <f>RTD("rtdtrading.rtdserver",, "BOOK0", "OCP", 736)</f>
        <v>Ferramenta Inválida</v>
      </c>
      <c r="C740" s="4" t="str">
        <f>RTD("rtdtrading.rtdserver",, "BOOK0", "OVD", 736)</f>
        <v>Ferramenta Inválida</v>
      </c>
      <c r="D740" s="4" t="str">
        <f>RTD("rtdtrading.rtdserver",, "BOOK0", "VOV", 736)</f>
        <v>Ferramenta Inválida</v>
      </c>
      <c r="F740" s="3"/>
      <c r="G740" s="5"/>
      <c r="H740" s="6"/>
      <c r="I740" s="4"/>
      <c r="K740" s="5"/>
      <c r="L740" s="6"/>
      <c r="N740" s="3"/>
      <c r="O740" s="3"/>
      <c r="P740" s="4"/>
      <c r="Q740" s="4"/>
      <c r="S740" s="3"/>
      <c r="T740" s="3"/>
      <c r="U740" s="4"/>
      <c r="V740" s="4"/>
    </row>
    <row r="741" spans="1:22" x14ac:dyDescent="0.25">
      <c r="A741" s="3" t="str">
        <f>RTD("rtdtrading.rtdserver",, "BOOK0", "VOC", 737)</f>
        <v>Ferramenta Inválida</v>
      </c>
      <c r="B741" s="3" t="str">
        <f>RTD("rtdtrading.rtdserver",, "BOOK0", "OCP", 737)</f>
        <v>Ferramenta Inválida</v>
      </c>
      <c r="C741" s="4" t="str">
        <f>RTD("rtdtrading.rtdserver",, "BOOK0", "OVD", 737)</f>
        <v>Ferramenta Inválida</v>
      </c>
      <c r="D741" s="4" t="str">
        <f>RTD("rtdtrading.rtdserver",, "BOOK0", "VOV", 737)</f>
        <v>Ferramenta Inválida</v>
      </c>
      <c r="F741" s="3"/>
      <c r="G741" s="5"/>
      <c r="H741" s="6"/>
      <c r="I741" s="4"/>
      <c r="K741" s="5"/>
      <c r="L741" s="6"/>
      <c r="N741" s="3"/>
      <c r="O741" s="3"/>
      <c r="P741" s="4"/>
      <c r="Q741" s="4"/>
      <c r="S741" s="3"/>
      <c r="T741" s="3"/>
      <c r="U741" s="4"/>
      <c r="V741" s="4"/>
    </row>
    <row r="742" spans="1:22" x14ac:dyDescent="0.25">
      <c r="A742" s="3" t="str">
        <f>RTD("rtdtrading.rtdserver",, "BOOK0", "VOC", 738)</f>
        <v>Ferramenta Inválida</v>
      </c>
      <c r="B742" s="3" t="str">
        <f>RTD("rtdtrading.rtdserver",, "BOOK0", "OCP", 738)</f>
        <v>Ferramenta Inválida</v>
      </c>
      <c r="C742" s="4" t="str">
        <f>RTD("rtdtrading.rtdserver",, "BOOK0", "OVD", 738)</f>
        <v>Ferramenta Inválida</v>
      </c>
      <c r="D742" s="4" t="str">
        <f>RTD("rtdtrading.rtdserver",, "BOOK0", "VOV", 738)</f>
        <v>Ferramenta Inválida</v>
      </c>
      <c r="F742" s="3"/>
      <c r="G742" s="5"/>
      <c r="H742" s="6"/>
      <c r="I742" s="4"/>
      <c r="K742" s="5"/>
      <c r="L742" s="6"/>
      <c r="N742" s="3"/>
      <c r="O742" s="3"/>
      <c r="P742" s="4"/>
      <c r="Q742" s="4"/>
      <c r="S742" s="3"/>
      <c r="T742" s="3"/>
      <c r="U742" s="4"/>
      <c r="V742" s="4"/>
    </row>
    <row r="743" spans="1:22" x14ac:dyDescent="0.25">
      <c r="A743" s="3" t="str">
        <f>RTD("rtdtrading.rtdserver",, "BOOK0", "VOC", 739)</f>
        <v>Ferramenta Inválida</v>
      </c>
      <c r="B743" s="3" t="str">
        <f>RTD("rtdtrading.rtdserver",, "BOOK0", "OCP", 739)</f>
        <v>Ferramenta Inválida</v>
      </c>
      <c r="C743" s="4" t="str">
        <f>RTD("rtdtrading.rtdserver",, "BOOK0", "OVD", 739)</f>
        <v>Ferramenta Inválida</v>
      </c>
      <c r="D743" s="4" t="str">
        <f>RTD("rtdtrading.rtdserver",, "BOOK0", "VOV", 739)</f>
        <v>Ferramenta Inválida</v>
      </c>
      <c r="F743" s="3"/>
      <c r="G743" s="5"/>
      <c r="H743" s="6"/>
      <c r="I743" s="4"/>
      <c r="K743" s="5"/>
      <c r="L743" s="6"/>
      <c r="N743" s="3"/>
      <c r="O743" s="3"/>
      <c r="P743" s="4"/>
      <c r="Q743" s="4"/>
      <c r="S743" s="3"/>
      <c r="T743" s="3"/>
      <c r="U743" s="4"/>
      <c r="V743" s="4"/>
    </row>
    <row r="744" spans="1:22" x14ac:dyDescent="0.25">
      <c r="A744" s="3" t="str">
        <f>RTD("rtdtrading.rtdserver",, "BOOK0", "VOC", 740)</f>
        <v>Ferramenta Inválida</v>
      </c>
      <c r="B744" s="3" t="str">
        <f>RTD("rtdtrading.rtdserver",, "BOOK0", "OCP", 740)</f>
        <v>Ferramenta Inválida</v>
      </c>
      <c r="C744" s="4" t="str">
        <f>RTD("rtdtrading.rtdserver",, "BOOK0", "OVD", 740)</f>
        <v>Ferramenta Inválida</v>
      </c>
      <c r="D744" s="4" t="str">
        <f>RTD("rtdtrading.rtdserver",, "BOOK0", "VOV", 740)</f>
        <v>Ferramenta Inválida</v>
      </c>
      <c r="F744" s="3"/>
      <c r="G744" s="5"/>
      <c r="H744" s="6"/>
      <c r="I744" s="4"/>
      <c r="K744" s="5"/>
      <c r="L744" s="6"/>
      <c r="N744" s="3"/>
      <c r="O744" s="3"/>
      <c r="P744" s="4"/>
      <c r="Q744" s="4"/>
      <c r="S744" s="3"/>
      <c r="T744" s="3"/>
      <c r="U744" s="4"/>
      <c r="V744" s="4"/>
    </row>
    <row r="745" spans="1:22" x14ac:dyDescent="0.25">
      <c r="A745" s="3" t="str">
        <f>RTD("rtdtrading.rtdserver",, "BOOK0", "VOC", 741)</f>
        <v>Ferramenta Inválida</v>
      </c>
      <c r="B745" s="3" t="str">
        <f>RTD("rtdtrading.rtdserver",, "BOOK0", "OCP", 741)</f>
        <v>Ferramenta Inválida</v>
      </c>
      <c r="C745" s="4" t="str">
        <f>RTD("rtdtrading.rtdserver",, "BOOK0", "OVD", 741)</f>
        <v>Ferramenta Inválida</v>
      </c>
      <c r="D745" s="4" t="str">
        <f>RTD("rtdtrading.rtdserver",, "BOOK0", "VOV", 741)</f>
        <v>Ferramenta Inválida</v>
      </c>
      <c r="F745" s="3"/>
      <c r="G745" s="5"/>
      <c r="H745" s="6"/>
      <c r="I745" s="4"/>
      <c r="K745" s="5"/>
      <c r="L745" s="6"/>
      <c r="N745" s="3"/>
      <c r="O745" s="3"/>
      <c r="P745" s="4"/>
      <c r="Q745" s="4"/>
      <c r="S745" s="3"/>
      <c r="T745" s="3"/>
      <c r="U745" s="4"/>
      <c r="V745" s="4"/>
    </row>
    <row r="746" spans="1:22" x14ac:dyDescent="0.25">
      <c r="A746" s="3" t="str">
        <f>RTD("rtdtrading.rtdserver",, "BOOK0", "VOC", 742)</f>
        <v>Ferramenta Inválida</v>
      </c>
      <c r="B746" s="3" t="str">
        <f>RTD("rtdtrading.rtdserver",, "BOOK0", "OCP", 742)</f>
        <v>Ferramenta Inválida</v>
      </c>
      <c r="C746" s="4" t="str">
        <f>RTD("rtdtrading.rtdserver",, "BOOK0", "OVD", 742)</f>
        <v>Ferramenta Inválida</v>
      </c>
      <c r="D746" s="4" t="str">
        <f>RTD("rtdtrading.rtdserver",, "BOOK0", "VOV", 742)</f>
        <v>Ferramenta Inválida</v>
      </c>
      <c r="F746" s="3"/>
      <c r="G746" s="5"/>
      <c r="H746" s="6"/>
      <c r="I746" s="4"/>
      <c r="K746" s="5"/>
      <c r="L746" s="6"/>
      <c r="N746" s="3"/>
      <c r="O746" s="3"/>
      <c r="P746" s="4"/>
      <c r="Q746" s="4"/>
      <c r="S746" s="3"/>
      <c r="T746" s="3"/>
      <c r="U746" s="4"/>
      <c r="V746" s="4"/>
    </row>
    <row r="747" spans="1:22" x14ac:dyDescent="0.25">
      <c r="A747" s="3" t="str">
        <f>RTD("rtdtrading.rtdserver",, "BOOK0", "VOC", 743)</f>
        <v>Ferramenta Inválida</v>
      </c>
      <c r="B747" s="3" t="str">
        <f>RTD("rtdtrading.rtdserver",, "BOOK0", "OCP", 743)</f>
        <v>Ferramenta Inválida</v>
      </c>
      <c r="C747" s="4" t="str">
        <f>RTD("rtdtrading.rtdserver",, "BOOK0", "OVD", 743)</f>
        <v>Ferramenta Inválida</v>
      </c>
      <c r="D747" s="4" t="str">
        <f>RTD("rtdtrading.rtdserver",, "BOOK0", "VOV", 743)</f>
        <v>Ferramenta Inválida</v>
      </c>
      <c r="F747" s="3"/>
      <c r="G747" s="5"/>
      <c r="H747" s="6"/>
      <c r="I747" s="4"/>
      <c r="K747" s="5"/>
      <c r="L747" s="6"/>
      <c r="N747" s="3"/>
      <c r="O747" s="3"/>
      <c r="P747" s="4"/>
      <c r="Q747" s="4"/>
      <c r="S747" s="3"/>
      <c r="T747" s="3"/>
      <c r="U747" s="4"/>
      <c r="V747" s="4"/>
    </row>
    <row r="748" spans="1:22" x14ac:dyDescent="0.25">
      <c r="A748" s="3" t="str">
        <f>RTD("rtdtrading.rtdserver",, "BOOK0", "VOC", 744)</f>
        <v>Ferramenta Inválida</v>
      </c>
      <c r="B748" s="3" t="str">
        <f>RTD("rtdtrading.rtdserver",, "BOOK0", "OCP", 744)</f>
        <v>Ferramenta Inválida</v>
      </c>
      <c r="C748" s="4" t="str">
        <f>RTD("rtdtrading.rtdserver",, "BOOK0", "OVD", 744)</f>
        <v>Ferramenta Inválida</v>
      </c>
      <c r="D748" s="4" t="str">
        <f>RTD("rtdtrading.rtdserver",, "BOOK0", "VOV", 744)</f>
        <v>Ferramenta Inválida</v>
      </c>
      <c r="F748" s="3"/>
      <c r="G748" s="5"/>
      <c r="H748" s="6"/>
      <c r="I748" s="4"/>
      <c r="K748" s="5"/>
      <c r="L748" s="6"/>
      <c r="N748" s="3"/>
      <c r="O748" s="3"/>
      <c r="P748" s="4"/>
      <c r="Q748" s="4"/>
      <c r="S748" s="3"/>
      <c r="T748" s="3"/>
      <c r="U748" s="4"/>
      <c r="V748" s="4"/>
    </row>
    <row r="749" spans="1:22" x14ac:dyDescent="0.25">
      <c r="A749" s="3" t="str">
        <f>RTD("rtdtrading.rtdserver",, "BOOK0", "VOC", 745)</f>
        <v>Ferramenta Inválida</v>
      </c>
      <c r="B749" s="3" t="str">
        <f>RTD("rtdtrading.rtdserver",, "BOOK0", "OCP", 745)</f>
        <v>Ferramenta Inválida</v>
      </c>
      <c r="C749" s="4" t="str">
        <f>RTD("rtdtrading.rtdserver",, "BOOK0", "OVD", 745)</f>
        <v>Ferramenta Inválida</v>
      </c>
      <c r="D749" s="4" t="str">
        <f>RTD("rtdtrading.rtdserver",, "BOOK0", "VOV", 745)</f>
        <v>Ferramenta Inválida</v>
      </c>
      <c r="F749" s="3"/>
      <c r="G749" s="5"/>
      <c r="H749" s="6"/>
      <c r="I749" s="4"/>
      <c r="K749" s="5"/>
      <c r="L749" s="6"/>
      <c r="N749" s="3"/>
      <c r="O749" s="3"/>
      <c r="P749" s="4"/>
      <c r="Q749" s="4"/>
      <c r="S749" s="3"/>
      <c r="T749" s="3"/>
      <c r="U749" s="4"/>
      <c r="V749" s="4"/>
    </row>
    <row r="750" spans="1:22" x14ac:dyDescent="0.25">
      <c r="A750" s="3" t="str">
        <f>RTD("rtdtrading.rtdserver",, "BOOK0", "VOC", 746)</f>
        <v>Ferramenta Inválida</v>
      </c>
      <c r="B750" s="3" t="str">
        <f>RTD("rtdtrading.rtdserver",, "BOOK0", "OCP", 746)</f>
        <v>Ferramenta Inválida</v>
      </c>
      <c r="C750" s="4" t="str">
        <f>RTD("rtdtrading.rtdserver",, "BOOK0", "OVD", 746)</f>
        <v>Ferramenta Inválida</v>
      </c>
      <c r="D750" s="4" t="str">
        <f>RTD("rtdtrading.rtdserver",, "BOOK0", "VOV", 746)</f>
        <v>Ferramenta Inválida</v>
      </c>
      <c r="F750" s="3"/>
      <c r="G750" s="5"/>
      <c r="H750" s="6"/>
      <c r="I750" s="4"/>
      <c r="K750" s="5"/>
      <c r="L750" s="6"/>
      <c r="N750" s="3"/>
      <c r="O750" s="3"/>
      <c r="P750" s="4"/>
      <c r="Q750" s="4"/>
      <c r="S750" s="3"/>
      <c r="T750" s="3"/>
      <c r="U750" s="4"/>
      <c r="V750" s="4"/>
    </row>
    <row r="751" spans="1:22" x14ac:dyDescent="0.25">
      <c r="A751" s="3" t="str">
        <f>RTD("rtdtrading.rtdserver",, "BOOK0", "VOC", 747)</f>
        <v>Ferramenta Inválida</v>
      </c>
      <c r="B751" s="3" t="str">
        <f>RTD("rtdtrading.rtdserver",, "BOOK0", "OCP", 747)</f>
        <v>Ferramenta Inválida</v>
      </c>
      <c r="C751" s="4" t="str">
        <f>RTD("rtdtrading.rtdserver",, "BOOK0", "OVD", 747)</f>
        <v>Ferramenta Inválida</v>
      </c>
      <c r="D751" s="4" t="str">
        <f>RTD("rtdtrading.rtdserver",, "BOOK0", "VOV", 747)</f>
        <v>Ferramenta Inválida</v>
      </c>
      <c r="F751" s="3"/>
      <c r="G751" s="5"/>
      <c r="H751" s="6"/>
      <c r="I751" s="4"/>
      <c r="K751" s="5"/>
      <c r="L751" s="6"/>
      <c r="N751" s="3"/>
      <c r="O751" s="3"/>
      <c r="P751" s="4"/>
      <c r="Q751" s="4"/>
      <c r="S751" s="3"/>
      <c r="T751" s="3"/>
      <c r="U751" s="4"/>
      <c r="V751" s="4"/>
    </row>
    <row r="752" spans="1:22" x14ac:dyDescent="0.25">
      <c r="A752" s="3" t="str">
        <f>RTD("rtdtrading.rtdserver",, "BOOK0", "VOC", 748)</f>
        <v>Ferramenta Inválida</v>
      </c>
      <c r="B752" s="3" t="str">
        <f>RTD("rtdtrading.rtdserver",, "BOOK0", "OCP", 748)</f>
        <v>Ferramenta Inválida</v>
      </c>
      <c r="C752" s="4" t="str">
        <f>RTD("rtdtrading.rtdserver",, "BOOK0", "OVD", 748)</f>
        <v>Ferramenta Inválida</v>
      </c>
      <c r="D752" s="4" t="str">
        <f>RTD("rtdtrading.rtdserver",, "BOOK0", "VOV", 748)</f>
        <v>Ferramenta Inválida</v>
      </c>
      <c r="F752" s="3"/>
      <c r="G752" s="5"/>
      <c r="H752" s="6"/>
      <c r="I752" s="4"/>
      <c r="K752" s="5"/>
      <c r="L752" s="6"/>
      <c r="N752" s="3"/>
      <c r="O752" s="3"/>
      <c r="P752" s="4"/>
      <c r="Q752" s="4"/>
      <c r="S752" s="3"/>
      <c r="T752" s="3"/>
      <c r="U752" s="4"/>
      <c r="V752" s="4"/>
    </row>
    <row r="753" spans="1:22" x14ac:dyDescent="0.25">
      <c r="A753" s="3" t="str">
        <f>RTD("rtdtrading.rtdserver",, "BOOK0", "VOC", 749)</f>
        <v>Ferramenta Inválida</v>
      </c>
      <c r="B753" s="3" t="str">
        <f>RTD("rtdtrading.rtdserver",, "BOOK0", "OCP", 749)</f>
        <v>Ferramenta Inválida</v>
      </c>
      <c r="C753" s="4" t="str">
        <f>RTD("rtdtrading.rtdserver",, "BOOK0", "OVD", 749)</f>
        <v>Ferramenta Inválida</v>
      </c>
      <c r="D753" s="4" t="str">
        <f>RTD("rtdtrading.rtdserver",, "BOOK0", "VOV", 749)</f>
        <v>Ferramenta Inválida</v>
      </c>
      <c r="F753" s="3"/>
      <c r="G753" s="5"/>
      <c r="H753" s="6"/>
      <c r="I753" s="4"/>
      <c r="K753" s="5"/>
      <c r="L753" s="6"/>
      <c r="N753" s="3"/>
      <c r="O753" s="3"/>
      <c r="P753" s="4"/>
      <c r="Q753" s="4"/>
      <c r="S753" s="3"/>
      <c r="T753" s="3"/>
      <c r="U753" s="4"/>
      <c r="V753" s="4"/>
    </row>
    <row r="754" spans="1:22" x14ac:dyDescent="0.25">
      <c r="A754" s="3" t="str">
        <f>RTD("rtdtrading.rtdserver",, "BOOK0", "VOC", 750)</f>
        <v>Ferramenta Inválida</v>
      </c>
      <c r="B754" s="3" t="str">
        <f>RTD("rtdtrading.rtdserver",, "BOOK0", "OCP", 750)</f>
        <v>Ferramenta Inválida</v>
      </c>
      <c r="C754" s="4" t="str">
        <f>RTD("rtdtrading.rtdserver",, "BOOK0", "OVD", 750)</f>
        <v>Ferramenta Inválida</v>
      </c>
      <c r="D754" s="4" t="str">
        <f>RTD("rtdtrading.rtdserver",, "BOOK0", "VOV", 750)</f>
        <v>Ferramenta Inválida</v>
      </c>
      <c r="F754" s="3"/>
      <c r="G754" s="5"/>
      <c r="H754" s="6"/>
      <c r="I754" s="4"/>
      <c r="K754" s="5"/>
      <c r="L754" s="6"/>
      <c r="N754" s="3"/>
      <c r="O754" s="3"/>
      <c r="P754" s="4"/>
      <c r="Q754" s="4"/>
      <c r="S754" s="3"/>
      <c r="T754" s="3"/>
      <c r="U754" s="4"/>
      <c r="V754" s="4"/>
    </row>
    <row r="755" spans="1:22" x14ac:dyDescent="0.25">
      <c r="A755" s="3" t="str">
        <f>RTD("rtdtrading.rtdserver",, "BOOK0", "VOC", 751)</f>
        <v>Ferramenta Inválida</v>
      </c>
      <c r="B755" s="3" t="str">
        <f>RTD("rtdtrading.rtdserver",, "BOOK0", "OCP", 751)</f>
        <v>Ferramenta Inválida</v>
      </c>
      <c r="C755" s="4" t="str">
        <f>RTD("rtdtrading.rtdserver",, "BOOK0", "OVD", 751)</f>
        <v>Ferramenta Inválida</v>
      </c>
      <c r="D755" s="4" t="str">
        <f>RTD("rtdtrading.rtdserver",, "BOOK0", "VOV", 751)</f>
        <v>Ferramenta Inválida</v>
      </c>
      <c r="F755" s="3"/>
      <c r="G755" s="5"/>
      <c r="H755" s="6"/>
      <c r="I755" s="4"/>
      <c r="K755" s="5"/>
      <c r="L755" s="6"/>
      <c r="N755" s="3"/>
      <c r="O755" s="3"/>
      <c r="P755" s="4"/>
      <c r="Q755" s="4"/>
      <c r="S755" s="3"/>
      <c r="T755" s="3"/>
      <c r="U755" s="4"/>
      <c r="V755" s="4"/>
    </row>
    <row r="756" spans="1:22" x14ac:dyDescent="0.25">
      <c r="A756" s="3" t="str">
        <f>RTD("rtdtrading.rtdserver",, "BOOK0", "VOC", 752)</f>
        <v>Ferramenta Inválida</v>
      </c>
      <c r="B756" s="3" t="str">
        <f>RTD("rtdtrading.rtdserver",, "BOOK0", "OCP", 752)</f>
        <v>Ferramenta Inválida</v>
      </c>
      <c r="C756" s="4" t="str">
        <f>RTD("rtdtrading.rtdserver",, "BOOK0", "OVD", 752)</f>
        <v>Ferramenta Inválida</v>
      </c>
      <c r="D756" s="4" t="str">
        <f>RTD("rtdtrading.rtdserver",, "BOOK0", "VOV", 752)</f>
        <v>Ferramenta Inválida</v>
      </c>
      <c r="F756" s="3"/>
      <c r="G756" s="5"/>
      <c r="H756" s="6"/>
      <c r="I756" s="4"/>
      <c r="K756" s="5"/>
      <c r="L756" s="6"/>
      <c r="N756" s="3"/>
      <c r="O756" s="3"/>
      <c r="P756" s="4"/>
      <c r="Q756" s="4"/>
      <c r="S756" s="3"/>
      <c r="T756" s="3"/>
      <c r="U756" s="4"/>
      <c r="V756" s="4"/>
    </row>
    <row r="757" spans="1:22" x14ac:dyDescent="0.25">
      <c r="A757" s="3" t="str">
        <f>RTD("rtdtrading.rtdserver",, "BOOK0", "VOC", 753)</f>
        <v>Ferramenta Inválida</v>
      </c>
      <c r="B757" s="3" t="str">
        <f>RTD("rtdtrading.rtdserver",, "BOOK0", "OCP", 753)</f>
        <v>Ferramenta Inválida</v>
      </c>
      <c r="C757" s="4" t="str">
        <f>RTD("rtdtrading.rtdserver",, "BOOK0", "OVD", 753)</f>
        <v>Ferramenta Inválida</v>
      </c>
      <c r="D757" s="4" t="str">
        <f>RTD("rtdtrading.rtdserver",, "BOOK0", "VOV", 753)</f>
        <v>Ferramenta Inválida</v>
      </c>
      <c r="F757" s="3"/>
      <c r="G757" s="5"/>
      <c r="H757" s="6"/>
      <c r="I757" s="4"/>
      <c r="K757" s="5"/>
      <c r="L757" s="6"/>
      <c r="N757" s="3"/>
      <c r="O757" s="3"/>
      <c r="P757" s="4"/>
      <c r="Q757" s="4"/>
      <c r="S757" s="3"/>
      <c r="T757" s="3"/>
      <c r="U757" s="4"/>
      <c r="V757" s="4"/>
    </row>
    <row r="758" spans="1:22" x14ac:dyDescent="0.25">
      <c r="A758" s="3" t="str">
        <f>RTD("rtdtrading.rtdserver",, "BOOK0", "VOC", 754)</f>
        <v>Ferramenta Inválida</v>
      </c>
      <c r="B758" s="3" t="str">
        <f>RTD("rtdtrading.rtdserver",, "BOOK0", "OCP", 754)</f>
        <v>Ferramenta Inválida</v>
      </c>
      <c r="C758" s="4" t="str">
        <f>RTD("rtdtrading.rtdserver",, "BOOK0", "OVD", 754)</f>
        <v>Ferramenta Inválida</v>
      </c>
      <c r="D758" s="4" t="str">
        <f>RTD("rtdtrading.rtdserver",, "BOOK0", "VOV", 754)</f>
        <v>Ferramenta Inválida</v>
      </c>
      <c r="F758" s="3"/>
      <c r="G758" s="5"/>
      <c r="H758" s="6"/>
      <c r="I758" s="4"/>
      <c r="K758" s="5"/>
      <c r="L758" s="6"/>
      <c r="N758" s="3"/>
      <c r="O758" s="3"/>
      <c r="P758" s="4"/>
      <c r="Q758" s="4"/>
      <c r="S758" s="3"/>
      <c r="T758" s="3"/>
      <c r="U758" s="4"/>
      <c r="V758" s="4"/>
    </row>
    <row r="759" spans="1:22" x14ac:dyDescent="0.25">
      <c r="A759" s="3" t="str">
        <f>RTD("rtdtrading.rtdserver",, "BOOK0", "VOC", 755)</f>
        <v>Ferramenta Inválida</v>
      </c>
      <c r="B759" s="3" t="str">
        <f>RTD("rtdtrading.rtdserver",, "BOOK0", "OCP", 755)</f>
        <v>Ferramenta Inválida</v>
      </c>
      <c r="C759" s="4" t="str">
        <f>RTD("rtdtrading.rtdserver",, "BOOK0", "OVD", 755)</f>
        <v>Ferramenta Inválida</v>
      </c>
      <c r="D759" s="4" t="str">
        <f>RTD("rtdtrading.rtdserver",, "BOOK0", "VOV", 755)</f>
        <v>Ferramenta Inválida</v>
      </c>
      <c r="F759" s="3"/>
      <c r="G759" s="5"/>
      <c r="H759" s="6"/>
      <c r="I759" s="4"/>
      <c r="K759" s="5"/>
      <c r="L759" s="6"/>
      <c r="N759" s="3"/>
      <c r="O759" s="3"/>
      <c r="P759" s="4"/>
      <c r="Q759" s="4"/>
      <c r="S759" s="3"/>
      <c r="T759" s="3"/>
      <c r="U759" s="4"/>
      <c r="V759" s="4"/>
    </row>
    <row r="760" spans="1:22" x14ac:dyDescent="0.25">
      <c r="A760" s="3" t="str">
        <f>RTD("rtdtrading.rtdserver",, "BOOK0", "VOC", 756)</f>
        <v>Ferramenta Inválida</v>
      </c>
      <c r="B760" s="3" t="str">
        <f>RTD("rtdtrading.rtdserver",, "BOOK0", "OCP", 756)</f>
        <v>Ferramenta Inválida</v>
      </c>
      <c r="C760" s="4" t="str">
        <f>RTD("rtdtrading.rtdserver",, "BOOK0", "OVD", 756)</f>
        <v>Ferramenta Inválida</v>
      </c>
      <c r="D760" s="4" t="str">
        <f>RTD("rtdtrading.rtdserver",, "BOOK0", "VOV", 756)</f>
        <v>Ferramenta Inválida</v>
      </c>
      <c r="F760" s="3"/>
      <c r="G760" s="5"/>
      <c r="H760" s="6"/>
      <c r="I760" s="4"/>
      <c r="K760" s="5"/>
      <c r="L760" s="6"/>
      <c r="N760" s="3"/>
      <c r="O760" s="3"/>
      <c r="P760" s="4"/>
      <c r="Q760" s="4"/>
      <c r="S760" s="3"/>
      <c r="T760" s="3"/>
      <c r="U760" s="4"/>
      <c r="V760" s="4"/>
    </row>
    <row r="761" spans="1:22" x14ac:dyDescent="0.25">
      <c r="A761" s="3" t="str">
        <f>RTD("rtdtrading.rtdserver",, "BOOK0", "VOC", 757)</f>
        <v>Ferramenta Inválida</v>
      </c>
      <c r="B761" s="3" t="str">
        <f>RTD("rtdtrading.rtdserver",, "BOOK0", "OCP", 757)</f>
        <v>Ferramenta Inválida</v>
      </c>
      <c r="C761" s="4" t="str">
        <f>RTD("rtdtrading.rtdserver",, "BOOK0", "OVD", 757)</f>
        <v>Ferramenta Inválida</v>
      </c>
      <c r="D761" s="4" t="str">
        <f>RTD("rtdtrading.rtdserver",, "BOOK0", "VOV", 757)</f>
        <v>Ferramenta Inválida</v>
      </c>
      <c r="F761" s="3"/>
      <c r="G761" s="5"/>
      <c r="H761" s="6"/>
      <c r="I761" s="4"/>
      <c r="K761" s="5"/>
      <c r="L761" s="6"/>
      <c r="N761" s="3"/>
      <c r="O761" s="3"/>
      <c r="P761" s="4"/>
      <c r="Q761" s="4"/>
      <c r="S761" s="3"/>
      <c r="T761" s="3"/>
      <c r="U761" s="4"/>
      <c r="V761" s="4"/>
    </row>
    <row r="762" spans="1:22" x14ac:dyDescent="0.25">
      <c r="A762" s="3" t="str">
        <f>RTD("rtdtrading.rtdserver",, "BOOK0", "VOC", 758)</f>
        <v>Ferramenta Inválida</v>
      </c>
      <c r="B762" s="3" t="str">
        <f>RTD("rtdtrading.rtdserver",, "BOOK0", "OCP", 758)</f>
        <v>Ferramenta Inválida</v>
      </c>
      <c r="C762" s="4" t="str">
        <f>RTD("rtdtrading.rtdserver",, "BOOK0", "OVD", 758)</f>
        <v>Ferramenta Inválida</v>
      </c>
      <c r="D762" s="4" t="str">
        <f>RTD("rtdtrading.rtdserver",, "BOOK0", "VOV", 758)</f>
        <v>Ferramenta Inválida</v>
      </c>
      <c r="F762" s="3"/>
      <c r="G762" s="5"/>
      <c r="H762" s="6"/>
      <c r="I762" s="4"/>
      <c r="K762" s="5"/>
      <c r="L762" s="6"/>
      <c r="N762" s="3"/>
      <c r="O762" s="3"/>
      <c r="P762" s="4"/>
      <c r="Q762" s="4"/>
      <c r="S762" s="3"/>
      <c r="T762" s="3"/>
      <c r="U762" s="4"/>
      <c r="V762" s="4"/>
    </row>
    <row r="763" spans="1:22" x14ac:dyDescent="0.25">
      <c r="A763" s="3" t="str">
        <f>RTD("rtdtrading.rtdserver",, "BOOK0", "VOC", 759)</f>
        <v>Ferramenta Inválida</v>
      </c>
      <c r="B763" s="3" t="str">
        <f>RTD("rtdtrading.rtdserver",, "BOOK0", "OCP", 759)</f>
        <v>Ferramenta Inválida</v>
      </c>
      <c r="C763" s="4" t="str">
        <f>RTD("rtdtrading.rtdserver",, "BOOK0", "OVD", 759)</f>
        <v>Ferramenta Inválida</v>
      </c>
      <c r="D763" s="4" t="str">
        <f>RTD("rtdtrading.rtdserver",, "BOOK0", "VOV", 759)</f>
        <v>Ferramenta Inválida</v>
      </c>
      <c r="F763" s="3"/>
      <c r="G763" s="5"/>
      <c r="H763" s="6"/>
      <c r="I763" s="4"/>
      <c r="K763" s="5"/>
      <c r="L763" s="6"/>
      <c r="N763" s="3"/>
      <c r="O763" s="3"/>
      <c r="P763" s="4"/>
      <c r="Q763" s="4"/>
      <c r="S763" s="3"/>
      <c r="T763" s="3"/>
      <c r="U763" s="4"/>
      <c r="V763" s="4"/>
    </row>
    <row r="764" spans="1:22" x14ac:dyDescent="0.25">
      <c r="A764" s="3" t="str">
        <f>RTD("rtdtrading.rtdserver",, "BOOK0", "VOC", 760)</f>
        <v>Ferramenta Inválida</v>
      </c>
      <c r="B764" s="3" t="str">
        <f>RTD("rtdtrading.rtdserver",, "BOOK0", "OCP", 760)</f>
        <v>Ferramenta Inválida</v>
      </c>
      <c r="C764" s="4" t="str">
        <f>RTD("rtdtrading.rtdserver",, "BOOK0", "OVD", 760)</f>
        <v>Ferramenta Inválida</v>
      </c>
      <c r="D764" s="4" t="str">
        <f>RTD("rtdtrading.rtdserver",, "BOOK0", "VOV", 760)</f>
        <v>Ferramenta Inválida</v>
      </c>
      <c r="F764" s="3"/>
      <c r="G764" s="5"/>
      <c r="H764" s="6"/>
      <c r="I764" s="4"/>
      <c r="K764" s="5"/>
      <c r="L764" s="6"/>
      <c r="N764" s="3"/>
      <c r="O764" s="3"/>
      <c r="P764" s="4"/>
      <c r="Q764" s="4"/>
      <c r="S764" s="3"/>
      <c r="T764" s="3"/>
      <c r="U764" s="4"/>
      <c r="V764" s="4"/>
    </row>
    <row r="765" spans="1:22" x14ac:dyDescent="0.25">
      <c r="A765" s="3" t="str">
        <f>RTD("rtdtrading.rtdserver",, "BOOK0", "VOC", 761)</f>
        <v>Ferramenta Inválida</v>
      </c>
      <c r="B765" s="3" t="str">
        <f>RTD("rtdtrading.rtdserver",, "BOOK0", "OCP", 761)</f>
        <v>Ferramenta Inválida</v>
      </c>
      <c r="C765" s="4" t="str">
        <f>RTD("rtdtrading.rtdserver",, "BOOK0", "OVD", 761)</f>
        <v>Ferramenta Inválida</v>
      </c>
      <c r="D765" s="4" t="str">
        <f>RTD("rtdtrading.rtdserver",, "BOOK0", "VOV", 761)</f>
        <v>Ferramenta Inválida</v>
      </c>
      <c r="F765" s="3"/>
      <c r="G765" s="5"/>
      <c r="H765" s="6"/>
      <c r="I765" s="4"/>
      <c r="K765" s="5"/>
      <c r="L765" s="6"/>
      <c r="N765" s="3"/>
      <c r="O765" s="3"/>
      <c r="P765" s="4"/>
      <c r="Q765" s="4"/>
      <c r="S765" s="3"/>
      <c r="T765" s="3"/>
      <c r="U765" s="4"/>
      <c r="V765" s="4"/>
    </row>
    <row r="766" spans="1:22" x14ac:dyDescent="0.25">
      <c r="A766" s="3" t="str">
        <f>RTD("rtdtrading.rtdserver",, "BOOK0", "VOC", 762)</f>
        <v>Ferramenta Inválida</v>
      </c>
      <c r="B766" s="3" t="str">
        <f>RTD("rtdtrading.rtdserver",, "BOOK0", "OCP", 762)</f>
        <v>Ferramenta Inválida</v>
      </c>
      <c r="C766" s="4" t="str">
        <f>RTD("rtdtrading.rtdserver",, "BOOK0", "OVD", 762)</f>
        <v>Ferramenta Inválida</v>
      </c>
      <c r="D766" s="4" t="str">
        <f>RTD("rtdtrading.rtdserver",, "BOOK0", "VOV", 762)</f>
        <v>Ferramenta Inválida</v>
      </c>
      <c r="F766" s="3"/>
      <c r="G766" s="5"/>
      <c r="H766" s="6"/>
      <c r="I766" s="4"/>
      <c r="K766" s="5"/>
      <c r="L766" s="6"/>
      <c r="N766" s="3"/>
      <c r="O766" s="3"/>
      <c r="P766" s="4"/>
      <c r="Q766" s="4"/>
      <c r="S766" s="3"/>
      <c r="T766" s="3"/>
      <c r="U766" s="4"/>
      <c r="V766" s="4"/>
    </row>
    <row r="767" spans="1:22" x14ac:dyDescent="0.25">
      <c r="A767" s="3" t="str">
        <f>RTD("rtdtrading.rtdserver",, "BOOK0", "VOC", 763)</f>
        <v>Ferramenta Inválida</v>
      </c>
      <c r="B767" s="3" t="str">
        <f>RTD("rtdtrading.rtdserver",, "BOOK0", "OCP", 763)</f>
        <v>Ferramenta Inválida</v>
      </c>
      <c r="C767" s="4" t="str">
        <f>RTD("rtdtrading.rtdserver",, "BOOK0", "OVD", 763)</f>
        <v>Ferramenta Inválida</v>
      </c>
      <c r="D767" s="4" t="str">
        <f>RTD("rtdtrading.rtdserver",, "BOOK0", "VOV", 763)</f>
        <v>Ferramenta Inválida</v>
      </c>
      <c r="F767" s="3"/>
      <c r="G767" s="5"/>
      <c r="H767" s="6"/>
      <c r="I767" s="4"/>
      <c r="K767" s="5"/>
      <c r="L767" s="6"/>
      <c r="N767" s="3"/>
      <c r="O767" s="3"/>
      <c r="P767" s="4"/>
      <c r="Q767" s="4"/>
      <c r="S767" s="3"/>
      <c r="T767" s="3"/>
      <c r="U767" s="4"/>
      <c r="V767" s="4"/>
    </row>
    <row r="768" spans="1:22" x14ac:dyDescent="0.25">
      <c r="A768" s="3" t="str">
        <f>RTD("rtdtrading.rtdserver",, "BOOK0", "VOC", 764)</f>
        <v>Ferramenta Inválida</v>
      </c>
      <c r="B768" s="3" t="str">
        <f>RTD("rtdtrading.rtdserver",, "BOOK0", "OCP", 764)</f>
        <v>Ferramenta Inválida</v>
      </c>
      <c r="C768" s="4" t="str">
        <f>RTD("rtdtrading.rtdserver",, "BOOK0", "OVD", 764)</f>
        <v>Ferramenta Inválida</v>
      </c>
      <c r="D768" s="4" t="str">
        <f>RTD("rtdtrading.rtdserver",, "BOOK0", "VOV", 764)</f>
        <v>Ferramenta Inválida</v>
      </c>
      <c r="F768" s="3"/>
      <c r="G768" s="5"/>
      <c r="H768" s="6"/>
      <c r="I768" s="4"/>
      <c r="K768" s="5"/>
      <c r="L768" s="6"/>
      <c r="N768" s="3"/>
      <c r="O768" s="3"/>
      <c r="P768" s="4"/>
      <c r="Q768" s="4"/>
      <c r="S768" s="3"/>
      <c r="T768" s="3"/>
      <c r="U768" s="4"/>
      <c r="V768" s="4"/>
    </row>
    <row r="769" spans="1:22" x14ac:dyDescent="0.25">
      <c r="A769" s="3" t="str">
        <f>RTD("rtdtrading.rtdserver",, "BOOK0", "VOC", 765)</f>
        <v>Ferramenta Inválida</v>
      </c>
      <c r="B769" s="3" t="str">
        <f>RTD("rtdtrading.rtdserver",, "BOOK0", "OCP", 765)</f>
        <v>Ferramenta Inválida</v>
      </c>
      <c r="C769" s="4" t="str">
        <f>RTD("rtdtrading.rtdserver",, "BOOK0", "OVD", 765)</f>
        <v>Ferramenta Inválida</v>
      </c>
      <c r="D769" s="4" t="str">
        <f>RTD("rtdtrading.rtdserver",, "BOOK0", "VOV", 765)</f>
        <v>Ferramenta Inválida</v>
      </c>
      <c r="F769" s="3"/>
      <c r="G769" s="5"/>
      <c r="H769" s="6"/>
      <c r="I769" s="4"/>
      <c r="K769" s="5"/>
      <c r="L769" s="6"/>
      <c r="N769" s="3"/>
      <c r="O769" s="3"/>
      <c r="P769" s="4"/>
      <c r="Q769" s="4"/>
      <c r="S769" s="3"/>
      <c r="T769" s="3"/>
      <c r="U769" s="4"/>
      <c r="V769" s="4"/>
    </row>
    <row r="770" spans="1:22" x14ac:dyDescent="0.25">
      <c r="A770" s="3" t="str">
        <f>RTD("rtdtrading.rtdserver",, "BOOK0", "VOC", 766)</f>
        <v>Ferramenta Inválida</v>
      </c>
      <c r="B770" s="3" t="str">
        <f>RTD("rtdtrading.rtdserver",, "BOOK0", "OCP", 766)</f>
        <v>Ferramenta Inválida</v>
      </c>
      <c r="C770" s="4" t="str">
        <f>RTD("rtdtrading.rtdserver",, "BOOK0", "OVD", 766)</f>
        <v>Ferramenta Inválida</v>
      </c>
      <c r="D770" s="4" t="str">
        <f>RTD("rtdtrading.rtdserver",, "BOOK0", "VOV", 766)</f>
        <v>Ferramenta Inválida</v>
      </c>
      <c r="F770" s="3"/>
      <c r="G770" s="5"/>
      <c r="H770" s="6"/>
      <c r="I770" s="4"/>
      <c r="K770" s="5"/>
      <c r="L770" s="6"/>
      <c r="N770" s="3"/>
      <c r="O770" s="3"/>
      <c r="P770" s="4"/>
      <c r="Q770" s="4"/>
      <c r="S770" s="3"/>
      <c r="T770" s="3"/>
      <c r="U770" s="4"/>
      <c r="V770" s="4"/>
    </row>
    <row r="771" spans="1:22" x14ac:dyDescent="0.25">
      <c r="A771" s="3" t="str">
        <f>RTD("rtdtrading.rtdserver",, "BOOK0", "VOC", 767)</f>
        <v>Ferramenta Inválida</v>
      </c>
      <c r="B771" s="3" t="str">
        <f>RTD("rtdtrading.rtdserver",, "BOOK0", "OCP", 767)</f>
        <v>Ferramenta Inválida</v>
      </c>
      <c r="C771" s="4" t="str">
        <f>RTD("rtdtrading.rtdserver",, "BOOK0", "OVD", 767)</f>
        <v>Ferramenta Inválida</v>
      </c>
      <c r="D771" s="4" t="str">
        <f>RTD("rtdtrading.rtdserver",, "BOOK0", "VOV", 767)</f>
        <v>Ferramenta Inválida</v>
      </c>
      <c r="F771" s="3"/>
      <c r="G771" s="5"/>
      <c r="H771" s="6"/>
      <c r="I771" s="4"/>
      <c r="K771" s="5"/>
      <c r="L771" s="6"/>
      <c r="N771" s="3"/>
      <c r="O771" s="3"/>
      <c r="P771" s="4"/>
      <c r="Q771" s="4"/>
      <c r="S771" s="3"/>
      <c r="T771" s="3"/>
      <c r="U771" s="4"/>
      <c r="V771" s="4"/>
    </row>
    <row r="772" spans="1:22" x14ac:dyDescent="0.25">
      <c r="A772" s="3" t="str">
        <f>RTD("rtdtrading.rtdserver",, "BOOK0", "VOC", 768)</f>
        <v>Ferramenta Inválida</v>
      </c>
      <c r="B772" s="3" t="str">
        <f>RTD("rtdtrading.rtdserver",, "BOOK0", "OCP", 768)</f>
        <v>Ferramenta Inválida</v>
      </c>
      <c r="C772" s="4" t="str">
        <f>RTD("rtdtrading.rtdserver",, "BOOK0", "OVD", 768)</f>
        <v>Ferramenta Inválida</v>
      </c>
      <c r="D772" s="4" t="str">
        <f>RTD("rtdtrading.rtdserver",, "BOOK0", "VOV", 768)</f>
        <v>Ferramenta Inválida</v>
      </c>
      <c r="F772" s="3"/>
      <c r="G772" s="5"/>
      <c r="H772" s="6"/>
      <c r="I772" s="4"/>
      <c r="K772" s="5"/>
      <c r="L772" s="6"/>
      <c r="N772" s="3"/>
      <c r="O772" s="3"/>
      <c r="P772" s="4"/>
      <c r="Q772" s="4"/>
      <c r="S772" s="3"/>
      <c r="T772" s="3"/>
      <c r="U772" s="4"/>
      <c r="V772" s="4"/>
    </row>
    <row r="773" spans="1:22" x14ac:dyDescent="0.25">
      <c r="A773" s="3" t="str">
        <f>RTD("rtdtrading.rtdserver",, "BOOK0", "VOC", 769)</f>
        <v>Ferramenta Inválida</v>
      </c>
      <c r="B773" s="3" t="str">
        <f>RTD("rtdtrading.rtdserver",, "BOOK0", "OCP", 769)</f>
        <v>Ferramenta Inválida</v>
      </c>
      <c r="C773" s="4" t="str">
        <f>RTD("rtdtrading.rtdserver",, "BOOK0", "OVD", 769)</f>
        <v>Ferramenta Inválida</v>
      </c>
      <c r="D773" s="4" t="str">
        <f>RTD("rtdtrading.rtdserver",, "BOOK0", "VOV", 769)</f>
        <v>Ferramenta Inválida</v>
      </c>
      <c r="F773" s="3"/>
      <c r="G773" s="5"/>
      <c r="H773" s="6"/>
      <c r="I773" s="4"/>
      <c r="K773" s="5"/>
      <c r="L773" s="6"/>
      <c r="N773" s="3"/>
      <c r="O773" s="3"/>
      <c r="P773" s="4"/>
      <c r="Q773" s="4"/>
      <c r="S773" s="3"/>
      <c r="T773" s="3"/>
      <c r="U773" s="4"/>
      <c r="V773" s="4"/>
    </row>
    <row r="774" spans="1:22" x14ac:dyDescent="0.25">
      <c r="A774" s="3" t="str">
        <f>RTD("rtdtrading.rtdserver",, "BOOK0", "VOC", 770)</f>
        <v>Ferramenta Inválida</v>
      </c>
      <c r="B774" s="3" t="str">
        <f>RTD("rtdtrading.rtdserver",, "BOOK0", "OCP", 770)</f>
        <v>Ferramenta Inválida</v>
      </c>
      <c r="C774" s="4" t="str">
        <f>RTD("rtdtrading.rtdserver",, "BOOK0", "OVD", 770)</f>
        <v>Ferramenta Inválida</v>
      </c>
      <c r="D774" s="4" t="str">
        <f>RTD("rtdtrading.rtdserver",, "BOOK0", "VOV", 770)</f>
        <v>Ferramenta Inválida</v>
      </c>
      <c r="F774" s="3"/>
      <c r="G774" s="5"/>
      <c r="H774" s="6"/>
      <c r="I774" s="4"/>
      <c r="K774" s="5"/>
      <c r="L774" s="6"/>
      <c r="N774" s="3"/>
      <c r="O774" s="3"/>
      <c r="P774" s="4"/>
      <c r="Q774" s="4"/>
      <c r="S774" s="3"/>
      <c r="T774" s="3"/>
      <c r="U774" s="4"/>
      <c r="V774" s="4"/>
    </row>
    <row r="775" spans="1:22" x14ac:dyDescent="0.25">
      <c r="A775" s="3" t="str">
        <f>RTD("rtdtrading.rtdserver",, "BOOK0", "VOC", 771)</f>
        <v>Ferramenta Inválida</v>
      </c>
      <c r="B775" s="3" t="str">
        <f>RTD("rtdtrading.rtdserver",, "BOOK0", "OCP", 771)</f>
        <v>Ferramenta Inválida</v>
      </c>
      <c r="C775" s="4" t="str">
        <f>RTD("rtdtrading.rtdserver",, "BOOK0", "OVD", 771)</f>
        <v>Ferramenta Inválida</v>
      </c>
      <c r="D775" s="4" t="str">
        <f>RTD("rtdtrading.rtdserver",, "BOOK0", "VOV", 771)</f>
        <v>Ferramenta Inválida</v>
      </c>
      <c r="F775" s="3"/>
      <c r="G775" s="5"/>
      <c r="H775" s="6"/>
      <c r="I775" s="4"/>
      <c r="K775" s="5"/>
      <c r="L775" s="6"/>
      <c r="N775" s="3"/>
      <c r="O775" s="3"/>
      <c r="P775" s="4"/>
      <c r="Q775" s="4"/>
      <c r="S775" s="3"/>
      <c r="T775" s="3"/>
      <c r="U775" s="4"/>
      <c r="V775" s="4"/>
    </row>
    <row r="776" spans="1:22" x14ac:dyDescent="0.25">
      <c r="A776" s="3" t="str">
        <f>RTD("rtdtrading.rtdserver",, "BOOK0", "VOC", 772)</f>
        <v>Ferramenta Inválida</v>
      </c>
      <c r="B776" s="3" t="str">
        <f>RTD("rtdtrading.rtdserver",, "BOOK0", "OCP", 772)</f>
        <v>Ferramenta Inválida</v>
      </c>
      <c r="C776" s="4" t="str">
        <f>RTD("rtdtrading.rtdserver",, "BOOK0", "OVD", 772)</f>
        <v>Ferramenta Inválida</v>
      </c>
      <c r="D776" s="4" t="str">
        <f>RTD("rtdtrading.rtdserver",, "BOOK0", "VOV", 772)</f>
        <v>Ferramenta Inválida</v>
      </c>
      <c r="F776" s="3"/>
      <c r="G776" s="5"/>
      <c r="H776" s="6"/>
      <c r="I776" s="4"/>
      <c r="K776" s="5"/>
      <c r="L776" s="6"/>
      <c r="N776" s="3"/>
      <c r="O776" s="3"/>
      <c r="P776" s="4"/>
      <c r="Q776" s="4"/>
      <c r="S776" s="3"/>
      <c r="T776" s="3"/>
      <c r="U776" s="4"/>
      <c r="V776" s="4"/>
    </row>
    <row r="777" spans="1:22" x14ac:dyDescent="0.25">
      <c r="A777" s="3" t="str">
        <f>RTD("rtdtrading.rtdserver",, "BOOK0", "VOC", 773)</f>
        <v>Ferramenta Inválida</v>
      </c>
      <c r="B777" s="3" t="str">
        <f>RTD("rtdtrading.rtdserver",, "BOOK0", "OCP", 773)</f>
        <v>Ferramenta Inválida</v>
      </c>
      <c r="C777" s="4" t="str">
        <f>RTD("rtdtrading.rtdserver",, "BOOK0", "OVD", 773)</f>
        <v>Ferramenta Inválida</v>
      </c>
      <c r="D777" s="4" t="str">
        <f>RTD("rtdtrading.rtdserver",, "BOOK0", "VOV", 773)</f>
        <v>Ferramenta Inválida</v>
      </c>
      <c r="F777" s="3"/>
      <c r="G777" s="5"/>
      <c r="H777" s="6"/>
      <c r="I777" s="4"/>
      <c r="K777" s="5"/>
      <c r="L777" s="6"/>
      <c r="N777" s="3"/>
      <c r="O777" s="3"/>
      <c r="P777" s="4"/>
      <c r="Q777" s="4"/>
      <c r="S777" s="3"/>
      <c r="T777" s="3"/>
      <c r="U777" s="4"/>
      <c r="V777" s="4"/>
    </row>
    <row r="778" spans="1:22" x14ac:dyDescent="0.25">
      <c r="A778" s="3" t="str">
        <f>RTD("rtdtrading.rtdserver",, "BOOK0", "VOC", 774)</f>
        <v>Ferramenta Inválida</v>
      </c>
      <c r="B778" s="3" t="str">
        <f>RTD("rtdtrading.rtdserver",, "BOOK0", "OCP", 774)</f>
        <v>Ferramenta Inválida</v>
      </c>
      <c r="C778" s="4" t="str">
        <f>RTD("rtdtrading.rtdserver",, "BOOK0", "OVD", 774)</f>
        <v>Ferramenta Inválida</v>
      </c>
      <c r="D778" s="4" t="str">
        <f>RTD("rtdtrading.rtdserver",, "BOOK0", "VOV", 774)</f>
        <v>Ferramenta Inválida</v>
      </c>
      <c r="F778" s="3"/>
      <c r="G778" s="5"/>
      <c r="H778" s="6"/>
      <c r="I778" s="4"/>
      <c r="K778" s="5"/>
      <c r="L778" s="6"/>
      <c r="N778" s="3"/>
      <c r="O778" s="3"/>
      <c r="P778" s="4"/>
      <c r="Q778" s="4"/>
      <c r="S778" s="3"/>
      <c r="T778" s="3"/>
      <c r="U778" s="4"/>
      <c r="V778" s="4"/>
    </row>
    <row r="779" spans="1:22" x14ac:dyDescent="0.25">
      <c r="A779" s="3" t="str">
        <f>RTD("rtdtrading.rtdserver",, "BOOK0", "VOC", 775)</f>
        <v>Ferramenta Inválida</v>
      </c>
      <c r="B779" s="3" t="str">
        <f>RTD("rtdtrading.rtdserver",, "BOOK0", "OCP", 775)</f>
        <v>Ferramenta Inválida</v>
      </c>
      <c r="C779" s="4" t="str">
        <f>RTD("rtdtrading.rtdserver",, "BOOK0", "OVD", 775)</f>
        <v>Ferramenta Inválida</v>
      </c>
      <c r="D779" s="4" t="str">
        <f>RTD("rtdtrading.rtdserver",, "BOOK0", "VOV", 775)</f>
        <v>Ferramenta Inválida</v>
      </c>
      <c r="F779" s="3"/>
      <c r="G779" s="5"/>
      <c r="H779" s="6"/>
      <c r="I779" s="4"/>
      <c r="K779" s="5"/>
      <c r="L779" s="6"/>
      <c r="N779" s="3"/>
      <c r="O779" s="3"/>
      <c r="P779" s="4"/>
      <c r="Q779" s="4"/>
      <c r="S779" s="3"/>
      <c r="T779" s="3"/>
      <c r="U779" s="4"/>
      <c r="V779" s="4"/>
    </row>
    <row r="780" spans="1:22" x14ac:dyDescent="0.25">
      <c r="A780" s="3" t="str">
        <f>RTD("rtdtrading.rtdserver",, "BOOK0", "VOC", 776)</f>
        <v>Ferramenta Inválida</v>
      </c>
      <c r="B780" s="3" t="str">
        <f>RTD("rtdtrading.rtdserver",, "BOOK0", "OCP", 776)</f>
        <v>Ferramenta Inválida</v>
      </c>
      <c r="C780" s="4" t="str">
        <f>RTD("rtdtrading.rtdserver",, "BOOK0", "OVD", 776)</f>
        <v>Ferramenta Inválida</v>
      </c>
      <c r="D780" s="4" t="str">
        <f>RTD("rtdtrading.rtdserver",, "BOOK0", "VOV", 776)</f>
        <v>Ferramenta Inválida</v>
      </c>
      <c r="F780" s="3"/>
      <c r="G780" s="5"/>
      <c r="H780" s="6"/>
      <c r="I780" s="4"/>
      <c r="K780" s="5"/>
      <c r="L780" s="6"/>
      <c r="N780" s="3"/>
      <c r="O780" s="3"/>
      <c r="P780" s="4"/>
      <c r="Q780" s="4"/>
      <c r="S780" s="3"/>
      <c r="T780" s="3"/>
      <c r="U780" s="4"/>
      <c r="V780" s="4"/>
    </row>
    <row r="781" spans="1:22" x14ac:dyDescent="0.25">
      <c r="A781" s="3" t="str">
        <f>RTD("rtdtrading.rtdserver",, "BOOK0", "VOC", 777)</f>
        <v>Ferramenta Inválida</v>
      </c>
      <c r="B781" s="3" t="str">
        <f>RTD("rtdtrading.rtdserver",, "BOOK0", "OCP", 777)</f>
        <v>Ferramenta Inválida</v>
      </c>
      <c r="C781" s="4" t="str">
        <f>RTD("rtdtrading.rtdserver",, "BOOK0", "OVD", 777)</f>
        <v>Ferramenta Inválida</v>
      </c>
      <c r="D781" s="4" t="str">
        <f>RTD("rtdtrading.rtdserver",, "BOOK0", "VOV", 777)</f>
        <v>Ferramenta Inválida</v>
      </c>
      <c r="F781" s="3"/>
      <c r="G781" s="5"/>
      <c r="H781" s="6"/>
      <c r="I781" s="4"/>
      <c r="K781" s="5"/>
      <c r="L781" s="6"/>
      <c r="N781" s="3"/>
      <c r="O781" s="3"/>
      <c r="P781" s="4"/>
      <c r="Q781" s="4"/>
      <c r="S781" s="3"/>
      <c r="T781" s="3"/>
      <c r="U781" s="4"/>
      <c r="V781" s="4"/>
    </row>
    <row r="782" spans="1:22" x14ac:dyDescent="0.25">
      <c r="A782" s="3" t="str">
        <f>RTD("rtdtrading.rtdserver",, "BOOK0", "VOC", 778)</f>
        <v>Ferramenta Inválida</v>
      </c>
      <c r="B782" s="3" t="str">
        <f>RTD("rtdtrading.rtdserver",, "BOOK0", "OCP", 778)</f>
        <v>Ferramenta Inválida</v>
      </c>
      <c r="C782" s="4" t="str">
        <f>RTD("rtdtrading.rtdserver",, "BOOK0", "OVD", 778)</f>
        <v>Ferramenta Inválida</v>
      </c>
      <c r="D782" s="4" t="str">
        <f>RTD("rtdtrading.rtdserver",, "BOOK0", "VOV", 778)</f>
        <v>Ferramenta Inválida</v>
      </c>
      <c r="F782" s="3"/>
      <c r="G782" s="5"/>
      <c r="H782" s="6"/>
      <c r="I782" s="4"/>
      <c r="K782" s="5"/>
      <c r="L782" s="6"/>
      <c r="N782" s="3"/>
      <c r="O782" s="3"/>
      <c r="P782" s="4"/>
      <c r="Q782" s="4"/>
      <c r="S782" s="3"/>
      <c r="T782" s="3"/>
      <c r="U782" s="4"/>
      <c r="V782" s="4"/>
    </row>
    <row r="783" spans="1:22" x14ac:dyDescent="0.25">
      <c r="A783" s="3" t="str">
        <f>RTD("rtdtrading.rtdserver",, "BOOK0", "VOC", 779)</f>
        <v>Ferramenta Inválida</v>
      </c>
      <c r="B783" s="3" t="str">
        <f>RTD("rtdtrading.rtdserver",, "BOOK0", "OCP", 779)</f>
        <v>Ferramenta Inválida</v>
      </c>
      <c r="C783" s="4" t="str">
        <f>RTD("rtdtrading.rtdserver",, "BOOK0", "OVD", 779)</f>
        <v>Ferramenta Inválida</v>
      </c>
      <c r="D783" s="4" t="str">
        <f>RTD("rtdtrading.rtdserver",, "BOOK0", "VOV", 779)</f>
        <v>Ferramenta Inválida</v>
      </c>
      <c r="F783" s="3"/>
      <c r="G783" s="5"/>
      <c r="H783" s="6"/>
      <c r="I783" s="4"/>
      <c r="K783" s="5"/>
      <c r="L783" s="6"/>
      <c r="N783" s="3"/>
      <c r="O783" s="3"/>
      <c r="P783" s="4"/>
      <c r="Q783" s="4"/>
      <c r="S783" s="3"/>
      <c r="T783" s="3"/>
      <c r="U783" s="4"/>
      <c r="V783" s="4"/>
    </row>
    <row r="784" spans="1:22" x14ac:dyDescent="0.25">
      <c r="A784" s="3" t="str">
        <f>RTD("rtdtrading.rtdserver",, "BOOK0", "VOC", 780)</f>
        <v>Ferramenta Inválida</v>
      </c>
      <c r="B784" s="3" t="str">
        <f>RTD("rtdtrading.rtdserver",, "BOOK0", "OCP", 780)</f>
        <v>Ferramenta Inválida</v>
      </c>
      <c r="C784" s="4" t="str">
        <f>RTD("rtdtrading.rtdserver",, "BOOK0", "OVD", 780)</f>
        <v>Ferramenta Inválida</v>
      </c>
      <c r="D784" s="4" t="str">
        <f>RTD("rtdtrading.rtdserver",, "BOOK0", "VOV", 780)</f>
        <v>Ferramenta Inválida</v>
      </c>
      <c r="F784" s="3"/>
      <c r="G784" s="5"/>
      <c r="H784" s="6"/>
      <c r="I784" s="4"/>
      <c r="K784" s="5"/>
      <c r="L784" s="6"/>
      <c r="N784" s="3"/>
      <c r="O784" s="3"/>
      <c r="P784" s="4"/>
      <c r="Q784" s="4"/>
      <c r="S784" s="3"/>
      <c r="T784" s="3"/>
      <c r="U784" s="4"/>
      <c r="V784" s="4"/>
    </row>
    <row r="785" spans="1:22" x14ac:dyDescent="0.25">
      <c r="A785" s="3" t="str">
        <f>RTD("rtdtrading.rtdserver",, "BOOK0", "VOC", 781)</f>
        <v>Ferramenta Inválida</v>
      </c>
      <c r="B785" s="3" t="str">
        <f>RTD("rtdtrading.rtdserver",, "BOOK0", "OCP", 781)</f>
        <v>Ferramenta Inválida</v>
      </c>
      <c r="C785" s="4" t="str">
        <f>RTD("rtdtrading.rtdserver",, "BOOK0", "OVD", 781)</f>
        <v>Ferramenta Inválida</v>
      </c>
      <c r="D785" s="4" t="str">
        <f>RTD("rtdtrading.rtdserver",, "BOOK0", "VOV", 781)</f>
        <v>Ferramenta Inválida</v>
      </c>
      <c r="F785" s="3"/>
      <c r="G785" s="5"/>
      <c r="H785" s="6"/>
      <c r="I785" s="4"/>
      <c r="K785" s="5"/>
      <c r="L785" s="6"/>
      <c r="N785" s="3"/>
      <c r="O785" s="3"/>
      <c r="P785" s="4"/>
      <c r="Q785" s="4"/>
      <c r="S785" s="3"/>
      <c r="T785" s="3"/>
      <c r="U785" s="4"/>
      <c r="V785" s="4"/>
    </row>
    <row r="786" spans="1:22" x14ac:dyDescent="0.25">
      <c r="A786" s="3" t="str">
        <f>RTD("rtdtrading.rtdserver",, "BOOK0", "VOC", 782)</f>
        <v>Ferramenta Inválida</v>
      </c>
      <c r="B786" s="3" t="str">
        <f>RTD("rtdtrading.rtdserver",, "BOOK0", "OCP", 782)</f>
        <v>Ferramenta Inválida</v>
      </c>
      <c r="C786" s="4" t="str">
        <f>RTD("rtdtrading.rtdserver",, "BOOK0", "OVD", 782)</f>
        <v>Ferramenta Inválida</v>
      </c>
      <c r="D786" s="4" t="str">
        <f>RTD("rtdtrading.rtdserver",, "BOOK0", "VOV", 782)</f>
        <v>Ferramenta Inválida</v>
      </c>
      <c r="F786" s="3"/>
      <c r="G786" s="5"/>
      <c r="H786" s="6"/>
      <c r="I786" s="4"/>
      <c r="K786" s="5"/>
      <c r="L786" s="6"/>
      <c r="N786" s="3"/>
      <c r="O786" s="3"/>
      <c r="P786" s="4"/>
      <c r="Q786" s="4"/>
      <c r="S786" s="3"/>
      <c r="T786" s="3"/>
      <c r="U786" s="4"/>
      <c r="V786" s="4"/>
    </row>
    <row r="787" spans="1:22" x14ac:dyDescent="0.25">
      <c r="A787" s="3" t="str">
        <f>RTD("rtdtrading.rtdserver",, "BOOK0", "VOC", 783)</f>
        <v>Ferramenta Inválida</v>
      </c>
      <c r="B787" s="3" t="str">
        <f>RTD("rtdtrading.rtdserver",, "BOOK0", "OCP", 783)</f>
        <v>Ferramenta Inválida</v>
      </c>
      <c r="C787" s="4" t="str">
        <f>RTD("rtdtrading.rtdserver",, "BOOK0", "OVD", 783)</f>
        <v>Ferramenta Inválida</v>
      </c>
      <c r="D787" s="4" t="str">
        <f>RTD("rtdtrading.rtdserver",, "BOOK0", "VOV", 783)</f>
        <v>Ferramenta Inválida</v>
      </c>
      <c r="F787" s="3"/>
      <c r="G787" s="5"/>
      <c r="H787" s="6"/>
      <c r="I787" s="4"/>
      <c r="K787" s="5"/>
      <c r="L787" s="6"/>
      <c r="N787" s="3"/>
      <c r="O787" s="3"/>
      <c r="P787" s="4"/>
      <c r="Q787" s="4"/>
      <c r="S787" s="3"/>
      <c r="T787" s="3"/>
      <c r="U787" s="4"/>
      <c r="V787" s="4"/>
    </row>
    <row r="788" spans="1:22" x14ac:dyDescent="0.25">
      <c r="A788" s="3" t="str">
        <f>RTD("rtdtrading.rtdserver",, "BOOK0", "VOC", 784)</f>
        <v>Ferramenta Inválida</v>
      </c>
      <c r="B788" s="3" t="str">
        <f>RTD("rtdtrading.rtdserver",, "BOOK0", "OCP", 784)</f>
        <v>Ferramenta Inválida</v>
      </c>
      <c r="C788" s="4" t="str">
        <f>RTD("rtdtrading.rtdserver",, "BOOK0", "OVD", 784)</f>
        <v>Ferramenta Inválida</v>
      </c>
      <c r="D788" s="4" t="str">
        <f>RTD("rtdtrading.rtdserver",, "BOOK0", "VOV", 784)</f>
        <v>Ferramenta Inválida</v>
      </c>
      <c r="F788" s="3"/>
      <c r="G788" s="5"/>
      <c r="H788" s="6"/>
      <c r="I788" s="4"/>
      <c r="K788" s="5"/>
      <c r="L788" s="6"/>
      <c r="N788" s="3"/>
      <c r="O788" s="3"/>
      <c r="P788" s="4"/>
      <c r="Q788" s="4"/>
      <c r="S788" s="3"/>
      <c r="T788" s="3"/>
      <c r="U788" s="4"/>
      <c r="V788" s="4"/>
    </row>
    <row r="789" spans="1:22" x14ac:dyDescent="0.25">
      <c r="A789" s="3" t="str">
        <f>RTD("rtdtrading.rtdserver",, "BOOK0", "VOC", 785)</f>
        <v>Ferramenta Inválida</v>
      </c>
      <c r="B789" s="3" t="str">
        <f>RTD("rtdtrading.rtdserver",, "BOOK0", "OCP", 785)</f>
        <v>Ferramenta Inválida</v>
      </c>
      <c r="C789" s="4" t="str">
        <f>RTD("rtdtrading.rtdserver",, "BOOK0", "OVD", 785)</f>
        <v>Ferramenta Inválida</v>
      </c>
      <c r="D789" s="4" t="str">
        <f>RTD("rtdtrading.rtdserver",, "BOOK0", "VOV", 785)</f>
        <v>Ferramenta Inválida</v>
      </c>
      <c r="F789" s="3"/>
      <c r="G789" s="5"/>
      <c r="H789" s="6"/>
      <c r="I789" s="4"/>
      <c r="K789" s="5"/>
      <c r="L789" s="6"/>
      <c r="N789" s="3"/>
      <c r="O789" s="3"/>
      <c r="P789" s="4"/>
      <c r="Q789" s="4"/>
      <c r="S789" s="3"/>
      <c r="T789" s="3"/>
      <c r="U789" s="4"/>
      <c r="V789" s="4"/>
    </row>
    <row r="790" spans="1:22" x14ac:dyDescent="0.25">
      <c r="A790" s="3" t="str">
        <f>RTD("rtdtrading.rtdserver",, "BOOK0", "VOC", 786)</f>
        <v>Ferramenta Inválida</v>
      </c>
      <c r="B790" s="3" t="str">
        <f>RTD("rtdtrading.rtdserver",, "BOOK0", "OCP", 786)</f>
        <v>Ferramenta Inválida</v>
      </c>
      <c r="C790" s="4" t="str">
        <f>RTD("rtdtrading.rtdserver",, "BOOK0", "OVD", 786)</f>
        <v>Ferramenta Inválida</v>
      </c>
      <c r="D790" s="4" t="str">
        <f>RTD("rtdtrading.rtdserver",, "BOOK0", "VOV", 786)</f>
        <v>Ferramenta Inválida</v>
      </c>
      <c r="F790" s="3"/>
      <c r="G790" s="5"/>
      <c r="H790" s="6"/>
      <c r="I790" s="4"/>
      <c r="K790" s="5"/>
      <c r="L790" s="6"/>
      <c r="N790" s="3"/>
      <c r="O790" s="3"/>
      <c r="P790" s="4"/>
      <c r="Q790" s="4"/>
      <c r="S790" s="3"/>
      <c r="T790" s="3"/>
      <c r="U790" s="4"/>
      <c r="V790" s="4"/>
    </row>
    <row r="791" spans="1:22" x14ac:dyDescent="0.25">
      <c r="A791" s="3" t="str">
        <f>RTD("rtdtrading.rtdserver",, "BOOK0", "VOC", 787)</f>
        <v>Ferramenta Inválida</v>
      </c>
      <c r="B791" s="3" t="str">
        <f>RTD("rtdtrading.rtdserver",, "BOOK0", "OCP", 787)</f>
        <v>Ferramenta Inválida</v>
      </c>
      <c r="C791" s="4" t="str">
        <f>RTD("rtdtrading.rtdserver",, "BOOK0", "OVD", 787)</f>
        <v>Ferramenta Inválida</v>
      </c>
      <c r="D791" s="4" t="str">
        <f>RTD("rtdtrading.rtdserver",, "BOOK0", "VOV", 787)</f>
        <v>Ferramenta Inválida</v>
      </c>
      <c r="F791" s="3"/>
      <c r="G791" s="5"/>
      <c r="H791" s="6"/>
      <c r="I791" s="4"/>
      <c r="K791" s="5"/>
      <c r="L791" s="6"/>
      <c r="N791" s="3"/>
      <c r="O791" s="3"/>
      <c r="P791" s="4"/>
      <c r="Q791" s="4"/>
      <c r="S791" s="3"/>
      <c r="T791" s="3"/>
      <c r="U791" s="4"/>
      <c r="V791" s="4"/>
    </row>
    <row r="792" spans="1:22" x14ac:dyDescent="0.25">
      <c r="A792" s="3" t="str">
        <f>RTD("rtdtrading.rtdserver",, "BOOK0", "VOC", 788)</f>
        <v>Ferramenta Inválida</v>
      </c>
      <c r="B792" s="3" t="str">
        <f>RTD("rtdtrading.rtdserver",, "BOOK0", "OCP", 788)</f>
        <v>Ferramenta Inválida</v>
      </c>
      <c r="C792" s="4" t="str">
        <f>RTD("rtdtrading.rtdserver",, "BOOK0", "OVD", 788)</f>
        <v>Ferramenta Inválida</v>
      </c>
      <c r="D792" s="4" t="str">
        <f>RTD("rtdtrading.rtdserver",, "BOOK0", "VOV", 788)</f>
        <v>Ferramenta Inválida</v>
      </c>
      <c r="F792" s="3"/>
      <c r="G792" s="5"/>
      <c r="H792" s="6"/>
      <c r="I792" s="4"/>
      <c r="K792" s="5"/>
      <c r="L792" s="6"/>
      <c r="N792" s="3"/>
      <c r="O792" s="3"/>
      <c r="P792" s="4"/>
      <c r="Q792" s="4"/>
      <c r="S792" s="3"/>
      <c r="T792" s="3"/>
      <c r="U792" s="4"/>
      <c r="V792" s="4"/>
    </row>
    <row r="793" spans="1:22" x14ac:dyDescent="0.25">
      <c r="A793" s="3" t="str">
        <f>RTD("rtdtrading.rtdserver",, "BOOK0", "VOC", 789)</f>
        <v>Ferramenta Inválida</v>
      </c>
      <c r="B793" s="3" t="str">
        <f>RTD("rtdtrading.rtdserver",, "BOOK0", "OCP", 789)</f>
        <v>Ferramenta Inválida</v>
      </c>
      <c r="C793" s="4" t="str">
        <f>RTD("rtdtrading.rtdserver",, "BOOK0", "OVD", 789)</f>
        <v>Ferramenta Inválida</v>
      </c>
      <c r="D793" s="4" t="str">
        <f>RTD("rtdtrading.rtdserver",, "BOOK0", "VOV", 789)</f>
        <v>Ferramenta Inválida</v>
      </c>
      <c r="F793" s="3"/>
      <c r="G793" s="5"/>
      <c r="H793" s="6"/>
      <c r="I793" s="4"/>
      <c r="K793" s="5"/>
      <c r="L793" s="6"/>
      <c r="N793" s="3"/>
      <c r="O793" s="3"/>
      <c r="P793" s="4"/>
      <c r="Q793" s="4"/>
      <c r="S793" s="3"/>
      <c r="T793" s="3"/>
      <c r="U793" s="4"/>
      <c r="V793" s="4"/>
    </row>
    <row r="794" spans="1:22" x14ac:dyDescent="0.25">
      <c r="A794" s="3" t="str">
        <f>RTD("rtdtrading.rtdserver",, "BOOK0", "VOC", 790)</f>
        <v>Ferramenta Inválida</v>
      </c>
      <c r="B794" s="3" t="str">
        <f>RTD("rtdtrading.rtdserver",, "BOOK0", "OCP", 790)</f>
        <v>Ferramenta Inválida</v>
      </c>
      <c r="C794" s="4" t="str">
        <f>RTD("rtdtrading.rtdserver",, "BOOK0", "OVD", 790)</f>
        <v>Ferramenta Inválida</v>
      </c>
      <c r="D794" s="4" t="str">
        <f>RTD("rtdtrading.rtdserver",, "BOOK0", "VOV", 790)</f>
        <v>Ferramenta Inválida</v>
      </c>
      <c r="F794" s="3"/>
      <c r="G794" s="5"/>
      <c r="H794" s="6"/>
      <c r="I794" s="4"/>
      <c r="K794" s="5"/>
      <c r="L794" s="6"/>
      <c r="N794" s="3"/>
      <c r="O794" s="3"/>
      <c r="P794" s="4"/>
      <c r="Q794" s="4"/>
      <c r="S794" s="3"/>
      <c r="T794" s="3"/>
      <c r="U794" s="4"/>
      <c r="V794" s="4"/>
    </row>
    <row r="795" spans="1:22" x14ac:dyDescent="0.25">
      <c r="A795" s="3" t="str">
        <f>RTD("rtdtrading.rtdserver",, "BOOK0", "VOC", 791)</f>
        <v>Ferramenta Inválida</v>
      </c>
      <c r="B795" s="3" t="str">
        <f>RTD("rtdtrading.rtdserver",, "BOOK0", "OCP", 791)</f>
        <v>Ferramenta Inválida</v>
      </c>
      <c r="C795" s="4" t="str">
        <f>RTD("rtdtrading.rtdserver",, "BOOK0", "OVD", 791)</f>
        <v>Ferramenta Inválida</v>
      </c>
      <c r="D795" s="4" t="str">
        <f>RTD("rtdtrading.rtdserver",, "BOOK0", "VOV", 791)</f>
        <v>Ferramenta Inválida</v>
      </c>
      <c r="F795" s="3"/>
      <c r="G795" s="5"/>
      <c r="H795" s="6"/>
      <c r="I795" s="4"/>
      <c r="K795" s="5"/>
      <c r="L795" s="6"/>
      <c r="N795" s="3"/>
      <c r="O795" s="3"/>
      <c r="P795" s="4"/>
      <c r="Q795" s="4"/>
      <c r="S795" s="3"/>
      <c r="T795" s="3"/>
      <c r="U795" s="4"/>
      <c r="V795" s="4"/>
    </row>
    <row r="796" spans="1:22" x14ac:dyDescent="0.25">
      <c r="A796" s="3" t="str">
        <f>RTD("rtdtrading.rtdserver",, "BOOK0", "VOC", 792)</f>
        <v>Ferramenta Inválida</v>
      </c>
      <c r="B796" s="3" t="str">
        <f>RTD("rtdtrading.rtdserver",, "BOOK0", "OCP", 792)</f>
        <v>Ferramenta Inválida</v>
      </c>
      <c r="C796" s="4" t="str">
        <f>RTD("rtdtrading.rtdserver",, "BOOK0", "OVD", 792)</f>
        <v>Ferramenta Inválida</v>
      </c>
      <c r="D796" s="4" t="str">
        <f>RTD("rtdtrading.rtdserver",, "BOOK0", "VOV", 792)</f>
        <v>Ferramenta Inválida</v>
      </c>
      <c r="F796" s="3"/>
      <c r="G796" s="5"/>
      <c r="H796" s="6"/>
      <c r="I796" s="4"/>
      <c r="K796" s="5"/>
      <c r="L796" s="6"/>
      <c r="N796" s="3"/>
      <c r="O796" s="3"/>
      <c r="P796" s="4"/>
      <c r="Q796" s="4"/>
      <c r="S796" s="3"/>
      <c r="T796" s="3"/>
      <c r="U796" s="4"/>
      <c r="V796" s="4"/>
    </row>
    <row r="797" spans="1:22" x14ac:dyDescent="0.25">
      <c r="A797" s="3" t="str">
        <f>RTD("rtdtrading.rtdserver",, "BOOK0", "VOC", 793)</f>
        <v>Ferramenta Inválida</v>
      </c>
      <c r="B797" s="3" t="str">
        <f>RTD("rtdtrading.rtdserver",, "BOOK0", "OCP", 793)</f>
        <v>Ferramenta Inválida</v>
      </c>
      <c r="C797" s="4" t="str">
        <f>RTD("rtdtrading.rtdserver",, "BOOK0", "OVD", 793)</f>
        <v>Ferramenta Inválida</v>
      </c>
      <c r="D797" s="4" t="str">
        <f>RTD("rtdtrading.rtdserver",, "BOOK0", "VOV", 793)</f>
        <v>Ferramenta Inválida</v>
      </c>
      <c r="F797" s="3"/>
      <c r="G797" s="5"/>
      <c r="H797" s="6"/>
      <c r="I797" s="4"/>
      <c r="K797" s="5"/>
      <c r="L797" s="6"/>
      <c r="N797" s="3"/>
      <c r="O797" s="3"/>
      <c r="P797" s="4"/>
      <c r="Q797" s="4"/>
      <c r="S797" s="3"/>
      <c r="T797" s="3"/>
      <c r="U797" s="4"/>
      <c r="V797" s="4"/>
    </row>
    <row r="798" spans="1:22" x14ac:dyDescent="0.25">
      <c r="A798" s="3" t="str">
        <f>RTD("rtdtrading.rtdserver",, "BOOK0", "VOC", 794)</f>
        <v>Ferramenta Inválida</v>
      </c>
      <c r="B798" s="3" t="str">
        <f>RTD("rtdtrading.rtdserver",, "BOOK0", "OCP", 794)</f>
        <v>Ferramenta Inválida</v>
      </c>
      <c r="C798" s="4" t="str">
        <f>RTD("rtdtrading.rtdserver",, "BOOK0", "OVD", 794)</f>
        <v>Ferramenta Inválida</v>
      </c>
      <c r="D798" s="4" t="str">
        <f>RTD("rtdtrading.rtdserver",, "BOOK0", "VOV", 794)</f>
        <v>Ferramenta Inválida</v>
      </c>
      <c r="F798" s="3"/>
      <c r="G798" s="5"/>
      <c r="H798" s="6"/>
      <c r="I798" s="4"/>
      <c r="K798" s="5"/>
      <c r="L798" s="6"/>
      <c r="N798" s="3"/>
      <c r="O798" s="3"/>
      <c r="P798" s="4"/>
      <c r="Q798" s="4"/>
      <c r="S798" s="3"/>
      <c r="T798" s="3"/>
      <c r="U798" s="4"/>
      <c r="V798" s="4"/>
    </row>
    <row r="799" spans="1:22" x14ac:dyDescent="0.25">
      <c r="A799" s="3" t="str">
        <f>RTD("rtdtrading.rtdserver",, "BOOK0", "VOC", 795)</f>
        <v>Ferramenta Inválida</v>
      </c>
      <c r="B799" s="3" t="str">
        <f>RTD("rtdtrading.rtdserver",, "BOOK0", "OCP", 795)</f>
        <v>Ferramenta Inválida</v>
      </c>
      <c r="C799" s="4" t="str">
        <f>RTD("rtdtrading.rtdserver",, "BOOK0", "OVD", 795)</f>
        <v>Ferramenta Inválida</v>
      </c>
      <c r="D799" s="4" t="str">
        <f>RTD("rtdtrading.rtdserver",, "BOOK0", "VOV", 795)</f>
        <v>Ferramenta Inválida</v>
      </c>
      <c r="F799" s="3"/>
      <c r="G799" s="5"/>
      <c r="H799" s="6"/>
      <c r="I799" s="4"/>
      <c r="K799" s="5"/>
      <c r="L799" s="6"/>
      <c r="N799" s="3"/>
      <c r="O799" s="3"/>
      <c r="P799" s="4"/>
      <c r="Q799" s="4"/>
      <c r="S799" s="3"/>
      <c r="T799" s="3"/>
      <c r="U799" s="4"/>
      <c r="V799" s="4"/>
    </row>
    <row r="800" spans="1:22" x14ac:dyDescent="0.25">
      <c r="A800" s="3" t="str">
        <f>RTD("rtdtrading.rtdserver",, "BOOK0", "VOC", 796)</f>
        <v>Ferramenta Inválida</v>
      </c>
      <c r="B800" s="3" t="str">
        <f>RTD("rtdtrading.rtdserver",, "BOOK0", "OCP", 796)</f>
        <v>Ferramenta Inválida</v>
      </c>
      <c r="C800" s="4" t="str">
        <f>RTD("rtdtrading.rtdserver",, "BOOK0", "OVD", 796)</f>
        <v>Ferramenta Inválida</v>
      </c>
      <c r="D800" s="4" t="str">
        <f>RTD("rtdtrading.rtdserver",, "BOOK0", "VOV", 796)</f>
        <v>Ferramenta Inválida</v>
      </c>
      <c r="F800" s="3"/>
      <c r="G800" s="5"/>
      <c r="H800" s="6"/>
      <c r="I800" s="4"/>
      <c r="K800" s="5"/>
      <c r="L800" s="6"/>
      <c r="N800" s="3"/>
      <c r="O800" s="3"/>
      <c r="P800" s="4"/>
      <c r="Q800" s="4"/>
      <c r="S800" s="3"/>
      <c r="T800" s="3"/>
      <c r="U800" s="4"/>
      <c r="V800" s="4"/>
    </row>
    <row r="801" spans="1:22" x14ac:dyDescent="0.25">
      <c r="A801" s="3" t="str">
        <f>RTD("rtdtrading.rtdserver",, "BOOK0", "VOC", 797)</f>
        <v>Ferramenta Inválida</v>
      </c>
      <c r="B801" s="3" t="str">
        <f>RTD("rtdtrading.rtdserver",, "BOOK0", "OCP", 797)</f>
        <v>Ferramenta Inválida</v>
      </c>
      <c r="C801" s="4" t="str">
        <f>RTD("rtdtrading.rtdserver",, "BOOK0", "OVD", 797)</f>
        <v>Ferramenta Inválida</v>
      </c>
      <c r="D801" s="4" t="str">
        <f>RTD("rtdtrading.rtdserver",, "BOOK0", "VOV", 797)</f>
        <v>Ferramenta Inválida</v>
      </c>
      <c r="F801" s="3"/>
      <c r="G801" s="5"/>
      <c r="H801" s="6"/>
      <c r="I801" s="4"/>
      <c r="K801" s="5"/>
      <c r="L801" s="6"/>
      <c r="N801" s="3"/>
      <c r="O801" s="3"/>
      <c r="P801" s="4"/>
      <c r="Q801" s="4"/>
      <c r="S801" s="3"/>
      <c r="T801" s="3"/>
      <c r="U801" s="4"/>
      <c r="V801" s="4"/>
    </row>
    <row r="802" spans="1:22" x14ac:dyDescent="0.25">
      <c r="A802" s="3" t="str">
        <f>RTD("rtdtrading.rtdserver",, "BOOK0", "VOC", 798)</f>
        <v>Ferramenta Inválida</v>
      </c>
      <c r="B802" s="3" t="str">
        <f>RTD("rtdtrading.rtdserver",, "BOOK0", "OCP", 798)</f>
        <v>Ferramenta Inválida</v>
      </c>
      <c r="C802" s="4" t="str">
        <f>RTD("rtdtrading.rtdserver",, "BOOK0", "OVD", 798)</f>
        <v>Ferramenta Inválida</v>
      </c>
      <c r="D802" s="4" t="str">
        <f>RTD("rtdtrading.rtdserver",, "BOOK0", "VOV", 798)</f>
        <v>Ferramenta Inválida</v>
      </c>
      <c r="F802" s="3"/>
      <c r="G802" s="5"/>
      <c r="H802" s="6"/>
      <c r="I802" s="4"/>
      <c r="K802" s="5"/>
      <c r="L802" s="6"/>
      <c r="N802" s="3"/>
      <c r="O802" s="3"/>
      <c r="P802" s="4"/>
      <c r="Q802" s="4"/>
      <c r="S802" s="3"/>
      <c r="T802" s="3"/>
      <c r="U802" s="4"/>
      <c r="V802" s="4"/>
    </row>
    <row r="803" spans="1:22" x14ac:dyDescent="0.25">
      <c r="A803" s="3" t="str">
        <f>RTD("rtdtrading.rtdserver",, "BOOK0", "VOC", 799)</f>
        <v>Ferramenta Inválida</v>
      </c>
      <c r="B803" s="3" t="str">
        <f>RTD("rtdtrading.rtdserver",, "BOOK0", "OCP", 799)</f>
        <v>Ferramenta Inválida</v>
      </c>
      <c r="C803" s="4" t="str">
        <f>RTD("rtdtrading.rtdserver",, "BOOK0", "OVD", 799)</f>
        <v>Ferramenta Inválida</v>
      </c>
      <c r="D803" s="4" t="str">
        <f>RTD("rtdtrading.rtdserver",, "BOOK0", "VOV", 799)</f>
        <v>Ferramenta Inválida</v>
      </c>
      <c r="F803" s="3"/>
      <c r="G803" s="5"/>
      <c r="H803" s="6"/>
      <c r="I803" s="4"/>
      <c r="K803" s="5"/>
      <c r="L803" s="6"/>
      <c r="N803" s="3"/>
      <c r="O803" s="3"/>
      <c r="P803" s="4"/>
      <c r="Q803" s="4"/>
      <c r="S803" s="3"/>
      <c r="T803" s="3"/>
      <c r="U803" s="4"/>
      <c r="V803" s="4"/>
    </row>
    <row r="804" spans="1:22" x14ac:dyDescent="0.25">
      <c r="A804" s="3" t="str">
        <f>RTD("rtdtrading.rtdserver",, "BOOK0", "VOC", 800)</f>
        <v>Ferramenta Inválida</v>
      </c>
      <c r="B804" s="3" t="str">
        <f>RTD("rtdtrading.rtdserver",, "BOOK0", "OCP", 800)</f>
        <v>Ferramenta Inválida</v>
      </c>
      <c r="C804" s="4" t="str">
        <f>RTD("rtdtrading.rtdserver",, "BOOK0", "OVD", 800)</f>
        <v>Ferramenta Inválida</v>
      </c>
      <c r="D804" s="4" t="str">
        <f>RTD("rtdtrading.rtdserver",, "BOOK0", "VOV", 800)</f>
        <v>Ferramenta Inválida</v>
      </c>
      <c r="F804" s="3"/>
      <c r="G804" s="5"/>
      <c r="H804" s="6"/>
      <c r="I804" s="4"/>
      <c r="K804" s="5"/>
      <c r="L804" s="6"/>
      <c r="N804" s="3"/>
      <c r="O804" s="3"/>
      <c r="P804" s="4"/>
      <c r="Q804" s="4"/>
      <c r="S804" s="3"/>
      <c r="T804" s="3"/>
      <c r="U804" s="4"/>
      <c r="V804" s="4"/>
    </row>
    <row r="805" spans="1:22" x14ac:dyDescent="0.25">
      <c r="A805" s="3" t="str">
        <f>RTD("rtdtrading.rtdserver",, "BOOK0", "VOC", 801)</f>
        <v>Ferramenta Inválida</v>
      </c>
      <c r="B805" s="3" t="str">
        <f>RTD("rtdtrading.rtdserver",, "BOOK0", "OCP", 801)</f>
        <v>Ferramenta Inválida</v>
      </c>
      <c r="C805" s="4" t="str">
        <f>RTD("rtdtrading.rtdserver",, "BOOK0", "OVD", 801)</f>
        <v>Ferramenta Inválida</v>
      </c>
      <c r="D805" s="4" t="str">
        <f>RTD("rtdtrading.rtdserver",, "BOOK0", "VOV", 801)</f>
        <v>Ferramenta Inválida</v>
      </c>
      <c r="F805" s="3"/>
      <c r="G805" s="5"/>
      <c r="H805" s="6"/>
      <c r="I805" s="4"/>
      <c r="K805" s="5"/>
      <c r="L805" s="6"/>
      <c r="N805" s="3"/>
      <c r="O805" s="3"/>
      <c r="P805" s="4"/>
      <c r="Q805" s="4"/>
      <c r="S805" s="3"/>
      <c r="T805" s="3"/>
      <c r="U805" s="4"/>
      <c r="V805" s="4"/>
    </row>
    <row r="806" spans="1:22" x14ac:dyDescent="0.25">
      <c r="A806" s="3" t="str">
        <f>RTD("rtdtrading.rtdserver",, "BOOK0", "VOC", 802)</f>
        <v>Ferramenta Inválida</v>
      </c>
      <c r="B806" s="3" t="str">
        <f>RTD("rtdtrading.rtdserver",, "BOOK0", "OCP", 802)</f>
        <v>Ferramenta Inválida</v>
      </c>
      <c r="C806" s="4" t="str">
        <f>RTD("rtdtrading.rtdserver",, "BOOK0", "OVD", 802)</f>
        <v>Ferramenta Inválida</v>
      </c>
      <c r="D806" s="4" t="str">
        <f>RTD("rtdtrading.rtdserver",, "BOOK0", "VOV", 802)</f>
        <v>Ferramenta Inválida</v>
      </c>
      <c r="F806" s="3"/>
      <c r="G806" s="5"/>
      <c r="H806" s="6"/>
      <c r="I806" s="4"/>
      <c r="K806" s="5"/>
      <c r="L806" s="6"/>
      <c r="N806" s="3"/>
      <c r="O806" s="3"/>
      <c r="P806" s="4"/>
      <c r="Q806" s="4"/>
      <c r="S806" s="3"/>
      <c r="T806" s="3"/>
      <c r="U806" s="4"/>
      <c r="V806" s="4"/>
    </row>
    <row r="807" spans="1:22" x14ac:dyDescent="0.25">
      <c r="A807" s="3" t="str">
        <f>RTD("rtdtrading.rtdserver",, "BOOK0", "VOC", 803)</f>
        <v>Ferramenta Inválida</v>
      </c>
      <c r="B807" s="3" t="str">
        <f>RTD("rtdtrading.rtdserver",, "BOOK0", "OCP", 803)</f>
        <v>Ferramenta Inválida</v>
      </c>
      <c r="C807" s="4" t="str">
        <f>RTD("rtdtrading.rtdserver",, "BOOK0", "OVD", 803)</f>
        <v>Ferramenta Inválida</v>
      </c>
      <c r="D807" s="4" t="str">
        <f>RTD("rtdtrading.rtdserver",, "BOOK0", "VOV", 803)</f>
        <v>Ferramenta Inválida</v>
      </c>
      <c r="F807" s="3"/>
      <c r="G807" s="5"/>
      <c r="H807" s="6"/>
      <c r="I807" s="4"/>
      <c r="K807" s="5"/>
      <c r="L807" s="6"/>
      <c r="N807" s="3"/>
      <c r="O807" s="3"/>
      <c r="P807" s="4"/>
      <c r="Q807" s="4"/>
      <c r="S807" s="3"/>
      <c r="T807" s="3"/>
      <c r="U807" s="4"/>
      <c r="V807" s="4"/>
    </row>
    <row r="808" spans="1:22" x14ac:dyDescent="0.25">
      <c r="A808" s="3" t="str">
        <f>RTD("rtdtrading.rtdserver",, "BOOK0", "VOC", 804)</f>
        <v>Ferramenta Inválida</v>
      </c>
      <c r="B808" s="3" t="str">
        <f>RTD("rtdtrading.rtdserver",, "BOOK0", "OCP", 804)</f>
        <v>Ferramenta Inválida</v>
      </c>
      <c r="C808" s="4" t="str">
        <f>RTD("rtdtrading.rtdserver",, "BOOK0", "OVD", 804)</f>
        <v>Ferramenta Inválida</v>
      </c>
      <c r="D808" s="4" t="str">
        <f>RTD("rtdtrading.rtdserver",, "BOOK0", "VOV", 804)</f>
        <v>Ferramenta Inválida</v>
      </c>
      <c r="F808" s="3"/>
      <c r="G808" s="5"/>
      <c r="H808" s="6"/>
      <c r="I808" s="4"/>
      <c r="K808" s="5"/>
      <c r="L808" s="6"/>
      <c r="N808" s="3"/>
      <c r="O808" s="3"/>
      <c r="P808" s="4"/>
      <c r="Q808" s="4"/>
      <c r="S808" s="3"/>
      <c r="T808" s="3"/>
      <c r="U808" s="4"/>
      <c r="V808" s="4"/>
    </row>
    <row r="809" spans="1:22" x14ac:dyDescent="0.25">
      <c r="A809" s="3" t="str">
        <f>RTD("rtdtrading.rtdserver",, "BOOK0", "VOC", 805)</f>
        <v>Ferramenta Inválida</v>
      </c>
      <c r="B809" s="3" t="str">
        <f>RTD("rtdtrading.rtdserver",, "BOOK0", "OCP", 805)</f>
        <v>Ferramenta Inválida</v>
      </c>
      <c r="C809" s="4" t="str">
        <f>RTD("rtdtrading.rtdserver",, "BOOK0", "OVD", 805)</f>
        <v>Ferramenta Inválida</v>
      </c>
      <c r="D809" s="4" t="str">
        <f>RTD("rtdtrading.rtdserver",, "BOOK0", "VOV", 805)</f>
        <v>Ferramenta Inválida</v>
      </c>
      <c r="F809" s="3"/>
      <c r="G809" s="5"/>
      <c r="H809" s="6"/>
      <c r="I809" s="4"/>
      <c r="K809" s="5"/>
      <c r="L809" s="6"/>
      <c r="N809" s="3"/>
      <c r="O809" s="3"/>
      <c r="P809" s="4"/>
      <c r="Q809" s="4"/>
      <c r="S809" s="3"/>
      <c r="T809" s="3"/>
      <c r="U809" s="4"/>
      <c r="V809" s="4"/>
    </row>
    <row r="810" spans="1:22" x14ac:dyDescent="0.25">
      <c r="A810" s="3" t="str">
        <f>RTD("rtdtrading.rtdserver",, "BOOK0", "VOC", 806)</f>
        <v>Ferramenta Inválida</v>
      </c>
      <c r="B810" s="3" t="str">
        <f>RTD("rtdtrading.rtdserver",, "BOOK0", "OCP", 806)</f>
        <v>Ferramenta Inválida</v>
      </c>
      <c r="C810" s="4" t="str">
        <f>RTD("rtdtrading.rtdserver",, "BOOK0", "OVD", 806)</f>
        <v>Ferramenta Inválida</v>
      </c>
      <c r="D810" s="4" t="str">
        <f>RTD("rtdtrading.rtdserver",, "BOOK0", "VOV", 806)</f>
        <v>Ferramenta Inválida</v>
      </c>
      <c r="F810" s="3"/>
      <c r="G810" s="5"/>
      <c r="H810" s="6"/>
      <c r="I810" s="4"/>
      <c r="K810" s="5"/>
      <c r="L810" s="6"/>
      <c r="N810" s="3"/>
      <c r="O810" s="3"/>
      <c r="P810" s="4"/>
      <c r="Q810" s="4"/>
      <c r="S810" s="3"/>
      <c r="T810" s="3"/>
      <c r="U810" s="4"/>
      <c r="V810" s="4"/>
    </row>
    <row r="811" spans="1:22" x14ac:dyDescent="0.25">
      <c r="A811" s="3" t="str">
        <f>RTD("rtdtrading.rtdserver",, "BOOK0", "VOC", 807)</f>
        <v>Ferramenta Inválida</v>
      </c>
      <c r="B811" s="3" t="str">
        <f>RTD("rtdtrading.rtdserver",, "BOOK0", "OCP", 807)</f>
        <v>Ferramenta Inválida</v>
      </c>
      <c r="C811" s="4" t="str">
        <f>RTD("rtdtrading.rtdserver",, "BOOK0", "OVD", 807)</f>
        <v>Ferramenta Inválida</v>
      </c>
      <c r="D811" s="4" t="str">
        <f>RTD("rtdtrading.rtdserver",, "BOOK0", "VOV", 807)</f>
        <v>Ferramenta Inválida</v>
      </c>
      <c r="F811" s="3"/>
      <c r="G811" s="5"/>
      <c r="H811" s="6"/>
      <c r="I811" s="4"/>
      <c r="K811" s="5"/>
      <c r="L811" s="6"/>
      <c r="N811" s="3"/>
      <c r="O811" s="3"/>
      <c r="P811" s="4"/>
      <c r="Q811" s="4"/>
      <c r="S811" s="3"/>
      <c r="T811" s="3"/>
      <c r="U811" s="4"/>
      <c r="V811" s="4"/>
    </row>
    <row r="812" spans="1:22" x14ac:dyDescent="0.25">
      <c r="A812" s="3" t="str">
        <f>RTD("rtdtrading.rtdserver",, "BOOK0", "VOC", 808)</f>
        <v>Ferramenta Inválida</v>
      </c>
      <c r="B812" s="3" t="str">
        <f>RTD("rtdtrading.rtdserver",, "BOOK0", "OCP", 808)</f>
        <v>Ferramenta Inválida</v>
      </c>
      <c r="C812" s="4" t="str">
        <f>RTD("rtdtrading.rtdserver",, "BOOK0", "OVD", 808)</f>
        <v>Ferramenta Inválida</v>
      </c>
      <c r="D812" s="4" t="str">
        <f>RTD("rtdtrading.rtdserver",, "BOOK0", "VOV", 808)</f>
        <v>Ferramenta Inválida</v>
      </c>
      <c r="F812" s="3"/>
      <c r="G812" s="5"/>
      <c r="H812" s="6"/>
      <c r="I812" s="4"/>
      <c r="K812" s="5"/>
      <c r="L812" s="6"/>
      <c r="N812" s="3"/>
      <c r="O812" s="3"/>
      <c r="P812" s="4"/>
      <c r="Q812" s="4"/>
      <c r="S812" s="3"/>
      <c r="T812" s="3"/>
      <c r="U812" s="4"/>
      <c r="V812" s="4"/>
    </row>
    <row r="813" spans="1:22" x14ac:dyDescent="0.25">
      <c r="A813" s="3" t="str">
        <f>RTD("rtdtrading.rtdserver",, "BOOK0", "VOC", 809)</f>
        <v>Ferramenta Inválida</v>
      </c>
      <c r="B813" s="3" t="str">
        <f>RTD("rtdtrading.rtdserver",, "BOOK0", "OCP", 809)</f>
        <v>Ferramenta Inválida</v>
      </c>
      <c r="C813" s="4" t="str">
        <f>RTD("rtdtrading.rtdserver",, "BOOK0", "OVD", 809)</f>
        <v>Ferramenta Inválida</v>
      </c>
      <c r="D813" s="4" t="str">
        <f>RTD("rtdtrading.rtdserver",, "BOOK0", "VOV", 809)</f>
        <v>Ferramenta Inválida</v>
      </c>
      <c r="F813" s="3"/>
      <c r="G813" s="5"/>
      <c r="H813" s="6"/>
      <c r="I813" s="4"/>
      <c r="K813" s="5"/>
      <c r="L813" s="6"/>
      <c r="N813" s="3"/>
      <c r="O813" s="3"/>
      <c r="P813" s="4"/>
      <c r="Q813" s="4"/>
      <c r="S813" s="3"/>
      <c r="T813" s="3"/>
      <c r="U813" s="4"/>
      <c r="V813" s="4"/>
    </row>
    <row r="814" spans="1:22" x14ac:dyDescent="0.25">
      <c r="A814" s="3" t="str">
        <f>RTD("rtdtrading.rtdserver",, "BOOK0", "VOC", 810)</f>
        <v>Ferramenta Inválida</v>
      </c>
      <c r="B814" s="3" t="str">
        <f>RTD("rtdtrading.rtdserver",, "BOOK0", "OCP", 810)</f>
        <v>Ferramenta Inválida</v>
      </c>
      <c r="C814" s="4" t="str">
        <f>RTD("rtdtrading.rtdserver",, "BOOK0", "OVD", 810)</f>
        <v>Ferramenta Inválida</v>
      </c>
      <c r="D814" s="4" t="str">
        <f>RTD("rtdtrading.rtdserver",, "BOOK0", "VOV", 810)</f>
        <v>Ferramenta Inválida</v>
      </c>
      <c r="F814" s="3"/>
      <c r="G814" s="5"/>
      <c r="H814" s="6"/>
      <c r="I814" s="4"/>
      <c r="K814" s="5"/>
      <c r="L814" s="6"/>
      <c r="N814" s="3"/>
      <c r="O814" s="3"/>
      <c r="P814" s="4"/>
      <c r="Q814" s="4"/>
      <c r="S814" s="3"/>
      <c r="T814" s="3"/>
      <c r="U814" s="4"/>
      <c r="V814" s="4"/>
    </row>
    <row r="815" spans="1:22" x14ac:dyDescent="0.25">
      <c r="A815" s="3" t="str">
        <f>RTD("rtdtrading.rtdserver",, "BOOK0", "VOC", 811)</f>
        <v>Ferramenta Inválida</v>
      </c>
      <c r="B815" s="3" t="str">
        <f>RTD("rtdtrading.rtdserver",, "BOOK0", "OCP", 811)</f>
        <v>Ferramenta Inválida</v>
      </c>
      <c r="C815" s="4" t="str">
        <f>RTD("rtdtrading.rtdserver",, "BOOK0", "OVD", 811)</f>
        <v>Ferramenta Inválida</v>
      </c>
      <c r="D815" s="4" t="str">
        <f>RTD("rtdtrading.rtdserver",, "BOOK0", "VOV", 811)</f>
        <v>Ferramenta Inválida</v>
      </c>
      <c r="F815" s="3"/>
      <c r="G815" s="5"/>
      <c r="H815" s="6"/>
      <c r="I815" s="4"/>
      <c r="K815" s="5"/>
      <c r="L815" s="6"/>
      <c r="N815" s="3"/>
      <c r="O815" s="3"/>
      <c r="P815" s="4"/>
      <c r="Q815" s="4"/>
      <c r="S815" s="3"/>
      <c r="T815" s="3"/>
      <c r="U815" s="4"/>
      <c r="V815" s="4"/>
    </row>
    <row r="816" spans="1:22" x14ac:dyDescent="0.25">
      <c r="A816" s="3" t="str">
        <f>RTD("rtdtrading.rtdserver",, "BOOK0", "VOC", 812)</f>
        <v>Ferramenta Inválida</v>
      </c>
      <c r="B816" s="3" t="str">
        <f>RTD("rtdtrading.rtdserver",, "BOOK0", "OCP", 812)</f>
        <v>Ferramenta Inválida</v>
      </c>
      <c r="C816" s="4" t="str">
        <f>RTD("rtdtrading.rtdserver",, "BOOK0", "OVD", 812)</f>
        <v>Ferramenta Inválida</v>
      </c>
      <c r="D816" s="4" t="str">
        <f>RTD("rtdtrading.rtdserver",, "BOOK0", "VOV", 812)</f>
        <v>Ferramenta Inválida</v>
      </c>
      <c r="F816" s="3"/>
      <c r="G816" s="5"/>
      <c r="H816" s="6"/>
      <c r="I816" s="4"/>
      <c r="K816" s="5"/>
      <c r="L816" s="6"/>
      <c r="N816" s="3"/>
      <c r="O816" s="3"/>
      <c r="P816" s="4"/>
      <c r="Q816" s="4"/>
      <c r="S816" s="3"/>
      <c r="T816" s="3"/>
      <c r="U816" s="4"/>
      <c r="V816" s="4"/>
    </row>
    <row r="817" spans="1:22" x14ac:dyDescent="0.25">
      <c r="A817" s="3" t="str">
        <f>RTD("rtdtrading.rtdserver",, "BOOK0", "VOC", 813)</f>
        <v>Ferramenta Inválida</v>
      </c>
      <c r="B817" s="3" t="str">
        <f>RTD("rtdtrading.rtdserver",, "BOOK0", "OCP", 813)</f>
        <v>Ferramenta Inválida</v>
      </c>
      <c r="C817" s="4" t="str">
        <f>RTD("rtdtrading.rtdserver",, "BOOK0", "OVD", 813)</f>
        <v>Ferramenta Inválida</v>
      </c>
      <c r="D817" s="4" t="str">
        <f>RTD("rtdtrading.rtdserver",, "BOOK0", "VOV", 813)</f>
        <v>Ferramenta Inválida</v>
      </c>
      <c r="F817" s="3"/>
      <c r="G817" s="5"/>
      <c r="H817" s="6"/>
      <c r="I817" s="4"/>
      <c r="K817" s="5"/>
      <c r="L817" s="6"/>
      <c r="N817" s="3"/>
      <c r="O817" s="3"/>
      <c r="P817" s="4"/>
      <c r="Q817" s="4"/>
      <c r="S817" s="3"/>
      <c r="T817" s="3"/>
      <c r="U817" s="4"/>
      <c r="V817" s="4"/>
    </row>
    <row r="818" spans="1:22" x14ac:dyDescent="0.25">
      <c r="A818" s="3" t="str">
        <f>RTD("rtdtrading.rtdserver",, "BOOK0", "VOC", 814)</f>
        <v>Ferramenta Inválida</v>
      </c>
      <c r="B818" s="3" t="str">
        <f>RTD("rtdtrading.rtdserver",, "BOOK0", "OCP", 814)</f>
        <v>Ferramenta Inválida</v>
      </c>
      <c r="C818" s="4" t="str">
        <f>RTD("rtdtrading.rtdserver",, "BOOK0", "OVD", 814)</f>
        <v>Ferramenta Inválida</v>
      </c>
      <c r="D818" s="4" t="str">
        <f>RTD("rtdtrading.rtdserver",, "BOOK0", "VOV", 814)</f>
        <v>Ferramenta Inválida</v>
      </c>
      <c r="F818" s="3"/>
      <c r="G818" s="5"/>
      <c r="H818" s="6"/>
      <c r="I818" s="4"/>
      <c r="K818" s="5"/>
      <c r="L818" s="6"/>
      <c r="N818" s="3"/>
      <c r="O818" s="3"/>
      <c r="P818" s="4"/>
      <c r="Q818" s="4"/>
      <c r="S818" s="3"/>
      <c r="T818" s="3"/>
      <c r="U818" s="4"/>
      <c r="V818" s="4"/>
    </row>
    <row r="819" spans="1:22" x14ac:dyDescent="0.25">
      <c r="A819" s="3" t="str">
        <f>RTD("rtdtrading.rtdserver",, "BOOK0", "VOC", 815)</f>
        <v>Ferramenta Inválida</v>
      </c>
      <c r="B819" s="3" t="str">
        <f>RTD("rtdtrading.rtdserver",, "BOOK0", "OCP", 815)</f>
        <v>Ferramenta Inválida</v>
      </c>
      <c r="C819" s="4" t="str">
        <f>RTD("rtdtrading.rtdserver",, "BOOK0", "OVD", 815)</f>
        <v>Ferramenta Inválida</v>
      </c>
      <c r="D819" s="4" t="str">
        <f>RTD("rtdtrading.rtdserver",, "BOOK0", "VOV", 815)</f>
        <v>Ferramenta Inválida</v>
      </c>
      <c r="F819" s="3"/>
      <c r="G819" s="5"/>
      <c r="H819" s="6"/>
      <c r="I819" s="4"/>
      <c r="K819" s="5"/>
      <c r="L819" s="6"/>
      <c r="N819" s="3"/>
      <c r="O819" s="3"/>
      <c r="P819" s="4"/>
      <c r="Q819" s="4"/>
      <c r="S819" s="3"/>
      <c r="T819" s="3"/>
      <c r="U819" s="4"/>
      <c r="V819" s="4"/>
    </row>
    <row r="820" spans="1:22" x14ac:dyDescent="0.25">
      <c r="A820" s="3" t="str">
        <f>RTD("rtdtrading.rtdserver",, "BOOK0", "VOC", 816)</f>
        <v>Ferramenta Inválida</v>
      </c>
      <c r="B820" s="3" t="str">
        <f>RTD("rtdtrading.rtdserver",, "BOOK0", "OCP", 816)</f>
        <v>Ferramenta Inválida</v>
      </c>
      <c r="C820" s="4" t="str">
        <f>RTD("rtdtrading.rtdserver",, "BOOK0", "OVD", 816)</f>
        <v>Ferramenta Inválida</v>
      </c>
      <c r="D820" s="4" t="str">
        <f>RTD("rtdtrading.rtdserver",, "BOOK0", "VOV", 816)</f>
        <v>Ferramenta Inválida</v>
      </c>
      <c r="F820" s="3"/>
      <c r="G820" s="5"/>
      <c r="H820" s="6"/>
      <c r="I820" s="4"/>
      <c r="K820" s="5"/>
      <c r="L820" s="6"/>
      <c r="N820" s="3"/>
      <c r="O820" s="3"/>
      <c r="P820" s="4"/>
      <c r="Q820" s="4"/>
      <c r="S820" s="3"/>
      <c r="T820" s="3"/>
      <c r="U820" s="4"/>
      <c r="V820" s="4"/>
    </row>
    <row r="821" spans="1:22" x14ac:dyDescent="0.25">
      <c r="A821" s="3" t="str">
        <f>RTD("rtdtrading.rtdserver",, "BOOK0", "VOC", 817)</f>
        <v>Ferramenta Inválida</v>
      </c>
      <c r="B821" s="3" t="str">
        <f>RTD("rtdtrading.rtdserver",, "BOOK0", "OCP", 817)</f>
        <v>Ferramenta Inválida</v>
      </c>
      <c r="C821" s="4" t="str">
        <f>RTD("rtdtrading.rtdserver",, "BOOK0", "OVD", 817)</f>
        <v>Ferramenta Inválida</v>
      </c>
      <c r="D821" s="4" t="str">
        <f>RTD("rtdtrading.rtdserver",, "BOOK0", "VOV", 817)</f>
        <v>Ferramenta Inválida</v>
      </c>
      <c r="F821" s="3"/>
      <c r="G821" s="5"/>
      <c r="H821" s="6"/>
      <c r="I821" s="4"/>
      <c r="K821" s="5"/>
      <c r="L821" s="6"/>
      <c r="N821" s="3"/>
      <c r="O821" s="3"/>
      <c r="P821" s="4"/>
      <c r="Q821" s="4"/>
      <c r="S821" s="3"/>
      <c r="T821" s="3"/>
      <c r="U821" s="4"/>
      <c r="V821" s="4"/>
    </row>
    <row r="822" spans="1:22" x14ac:dyDescent="0.25">
      <c r="A822" s="3" t="str">
        <f>RTD("rtdtrading.rtdserver",, "BOOK0", "VOC", 818)</f>
        <v>Ferramenta Inválida</v>
      </c>
      <c r="B822" s="3" t="str">
        <f>RTD("rtdtrading.rtdserver",, "BOOK0", "OCP", 818)</f>
        <v>Ferramenta Inválida</v>
      </c>
      <c r="C822" s="4" t="str">
        <f>RTD("rtdtrading.rtdserver",, "BOOK0", "OVD", 818)</f>
        <v>Ferramenta Inválida</v>
      </c>
      <c r="D822" s="4" t="str">
        <f>RTD("rtdtrading.rtdserver",, "BOOK0", "VOV", 818)</f>
        <v>Ferramenta Inválida</v>
      </c>
      <c r="F822" s="3"/>
      <c r="G822" s="5"/>
      <c r="H822" s="6"/>
      <c r="I822" s="4"/>
      <c r="K822" s="5"/>
      <c r="L822" s="6"/>
      <c r="N822" s="3"/>
      <c r="O822" s="3"/>
      <c r="P822" s="4"/>
      <c r="Q822" s="4"/>
      <c r="S822" s="3"/>
      <c r="T822" s="3"/>
      <c r="U822" s="4"/>
      <c r="V822" s="4"/>
    </row>
    <row r="823" spans="1:22" x14ac:dyDescent="0.25">
      <c r="A823" s="3" t="str">
        <f>RTD("rtdtrading.rtdserver",, "BOOK0", "VOC", 819)</f>
        <v>Ferramenta Inválida</v>
      </c>
      <c r="B823" s="3" t="str">
        <f>RTD("rtdtrading.rtdserver",, "BOOK0", "OCP", 819)</f>
        <v>Ferramenta Inválida</v>
      </c>
      <c r="C823" s="4" t="str">
        <f>RTD("rtdtrading.rtdserver",, "BOOK0", "OVD", 819)</f>
        <v>Ferramenta Inválida</v>
      </c>
      <c r="D823" s="4" t="str">
        <f>RTD("rtdtrading.rtdserver",, "BOOK0", "VOV", 819)</f>
        <v>Ferramenta Inválida</v>
      </c>
      <c r="F823" s="3"/>
      <c r="G823" s="5"/>
      <c r="H823" s="6"/>
      <c r="I823" s="4"/>
      <c r="K823" s="5"/>
      <c r="L823" s="6"/>
      <c r="N823" s="3"/>
      <c r="O823" s="3"/>
      <c r="P823" s="4"/>
      <c r="Q823" s="4"/>
      <c r="S823" s="3"/>
      <c r="T823" s="3"/>
      <c r="U823" s="4"/>
      <c r="V823" s="4"/>
    </row>
    <row r="824" spans="1:22" x14ac:dyDescent="0.25">
      <c r="A824" s="3" t="str">
        <f>RTD("rtdtrading.rtdserver",, "BOOK0", "VOC", 820)</f>
        <v>Ferramenta Inválida</v>
      </c>
      <c r="B824" s="3" t="str">
        <f>RTD("rtdtrading.rtdserver",, "BOOK0", "OCP", 820)</f>
        <v>Ferramenta Inválida</v>
      </c>
      <c r="C824" s="4" t="str">
        <f>RTD("rtdtrading.rtdserver",, "BOOK0", "OVD", 820)</f>
        <v>Ferramenta Inválida</v>
      </c>
      <c r="D824" s="4" t="str">
        <f>RTD("rtdtrading.rtdserver",, "BOOK0", "VOV", 820)</f>
        <v>Ferramenta Inválida</v>
      </c>
      <c r="F824" s="3"/>
      <c r="G824" s="5"/>
      <c r="H824" s="6"/>
      <c r="I824" s="4"/>
      <c r="K824" s="5"/>
      <c r="L824" s="6"/>
      <c r="N824" s="3"/>
      <c r="O824" s="3"/>
      <c r="P824" s="4"/>
      <c r="Q824" s="4"/>
      <c r="S824" s="3"/>
      <c r="T824" s="3"/>
      <c r="U824" s="4"/>
      <c r="V824" s="4"/>
    </row>
    <row r="825" spans="1:22" x14ac:dyDescent="0.25">
      <c r="A825" s="3" t="str">
        <f>RTD("rtdtrading.rtdserver",, "BOOK0", "VOC", 821)</f>
        <v>Ferramenta Inválida</v>
      </c>
      <c r="B825" s="3" t="str">
        <f>RTD("rtdtrading.rtdserver",, "BOOK0", "OCP", 821)</f>
        <v>Ferramenta Inválida</v>
      </c>
      <c r="C825" s="4" t="str">
        <f>RTD("rtdtrading.rtdserver",, "BOOK0", "OVD", 821)</f>
        <v>Ferramenta Inválida</v>
      </c>
      <c r="D825" s="4" t="str">
        <f>RTD("rtdtrading.rtdserver",, "BOOK0", "VOV", 821)</f>
        <v>Ferramenta Inválida</v>
      </c>
      <c r="F825" s="3"/>
      <c r="G825" s="5"/>
      <c r="H825" s="6"/>
      <c r="I825" s="4"/>
      <c r="K825" s="5"/>
      <c r="L825" s="6"/>
      <c r="N825" s="3"/>
      <c r="O825" s="3"/>
      <c r="P825" s="4"/>
      <c r="Q825" s="4"/>
      <c r="S825" s="3"/>
      <c r="T825" s="3"/>
      <c r="U825" s="4"/>
      <c r="V825" s="4"/>
    </row>
    <row r="826" spans="1:22" x14ac:dyDescent="0.25">
      <c r="A826" s="3" t="str">
        <f>RTD("rtdtrading.rtdserver",, "BOOK0", "VOC", 822)</f>
        <v>Ferramenta Inválida</v>
      </c>
      <c r="B826" s="3" t="str">
        <f>RTD("rtdtrading.rtdserver",, "BOOK0", "OCP", 822)</f>
        <v>Ferramenta Inválida</v>
      </c>
      <c r="C826" s="4" t="str">
        <f>RTD("rtdtrading.rtdserver",, "BOOK0", "OVD", 822)</f>
        <v>Ferramenta Inválida</v>
      </c>
      <c r="D826" s="4" t="str">
        <f>RTD("rtdtrading.rtdserver",, "BOOK0", "VOV", 822)</f>
        <v>Ferramenta Inválida</v>
      </c>
      <c r="F826" s="3"/>
      <c r="G826" s="5"/>
      <c r="H826" s="6"/>
      <c r="I826" s="4"/>
      <c r="K826" s="5"/>
      <c r="L826" s="6"/>
      <c r="N826" s="3"/>
      <c r="O826" s="3"/>
      <c r="P826" s="4"/>
      <c r="Q826" s="4"/>
      <c r="S826" s="3"/>
      <c r="T826" s="3"/>
      <c r="U826" s="4"/>
      <c r="V826" s="4"/>
    </row>
    <row r="827" spans="1:22" x14ac:dyDescent="0.25">
      <c r="A827" s="3" t="str">
        <f>RTD("rtdtrading.rtdserver",, "BOOK0", "VOC", 823)</f>
        <v>Ferramenta Inválida</v>
      </c>
      <c r="B827" s="3" t="str">
        <f>RTD("rtdtrading.rtdserver",, "BOOK0", "OCP", 823)</f>
        <v>Ferramenta Inválida</v>
      </c>
      <c r="C827" s="4" t="str">
        <f>RTD("rtdtrading.rtdserver",, "BOOK0", "OVD", 823)</f>
        <v>Ferramenta Inválida</v>
      </c>
      <c r="D827" s="4" t="str">
        <f>RTD("rtdtrading.rtdserver",, "BOOK0", "VOV", 823)</f>
        <v>Ferramenta Inválida</v>
      </c>
      <c r="F827" s="3"/>
      <c r="G827" s="5"/>
      <c r="H827" s="6"/>
      <c r="I827" s="4"/>
      <c r="K827" s="5"/>
      <c r="L827" s="6"/>
      <c r="N827" s="3"/>
      <c r="O827" s="3"/>
      <c r="P827" s="4"/>
      <c r="Q827" s="4"/>
      <c r="S827" s="3"/>
      <c r="T827" s="3"/>
      <c r="U827" s="4"/>
      <c r="V827" s="4"/>
    </row>
    <row r="828" spans="1:22" x14ac:dyDescent="0.25">
      <c r="A828" s="3" t="str">
        <f>RTD("rtdtrading.rtdserver",, "BOOK0", "VOC", 824)</f>
        <v>Ferramenta Inválida</v>
      </c>
      <c r="B828" s="3" t="str">
        <f>RTD("rtdtrading.rtdserver",, "BOOK0", "OCP", 824)</f>
        <v>Ferramenta Inválida</v>
      </c>
      <c r="C828" s="4" t="str">
        <f>RTD("rtdtrading.rtdserver",, "BOOK0", "OVD", 824)</f>
        <v>Ferramenta Inválida</v>
      </c>
      <c r="D828" s="4" t="str">
        <f>RTD("rtdtrading.rtdserver",, "BOOK0", "VOV", 824)</f>
        <v>Ferramenta Inválida</v>
      </c>
      <c r="F828" s="3"/>
      <c r="G828" s="5"/>
      <c r="H828" s="6"/>
      <c r="I828" s="4"/>
      <c r="K828" s="5"/>
      <c r="L828" s="6"/>
      <c r="N828" s="3"/>
      <c r="O828" s="3"/>
      <c r="P828" s="4"/>
      <c r="Q828" s="4"/>
      <c r="S828" s="3"/>
      <c r="T828" s="3"/>
      <c r="U828" s="4"/>
      <c r="V828" s="4"/>
    </row>
    <row r="829" spans="1:22" x14ac:dyDescent="0.25">
      <c r="A829" s="3" t="str">
        <f>RTD("rtdtrading.rtdserver",, "BOOK0", "VOC", 825)</f>
        <v>Ferramenta Inválida</v>
      </c>
      <c r="B829" s="3" t="str">
        <f>RTD("rtdtrading.rtdserver",, "BOOK0", "OCP", 825)</f>
        <v>Ferramenta Inválida</v>
      </c>
      <c r="C829" s="4" t="str">
        <f>RTD("rtdtrading.rtdserver",, "BOOK0", "OVD", 825)</f>
        <v>Ferramenta Inválida</v>
      </c>
      <c r="D829" s="4" t="str">
        <f>RTD("rtdtrading.rtdserver",, "BOOK0", "VOV", 825)</f>
        <v>Ferramenta Inválida</v>
      </c>
      <c r="F829" s="3"/>
      <c r="G829" s="5"/>
      <c r="H829" s="6"/>
      <c r="I829" s="4"/>
      <c r="K829" s="5"/>
      <c r="L829" s="6"/>
      <c r="N829" s="3"/>
      <c r="O829" s="3"/>
      <c r="P829" s="4"/>
      <c r="Q829" s="4"/>
      <c r="S829" s="3"/>
      <c r="T829" s="3"/>
      <c r="U829" s="4"/>
      <c r="V829" s="4"/>
    </row>
    <row r="830" spans="1:22" x14ac:dyDescent="0.25">
      <c r="A830" s="3" t="str">
        <f>RTD("rtdtrading.rtdserver",, "BOOK0", "VOC", 826)</f>
        <v>Ferramenta Inválida</v>
      </c>
      <c r="B830" s="3" t="str">
        <f>RTD("rtdtrading.rtdserver",, "BOOK0", "OCP", 826)</f>
        <v>Ferramenta Inválida</v>
      </c>
      <c r="C830" s="4" t="str">
        <f>RTD("rtdtrading.rtdserver",, "BOOK0", "OVD", 826)</f>
        <v>Ferramenta Inválida</v>
      </c>
      <c r="D830" s="4" t="str">
        <f>RTD("rtdtrading.rtdserver",, "BOOK0", "VOV", 826)</f>
        <v>Ferramenta Inválida</v>
      </c>
      <c r="F830" s="3"/>
      <c r="G830" s="5"/>
      <c r="H830" s="6"/>
      <c r="I830" s="4"/>
      <c r="K830" s="5"/>
      <c r="L830" s="6"/>
      <c r="N830" s="3"/>
      <c r="O830" s="3"/>
      <c r="P830" s="4"/>
      <c r="Q830" s="4"/>
      <c r="S830" s="3"/>
      <c r="T830" s="3"/>
      <c r="U830" s="4"/>
      <c r="V830" s="4"/>
    </row>
    <row r="831" spans="1:22" x14ac:dyDescent="0.25">
      <c r="A831" s="3" t="str">
        <f>RTD("rtdtrading.rtdserver",, "BOOK0", "VOC", 827)</f>
        <v>Ferramenta Inválida</v>
      </c>
      <c r="B831" s="3" t="str">
        <f>RTD("rtdtrading.rtdserver",, "BOOK0", "OCP", 827)</f>
        <v>Ferramenta Inválida</v>
      </c>
      <c r="C831" s="4" t="str">
        <f>RTD("rtdtrading.rtdserver",, "BOOK0", "OVD", 827)</f>
        <v>Ferramenta Inválida</v>
      </c>
      <c r="D831" s="4" t="str">
        <f>RTD("rtdtrading.rtdserver",, "BOOK0", "VOV", 827)</f>
        <v>Ferramenta Inválida</v>
      </c>
      <c r="F831" s="3"/>
      <c r="G831" s="5"/>
      <c r="H831" s="6"/>
      <c r="I831" s="4"/>
      <c r="K831" s="5"/>
      <c r="L831" s="6"/>
      <c r="N831" s="3"/>
      <c r="O831" s="3"/>
      <c r="P831" s="4"/>
      <c r="Q831" s="4"/>
      <c r="S831" s="3"/>
      <c r="T831" s="3"/>
      <c r="U831" s="4"/>
      <c r="V831" s="4"/>
    </row>
    <row r="832" spans="1:22" x14ac:dyDescent="0.25">
      <c r="A832" s="3" t="str">
        <f>RTD("rtdtrading.rtdserver",, "BOOK0", "VOC", 828)</f>
        <v>Ferramenta Inválida</v>
      </c>
      <c r="B832" s="3" t="str">
        <f>RTD("rtdtrading.rtdserver",, "BOOK0", "OCP", 828)</f>
        <v>Ferramenta Inválida</v>
      </c>
      <c r="C832" s="4" t="str">
        <f>RTD("rtdtrading.rtdserver",, "BOOK0", "OVD", 828)</f>
        <v>Ferramenta Inválida</v>
      </c>
      <c r="D832" s="4" t="str">
        <f>RTD("rtdtrading.rtdserver",, "BOOK0", "VOV", 828)</f>
        <v>Ferramenta Inválida</v>
      </c>
      <c r="F832" s="3"/>
      <c r="G832" s="5"/>
      <c r="H832" s="6"/>
      <c r="I832" s="4"/>
      <c r="K832" s="5"/>
      <c r="L832" s="6"/>
      <c r="N832" s="3"/>
      <c r="O832" s="3"/>
      <c r="P832" s="4"/>
      <c r="Q832" s="4"/>
      <c r="S832" s="3"/>
      <c r="T832" s="3"/>
      <c r="U832" s="4"/>
      <c r="V832" s="4"/>
    </row>
    <row r="833" spans="1:22" x14ac:dyDescent="0.25">
      <c r="A833" s="3" t="str">
        <f>RTD("rtdtrading.rtdserver",, "BOOK0", "VOC", 829)</f>
        <v>Ferramenta Inválida</v>
      </c>
      <c r="B833" s="3" t="str">
        <f>RTD("rtdtrading.rtdserver",, "BOOK0", "OCP", 829)</f>
        <v>Ferramenta Inválida</v>
      </c>
      <c r="C833" s="4" t="str">
        <f>RTD("rtdtrading.rtdserver",, "BOOK0", "OVD", 829)</f>
        <v>Ferramenta Inválida</v>
      </c>
      <c r="D833" s="4" t="str">
        <f>RTD("rtdtrading.rtdserver",, "BOOK0", "VOV", 829)</f>
        <v>Ferramenta Inválida</v>
      </c>
      <c r="F833" s="3"/>
      <c r="G833" s="5"/>
      <c r="H833" s="6"/>
      <c r="I833" s="4"/>
      <c r="K833" s="5"/>
      <c r="L833" s="6"/>
      <c r="N833" s="3"/>
      <c r="O833" s="3"/>
      <c r="P833" s="4"/>
      <c r="Q833" s="4"/>
      <c r="S833" s="3"/>
      <c r="T833" s="3"/>
      <c r="U833" s="4"/>
      <c r="V833" s="4"/>
    </row>
    <row r="834" spans="1:22" x14ac:dyDescent="0.25">
      <c r="A834" s="3" t="str">
        <f>RTD("rtdtrading.rtdserver",, "BOOK0", "VOC", 830)</f>
        <v>Ferramenta Inválida</v>
      </c>
      <c r="B834" s="3" t="str">
        <f>RTD("rtdtrading.rtdserver",, "BOOK0", "OCP", 830)</f>
        <v>Ferramenta Inválida</v>
      </c>
      <c r="C834" s="4" t="str">
        <f>RTD("rtdtrading.rtdserver",, "BOOK0", "OVD", 830)</f>
        <v>Ferramenta Inválida</v>
      </c>
      <c r="D834" s="4" t="str">
        <f>RTD("rtdtrading.rtdserver",, "BOOK0", "VOV", 830)</f>
        <v>Ferramenta Inválida</v>
      </c>
      <c r="F834" s="3"/>
      <c r="G834" s="5"/>
      <c r="H834" s="6"/>
      <c r="I834" s="4"/>
      <c r="K834" s="5"/>
      <c r="L834" s="6"/>
      <c r="N834" s="3"/>
      <c r="O834" s="3"/>
      <c r="P834" s="4"/>
      <c r="Q834" s="4"/>
      <c r="S834" s="3"/>
      <c r="T834" s="3"/>
      <c r="U834" s="4"/>
      <c r="V834" s="4"/>
    </row>
    <row r="835" spans="1:22" x14ac:dyDescent="0.25">
      <c r="A835" s="3" t="str">
        <f>RTD("rtdtrading.rtdserver",, "BOOK0", "VOC", 831)</f>
        <v>Ferramenta Inválida</v>
      </c>
      <c r="B835" s="3" t="str">
        <f>RTD("rtdtrading.rtdserver",, "BOOK0", "OCP", 831)</f>
        <v>Ferramenta Inválida</v>
      </c>
      <c r="C835" s="4" t="str">
        <f>RTD("rtdtrading.rtdserver",, "BOOK0", "OVD", 831)</f>
        <v>Ferramenta Inválida</v>
      </c>
      <c r="D835" s="4" t="str">
        <f>RTD("rtdtrading.rtdserver",, "BOOK0", "VOV", 831)</f>
        <v>Ferramenta Inválida</v>
      </c>
      <c r="F835" s="3"/>
      <c r="G835" s="5"/>
      <c r="H835" s="6"/>
      <c r="I835" s="4"/>
      <c r="K835" s="5"/>
      <c r="L835" s="6"/>
      <c r="N835" s="3"/>
      <c r="O835" s="3"/>
      <c r="P835" s="4"/>
      <c r="Q835" s="4"/>
      <c r="S835" s="3"/>
      <c r="T835" s="3"/>
      <c r="U835" s="4"/>
      <c r="V835" s="4"/>
    </row>
    <row r="836" spans="1:22" x14ac:dyDescent="0.25">
      <c r="A836" s="3" t="str">
        <f>RTD("rtdtrading.rtdserver",, "BOOK0", "VOC", 832)</f>
        <v>Ferramenta Inválida</v>
      </c>
      <c r="B836" s="3" t="str">
        <f>RTD("rtdtrading.rtdserver",, "BOOK0", "OCP", 832)</f>
        <v>Ferramenta Inválida</v>
      </c>
      <c r="C836" s="4" t="str">
        <f>RTD("rtdtrading.rtdserver",, "BOOK0", "OVD", 832)</f>
        <v>Ferramenta Inválida</v>
      </c>
      <c r="D836" s="4" t="str">
        <f>RTD("rtdtrading.rtdserver",, "BOOK0", "VOV", 832)</f>
        <v>Ferramenta Inválida</v>
      </c>
      <c r="F836" s="3"/>
      <c r="G836" s="5"/>
      <c r="H836" s="6"/>
      <c r="I836" s="4"/>
      <c r="K836" s="5"/>
      <c r="L836" s="6"/>
      <c r="N836" s="3"/>
      <c r="O836" s="3"/>
      <c r="P836" s="4"/>
      <c r="Q836" s="4"/>
      <c r="S836" s="3"/>
      <c r="T836" s="3"/>
      <c r="U836" s="4"/>
      <c r="V836" s="4"/>
    </row>
    <row r="837" spans="1:22" x14ac:dyDescent="0.25">
      <c r="A837" s="3" t="str">
        <f>RTD("rtdtrading.rtdserver",, "BOOK0", "VOC", 833)</f>
        <v>Ferramenta Inválida</v>
      </c>
      <c r="B837" s="3" t="str">
        <f>RTD("rtdtrading.rtdserver",, "BOOK0", "OCP", 833)</f>
        <v>Ferramenta Inválida</v>
      </c>
      <c r="C837" s="4" t="str">
        <f>RTD("rtdtrading.rtdserver",, "BOOK0", "OVD", 833)</f>
        <v>Ferramenta Inválida</v>
      </c>
      <c r="D837" s="4" t="str">
        <f>RTD("rtdtrading.rtdserver",, "BOOK0", "VOV", 833)</f>
        <v>Ferramenta Inválida</v>
      </c>
      <c r="F837" s="3"/>
      <c r="G837" s="5"/>
      <c r="H837" s="6"/>
      <c r="I837" s="4"/>
      <c r="K837" s="5"/>
      <c r="L837" s="6"/>
      <c r="N837" s="3"/>
      <c r="O837" s="3"/>
      <c r="P837" s="4"/>
      <c r="Q837" s="4"/>
      <c r="S837" s="3"/>
      <c r="T837" s="3"/>
      <c r="U837" s="4"/>
      <c r="V837" s="4"/>
    </row>
    <row r="838" spans="1:22" x14ac:dyDescent="0.25">
      <c r="A838" s="3" t="str">
        <f>RTD("rtdtrading.rtdserver",, "BOOK0", "VOC", 834)</f>
        <v>Ferramenta Inválida</v>
      </c>
      <c r="B838" s="3" t="str">
        <f>RTD("rtdtrading.rtdserver",, "BOOK0", "OCP", 834)</f>
        <v>Ferramenta Inválida</v>
      </c>
      <c r="C838" s="4" t="str">
        <f>RTD("rtdtrading.rtdserver",, "BOOK0", "OVD", 834)</f>
        <v>Ferramenta Inválida</v>
      </c>
      <c r="D838" s="4" t="str">
        <f>RTD("rtdtrading.rtdserver",, "BOOK0", "VOV", 834)</f>
        <v>Ferramenta Inválida</v>
      </c>
      <c r="F838" s="3"/>
      <c r="G838" s="5"/>
      <c r="H838" s="6"/>
      <c r="I838" s="4"/>
      <c r="K838" s="5"/>
      <c r="L838" s="6"/>
      <c r="N838" s="3"/>
      <c r="O838" s="3"/>
      <c r="P838" s="4"/>
      <c r="Q838" s="4"/>
      <c r="S838" s="3"/>
      <c r="T838" s="3"/>
      <c r="U838" s="4"/>
      <c r="V838" s="4"/>
    </row>
    <row r="839" spans="1:22" x14ac:dyDescent="0.25">
      <c r="A839" s="3" t="str">
        <f>RTD("rtdtrading.rtdserver",, "BOOK0", "VOC", 835)</f>
        <v>Ferramenta Inválida</v>
      </c>
      <c r="B839" s="3" t="str">
        <f>RTD("rtdtrading.rtdserver",, "BOOK0", "OCP", 835)</f>
        <v>Ferramenta Inválida</v>
      </c>
      <c r="C839" s="4" t="str">
        <f>RTD("rtdtrading.rtdserver",, "BOOK0", "OVD", 835)</f>
        <v>Ferramenta Inválida</v>
      </c>
      <c r="D839" s="4" t="str">
        <f>RTD("rtdtrading.rtdserver",, "BOOK0", "VOV", 835)</f>
        <v>Ferramenta Inválida</v>
      </c>
      <c r="F839" s="3"/>
      <c r="G839" s="5"/>
      <c r="H839" s="6"/>
      <c r="I839" s="4"/>
      <c r="K839" s="5"/>
      <c r="L839" s="6"/>
      <c r="N839" s="3"/>
      <c r="O839" s="3"/>
      <c r="P839" s="4"/>
      <c r="Q839" s="4"/>
      <c r="S839" s="3"/>
      <c r="T839" s="3"/>
      <c r="U839" s="4"/>
      <c r="V839" s="4"/>
    </row>
    <row r="840" spans="1:22" x14ac:dyDescent="0.25">
      <c r="A840" s="3" t="str">
        <f>RTD("rtdtrading.rtdserver",, "BOOK0", "VOC", 836)</f>
        <v>Ferramenta Inválida</v>
      </c>
      <c r="B840" s="3" t="str">
        <f>RTD("rtdtrading.rtdserver",, "BOOK0", "OCP", 836)</f>
        <v>Ferramenta Inválida</v>
      </c>
      <c r="C840" s="4" t="str">
        <f>RTD("rtdtrading.rtdserver",, "BOOK0", "OVD", 836)</f>
        <v>Ferramenta Inválida</v>
      </c>
      <c r="D840" s="4" t="str">
        <f>RTD("rtdtrading.rtdserver",, "BOOK0", "VOV", 836)</f>
        <v>Ferramenta Inválida</v>
      </c>
      <c r="F840" s="3"/>
      <c r="G840" s="5"/>
      <c r="H840" s="6"/>
      <c r="I840" s="4"/>
      <c r="K840" s="5"/>
      <c r="L840" s="6"/>
      <c r="N840" s="3"/>
      <c r="O840" s="3"/>
      <c r="P840" s="4"/>
      <c r="Q840" s="4"/>
      <c r="S840" s="3"/>
      <c r="T840" s="3"/>
      <c r="U840" s="4"/>
      <c r="V840" s="4"/>
    </row>
    <row r="841" spans="1:22" x14ac:dyDescent="0.25">
      <c r="A841" s="3" t="str">
        <f>RTD("rtdtrading.rtdserver",, "BOOK0", "VOC", 837)</f>
        <v>Ferramenta Inválida</v>
      </c>
      <c r="B841" s="3" t="str">
        <f>RTD("rtdtrading.rtdserver",, "BOOK0", "OCP", 837)</f>
        <v>Ferramenta Inválida</v>
      </c>
      <c r="C841" s="4" t="str">
        <f>RTD("rtdtrading.rtdserver",, "BOOK0", "OVD", 837)</f>
        <v>Ferramenta Inválida</v>
      </c>
      <c r="D841" s="4" t="str">
        <f>RTD("rtdtrading.rtdserver",, "BOOK0", "VOV", 837)</f>
        <v>Ferramenta Inválida</v>
      </c>
      <c r="F841" s="3"/>
      <c r="G841" s="5"/>
      <c r="H841" s="6"/>
      <c r="I841" s="4"/>
      <c r="K841" s="5"/>
      <c r="L841" s="6"/>
      <c r="N841" s="3"/>
      <c r="O841" s="3"/>
      <c r="P841" s="4"/>
      <c r="Q841" s="4"/>
      <c r="S841" s="3"/>
      <c r="T841" s="3"/>
      <c r="U841" s="4"/>
      <c r="V841" s="4"/>
    </row>
    <row r="842" spans="1:22" x14ac:dyDescent="0.25">
      <c r="A842" s="3" t="str">
        <f>RTD("rtdtrading.rtdserver",, "BOOK0", "VOC", 838)</f>
        <v>Ferramenta Inválida</v>
      </c>
      <c r="B842" s="3" t="str">
        <f>RTD("rtdtrading.rtdserver",, "BOOK0", "OCP", 838)</f>
        <v>Ferramenta Inválida</v>
      </c>
      <c r="C842" s="4" t="str">
        <f>RTD("rtdtrading.rtdserver",, "BOOK0", "OVD", 838)</f>
        <v>Ferramenta Inválida</v>
      </c>
      <c r="D842" s="4" t="str">
        <f>RTD("rtdtrading.rtdserver",, "BOOK0", "VOV", 838)</f>
        <v>Ferramenta Inválida</v>
      </c>
      <c r="F842" s="3"/>
      <c r="G842" s="5"/>
      <c r="H842" s="6"/>
      <c r="I842" s="4"/>
      <c r="K842" s="5"/>
      <c r="L842" s="6"/>
      <c r="N842" s="3"/>
      <c r="O842" s="3"/>
      <c r="P842" s="4"/>
      <c r="Q842" s="4"/>
      <c r="S842" s="3"/>
      <c r="T842" s="3"/>
      <c r="U842" s="4"/>
      <c r="V842" s="4"/>
    </row>
    <row r="843" spans="1:22" x14ac:dyDescent="0.25">
      <c r="A843" s="3" t="str">
        <f>RTD("rtdtrading.rtdserver",, "BOOK0", "VOC", 839)</f>
        <v>Ferramenta Inválida</v>
      </c>
      <c r="B843" s="3" t="str">
        <f>RTD("rtdtrading.rtdserver",, "BOOK0", "OCP", 839)</f>
        <v>Ferramenta Inválida</v>
      </c>
      <c r="C843" s="4" t="str">
        <f>RTD("rtdtrading.rtdserver",, "BOOK0", "OVD", 839)</f>
        <v>Ferramenta Inválida</v>
      </c>
      <c r="D843" s="4" t="str">
        <f>RTD("rtdtrading.rtdserver",, "BOOK0", "VOV", 839)</f>
        <v>Ferramenta Inválida</v>
      </c>
      <c r="F843" s="3"/>
      <c r="G843" s="5"/>
      <c r="H843" s="6"/>
      <c r="I843" s="4"/>
      <c r="K843" s="5"/>
      <c r="L843" s="6"/>
      <c r="N843" s="3"/>
      <c r="O843" s="3"/>
      <c r="P843" s="4"/>
      <c r="Q843" s="4"/>
      <c r="S843" s="3"/>
      <c r="T843" s="3"/>
      <c r="U843" s="4"/>
      <c r="V843" s="4"/>
    </row>
    <row r="844" spans="1:22" x14ac:dyDescent="0.25">
      <c r="A844" s="3" t="str">
        <f>RTD("rtdtrading.rtdserver",, "BOOK0", "VOC", 840)</f>
        <v>Ferramenta Inválida</v>
      </c>
      <c r="B844" s="3" t="str">
        <f>RTD("rtdtrading.rtdserver",, "BOOK0", "OCP", 840)</f>
        <v>Ferramenta Inválida</v>
      </c>
      <c r="C844" s="4" t="str">
        <f>RTD("rtdtrading.rtdserver",, "BOOK0", "OVD", 840)</f>
        <v>Ferramenta Inválida</v>
      </c>
      <c r="D844" s="4" t="str">
        <f>RTD("rtdtrading.rtdserver",, "BOOK0", "VOV", 840)</f>
        <v>Ferramenta Inválida</v>
      </c>
      <c r="F844" s="3"/>
      <c r="G844" s="5"/>
      <c r="H844" s="6"/>
      <c r="I844" s="4"/>
      <c r="K844" s="5"/>
      <c r="L844" s="6"/>
      <c r="N844" s="3"/>
      <c r="O844" s="3"/>
      <c r="P844" s="4"/>
      <c r="Q844" s="4"/>
      <c r="S844" s="3"/>
      <c r="T844" s="3"/>
      <c r="U844" s="4"/>
      <c r="V844" s="4"/>
    </row>
    <row r="845" spans="1:22" x14ac:dyDescent="0.25">
      <c r="A845" s="3" t="str">
        <f>RTD("rtdtrading.rtdserver",, "BOOK0", "VOC", 841)</f>
        <v>Ferramenta Inválida</v>
      </c>
      <c r="B845" s="3" t="str">
        <f>RTD("rtdtrading.rtdserver",, "BOOK0", "OCP", 841)</f>
        <v>Ferramenta Inválida</v>
      </c>
      <c r="C845" s="4" t="str">
        <f>RTD("rtdtrading.rtdserver",, "BOOK0", "OVD", 841)</f>
        <v>Ferramenta Inválida</v>
      </c>
      <c r="D845" s="4" t="str">
        <f>RTD("rtdtrading.rtdserver",, "BOOK0", "VOV", 841)</f>
        <v>Ferramenta Inválida</v>
      </c>
      <c r="F845" s="3"/>
      <c r="G845" s="5"/>
      <c r="H845" s="6"/>
      <c r="I845" s="4"/>
      <c r="K845" s="5"/>
      <c r="L845" s="6"/>
      <c r="N845" s="3"/>
      <c r="O845" s="3"/>
      <c r="P845" s="4"/>
      <c r="Q845" s="4"/>
      <c r="S845" s="3"/>
      <c r="T845" s="3"/>
      <c r="U845" s="4"/>
      <c r="V845" s="4"/>
    </row>
    <row r="846" spans="1:22" x14ac:dyDescent="0.25">
      <c r="A846" s="3" t="str">
        <f>RTD("rtdtrading.rtdserver",, "BOOK0", "VOC", 842)</f>
        <v>Ferramenta Inválida</v>
      </c>
      <c r="B846" s="3" t="str">
        <f>RTD("rtdtrading.rtdserver",, "BOOK0", "OCP", 842)</f>
        <v>Ferramenta Inválida</v>
      </c>
      <c r="C846" s="4" t="str">
        <f>RTD("rtdtrading.rtdserver",, "BOOK0", "OVD", 842)</f>
        <v>Ferramenta Inválida</v>
      </c>
      <c r="D846" s="4" t="str">
        <f>RTD("rtdtrading.rtdserver",, "BOOK0", "VOV", 842)</f>
        <v>Ferramenta Inválida</v>
      </c>
      <c r="F846" s="3"/>
      <c r="G846" s="5"/>
      <c r="H846" s="6"/>
      <c r="I846" s="4"/>
      <c r="K846" s="5"/>
      <c r="L846" s="6"/>
      <c r="N846" s="3"/>
      <c r="O846" s="3"/>
      <c r="P846" s="4"/>
      <c r="Q846" s="4"/>
      <c r="S846" s="3"/>
      <c r="T846" s="3"/>
      <c r="U846" s="4"/>
      <c r="V846" s="4"/>
    </row>
    <row r="847" spans="1:22" x14ac:dyDescent="0.25">
      <c r="A847" s="3" t="str">
        <f>RTD("rtdtrading.rtdserver",, "BOOK0", "VOC", 843)</f>
        <v>Ferramenta Inválida</v>
      </c>
      <c r="B847" s="3" t="str">
        <f>RTD("rtdtrading.rtdserver",, "BOOK0", "OCP", 843)</f>
        <v>Ferramenta Inválida</v>
      </c>
      <c r="C847" s="4" t="str">
        <f>RTD("rtdtrading.rtdserver",, "BOOK0", "OVD", 843)</f>
        <v>Ferramenta Inválida</v>
      </c>
      <c r="D847" s="4" t="str">
        <f>RTD("rtdtrading.rtdserver",, "BOOK0", "VOV", 843)</f>
        <v>Ferramenta Inválida</v>
      </c>
      <c r="F847" s="3"/>
      <c r="G847" s="5"/>
      <c r="H847" s="6"/>
      <c r="I847" s="4"/>
      <c r="K847" s="5"/>
      <c r="L847" s="6"/>
      <c r="N847" s="3"/>
      <c r="O847" s="3"/>
      <c r="P847" s="4"/>
      <c r="Q847" s="4"/>
      <c r="S847" s="3"/>
      <c r="T847" s="3"/>
      <c r="U847" s="4"/>
      <c r="V847" s="4"/>
    </row>
    <row r="848" spans="1:22" x14ac:dyDescent="0.25">
      <c r="A848" s="3" t="str">
        <f>RTD("rtdtrading.rtdserver",, "BOOK0", "VOC", 844)</f>
        <v>Ferramenta Inválida</v>
      </c>
      <c r="B848" s="3" t="str">
        <f>RTD("rtdtrading.rtdserver",, "BOOK0", "OCP", 844)</f>
        <v>Ferramenta Inválida</v>
      </c>
      <c r="C848" s="4" t="str">
        <f>RTD("rtdtrading.rtdserver",, "BOOK0", "OVD", 844)</f>
        <v>Ferramenta Inválida</v>
      </c>
      <c r="D848" s="4" t="str">
        <f>RTD("rtdtrading.rtdserver",, "BOOK0", "VOV", 844)</f>
        <v>Ferramenta Inválida</v>
      </c>
      <c r="F848" s="3"/>
      <c r="G848" s="5"/>
      <c r="H848" s="6"/>
      <c r="I848" s="4"/>
      <c r="K848" s="5"/>
      <c r="L848" s="6"/>
      <c r="N848" s="3"/>
      <c r="O848" s="3"/>
      <c r="P848" s="4"/>
      <c r="Q848" s="4"/>
      <c r="S848" s="3"/>
      <c r="T848" s="3"/>
      <c r="U848" s="4"/>
      <c r="V848" s="4"/>
    </row>
    <row r="849" spans="1:22" x14ac:dyDescent="0.25">
      <c r="A849" s="3" t="str">
        <f>RTD("rtdtrading.rtdserver",, "BOOK0", "VOC", 845)</f>
        <v>Ferramenta Inválida</v>
      </c>
      <c r="B849" s="3" t="str">
        <f>RTD("rtdtrading.rtdserver",, "BOOK0", "OCP", 845)</f>
        <v>Ferramenta Inválida</v>
      </c>
      <c r="C849" s="4" t="str">
        <f>RTD("rtdtrading.rtdserver",, "BOOK0", "OVD", 845)</f>
        <v>Ferramenta Inválida</v>
      </c>
      <c r="D849" s="4" t="str">
        <f>RTD("rtdtrading.rtdserver",, "BOOK0", "VOV", 845)</f>
        <v>Ferramenta Inválida</v>
      </c>
      <c r="F849" s="3"/>
      <c r="G849" s="5"/>
      <c r="H849" s="6"/>
      <c r="I849" s="4"/>
      <c r="K849" s="5"/>
      <c r="L849" s="6"/>
      <c r="N849" s="3"/>
      <c r="O849" s="3"/>
      <c r="P849" s="4"/>
      <c r="Q849" s="4"/>
      <c r="S849" s="3"/>
      <c r="T849" s="3"/>
      <c r="U849" s="4"/>
      <c r="V849" s="4"/>
    </row>
    <row r="850" spans="1:22" x14ac:dyDescent="0.25">
      <c r="A850" s="3" t="str">
        <f>RTD("rtdtrading.rtdserver",, "BOOK0", "VOC", 846)</f>
        <v>Ferramenta Inválida</v>
      </c>
      <c r="B850" s="3" t="str">
        <f>RTD("rtdtrading.rtdserver",, "BOOK0", "OCP", 846)</f>
        <v>Ferramenta Inválida</v>
      </c>
      <c r="C850" s="4" t="str">
        <f>RTD("rtdtrading.rtdserver",, "BOOK0", "OVD", 846)</f>
        <v>Ferramenta Inválida</v>
      </c>
      <c r="D850" s="4" t="str">
        <f>RTD("rtdtrading.rtdserver",, "BOOK0", "VOV", 846)</f>
        <v>Ferramenta Inválida</v>
      </c>
      <c r="F850" s="3"/>
      <c r="G850" s="5"/>
      <c r="H850" s="6"/>
      <c r="I850" s="4"/>
      <c r="K850" s="5"/>
      <c r="L850" s="6"/>
      <c r="N850" s="3"/>
      <c r="O850" s="3"/>
      <c r="P850" s="4"/>
      <c r="Q850" s="4"/>
      <c r="S850" s="3"/>
      <c r="T850" s="3"/>
      <c r="U850" s="4"/>
      <c r="V850" s="4"/>
    </row>
    <row r="851" spans="1:22" x14ac:dyDescent="0.25">
      <c r="A851" s="3" t="str">
        <f>RTD("rtdtrading.rtdserver",, "BOOK0", "VOC", 847)</f>
        <v>Ferramenta Inválida</v>
      </c>
      <c r="B851" s="3" t="str">
        <f>RTD("rtdtrading.rtdserver",, "BOOK0", "OCP", 847)</f>
        <v>Ferramenta Inválida</v>
      </c>
      <c r="C851" s="4" t="str">
        <f>RTD("rtdtrading.rtdserver",, "BOOK0", "OVD", 847)</f>
        <v>Ferramenta Inválida</v>
      </c>
      <c r="D851" s="4" t="str">
        <f>RTD("rtdtrading.rtdserver",, "BOOK0", "VOV", 847)</f>
        <v>Ferramenta Inválida</v>
      </c>
      <c r="F851" s="3"/>
      <c r="G851" s="5"/>
      <c r="H851" s="6"/>
      <c r="I851" s="4"/>
      <c r="K851" s="5"/>
      <c r="L851" s="6"/>
      <c r="N851" s="3"/>
      <c r="O851" s="3"/>
      <c r="P851" s="4"/>
      <c r="Q851" s="4"/>
      <c r="S851" s="3"/>
      <c r="T851" s="3"/>
      <c r="U851" s="4"/>
      <c r="V851" s="4"/>
    </row>
    <row r="852" spans="1:22" x14ac:dyDescent="0.25">
      <c r="A852" s="3" t="str">
        <f>RTD("rtdtrading.rtdserver",, "BOOK0", "VOC", 848)</f>
        <v>Ferramenta Inválida</v>
      </c>
      <c r="B852" s="3" t="str">
        <f>RTD("rtdtrading.rtdserver",, "BOOK0", "OCP", 848)</f>
        <v>Ferramenta Inválida</v>
      </c>
      <c r="C852" s="4" t="str">
        <f>RTD("rtdtrading.rtdserver",, "BOOK0", "OVD", 848)</f>
        <v>Ferramenta Inválida</v>
      </c>
      <c r="D852" s="4" t="str">
        <f>RTD("rtdtrading.rtdserver",, "BOOK0", "VOV", 848)</f>
        <v>Ferramenta Inválida</v>
      </c>
      <c r="F852" s="3"/>
      <c r="G852" s="5"/>
      <c r="H852" s="6"/>
      <c r="I852" s="4"/>
      <c r="K852" s="5"/>
      <c r="L852" s="6"/>
      <c r="N852" s="3"/>
      <c r="O852" s="3"/>
      <c r="P852" s="4"/>
      <c r="Q852" s="4"/>
      <c r="S852" s="3"/>
      <c r="T852" s="3"/>
      <c r="U852" s="4"/>
      <c r="V852" s="4"/>
    </row>
    <row r="853" spans="1:22" x14ac:dyDescent="0.25">
      <c r="A853" s="3" t="str">
        <f>RTD("rtdtrading.rtdserver",, "BOOK0", "VOC", 849)</f>
        <v>Ferramenta Inválida</v>
      </c>
      <c r="B853" s="3" t="str">
        <f>RTD("rtdtrading.rtdserver",, "BOOK0", "OCP", 849)</f>
        <v>Ferramenta Inválida</v>
      </c>
      <c r="C853" s="4" t="str">
        <f>RTD("rtdtrading.rtdserver",, "BOOK0", "OVD", 849)</f>
        <v>Ferramenta Inválida</v>
      </c>
      <c r="D853" s="4" t="str">
        <f>RTD("rtdtrading.rtdserver",, "BOOK0", "VOV", 849)</f>
        <v>Ferramenta Inválida</v>
      </c>
      <c r="F853" s="3"/>
      <c r="G853" s="5"/>
      <c r="H853" s="6"/>
      <c r="I853" s="4"/>
      <c r="K853" s="5"/>
      <c r="L853" s="6"/>
      <c r="N853" s="3"/>
      <c r="O853" s="3"/>
      <c r="P853" s="4"/>
      <c r="Q853" s="4"/>
      <c r="S853" s="3"/>
      <c r="T853" s="3"/>
      <c r="U853" s="4"/>
      <c r="V853" s="4"/>
    </row>
    <row r="854" spans="1:22" x14ac:dyDescent="0.25">
      <c r="A854" s="3" t="str">
        <f>RTD("rtdtrading.rtdserver",, "BOOK0", "VOC", 850)</f>
        <v>Ferramenta Inválida</v>
      </c>
      <c r="B854" s="3" t="str">
        <f>RTD("rtdtrading.rtdserver",, "BOOK0", "OCP", 850)</f>
        <v>Ferramenta Inválida</v>
      </c>
      <c r="C854" s="4" t="str">
        <f>RTD("rtdtrading.rtdserver",, "BOOK0", "OVD", 850)</f>
        <v>Ferramenta Inválida</v>
      </c>
      <c r="D854" s="4" t="str">
        <f>RTD("rtdtrading.rtdserver",, "BOOK0", "VOV", 850)</f>
        <v>Ferramenta Inválida</v>
      </c>
      <c r="F854" s="3"/>
      <c r="G854" s="5"/>
      <c r="H854" s="6"/>
      <c r="I854" s="4"/>
      <c r="K854" s="5"/>
      <c r="L854" s="6"/>
      <c r="N854" s="3"/>
      <c r="O854" s="3"/>
      <c r="P854" s="4"/>
      <c r="Q854" s="4"/>
      <c r="S854" s="3"/>
      <c r="T854" s="3"/>
      <c r="U854" s="4"/>
      <c r="V854" s="4"/>
    </row>
    <row r="855" spans="1:22" x14ac:dyDescent="0.25">
      <c r="A855" s="3" t="str">
        <f>RTD("rtdtrading.rtdserver",, "BOOK0", "VOC", 851)</f>
        <v>Ferramenta Inválida</v>
      </c>
      <c r="B855" s="3" t="str">
        <f>RTD("rtdtrading.rtdserver",, "BOOK0", "OCP", 851)</f>
        <v>Ferramenta Inválida</v>
      </c>
      <c r="C855" s="4" t="str">
        <f>RTD("rtdtrading.rtdserver",, "BOOK0", "OVD", 851)</f>
        <v>Ferramenta Inválida</v>
      </c>
      <c r="D855" s="4" t="str">
        <f>RTD("rtdtrading.rtdserver",, "BOOK0", "VOV", 851)</f>
        <v>Ferramenta Inválida</v>
      </c>
      <c r="F855" s="3"/>
      <c r="G855" s="5"/>
      <c r="H855" s="6"/>
      <c r="I855" s="4"/>
      <c r="K855" s="5"/>
      <c r="L855" s="6"/>
      <c r="N855" s="3"/>
      <c r="O855" s="3"/>
      <c r="P855" s="4"/>
      <c r="Q855" s="4"/>
      <c r="S855" s="3"/>
      <c r="T855" s="3"/>
      <c r="U855" s="4"/>
      <c r="V855" s="4"/>
    </row>
    <row r="856" spans="1:22" x14ac:dyDescent="0.25">
      <c r="A856" s="3" t="str">
        <f>RTD("rtdtrading.rtdserver",, "BOOK0", "VOC", 852)</f>
        <v>Ferramenta Inválida</v>
      </c>
      <c r="B856" s="3" t="str">
        <f>RTD("rtdtrading.rtdserver",, "BOOK0", "OCP", 852)</f>
        <v>Ferramenta Inválida</v>
      </c>
      <c r="C856" s="4" t="str">
        <f>RTD("rtdtrading.rtdserver",, "BOOK0", "OVD", 852)</f>
        <v>Ferramenta Inválida</v>
      </c>
      <c r="D856" s="4" t="str">
        <f>RTD("rtdtrading.rtdserver",, "BOOK0", "VOV", 852)</f>
        <v>Ferramenta Inválida</v>
      </c>
      <c r="F856" s="3"/>
      <c r="G856" s="5"/>
      <c r="H856" s="6"/>
      <c r="I856" s="4"/>
      <c r="K856" s="5"/>
      <c r="L856" s="6"/>
      <c r="N856" s="3"/>
      <c r="O856" s="3"/>
      <c r="P856" s="4"/>
      <c r="Q856" s="4"/>
      <c r="S856" s="3"/>
      <c r="T856" s="3"/>
      <c r="U856" s="4"/>
      <c r="V856" s="4"/>
    </row>
    <row r="857" spans="1:22" x14ac:dyDescent="0.25">
      <c r="A857" s="3" t="str">
        <f>RTD("rtdtrading.rtdserver",, "BOOK0", "VOC", 853)</f>
        <v>Ferramenta Inválida</v>
      </c>
      <c r="B857" s="3" t="str">
        <f>RTD("rtdtrading.rtdserver",, "BOOK0", "OCP", 853)</f>
        <v>Ferramenta Inválida</v>
      </c>
      <c r="C857" s="4" t="str">
        <f>RTD("rtdtrading.rtdserver",, "BOOK0", "OVD", 853)</f>
        <v>Ferramenta Inválida</v>
      </c>
      <c r="D857" s="4" t="str">
        <f>RTD("rtdtrading.rtdserver",, "BOOK0", "VOV", 853)</f>
        <v>Ferramenta Inválida</v>
      </c>
      <c r="F857" s="3"/>
      <c r="G857" s="5"/>
      <c r="H857" s="6"/>
      <c r="I857" s="4"/>
      <c r="K857" s="5"/>
      <c r="L857" s="6"/>
      <c r="N857" s="3"/>
      <c r="O857" s="3"/>
      <c r="P857" s="4"/>
      <c r="Q857" s="4"/>
      <c r="S857" s="3"/>
      <c r="T857" s="3"/>
      <c r="U857" s="4"/>
      <c r="V857" s="4"/>
    </row>
    <row r="858" spans="1:22" x14ac:dyDescent="0.25">
      <c r="A858" s="3" t="str">
        <f>RTD("rtdtrading.rtdserver",, "BOOK0", "VOC", 854)</f>
        <v>Ferramenta Inválida</v>
      </c>
      <c r="B858" s="3" t="str">
        <f>RTD("rtdtrading.rtdserver",, "BOOK0", "OCP", 854)</f>
        <v>Ferramenta Inválida</v>
      </c>
      <c r="C858" s="4" t="str">
        <f>RTD("rtdtrading.rtdserver",, "BOOK0", "OVD", 854)</f>
        <v>Ferramenta Inválida</v>
      </c>
      <c r="D858" s="4" t="str">
        <f>RTD("rtdtrading.rtdserver",, "BOOK0", "VOV", 854)</f>
        <v>Ferramenta Inválida</v>
      </c>
      <c r="F858" s="3"/>
      <c r="G858" s="5"/>
      <c r="H858" s="6"/>
      <c r="I858" s="4"/>
      <c r="K858" s="5"/>
      <c r="L858" s="6"/>
      <c r="N858" s="3"/>
      <c r="O858" s="3"/>
      <c r="P858" s="4"/>
      <c r="Q858" s="4"/>
      <c r="S858" s="3"/>
      <c r="T858" s="3"/>
      <c r="U858" s="4"/>
      <c r="V858" s="4"/>
    </row>
    <row r="859" spans="1:22" x14ac:dyDescent="0.25">
      <c r="A859" s="3" t="str">
        <f>RTD("rtdtrading.rtdserver",, "BOOK0", "VOC", 855)</f>
        <v>Ferramenta Inválida</v>
      </c>
      <c r="B859" s="3" t="str">
        <f>RTD("rtdtrading.rtdserver",, "BOOK0", "OCP", 855)</f>
        <v>Ferramenta Inválida</v>
      </c>
      <c r="C859" s="4" t="str">
        <f>RTD("rtdtrading.rtdserver",, "BOOK0", "OVD", 855)</f>
        <v>Ferramenta Inválida</v>
      </c>
      <c r="D859" s="4" t="str">
        <f>RTD("rtdtrading.rtdserver",, "BOOK0", "VOV", 855)</f>
        <v>Ferramenta Inválida</v>
      </c>
      <c r="F859" s="3"/>
      <c r="G859" s="5"/>
      <c r="H859" s="6"/>
      <c r="I859" s="4"/>
      <c r="K859" s="5"/>
      <c r="L859" s="6"/>
      <c r="N859" s="3"/>
      <c r="O859" s="3"/>
      <c r="P859" s="4"/>
      <c r="Q859" s="4"/>
      <c r="S859" s="3"/>
      <c r="T859" s="3"/>
      <c r="U859" s="4"/>
      <c r="V859" s="4"/>
    </row>
    <row r="860" spans="1:22" x14ac:dyDescent="0.25">
      <c r="A860" s="3" t="str">
        <f>RTD("rtdtrading.rtdserver",, "BOOK0", "VOC", 856)</f>
        <v>Ferramenta Inválida</v>
      </c>
      <c r="B860" s="3" t="str">
        <f>RTD("rtdtrading.rtdserver",, "BOOK0", "OCP", 856)</f>
        <v>Ferramenta Inválida</v>
      </c>
      <c r="C860" s="4" t="str">
        <f>RTD("rtdtrading.rtdserver",, "BOOK0", "OVD", 856)</f>
        <v>Ferramenta Inválida</v>
      </c>
      <c r="D860" s="4" t="str">
        <f>RTD("rtdtrading.rtdserver",, "BOOK0", "VOV", 856)</f>
        <v>Ferramenta Inválida</v>
      </c>
      <c r="F860" s="3"/>
      <c r="G860" s="5"/>
      <c r="H860" s="6"/>
      <c r="I860" s="4"/>
      <c r="K860" s="5"/>
      <c r="L860" s="6"/>
      <c r="N860" s="3"/>
      <c r="O860" s="3"/>
      <c r="P860" s="4"/>
      <c r="Q860" s="4"/>
      <c r="S860" s="3"/>
      <c r="T860" s="3"/>
      <c r="U860" s="4"/>
      <c r="V860" s="4"/>
    </row>
    <row r="861" spans="1:22" x14ac:dyDescent="0.25">
      <c r="A861" s="3" t="str">
        <f>RTD("rtdtrading.rtdserver",, "BOOK0", "VOC", 857)</f>
        <v>Ferramenta Inválida</v>
      </c>
      <c r="B861" s="3" t="str">
        <f>RTD("rtdtrading.rtdserver",, "BOOK0", "OCP", 857)</f>
        <v>Ferramenta Inválida</v>
      </c>
      <c r="C861" s="4" t="str">
        <f>RTD("rtdtrading.rtdserver",, "BOOK0", "OVD", 857)</f>
        <v>Ferramenta Inválida</v>
      </c>
      <c r="D861" s="4" t="str">
        <f>RTD("rtdtrading.rtdserver",, "BOOK0", "VOV", 857)</f>
        <v>Ferramenta Inválida</v>
      </c>
      <c r="F861" s="3"/>
      <c r="G861" s="5"/>
      <c r="H861" s="6"/>
      <c r="I861" s="4"/>
      <c r="K861" s="5"/>
      <c r="L861" s="6"/>
      <c r="N861" s="3"/>
      <c r="O861" s="3"/>
      <c r="P861" s="4"/>
      <c r="Q861" s="4"/>
      <c r="S861" s="3"/>
      <c r="T861" s="3"/>
      <c r="U861" s="4"/>
      <c r="V861" s="4"/>
    </row>
    <row r="862" spans="1:22" x14ac:dyDescent="0.25">
      <c r="A862" s="3" t="str">
        <f>RTD("rtdtrading.rtdserver",, "BOOK0", "VOC", 858)</f>
        <v>Ferramenta Inválida</v>
      </c>
      <c r="B862" s="3" t="str">
        <f>RTD("rtdtrading.rtdserver",, "BOOK0", "OCP", 858)</f>
        <v>Ferramenta Inválida</v>
      </c>
      <c r="C862" s="4" t="str">
        <f>RTD("rtdtrading.rtdserver",, "BOOK0", "OVD", 858)</f>
        <v>Ferramenta Inválida</v>
      </c>
      <c r="D862" s="4" t="str">
        <f>RTD("rtdtrading.rtdserver",, "BOOK0", "VOV", 858)</f>
        <v>Ferramenta Inválida</v>
      </c>
      <c r="F862" s="3"/>
      <c r="G862" s="5"/>
      <c r="H862" s="6"/>
      <c r="I862" s="4"/>
      <c r="K862" s="5"/>
      <c r="L862" s="6"/>
      <c r="N862" s="3"/>
      <c r="O862" s="3"/>
      <c r="P862" s="4"/>
      <c r="Q862" s="4"/>
      <c r="S862" s="3"/>
      <c r="T862" s="3"/>
      <c r="U862" s="4"/>
      <c r="V862" s="4"/>
    </row>
    <row r="863" spans="1:22" x14ac:dyDescent="0.25">
      <c r="A863" s="3" t="str">
        <f>RTD("rtdtrading.rtdserver",, "BOOK0", "VOC", 859)</f>
        <v>Ferramenta Inválida</v>
      </c>
      <c r="B863" s="3" t="str">
        <f>RTD("rtdtrading.rtdserver",, "BOOK0", "OCP", 859)</f>
        <v>Ferramenta Inválida</v>
      </c>
      <c r="C863" s="4" t="str">
        <f>RTD("rtdtrading.rtdserver",, "BOOK0", "OVD", 859)</f>
        <v>Ferramenta Inválida</v>
      </c>
      <c r="D863" s="4" t="str">
        <f>RTD("rtdtrading.rtdserver",, "BOOK0", "VOV", 859)</f>
        <v>Ferramenta Inválida</v>
      </c>
      <c r="F863" s="3"/>
      <c r="G863" s="5"/>
      <c r="H863" s="6"/>
      <c r="I863" s="4"/>
      <c r="K863" s="5"/>
      <c r="L863" s="6"/>
      <c r="N863" s="3"/>
      <c r="O863" s="3"/>
      <c r="P863" s="4"/>
      <c r="Q863" s="4"/>
      <c r="S863" s="3"/>
      <c r="T863" s="3"/>
      <c r="U863" s="4"/>
      <c r="V863" s="4"/>
    </row>
    <row r="864" spans="1:22" x14ac:dyDescent="0.25">
      <c r="A864" s="3" t="str">
        <f>RTD("rtdtrading.rtdserver",, "BOOK0", "VOC", 860)</f>
        <v>Ferramenta Inválida</v>
      </c>
      <c r="B864" s="3" t="str">
        <f>RTD("rtdtrading.rtdserver",, "BOOK0", "OCP", 860)</f>
        <v>Ferramenta Inválida</v>
      </c>
      <c r="C864" s="4" t="str">
        <f>RTD("rtdtrading.rtdserver",, "BOOK0", "OVD", 860)</f>
        <v>Ferramenta Inválida</v>
      </c>
      <c r="D864" s="4" t="str">
        <f>RTD("rtdtrading.rtdserver",, "BOOK0", "VOV", 860)</f>
        <v>Ferramenta Inválida</v>
      </c>
      <c r="F864" s="3"/>
      <c r="G864" s="5"/>
      <c r="H864" s="6"/>
      <c r="I864" s="4"/>
      <c r="K864" s="5"/>
      <c r="L864" s="6"/>
      <c r="N864" s="3"/>
      <c r="O864" s="3"/>
      <c r="P864" s="4"/>
      <c r="Q864" s="4"/>
      <c r="S864" s="3"/>
      <c r="T864" s="3"/>
      <c r="U864" s="4"/>
      <c r="V864" s="4"/>
    </row>
    <row r="865" spans="1:22" x14ac:dyDescent="0.25">
      <c r="A865" s="3" t="str">
        <f>RTD("rtdtrading.rtdserver",, "BOOK0", "VOC", 861)</f>
        <v>Ferramenta Inválida</v>
      </c>
      <c r="B865" s="3" t="str">
        <f>RTD("rtdtrading.rtdserver",, "BOOK0", "OCP", 861)</f>
        <v>Ferramenta Inválida</v>
      </c>
      <c r="C865" s="4" t="str">
        <f>RTD("rtdtrading.rtdserver",, "BOOK0", "OVD", 861)</f>
        <v>Ferramenta Inválida</v>
      </c>
      <c r="D865" s="4" t="str">
        <f>RTD("rtdtrading.rtdserver",, "BOOK0", "VOV", 861)</f>
        <v>Ferramenta Inválida</v>
      </c>
      <c r="F865" s="3"/>
      <c r="G865" s="5"/>
      <c r="H865" s="6"/>
      <c r="I865" s="4"/>
      <c r="K865" s="5"/>
      <c r="L865" s="6"/>
      <c r="N865" s="3"/>
      <c r="O865" s="3"/>
      <c r="P865" s="4"/>
      <c r="Q865" s="4"/>
      <c r="S865" s="3"/>
      <c r="T865" s="3"/>
      <c r="U865" s="4"/>
      <c r="V865" s="4"/>
    </row>
    <row r="866" spans="1:22" x14ac:dyDescent="0.25">
      <c r="A866" s="3" t="str">
        <f>RTD("rtdtrading.rtdserver",, "BOOK0", "VOC", 862)</f>
        <v>Ferramenta Inválida</v>
      </c>
      <c r="B866" s="3" t="str">
        <f>RTD("rtdtrading.rtdserver",, "BOOK0", "OCP", 862)</f>
        <v>Ferramenta Inválida</v>
      </c>
      <c r="C866" s="4" t="str">
        <f>RTD("rtdtrading.rtdserver",, "BOOK0", "OVD", 862)</f>
        <v>Ferramenta Inválida</v>
      </c>
      <c r="D866" s="4" t="str">
        <f>RTD("rtdtrading.rtdserver",, "BOOK0", "VOV", 862)</f>
        <v>Ferramenta Inválida</v>
      </c>
      <c r="F866" s="3"/>
      <c r="G866" s="5"/>
      <c r="H866" s="6"/>
      <c r="I866" s="4"/>
      <c r="K866" s="5"/>
      <c r="L866" s="6"/>
      <c r="N866" s="3"/>
      <c r="O866" s="3"/>
      <c r="P866" s="4"/>
      <c r="Q866" s="4"/>
      <c r="S866" s="3"/>
      <c r="T866" s="3"/>
      <c r="U866" s="4"/>
      <c r="V866" s="4"/>
    </row>
    <row r="867" spans="1:22" x14ac:dyDescent="0.25">
      <c r="A867" s="3" t="str">
        <f>RTD("rtdtrading.rtdserver",, "BOOK0", "VOC", 863)</f>
        <v>Ferramenta Inválida</v>
      </c>
      <c r="B867" s="3" t="str">
        <f>RTD("rtdtrading.rtdserver",, "BOOK0", "OCP", 863)</f>
        <v>Ferramenta Inválida</v>
      </c>
      <c r="C867" s="4" t="str">
        <f>RTD("rtdtrading.rtdserver",, "BOOK0", "OVD", 863)</f>
        <v>Ferramenta Inválida</v>
      </c>
      <c r="D867" s="4" t="str">
        <f>RTD("rtdtrading.rtdserver",, "BOOK0", "VOV", 863)</f>
        <v>Ferramenta Inválida</v>
      </c>
      <c r="F867" s="3"/>
      <c r="G867" s="5"/>
      <c r="H867" s="6"/>
      <c r="I867" s="4"/>
      <c r="K867" s="5"/>
      <c r="L867" s="6"/>
      <c r="N867" s="3"/>
      <c r="O867" s="3"/>
      <c r="P867" s="4"/>
      <c r="Q867" s="4"/>
      <c r="S867" s="3"/>
      <c r="T867" s="3"/>
      <c r="U867" s="4"/>
      <c r="V867" s="4"/>
    </row>
    <row r="868" spans="1:22" x14ac:dyDescent="0.25">
      <c r="A868" s="3" t="str">
        <f>RTD("rtdtrading.rtdserver",, "BOOK0", "VOC", 864)</f>
        <v>Ferramenta Inválida</v>
      </c>
      <c r="B868" s="3" t="str">
        <f>RTD("rtdtrading.rtdserver",, "BOOK0", "OCP", 864)</f>
        <v>Ferramenta Inválida</v>
      </c>
      <c r="C868" s="4" t="str">
        <f>RTD("rtdtrading.rtdserver",, "BOOK0", "OVD", 864)</f>
        <v>Ferramenta Inválida</v>
      </c>
      <c r="D868" s="4" t="str">
        <f>RTD("rtdtrading.rtdserver",, "BOOK0", "VOV", 864)</f>
        <v>Ferramenta Inválida</v>
      </c>
      <c r="F868" s="3"/>
      <c r="G868" s="5"/>
      <c r="H868" s="6"/>
      <c r="I868" s="4"/>
      <c r="K868" s="5"/>
      <c r="L868" s="6"/>
      <c r="N868" s="3"/>
      <c r="O868" s="3"/>
      <c r="P868" s="4"/>
      <c r="Q868" s="4"/>
      <c r="S868" s="3"/>
      <c r="T868" s="3"/>
      <c r="U868" s="4"/>
      <c r="V868" s="4"/>
    </row>
    <row r="869" spans="1:22" x14ac:dyDescent="0.25">
      <c r="A869" s="3" t="str">
        <f>RTD("rtdtrading.rtdserver",, "BOOK0", "VOC", 865)</f>
        <v>Ferramenta Inválida</v>
      </c>
      <c r="B869" s="3" t="str">
        <f>RTD("rtdtrading.rtdserver",, "BOOK0", "OCP", 865)</f>
        <v>Ferramenta Inválida</v>
      </c>
      <c r="C869" s="4" t="str">
        <f>RTD("rtdtrading.rtdserver",, "BOOK0", "OVD", 865)</f>
        <v>Ferramenta Inválida</v>
      </c>
      <c r="D869" s="4" t="str">
        <f>RTD("rtdtrading.rtdserver",, "BOOK0", "VOV", 865)</f>
        <v>Ferramenta Inválida</v>
      </c>
      <c r="F869" s="3"/>
      <c r="G869" s="5"/>
      <c r="H869" s="6"/>
      <c r="I869" s="4"/>
      <c r="K869" s="5"/>
      <c r="L869" s="6"/>
      <c r="N869" s="3"/>
      <c r="O869" s="3"/>
      <c r="P869" s="4"/>
      <c r="Q869" s="4"/>
      <c r="S869" s="3"/>
      <c r="T869" s="3"/>
      <c r="U869" s="4"/>
      <c r="V869" s="4"/>
    </row>
    <row r="870" spans="1:22" x14ac:dyDescent="0.25">
      <c r="A870" s="3" t="str">
        <f>RTD("rtdtrading.rtdserver",, "BOOK0", "VOC", 866)</f>
        <v>Ferramenta Inválida</v>
      </c>
      <c r="B870" s="3" t="str">
        <f>RTD("rtdtrading.rtdserver",, "BOOK0", "OCP", 866)</f>
        <v>Ferramenta Inválida</v>
      </c>
      <c r="C870" s="4" t="str">
        <f>RTD("rtdtrading.rtdserver",, "BOOK0", "OVD", 866)</f>
        <v>Ferramenta Inválida</v>
      </c>
      <c r="D870" s="4" t="str">
        <f>RTD("rtdtrading.rtdserver",, "BOOK0", "VOV", 866)</f>
        <v>Ferramenta Inválida</v>
      </c>
      <c r="F870" s="3"/>
      <c r="G870" s="5"/>
      <c r="H870" s="6"/>
      <c r="I870" s="4"/>
      <c r="K870" s="5"/>
      <c r="L870" s="6"/>
      <c r="N870" s="3"/>
      <c r="O870" s="3"/>
      <c r="P870" s="4"/>
      <c r="Q870" s="4"/>
      <c r="S870" s="3"/>
      <c r="T870" s="3"/>
      <c r="U870" s="4"/>
      <c r="V870" s="4"/>
    </row>
    <row r="871" spans="1:22" x14ac:dyDescent="0.25">
      <c r="A871" s="3" t="str">
        <f>RTD("rtdtrading.rtdserver",, "BOOK0", "VOC", 867)</f>
        <v>Ferramenta Inválida</v>
      </c>
      <c r="B871" s="3" t="str">
        <f>RTD("rtdtrading.rtdserver",, "BOOK0", "OCP", 867)</f>
        <v>Ferramenta Inválida</v>
      </c>
      <c r="C871" s="4" t="str">
        <f>RTD("rtdtrading.rtdserver",, "BOOK0", "OVD", 867)</f>
        <v>Ferramenta Inválida</v>
      </c>
      <c r="D871" s="4" t="str">
        <f>RTD("rtdtrading.rtdserver",, "BOOK0", "VOV", 867)</f>
        <v>Ferramenta Inválida</v>
      </c>
      <c r="F871" s="3"/>
      <c r="G871" s="5"/>
      <c r="H871" s="6"/>
      <c r="I871" s="4"/>
      <c r="K871" s="5"/>
      <c r="L871" s="6"/>
      <c r="N871" s="3"/>
      <c r="O871" s="3"/>
      <c r="P871" s="4"/>
      <c r="Q871" s="4"/>
      <c r="S871" s="3"/>
      <c r="T871" s="3"/>
      <c r="U871" s="4"/>
      <c r="V871" s="4"/>
    </row>
    <row r="872" spans="1:22" x14ac:dyDescent="0.25">
      <c r="A872" s="3" t="str">
        <f>RTD("rtdtrading.rtdserver",, "BOOK0", "VOC", 868)</f>
        <v>Ferramenta Inválida</v>
      </c>
      <c r="B872" s="3" t="str">
        <f>RTD("rtdtrading.rtdserver",, "BOOK0", "OCP", 868)</f>
        <v>Ferramenta Inválida</v>
      </c>
      <c r="C872" s="4" t="str">
        <f>RTD("rtdtrading.rtdserver",, "BOOK0", "OVD", 868)</f>
        <v>Ferramenta Inválida</v>
      </c>
      <c r="D872" s="4" t="str">
        <f>RTD("rtdtrading.rtdserver",, "BOOK0", "VOV", 868)</f>
        <v>Ferramenta Inválida</v>
      </c>
      <c r="F872" s="3"/>
      <c r="G872" s="5"/>
      <c r="H872" s="6"/>
      <c r="I872" s="4"/>
      <c r="K872" s="5"/>
      <c r="L872" s="6"/>
      <c r="N872" s="3"/>
      <c r="O872" s="3"/>
      <c r="P872" s="4"/>
      <c r="Q872" s="4"/>
      <c r="S872" s="3"/>
      <c r="T872" s="3"/>
      <c r="U872" s="4"/>
      <c r="V872" s="4"/>
    </row>
    <row r="873" spans="1:22" x14ac:dyDescent="0.25">
      <c r="A873" s="3" t="str">
        <f>RTD("rtdtrading.rtdserver",, "BOOK0", "VOC", 869)</f>
        <v>Ferramenta Inválida</v>
      </c>
      <c r="B873" s="3" t="str">
        <f>RTD("rtdtrading.rtdserver",, "BOOK0", "OCP", 869)</f>
        <v>Ferramenta Inválida</v>
      </c>
      <c r="C873" s="4" t="str">
        <f>RTD("rtdtrading.rtdserver",, "BOOK0", "OVD", 869)</f>
        <v>Ferramenta Inválida</v>
      </c>
      <c r="D873" s="4" t="str">
        <f>RTD("rtdtrading.rtdserver",, "BOOK0", "VOV", 869)</f>
        <v>Ferramenta Inválida</v>
      </c>
      <c r="F873" s="3"/>
      <c r="G873" s="5"/>
      <c r="H873" s="6"/>
      <c r="I873" s="4"/>
      <c r="K873" s="5"/>
      <c r="L873" s="6"/>
      <c r="N873" s="3"/>
      <c r="O873" s="3"/>
      <c r="P873" s="4"/>
      <c r="Q873" s="4"/>
      <c r="S873" s="3"/>
      <c r="T873" s="3"/>
      <c r="U873" s="4"/>
      <c r="V873" s="4"/>
    </row>
    <row r="874" spans="1:22" x14ac:dyDescent="0.25">
      <c r="A874" s="3" t="str">
        <f>RTD("rtdtrading.rtdserver",, "BOOK0", "VOC", 870)</f>
        <v>Ferramenta Inválida</v>
      </c>
      <c r="B874" s="3" t="str">
        <f>RTD("rtdtrading.rtdserver",, "BOOK0", "OCP", 870)</f>
        <v>Ferramenta Inválida</v>
      </c>
      <c r="C874" s="4" t="str">
        <f>RTD("rtdtrading.rtdserver",, "BOOK0", "OVD", 870)</f>
        <v>Ferramenta Inválida</v>
      </c>
      <c r="D874" s="4" t="str">
        <f>RTD("rtdtrading.rtdserver",, "BOOK0", "VOV", 870)</f>
        <v>Ferramenta Inválida</v>
      </c>
      <c r="F874" s="3"/>
      <c r="G874" s="5"/>
      <c r="H874" s="6"/>
      <c r="I874" s="4"/>
      <c r="K874" s="5"/>
      <c r="L874" s="6"/>
      <c r="N874" s="3"/>
      <c r="O874" s="3"/>
      <c r="P874" s="4"/>
      <c r="Q874" s="4"/>
      <c r="S874" s="3"/>
      <c r="T874" s="3"/>
      <c r="U874" s="4"/>
      <c r="V874" s="4"/>
    </row>
    <row r="875" spans="1:22" x14ac:dyDescent="0.25">
      <c r="A875" s="3" t="str">
        <f>RTD("rtdtrading.rtdserver",, "BOOK0", "VOC", 871)</f>
        <v>Ferramenta Inválida</v>
      </c>
      <c r="B875" s="3" t="str">
        <f>RTD("rtdtrading.rtdserver",, "BOOK0", "OCP", 871)</f>
        <v>Ferramenta Inválida</v>
      </c>
      <c r="C875" s="4" t="str">
        <f>RTD("rtdtrading.rtdserver",, "BOOK0", "OVD", 871)</f>
        <v>Ferramenta Inválida</v>
      </c>
      <c r="D875" s="4" t="str">
        <f>RTD("rtdtrading.rtdserver",, "BOOK0", "VOV", 871)</f>
        <v>Ferramenta Inválida</v>
      </c>
      <c r="F875" s="3"/>
      <c r="G875" s="5"/>
      <c r="H875" s="6"/>
      <c r="I875" s="4"/>
      <c r="K875" s="5"/>
      <c r="L875" s="6"/>
      <c r="N875" s="3"/>
      <c r="O875" s="3"/>
      <c r="P875" s="4"/>
      <c r="Q875" s="4"/>
      <c r="S875" s="3"/>
      <c r="T875" s="3"/>
      <c r="U875" s="4"/>
      <c r="V875" s="4"/>
    </row>
    <row r="876" spans="1:22" x14ac:dyDescent="0.25">
      <c r="A876" s="3" t="str">
        <f>RTD("rtdtrading.rtdserver",, "BOOK0", "VOC", 872)</f>
        <v>Ferramenta Inválida</v>
      </c>
      <c r="B876" s="3" t="str">
        <f>RTD("rtdtrading.rtdserver",, "BOOK0", "OCP", 872)</f>
        <v>Ferramenta Inválida</v>
      </c>
      <c r="C876" s="4" t="str">
        <f>RTD("rtdtrading.rtdserver",, "BOOK0", "OVD", 872)</f>
        <v>Ferramenta Inválida</v>
      </c>
      <c r="D876" s="4" t="str">
        <f>RTD("rtdtrading.rtdserver",, "BOOK0", "VOV", 872)</f>
        <v>Ferramenta Inválida</v>
      </c>
      <c r="F876" s="3"/>
      <c r="G876" s="5"/>
      <c r="H876" s="6"/>
      <c r="I876" s="4"/>
      <c r="K876" s="5"/>
      <c r="L876" s="6"/>
      <c r="N876" s="3"/>
      <c r="O876" s="3"/>
      <c r="P876" s="4"/>
      <c r="Q876" s="4"/>
      <c r="S876" s="3"/>
      <c r="T876" s="3"/>
      <c r="U876" s="4"/>
      <c r="V876" s="4"/>
    </row>
    <row r="877" spans="1:22" x14ac:dyDescent="0.25">
      <c r="A877" s="3" t="str">
        <f>RTD("rtdtrading.rtdserver",, "BOOK0", "VOC", 873)</f>
        <v>Ferramenta Inválida</v>
      </c>
      <c r="B877" s="3" t="str">
        <f>RTD("rtdtrading.rtdserver",, "BOOK0", "OCP", 873)</f>
        <v>Ferramenta Inválida</v>
      </c>
      <c r="C877" s="4" t="str">
        <f>RTD("rtdtrading.rtdserver",, "BOOK0", "OVD", 873)</f>
        <v>Ferramenta Inválida</v>
      </c>
      <c r="D877" s="4" t="str">
        <f>RTD("rtdtrading.rtdserver",, "BOOK0", "VOV", 873)</f>
        <v>Ferramenta Inválida</v>
      </c>
      <c r="F877" s="3"/>
      <c r="G877" s="5"/>
      <c r="H877" s="6"/>
      <c r="I877" s="4"/>
      <c r="K877" s="5"/>
      <c r="L877" s="6"/>
      <c r="N877" s="3"/>
      <c r="O877" s="3"/>
      <c r="P877" s="4"/>
      <c r="Q877" s="4"/>
      <c r="S877" s="3"/>
      <c r="T877" s="3"/>
      <c r="U877" s="4"/>
      <c r="V877" s="4"/>
    </row>
    <row r="878" spans="1:22" x14ac:dyDescent="0.25">
      <c r="A878" s="3" t="str">
        <f>RTD("rtdtrading.rtdserver",, "BOOK0", "VOC", 874)</f>
        <v>Ferramenta Inválida</v>
      </c>
      <c r="B878" s="3" t="str">
        <f>RTD("rtdtrading.rtdserver",, "BOOK0", "OCP", 874)</f>
        <v>Ferramenta Inválida</v>
      </c>
      <c r="C878" s="4" t="str">
        <f>RTD("rtdtrading.rtdserver",, "BOOK0", "OVD", 874)</f>
        <v>Ferramenta Inválida</v>
      </c>
      <c r="D878" s="4" t="str">
        <f>RTD("rtdtrading.rtdserver",, "BOOK0", "VOV", 874)</f>
        <v>Ferramenta Inválida</v>
      </c>
      <c r="F878" s="3"/>
      <c r="G878" s="5"/>
      <c r="H878" s="6"/>
      <c r="I878" s="4"/>
      <c r="K878" s="5"/>
      <c r="L878" s="6"/>
      <c r="N878" s="3"/>
      <c r="O878" s="3"/>
      <c r="P878" s="4"/>
      <c r="Q878" s="4"/>
      <c r="S878" s="3"/>
      <c r="T878" s="3"/>
      <c r="U878" s="4"/>
      <c r="V878" s="4"/>
    </row>
    <row r="879" spans="1:22" x14ac:dyDescent="0.25">
      <c r="A879" s="3" t="str">
        <f>RTD("rtdtrading.rtdserver",, "BOOK0", "VOC", 875)</f>
        <v>Ferramenta Inválida</v>
      </c>
      <c r="B879" s="3" t="str">
        <f>RTD("rtdtrading.rtdserver",, "BOOK0", "OCP", 875)</f>
        <v>Ferramenta Inválida</v>
      </c>
      <c r="C879" s="4" t="str">
        <f>RTD("rtdtrading.rtdserver",, "BOOK0", "OVD", 875)</f>
        <v>Ferramenta Inválida</v>
      </c>
      <c r="D879" s="4" t="str">
        <f>RTD("rtdtrading.rtdserver",, "BOOK0", "VOV", 875)</f>
        <v>Ferramenta Inválida</v>
      </c>
      <c r="F879" s="3"/>
      <c r="G879" s="5"/>
      <c r="H879" s="6"/>
      <c r="I879" s="4"/>
      <c r="K879" s="5"/>
      <c r="L879" s="6"/>
      <c r="N879" s="3"/>
      <c r="O879" s="3"/>
      <c r="P879" s="4"/>
      <c r="Q879" s="4"/>
      <c r="S879" s="3"/>
      <c r="T879" s="3"/>
      <c r="U879" s="4"/>
      <c r="V879" s="4"/>
    </row>
    <row r="880" spans="1:22" x14ac:dyDescent="0.25">
      <c r="A880" s="3" t="str">
        <f>RTD("rtdtrading.rtdserver",, "BOOK0", "VOC", 876)</f>
        <v>Ferramenta Inválida</v>
      </c>
      <c r="B880" s="3" t="str">
        <f>RTD("rtdtrading.rtdserver",, "BOOK0", "OCP", 876)</f>
        <v>Ferramenta Inválida</v>
      </c>
      <c r="C880" s="4" t="str">
        <f>RTD("rtdtrading.rtdserver",, "BOOK0", "OVD", 876)</f>
        <v>Ferramenta Inválida</v>
      </c>
      <c r="D880" s="4" t="str">
        <f>RTD("rtdtrading.rtdserver",, "BOOK0", "VOV", 876)</f>
        <v>Ferramenta Inválida</v>
      </c>
      <c r="F880" s="3"/>
      <c r="G880" s="5"/>
      <c r="H880" s="6"/>
      <c r="I880" s="4"/>
      <c r="K880" s="5"/>
      <c r="L880" s="6"/>
      <c r="N880" s="3"/>
      <c r="O880" s="3"/>
      <c r="P880" s="4"/>
      <c r="Q880" s="4"/>
      <c r="S880" s="3"/>
      <c r="T880" s="3"/>
      <c r="U880" s="4"/>
      <c r="V880" s="4"/>
    </row>
    <row r="881" spans="1:22" x14ac:dyDescent="0.25">
      <c r="A881" s="3" t="str">
        <f>RTD("rtdtrading.rtdserver",, "BOOK0", "VOC", 877)</f>
        <v>Ferramenta Inválida</v>
      </c>
      <c r="B881" s="3" t="str">
        <f>RTD("rtdtrading.rtdserver",, "BOOK0", "OCP", 877)</f>
        <v>Ferramenta Inválida</v>
      </c>
      <c r="C881" s="4" t="str">
        <f>RTD("rtdtrading.rtdserver",, "BOOK0", "OVD", 877)</f>
        <v>Ferramenta Inválida</v>
      </c>
      <c r="D881" s="4" t="str">
        <f>RTD("rtdtrading.rtdserver",, "BOOK0", "VOV", 877)</f>
        <v>Ferramenta Inválida</v>
      </c>
      <c r="F881" s="3"/>
      <c r="G881" s="5"/>
      <c r="H881" s="6"/>
      <c r="I881" s="4"/>
      <c r="K881" s="5"/>
      <c r="L881" s="6"/>
      <c r="N881" s="3"/>
      <c r="O881" s="3"/>
      <c r="P881" s="4"/>
      <c r="Q881" s="4"/>
      <c r="S881" s="3"/>
      <c r="T881" s="3"/>
      <c r="U881" s="4"/>
      <c r="V881" s="4"/>
    </row>
    <row r="882" spans="1:22" x14ac:dyDescent="0.25">
      <c r="A882" s="3" t="str">
        <f>RTD("rtdtrading.rtdserver",, "BOOK0", "VOC", 878)</f>
        <v>Ferramenta Inválida</v>
      </c>
      <c r="B882" s="3" t="str">
        <f>RTD("rtdtrading.rtdserver",, "BOOK0", "OCP", 878)</f>
        <v>Ferramenta Inválida</v>
      </c>
      <c r="C882" s="4" t="str">
        <f>RTD("rtdtrading.rtdserver",, "BOOK0", "OVD", 878)</f>
        <v>Ferramenta Inválida</v>
      </c>
      <c r="D882" s="4" t="str">
        <f>RTD("rtdtrading.rtdserver",, "BOOK0", "VOV", 878)</f>
        <v>Ferramenta Inválida</v>
      </c>
      <c r="F882" s="3"/>
      <c r="G882" s="5"/>
      <c r="H882" s="6"/>
      <c r="I882" s="4"/>
      <c r="K882" s="5"/>
      <c r="L882" s="6"/>
      <c r="N882" s="3"/>
      <c r="O882" s="3"/>
      <c r="P882" s="4"/>
      <c r="Q882" s="4"/>
      <c r="S882" s="3"/>
      <c r="T882" s="3"/>
      <c r="U882" s="4"/>
      <c r="V882" s="4"/>
    </row>
    <row r="883" spans="1:22" x14ac:dyDescent="0.25">
      <c r="A883" s="3" t="str">
        <f>RTD("rtdtrading.rtdserver",, "BOOK0", "VOC", 879)</f>
        <v>Ferramenta Inválida</v>
      </c>
      <c r="B883" s="3" t="str">
        <f>RTD("rtdtrading.rtdserver",, "BOOK0", "OCP", 879)</f>
        <v>Ferramenta Inválida</v>
      </c>
      <c r="C883" s="4" t="str">
        <f>RTD("rtdtrading.rtdserver",, "BOOK0", "OVD", 879)</f>
        <v>Ferramenta Inválida</v>
      </c>
      <c r="D883" s="4" t="str">
        <f>RTD("rtdtrading.rtdserver",, "BOOK0", "VOV", 879)</f>
        <v>Ferramenta Inválida</v>
      </c>
      <c r="F883" s="3"/>
      <c r="G883" s="5"/>
      <c r="H883" s="6"/>
      <c r="I883" s="4"/>
      <c r="K883" s="5"/>
      <c r="L883" s="6"/>
      <c r="N883" s="3"/>
      <c r="O883" s="3"/>
      <c r="P883" s="4"/>
      <c r="Q883" s="4"/>
      <c r="S883" s="3"/>
      <c r="T883" s="3"/>
      <c r="U883" s="4"/>
      <c r="V883" s="4"/>
    </row>
    <row r="884" spans="1:22" x14ac:dyDescent="0.25">
      <c r="A884" s="3" t="str">
        <f>RTD("rtdtrading.rtdserver",, "BOOK0", "VOC", 880)</f>
        <v>Ferramenta Inválida</v>
      </c>
      <c r="B884" s="3" t="str">
        <f>RTD("rtdtrading.rtdserver",, "BOOK0", "OCP", 880)</f>
        <v>Ferramenta Inválida</v>
      </c>
      <c r="C884" s="4" t="str">
        <f>RTD("rtdtrading.rtdserver",, "BOOK0", "OVD", 880)</f>
        <v>Ferramenta Inválida</v>
      </c>
      <c r="D884" s="4" t="str">
        <f>RTD("rtdtrading.rtdserver",, "BOOK0", "VOV", 880)</f>
        <v>Ferramenta Inválida</v>
      </c>
      <c r="F884" s="3"/>
      <c r="G884" s="5"/>
      <c r="H884" s="6"/>
      <c r="I884" s="4"/>
      <c r="K884" s="5"/>
      <c r="L884" s="6"/>
      <c r="N884" s="3"/>
      <c r="O884" s="3"/>
      <c r="P884" s="4"/>
      <c r="Q884" s="4"/>
      <c r="S884" s="3"/>
      <c r="T884" s="3"/>
      <c r="U884" s="4"/>
      <c r="V884" s="4"/>
    </row>
    <row r="885" spans="1:22" x14ac:dyDescent="0.25">
      <c r="A885" s="3" t="str">
        <f>RTD("rtdtrading.rtdserver",, "BOOK0", "VOC", 881)</f>
        <v>Ferramenta Inválida</v>
      </c>
      <c r="B885" s="3" t="str">
        <f>RTD("rtdtrading.rtdserver",, "BOOK0", "OCP", 881)</f>
        <v>Ferramenta Inválida</v>
      </c>
      <c r="C885" s="4" t="str">
        <f>RTD("rtdtrading.rtdserver",, "BOOK0", "OVD", 881)</f>
        <v>Ferramenta Inválida</v>
      </c>
      <c r="D885" s="4" t="str">
        <f>RTD("rtdtrading.rtdserver",, "BOOK0", "VOV", 881)</f>
        <v>Ferramenta Inválida</v>
      </c>
      <c r="F885" s="3"/>
      <c r="G885" s="5"/>
      <c r="H885" s="6"/>
      <c r="I885" s="4"/>
      <c r="K885" s="5"/>
      <c r="L885" s="6"/>
      <c r="N885" s="3"/>
      <c r="O885" s="3"/>
      <c r="P885" s="4"/>
      <c r="Q885" s="4"/>
      <c r="S885" s="3"/>
      <c r="T885" s="3"/>
      <c r="U885" s="4"/>
      <c r="V885" s="4"/>
    </row>
    <row r="886" spans="1:22" x14ac:dyDescent="0.25">
      <c r="A886" s="3" t="str">
        <f>RTD("rtdtrading.rtdserver",, "BOOK0", "VOC", 882)</f>
        <v>Ferramenta Inválida</v>
      </c>
      <c r="B886" s="3" t="str">
        <f>RTD("rtdtrading.rtdserver",, "BOOK0", "OCP", 882)</f>
        <v>Ferramenta Inválida</v>
      </c>
      <c r="C886" s="4" t="str">
        <f>RTD("rtdtrading.rtdserver",, "BOOK0", "OVD", 882)</f>
        <v>Ferramenta Inválida</v>
      </c>
      <c r="D886" s="4" t="str">
        <f>RTD("rtdtrading.rtdserver",, "BOOK0", "VOV", 882)</f>
        <v>Ferramenta Inválida</v>
      </c>
      <c r="F886" s="3"/>
      <c r="G886" s="5"/>
      <c r="H886" s="6"/>
      <c r="I886" s="4"/>
      <c r="K886" s="5"/>
      <c r="L886" s="6"/>
      <c r="N886" s="3"/>
      <c r="O886" s="3"/>
      <c r="P886" s="4"/>
      <c r="Q886" s="4"/>
      <c r="S886" s="3"/>
      <c r="T886" s="3"/>
      <c r="U886" s="4"/>
      <c r="V886" s="4"/>
    </row>
    <row r="887" spans="1:22" x14ac:dyDescent="0.25">
      <c r="A887" s="3" t="str">
        <f>RTD("rtdtrading.rtdserver",, "BOOK0", "VOC", 883)</f>
        <v>Ferramenta Inválida</v>
      </c>
      <c r="B887" s="3" t="str">
        <f>RTD("rtdtrading.rtdserver",, "BOOK0", "OCP", 883)</f>
        <v>Ferramenta Inválida</v>
      </c>
      <c r="C887" s="4" t="str">
        <f>RTD("rtdtrading.rtdserver",, "BOOK0", "OVD", 883)</f>
        <v>Ferramenta Inválida</v>
      </c>
      <c r="D887" s="4" t="str">
        <f>RTD("rtdtrading.rtdserver",, "BOOK0", "VOV", 883)</f>
        <v>Ferramenta Inválida</v>
      </c>
      <c r="F887" s="3"/>
      <c r="G887" s="5"/>
      <c r="H887" s="6"/>
      <c r="I887" s="4"/>
      <c r="K887" s="5"/>
      <c r="L887" s="6"/>
      <c r="N887" s="3"/>
      <c r="O887" s="3"/>
      <c r="P887" s="4"/>
      <c r="Q887" s="4"/>
      <c r="S887" s="3"/>
      <c r="T887" s="3"/>
      <c r="U887" s="4"/>
      <c r="V887" s="4"/>
    </row>
    <row r="888" spans="1:22" x14ac:dyDescent="0.25">
      <c r="A888" s="3" t="str">
        <f>RTD("rtdtrading.rtdserver",, "BOOK0", "VOC", 884)</f>
        <v>Ferramenta Inválida</v>
      </c>
      <c r="B888" s="3" t="str">
        <f>RTD("rtdtrading.rtdserver",, "BOOK0", "OCP", 884)</f>
        <v>Ferramenta Inválida</v>
      </c>
      <c r="C888" s="4" t="str">
        <f>RTD("rtdtrading.rtdserver",, "BOOK0", "OVD", 884)</f>
        <v>Ferramenta Inválida</v>
      </c>
      <c r="D888" s="4" t="str">
        <f>RTD("rtdtrading.rtdserver",, "BOOK0", "VOV", 884)</f>
        <v>Ferramenta Inválida</v>
      </c>
      <c r="F888" s="3"/>
      <c r="G888" s="5"/>
      <c r="H888" s="6"/>
      <c r="I888" s="4"/>
      <c r="K888" s="5"/>
      <c r="L888" s="6"/>
      <c r="N888" s="3"/>
      <c r="O888" s="3"/>
      <c r="P888" s="4"/>
      <c r="Q888" s="4"/>
      <c r="S888" s="3"/>
      <c r="T888" s="3"/>
      <c r="U888" s="4"/>
      <c r="V888" s="4"/>
    </row>
    <row r="889" spans="1:22" x14ac:dyDescent="0.25">
      <c r="A889" s="3" t="str">
        <f>RTD("rtdtrading.rtdserver",, "BOOK0", "VOC", 885)</f>
        <v>Ferramenta Inválida</v>
      </c>
      <c r="B889" s="3" t="str">
        <f>RTD("rtdtrading.rtdserver",, "BOOK0", "OCP", 885)</f>
        <v>Ferramenta Inválida</v>
      </c>
      <c r="C889" s="4" t="str">
        <f>RTD("rtdtrading.rtdserver",, "BOOK0", "OVD", 885)</f>
        <v>Ferramenta Inválida</v>
      </c>
      <c r="D889" s="4" t="str">
        <f>RTD("rtdtrading.rtdserver",, "BOOK0", "VOV", 885)</f>
        <v>Ferramenta Inválida</v>
      </c>
      <c r="F889" s="3"/>
      <c r="G889" s="5"/>
      <c r="H889" s="6"/>
      <c r="I889" s="4"/>
      <c r="K889" s="5"/>
      <c r="L889" s="6"/>
      <c r="N889" s="3"/>
      <c r="O889" s="3"/>
      <c r="P889" s="4"/>
      <c r="Q889" s="4"/>
      <c r="S889" s="3"/>
      <c r="T889" s="3"/>
      <c r="U889" s="4"/>
      <c r="V889" s="4"/>
    </row>
    <row r="890" spans="1:22" x14ac:dyDescent="0.25">
      <c r="A890" s="3" t="str">
        <f>RTD("rtdtrading.rtdserver",, "BOOK0", "VOC", 886)</f>
        <v>Ferramenta Inválida</v>
      </c>
      <c r="B890" s="3" t="str">
        <f>RTD("rtdtrading.rtdserver",, "BOOK0", "OCP", 886)</f>
        <v>Ferramenta Inválida</v>
      </c>
      <c r="C890" s="4" t="str">
        <f>RTD("rtdtrading.rtdserver",, "BOOK0", "OVD", 886)</f>
        <v>Ferramenta Inválida</v>
      </c>
      <c r="D890" s="4" t="str">
        <f>RTD("rtdtrading.rtdserver",, "BOOK0", "VOV", 886)</f>
        <v>Ferramenta Inválida</v>
      </c>
      <c r="F890" s="3"/>
      <c r="G890" s="5"/>
      <c r="H890" s="6"/>
      <c r="I890" s="4"/>
      <c r="K890" s="5"/>
      <c r="L890" s="6"/>
      <c r="N890" s="3"/>
      <c r="O890" s="3"/>
      <c r="P890" s="4"/>
      <c r="Q890" s="4"/>
      <c r="S890" s="3"/>
      <c r="T890" s="3"/>
      <c r="U890" s="4"/>
      <c r="V890" s="4"/>
    </row>
    <row r="891" spans="1:22" x14ac:dyDescent="0.25">
      <c r="A891" s="3" t="str">
        <f>RTD("rtdtrading.rtdserver",, "BOOK0", "VOC", 887)</f>
        <v>Ferramenta Inválida</v>
      </c>
      <c r="B891" s="3" t="str">
        <f>RTD("rtdtrading.rtdserver",, "BOOK0", "OCP", 887)</f>
        <v>Ferramenta Inválida</v>
      </c>
      <c r="C891" s="4" t="str">
        <f>RTD("rtdtrading.rtdserver",, "BOOK0", "OVD", 887)</f>
        <v>Ferramenta Inválida</v>
      </c>
      <c r="D891" s="4" t="str">
        <f>RTD("rtdtrading.rtdserver",, "BOOK0", "VOV", 887)</f>
        <v>Ferramenta Inválida</v>
      </c>
      <c r="F891" s="3"/>
      <c r="G891" s="5"/>
      <c r="H891" s="6"/>
      <c r="I891" s="4"/>
      <c r="K891" s="5"/>
      <c r="L891" s="6"/>
      <c r="N891" s="3"/>
      <c r="O891" s="3"/>
      <c r="P891" s="4"/>
      <c r="Q891" s="4"/>
      <c r="S891" s="3"/>
      <c r="T891" s="3"/>
      <c r="U891" s="4"/>
      <c r="V891" s="4"/>
    </row>
    <row r="892" spans="1:22" x14ac:dyDescent="0.25">
      <c r="A892" s="3" t="str">
        <f>RTD("rtdtrading.rtdserver",, "BOOK0", "VOC", 888)</f>
        <v>Ferramenta Inválida</v>
      </c>
      <c r="B892" s="3" t="str">
        <f>RTD("rtdtrading.rtdserver",, "BOOK0", "OCP", 888)</f>
        <v>Ferramenta Inválida</v>
      </c>
      <c r="C892" s="4" t="str">
        <f>RTD("rtdtrading.rtdserver",, "BOOK0", "OVD", 888)</f>
        <v>Ferramenta Inválida</v>
      </c>
      <c r="D892" s="4" t="str">
        <f>RTD("rtdtrading.rtdserver",, "BOOK0", "VOV", 888)</f>
        <v>Ferramenta Inválida</v>
      </c>
      <c r="F892" s="3"/>
      <c r="G892" s="5"/>
      <c r="H892" s="6"/>
      <c r="I892" s="4"/>
      <c r="K892" s="5"/>
      <c r="L892" s="6"/>
      <c r="N892" s="3"/>
      <c r="O892" s="3"/>
      <c r="P892" s="4"/>
      <c r="Q892" s="4"/>
      <c r="S892" s="3"/>
      <c r="T892" s="3"/>
      <c r="U892" s="4"/>
      <c r="V892" s="4"/>
    </row>
    <row r="893" spans="1:22" x14ac:dyDescent="0.25">
      <c r="A893" s="3" t="str">
        <f>RTD("rtdtrading.rtdserver",, "BOOK0", "VOC", 889)</f>
        <v>Ferramenta Inválida</v>
      </c>
      <c r="B893" s="3" t="str">
        <f>RTD("rtdtrading.rtdserver",, "BOOK0", "OCP", 889)</f>
        <v>Ferramenta Inválida</v>
      </c>
      <c r="C893" s="4" t="str">
        <f>RTD("rtdtrading.rtdserver",, "BOOK0", "OVD", 889)</f>
        <v>Ferramenta Inválida</v>
      </c>
      <c r="D893" s="4" t="str">
        <f>RTD("rtdtrading.rtdserver",, "BOOK0", "VOV", 889)</f>
        <v>Ferramenta Inválida</v>
      </c>
      <c r="F893" s="3"/>
      <c r="G893" s="5"/>
      <c r="H893" s="6"/>
      <c r="I893" s="4"/>
      <c r="K893" s="5"/>
      <c r="L893" s="6"/>
      <c r="N893" s="3"/>
      <c r="O893" s="3"/>
      <c r="P893" s="4"/>
      <c r="Q893" s="4"/>
      <c r="S893" s="3"/>
      <c r="T893" s="3"/>
      <c r="U893" s="4"/>
      <c r="V893" s="4"/>
    </row>
    <row r="894" spans="1:22" x14ac:dyDescent="0.25">
      <c r="A894" s="3" t="str">
        <f>RTD("rtdtrading.rtdserver",, "BOOK0", "VOC", 890)</f>
        <v>Ferramenta Inválida</v>
      </c>
      <c r="B894" s="3" t="str">
        <f>RTD("rtdtrading.rtdserver",, "BOOK0", "OCP", 890)</f>
        <v>Ferramenta Inválida</v>
      </c>
      <c r="C894" s="4" t="str">
        <f>RTD("rtdtrading.rtdserver",, "BOOK0", "OVD", 890)</f>
        <v>Ferramenta Inválida</v>
      </c>
      <c r="D894" s="4" t="str">
        <f>RTD("rtdtrading.rtdserver",, "BOOK0", "VOV", 890)</f>
        <v>Ferramenta Inválida</v>
      </c>
      <c r="F894" s="3"/>
      <c r="G894" s="5"/>
      <c r="H894" s="6"/>
      <c r="I894" s="4"/>
      <c r="K894" s="5"/>
      <c r="L894" s="6"/>
      <c r="N894" s="3"/>
      <c r="O894" s="3"/>
      <c r="P894" s="4"/>
      <c r="Q894" s="4"/>
      <c r="S894" s="3"/>
      <c r="T894" s="3"/>
      <c r="U894" s="4"/>
      <c r="V894" s="4"/>
    </row>
    <row r="895" spans="1:22" x14ac:dyDescent="0.25">
      <c r="A895" s="3" t="str">
        <f>RTD("rtdtrading.rtdserver",, "BOOK0", "VOC", 891)</f>
        <v>Ferramenta Inválida</v>
      </c>
      <c r="B895" s="3" t="str">
        <f>RTD("rtdtrading.rtdserver",, "BOOK0", "OCP", 891)</f>
        <v>Ferramenta Inválida</v>
      </c>
      <c r="C895" s="4" t="str">
        <f>RTD("rtdtrading.rtdserver",, "BOOK0", "OVD", 891)</f>
        <v>Ferramenta Inválida</v>
      </c>
      <c r="D895" s="4" t="str">
        <f>RTD("rtdtrading.rtdserver",, "BOOK0", "VOV", 891)</f>
        <v>Ferramenta Inválida</v>
      </c>
      <c r="F895" s="3"/>
      <c r="G895" s="5"/>
      <c r="H895" s="6"/>
      <c r="I895" s="4"/>
      <c r="K895" s="5"/>
      <c r="L895" s="6"/>
      <c r="N895" s="3"/>
      <c r="O895" s="3"/>
      <c r="P895" s="4"/>
      <c r="Q895" s="4"/>
      <c r="S895" s="3"/>
      <c r="T895" s="3"/>
      <c r="U895" s="4"/>
      <c r="V895" s="4"/>
    </row>
    <row r="896" spans="1:22" x14ac:dyDescent="0.25">
      <c r="A896" s="3" t="str">
        <f>RTD("rtdtrading.rtdserver",, "BOOK0", "VOC", 892)</f>
        <v>Ferramenta Inválida</v>
      </c>
      <c r="B896" s="3" t="str">
        <f>RTD("rtdtrading.rtdserver",, "BOOK0", "OCP", 892)</f>
        <v>Ferramenta Inválida</v>
      </c>
      <c r="C896" s="4" t="str">
        <f>RTD("rtdtrading.rtdserver",, "BOOK0", "OVD", 892)</f>
        <v>Ferramenta Inválida</v>
      </c>
      <c r="D896" s="4" t="str">
        <f>RTD("rtdtrading.rtdserver",, "BOOK0", "VOV", 892)</f>
        <v>Ferramenta Inválida</v>
      </c>
      <c r="F896" s="3"/>
      <c r="G896" s="5"/>
      <c r="H896" s="6"/>
      <c r="I896" s="4"/>
      <c r="K896" s="5"/>
      <c r="L896" s="6"/>
      <c r="N896" s="3"/>
      <c r="O896" s="3"/>
      <c r="P896" s="4"/>
      <c r="Q896" s="4"/>
      <c r="S896" s="3"/>
      <c r="T896" s="3"/>
      <c r="U896" s="4"/>
      <c r="V896" s="4"/>
    </row>
    <row r="897" spans="1:22" x14ac:dyDescent="0.25">
      <c r="A897" s="3" t="str">
        <f>RTD("rtdtrading.rtdserver",, "BOOK0", "VOC", 893)</f>
        <v>Ferramenta Inválida</v>
      </c>
      <c r="B897" s="3" t="str">
        <f>RTD("rtdtrading.rtdserver",, "BOOK0", "OCP", 893)</f>
        <v>Ferramenta Inválida</v>
      </c>
      <c r="C897" s="4" t="str">
        <f>RTD("rtdtrading.rtdserver",, "BOOK0", "OVD", 893)</f>
        <v>Ferramenta Inválida</v>
      </c>
      <c r="D897" s="4" t="str">
        <f>RTD("rtdtrading.rtdserver",, "BOOK0", "VOV", 893)</f>
        <v>Ferramenta Inválida</v>
      </c>
      <c r="F897" s="3"/>
      <c r="G897" s="5"/>
      <c r="H897" s="6"/>
      <c r="I897" s="4"/>
      <c r="K897" s="5"/>
      <c r="L897" s="6"/>
      <c r="N897" s="3"/>
      <c r="O897" s="3"/>
      <c r="P897" s="4"/>
      <c r="Q897" s="4"/>
      <c r="S897" s="3"/>
      <c r="T897" s="3"/>
      <c r="U897" s="4"/>
      <c r="V897" s="4"/>
    </row>
    <row r="898" spans="1:22" x14ac:dyDescent="0.25">
      <c r="A898" s="3" t="str">
        <f>RTD("rtdtrading.rtdserver",, "BOOK0", "VOC", 894)</f>
        <v>Ferramenta Inválida</v>
      </c>
      <c r="B898" s="3" t="str">
        <f>RTD("rtdtrading.rtdserver",, "BOOK0", "OCP", 894)</f>
        <v>Ferramenta Inválida</v>
      </c>
      <c r="C898" s="4" t="str">
        <f>RTD("rtdtrading.rtdserver",, "BOOK0", "OVD", 894)</f>
        <v>Ferramenta Inválida</v>
      </c>
      <c r="D898" s="4" t="str">
        <f>RTD("rtdtrading.rtdserver",, "BOOK0", "VOV", 894)</f>
        <v>Ferramenta Inválida</v>
      </c>
      <c r="F898" s="3"/>
      <c r="G898" s="5"/>
      <c r="H898" s="6"/>
      <c r="I898" s="4"/>
      <c r="K898" s="5"/>
      <c r="L898" s="6"/>
      <c r="N898" s="3"/>
      <c r="O898" s="3"/>
      <c r="P898" s="4"/>
      <c r="Q898" s="4"/>
      <c r="S898" s="3"/>
      <c r="T898" s="3"/>
      <c r="U898" s="4"/>
      <c r="V898" s="4"/>
    </row>
    <row r="899" spans="1:22" x14ac:dyDescent="0.25">
      <c r="A899" s="3" t="str">
        <f>RTD("rtdtrading.rtdserver",, "BOOK0", "VOC", 895)</f>
        <v>Ferramenta Inválida</v>
      </c>
      <c r="B899" s="3" t="str">
        <f>RTD("rtdtrading.rtdserver",, "BOOK0", "OCP", 895)</f>
        <v>Ferramenta Inválida</v>
      </c>
      <c r="C899" s="4" t="str">
        <f>RTD("rtdtrading.rtdserver",, "BOOK0", "OVD", 895)</f>
        <v>Ferramenta Inválida</v>
      </c>
      <c r="D899" s="4" t="str">
        <f>RTD("rtdtrading.rtdserver",, "BOOK0", "VOV", 895)</f>
        <v>Ferramenta Inválida</v>
      </c>
      <c r="F899" s="3"/>
      <c r="G899" s="5"/>
      <c r="H899" s="6"/>
      <c r="I899" s="4"/>
      <c r="K899" s="5"/>
      <c r="L899" s="6"/>
      <c r="N899" s="3"/>
      <c r="O899" s="3"/>
      <c r="P899" s="4"/>
      <c r="Q899" s="4"/>
      <c r="S899" s="3"/>
      <c r="T899" s="3"/>
      <c r="U899" s="4"/>
      <c r="V899" s="4"/>
    </row>
    <row r="900" spans="1:22" x14ac:dyDescent="0.25">
      <c r="A900" s="3" t="str">
        <f>RTD("rtdtrading.rtdserver",, "BOOK0", "VOC", 896)</f>
        <v>Ferramenta Inválida</v>
      </c>
      <c r="B900" s="3" t="str">
        <f>RTD("rtdtrading.rtdserver",, "BOOK0", "OCP", 896)</f>
        <v>Ferramenta Inválida</v>
      </c>
      <c r="C900" s="4" t="str">
        <f>RTD("rtdtrading.rtdserver",, "BOOK0", "OVD", 896)</f>
        <v>Ferramenta Inválida</v>
      </c>
      <c r="D900" s="4" t="str">
        <f>RTD("rtdtrading.rtdserver",, "BOOK0", "VOV", 896)</f>
        <v>Ferramenta Inválida</v>
      </c>
      <c r="F900" s="3"/>
      <c r="G900" s="5"/>
      <c r="H900" s="6"/>
      <c r="I900" s="4"/>
      <c r="K900" s="5"/>
      <c r="L900" s="6"/>
      <c r="N900" s="3"/>
      <c r="O900" s="3"/>
      <c r="P900" s="4"/>
      <c r="Q900" s="4"/>
      <c r="S900" s="3"/>
      <c r="T900" s="3"/>
      <c r="U900" s="4"/>
      <c r="V900" s="4"/>
    </row>
    <row r="901" spans="1:22" x14ac:dyDescent="0.25">
      <c r="A901" s="3" t="str">
        <f>RTD("rtdtrading.rtdserver",, "BOOK0", "VOC", 897)</f>
        <v>Ferramenta Inválida</v>
      </c>
      <c r="B901" s="3" t="str">
        <f>RTD("rtdtrading.rtdserver",, "BOOK0", "OCP", 897)</f>
        <v>Ferramenta Inválida</v>
      </c>
      <c r="C901" s="4" t="str">
        <f>RTD("rtdtrading.rtdserver",, "BOOK0", "OVD", 897)</f>
        <v>Ferramenta Inválida</v>
      </c>
      <c r="D901" s="4" t="str">
        <f>RTD("rtdtrading.rtdserver",, "BOOK0", "VOV", 897)</f>
        <v>Ferramenta Inválida</v>
      </c>
      <c r="F901" s="3"/>
      <c r="G901" s="5"/>
      <c r="H901" s="6"/>
      <c r="I901" s="4"/>
      <c r="K901" s="5"/>
      <c r="L901" s="6"/>
      <c r="N901" s="3"/>
      <c r="O901" s="3"/>
      <c r="P901" s="4"/>
      <c r="Q901" s="4"/>
      <c r="S901" s="3"/>
      <c r="T901" s="3"/>
      <c r="U901" s="4"/>
      <c r="V901" s="4"/>
    </row>
    <row r="902" spans="1:22" x14ac:dyDescent="0.25">
      <c r="A902" s="3" t="str">
        <f>RTD("rtdtrading.rtdserver",, "BOOK0", "VOC", 898)</f>
        <v>Ferramenta Inválida</v>
      </c>
      <c r="B902" s="3" t="str">
        <f>RTD("rtdtrading.rtdserver",, "BOOK0", "OCP", 898)</f>
        <v>Ferramenta Inválida</v>
      </c>
      <c r="C902" s="4" t="str">
        <f>RTD("rtdtrading.rtdserver",, "BOOK0", "OVD", 898)</f>
        <v>Ferramenta Inválida</v>
      </c>
      <c r="D902" s="4" t="str">
        <f>RTD("rtdtrading.rtdserver",, "BOOK0", "VOV", 898)</f>
        <v>Ferramenta Inválida</v>
      </c>
      <c r="F902" s="3"/>
      <c r="G902" s="5"/>
      <c r="H902" s="6"/>
      <c r="I902" s="4"/>
      <c r="K902" s="5"/>
      <c r="L902" s="6"/>
      <c r="N902" s="3"/>
      <c r="O902" s="3"/>
      <c r="P902" s="4"/>
      <c r="Q902" s="4"/>
      <c r="S902" s="3"/>
      <c r="T902" s="3"/>
      <c r="U902" s="4"/>
      <c r="V902" s="4"/>
    </row>
    <row r="903" spans="1:22" x14ac:dyDescent="0.25">
      <c r="A903" s="3" t="str">
        <f>RTD("rtdtrading.rtdserver",, "BOOK0", "VOC", 899)</f>
        <v>Ferramenta Inválida</v>
      </c>
      <c r="B903" s="3" t="str">
        <f>RTD("rtdtrading.rtdserver",, "BOOK0", "OCP", 899)</f>
        <v>Ferramenta Inválida</v>
      </c>
      <c r="C903" s="4" t="str">
        <f>RTD("rtdtrading.rtdserver",, "BOOK0", "OVD", 899)</f>
        <v>Ferramenta Inválida</v>
      </c>
      <c r="D903" s="4" t="str">
        <f>RTD("rtdtrading.rtdserver",, "BOOK0", "VOV", 899)</f>
        <v>Ferramenta Inválida</v>
      </c>
      <c r="F903" s="3"/>
      <c r="G903" s="5"/>
      <c r="H903" s="6"/>
      <c r="I903" s="4"/>
      <c r="K903" s="5"/>
      <c r="L903" s="6"/>
      <c r="N903" s="3"/>
      <c r="O903" s="3"/>
      <c r="P903" s="4"/>
      <c r="Q903" s="4"/>
      <c r="S903" s="3"/>
      <c r="T903" s="3"/>
      <c r="U903" s="4"/>
      <c r="V903" s="4"/>
    </row>
    <row r="904" spans="1:22" x14ac:dyDescent="0.25">
      <c r="A904" s="3" t="str">
        <f>RTD("rtdtrading.rtdserver",, "BOOK0", "VOC", 900)</f>
        <v>Ferramenta Inválida</v>
      </c>
      <c r="B904" s="3" t="str">
        <f>RTD("rtdtrading.rtdserver",, "BOOK0", "OCP", 900)</f>
        <v>Ferramenta Inválida</v>
      </c>
      <c r="C904" s="4" t="str">
        <f>RTD("rtdtrading.rtdserver",, "BOOK0", "OVD", 900)</f>
        <v>Ferramenta Inválida</v>
      </c>
      <c r="D904" s="4" t="str">
        <f>RTD("rtdtrading.rtdserver",, "BOOK0", "VOV", 900)</f>
        <v>Ferramenta Inválida</v>
      </c>
      <c r="F904" s="3"/>
      <c r="G904" s="5"/>
      <c r="H904" s="6"/>
      <c r="I904" s="4"/>
      <c r="K904" s="5"/>
      <c r="L904" s="6"/>
      <c r="N904" s="3"/>
      <c r="O904" s="3"/>
      <c r="P904" s="4"/>
      <c r="Q904" s="4"/>
      <c r="S904" s="3"/>
      <c r="T904" s="3"/>
      <c r="U904" s="4"/>
      <c r="V904" s="4"/>
    </row>
    <row r="905" spans="1:22" x14ac:dyDescent="0.25">
      <c r="A905" s="3" t="str">
        <f>RTD("rtdtrading.rtdserver",, "BOOK0", "VOC", 901)</f>
        <v>Ferramenta Inválida</v>
      </c>
      <c r="B905" s="3" t="str">
        <f>RTD("rtdtrading.rtdserver",, "BOOK0", "OCP", 901)</f>
        <v>Ferramenta Inválida</v>
      </c>
      <c r="C905" s="4" t="str">
        <f>RTD("rtdtrading.rtdserver",, "BOOK0", "OVD", 901)</f>
        <v>Ferramenta Inválida</v>
      </c>
      <c r="D905" s="4" t="str">
        <f>RTD("rtdtrading.rtdserver",, "BOOK0", "VOV", 901)</f>
        <v>Ferramenta Inválida</v>
      </c>
      <c r="F905" s="3"/>
      <c r="G905" s="5"/>
      <c r="H905" s="6"/>
      <c r="I905" s="4"/>
      <c r="K905" s="5"/>
      <c r="L905" s="6"/>
      <c r="N905" s="3"/>
      <c r="O905" s="3"/>
      <c r="P905" s="4"/>
      <c r="Q905" s="4"/>
      <c r="S905" s="3"/>
      <c r="T905" s="3"/>
      <c r="U905" s="4"/>
      <c r="V905" s="4"/>
    </row>
    <row r="906" spans="1:22" x14ac:dyDescent="0.25">
      <c r="A906" s="3" t="str">
        <f>RTD("rtdtrading.rtdserver",, "BOOK0", "VOC", 902)</f>
        <v>Ferramenta Inválida</v>
      </c>
      <c r="B906" s="3" t="str">
        <f>RTD("rtdtrading.rtdserver",, "BOOK0", "OCP", 902)</f>
        <v>Ferramenta Inválida</v>
      </c>
      <c r="C906" s="4" t="str">
        <f>RTD("rtdtrading.rtdserver",, "BOOK0", "OVD", 902)</f>
        <v>Ferramenta Inválida</v>
      </c>
      <c r="D906" s="4" t="str">
        <f>RTD("rtdtrading.rtdserver",, "BOOK0", "VOV", 902)</f>
        <v>Ferramenta Inválida</v>
      </c>
      <c r="F906" s="3"/>
      <c r="G906" s="5"/>
      <c r="H906" s="6"/>
      <c r="I906" s="4"/>
      <c r="K906" s="5"/>
      <c r="L906" s="6"/>
      <c r="N906" s="3"/>
      <c r="O906" s="3"/>
      <c r="P906" s="4"/>
      <c r="Q906" s="4"/>
      <c r="S906" s="3"/>
      <c r="T906" s="3"/>
      <c r="U906" s="4"/>
      <c r="V906" s="4"/>
    </row>
    <row r="907" spans="1:22" x14ac:dyDescent="0.25">
      <c r="A907" s="3" t="str">
        <f>RTD("rtdtrading.rtdserver",, "BOOK0", "VOC", 903)</f>
        <v>Ferramenta Inválida</v>
      </c>
      <c r="B907" s="3" t="str">
        <f>RTD("rtdtrading.rtdserver",, "BOOK0", "OCP", 903)</f>
        <v>Ferramenta Inválida</v>
      </c>
      <c r="C907" s="4" t="str">
        <f>RTD("rtdtrading.rtdserver",, "BOOK0", "OVD", 903)</f>
        <v>Ferramenta Inválida</v>
      </c>
      <c r="D907" s="4" t="str">
        <f>RTD("rtdtrading.rtdserver",, "BOOK0", "VOV", 903)</f>
        <v>Ferramenta Inválida</v>
      </c>
      <c r="F907" s="3"/>
      <c r="G907" s="5"/>
      <c r="H907" s="6"/>
      <c r="I907" s="4"/>
      <c r="K907" s="5"/>
      <c r="L907" s="6"/>
      <c r="N907" s="3"/>
      <c r="O907" s="3"/>
      <c r="P907" s="4"/>
      <c r="Q907" s="4"/>
      <c r="S907" s="3"/>
      <c r="T907" s="3"/>
      <c r="U907" s="4"/>
      <c r="V907" s="4"/>
    </row>
    <row r="908" spans="1:22" x14ac:dyDescent="0.25">
      <c r="A908" s="3" t="str">
        <f>RTD("rtdtrading.rtdserver",, "BOOK0", "VOC", 904)</f>
        <v>Ferramenta Inválida</v>
      </c>
      <c r="B908" s="3" t="str">
        <f>RTD("rtdtrading.rtdserver",, "BOOK0", "OCP", 904)</f>
        <v>Ferramenta Inválida</v>
      </c>
      <c r="C908" s="4" t="str">
        <f>RTD("rtdtrading.rtdserver",, "BOOK0", "OVD", 904)</f>
        <v>Ferramenta Inválida</v>
      </c>
      <c r="D908" s="4" t="str">
        <f>RTD("rtdtrading.rtdserver",, "BOOK0", "VOV", 904)</f>
        <v>Ferramenta Inválida</v>
      </c>
      <c r="F908" s="3"/>
      <c r="G908" s="5"/>
      <c r="H908" s="6"/>
      <c r="I908" s="4"/>
      <c r="K908" s="5"/>
      <c r="L908" s="6"/>
      <c r="N908" s="3"/>
      <c r="O908" s="3"/>
      <c r="P908" s="4"/>
      <c r="Q908" s="4"/>
      <c r="S908" s="3"/>
      <c r="T908" s="3"/>
      <c r="U908" s="4"/>
      <c r="V908" s="4"/>
    </row>
    <row r="909" spans="1:22" x14ac:dyDescent="0.25">
      <c r="A909" s="3" t="str">
        <f>RTD("rtdtrading.rtdserver",, "BOOK0", "VOC", 905)</f>
        <v>Ferramenta Inválida</v>
      </c>
      <c r="B909" s="3" t="str">
        <f>RTD("rtdtrading.rtdserver",, "BOOK0", "OCP", 905)</f>
        <v>Ferramenta Inválida</v>
      </c>
      <c r="C909" s="4" t="str">
        <f>RTD("rtdtrading.rtdserver",, "BOOK0", "OVD", 905)</f>
        <v>Ferramenta Inválida</v>
      </c>
      <c r="D909" s="4" t="str">
        <f>RTD("rtdtrading.rtdserver",, "BOOK0", "VOV", 905)</f>
        <v>Ferramenta Inválida</v>
      </c>
      <c r="F909" s="3"/>
      <c r="G909" s="5"/>
      <c r="H909" s="6"/>
      <c r="I909" s="4"/>
      <c r="K909" s="5"/>
      <c r="L909" s="6"/>
      <c r="N909" s="3"/>
      <c r="O909" s="3"/>
      <c r="P909" s="4"/>
      <c r="Q909" s="4"/>
      <c r="S909" s="3"/>
      <c r="T909" s="3"/>
      <c r="U909" s="4"/>
      <c r="V909" s="4"/>
    </row>
    <row r="910" spans="1:22" x14ac:dyDescent="0.25">
      <c r="A910" s="3" t="str">
        <f>RTD("rtdtrading.rtdserver",, "BOOK0", "VOC", 906)</f>
        <v>Ferramenta Inválida</v>
      </c>
      <c r="B910" s="3" t="str">
        <f>RTD("rtdtrading.rtdserver",, "BOOK0", "OCP", 906)</f>
        <v>Ferramenta Inválida</v>
      </c>
      <c r="C910" s="4" t="str">
        <f>RTD("rtdtrading.rtdserver",, "BOOK0", "OVD", 906)</f>
        <v>Ferramenta Inválida</v>
      </c>
      <c r="D910" s="4" t="str">
        <f>RTD("rtdtrading.rtdserver",, "BOOK0", "VOV", 906)</f>
        <v>Ferramenta Inválida</v>
      </c>
      <c r="F910" s="3"/>
      <c r="G910" s="5"/>
      <c r="H910" s="6"/>
      <c r="I910" s="4"/>
      <c r="K910" s="5"/>
      <c r="L910" s="6"/>
      <c r="N910" s="3"/>
      <c r="O910" s="3"/>
      <c r="P910" s="4"/>
      <c r="Q910" s="4"/>
      <c r="S910" s="3"/>
      <c r="T910" s="3"/>
      <c r="U910" s="4"/>
      <c r="V910" s="4"/>
    </row>
    <row r="911" spans="1:22" x14ac:dyDescent="0.25">
      <c r="A911" s="3" t="str">
        <f>RTD("rtdtrading.rtdserver",, "BOOK0", "VOC", 907)</f>
        <v>Ferramenta Inválida</v>
      </c>
      <c r="B911" s="3" t="str">
        <f>RTD("rtdtrading.rtdserver",, "BOOK0", "OCP", 907)</f>
        <v>Ferramenta Inválida</v>
      </c>
      <c r="C911" s="4" t="str">
        <f>RTD("rtdtrading.rtdserver",, "BOOK0", "OVD", 907)</f>
        <v>Ferramenta Inválida</v>
      </c>
      <c r="D911" s="4" t="str">
        <f>RTD("rtdtrading.rtdserver",, "BOOK0", "VOV", 907)</f>
        <v>Ferramenta Inválida</v>
      </c>
      <c r="F911" s="3"/>
      <c r="G911" s="5"/>
      <c r="H911" s="6"/>
      <c r="I911" s="4"/>
      <c r="K911" s="5"/>
      <c r="L911" s="6"/>
      <c r="N911" s="3"/>
      <c r="O911" s="3"/>
      <c r="P911" s="4"/>
      <c r="Q911" s="4"/>
      <c r="S911" s="3"/>
      <c r="T911" s="3"/>
      <c r="U911" s="4"/>
      <c r="V911" s="4"/>
    </row>
    <row r="912" spans="1:22" x14ac:dyDescent="0.25">
      <c r="A912" s="3" t="str">
        <f>RTD("rtdtrading.rtdserver",, "BOOK0", "VOC", 908)</f>
        <v>Ferramenta Inválida</v>
      </c>
      <c r="B912" s="3" t="str">
        <f>RTD("rtdtrading.rtdserver",, "BOOK0", "OCP", 908)</f>
        <v>Ferramenta Inválida</v>
      </c>
      <c r="C912" s="4" t="str">
        <f>RTD("rtdtrading.rtdserver",, "BOOK0", "OVD", 908)</f>
        <v>Ferramenta Inválida</v>
      </c>
      <c r="D912" s="4" t="str">
        <f>RTD("rtdtrading.rtdserver",, "BOOK0", "VOV", 908)</f>
        <v>Ferramenta Inválida</v>
      </c>
      <c r="F912" s="3"/>
      <c r="G912" s="5"/>
      <c r="H912" s="6"/>
      <c r="I912" s="4"/>
      <c r="K912" s="5"/>
      <c r="L912" s="6"/>
      <c r="N912" s="3"/>
      <c r="O912" s="3"/>
      <c r="P912" s="4"/>
      <c r="Q912" s="4"/>
      <c r="S912" s="3"/>
      <c r="T912" s="3"/>
      <c r="U912" s="4"/>
      <c r="V912" s="4"/>
    </row>
    <row r="913" spans="1:22" x14ac:dyDescent="0.25">
      <c r="A913" s="3" t="str">
        <f>RTD("rtdtrading.rtdserver",, "BOOK0", "VOC", 909)</f>
        <v>Ferramenta Inválida</v>
      </c>
      <c r="B913" s="3" t="str">
        <f>RTD("rtdtrading.rtdserver",, "BOOK0", "OCP", 909)</f>
        <v>Ferramenta Inválida</v>
      </c>
      <c r="C913" s="4" t="str">
        <f>RTD("rtdtrading.rtdserver",, "BOOK0", "OVD", 909)</f>
        <v>Ferramenta Inválida</v>
      </c>
      <c r="D913" s="4" t="str">
        <f>RTD("rtdtrading.rtdserver",, "BOOK0", "VOV", 909)</f>
        <v>Ferramenta Inválida</v>
      </c>
      <c r="F913" s="3"/>
      <c r="G913" s="5"/>
      <c r="H913" s="6"/>
      <c r="I913" s="4"/>
      <c r="K913" s="5"/>
      <c r="L913" s="6"/>
      <c r="N913" s="3"/>
      <c r="O913" s="3"/>
      <c r="P913" s="4"/>
      <c r="Q913" s="4"/>
      <c r="S913" s="3"/>
      <c r="T913" s="3"/>
      <c r="U913" s="4"/>
      <c r="V913" s="4"/>
    </row>
    <row r="914" spans="1:22" x14ac:dyDescent="0.25">
      <c r="A914" s="3" t="str">
        <f>RTD("rtdtrading.rtdserver",, "BOOK0", "VOC", 910)</f>
        <v>Ferramenta Inválida</v>
      </c>
      <c r="B914" s="3" t="str">
        <f>RTD("rtdtrading.rtdserver",, "BOOK0", "OCP", 910)</f>
        <v>Ferramenta Inválida</v>
      </c>
      <c r="C914" s="4" t="str">
        <f>RTD("rtdtrading.rtdserver",, "BOOK0", "OVD", 910)</f>
        <v>Ferramenta Inválida</v>
      </c>
      <c r="D914" s="4" t="str">
        <f>RTD("rtdtrading.rtdserver",, "BOOK0", "VOV", 910)</f>
        <v>Ferramenta Inválida</v>
      </c>
      <c r="F914" s="3"/>
      <c r="G914" s="5"/>
      <c r="H914" s="6"/>
      <c r="I914" s="4"/>
      <c r="K914" s="5"/>
      <c r="L914" s="6"/>
      <c r="N914" s="3"/>
      <c r="O914" s="3"/>
      <c r="P914" s="4"/>
      <c r="Q914" s="4"/>
      <c r="S914" s="3"/>
      <c r="T914" s="3"/>
      <c r="U914" s="4"/>
      <c r="V914" s="4"/>
    </row>
    <row r="915" spans="1:22" x14ac:dyDescent="0.25">
      <c r="A915" s="3" t="str">
        <f>RTD("rtdtrading.rtdserver",, "BOOK0", "VOC", 911)</f>
        <v>Ferramenta Inválida</v>
      </c>
      <c r="B915" s="3" t="str">
        <f>RTD("rtdtrading.rtdserver",, "BOOK0", "OCP", 911)</f>
        <v>Ferramenta Inválida</v>
      </c>
      <c r="C915" s="4" t="str">
        <f>RTD("rtdtrading.rtdserver",, "BOOK0", "OVD", 911)</f>
        <v>Ferramenta Inválida</v>
      </c>
      <c r="D915" s="4" t="str">
        <f>RTD("rtdtrading.rtdserver",, "BOOK0", "VOV", 911)</f>
        <v>Ferramenta Inválida</v>
      </c>
      <c r="F915" s="3"/>
      <c r="G915" s="5"/>
      <c r="H915" s="6"/>
      <c r="I915" s="4"/>
      <c r="K915" s="5"/>
      <c r="L915" s="6"/>
      <c r="N915" s="3"/>
      <c r="O915" s="3"/>
      <c r="P915" s="4"/>
      <c r="Q915" s="4"/>
      <c r="S915" s="3"/>
      <c r="T915" s="3"/>
      <c r="U915" s="4"/>
      <c r="V915" s="4"/>
    </row>
    <row r="916" spans="1:22" x14ac:dyDescent="0.25">
      <c r="A916" s="3" t="str">
        <f>RTD("rtdtrading.rtdserver",, "BOOK0", "VOC", 912)</f>
        <v>Ferramenta Inválida</v>
      </c>
      <c r="B916" s="3" t="str">
        <f>RTD("rtdtrading.rtdserver",, "BOOK0", "OCP", 912)</f>
        <v>Ferramenta Inválida</v>
      </c>
      <c r="C916" s="4" t="str">
        <f>RTD("rtdtrading.rtdserver",, "BOOK0", "OVD", 912)</f>
        <v>Ferramenta Inválida</v>
      </c>
      <c r="D916" s="4" t="str">
        <f>RTD("rtdtrading.rtdserver",, "BOOK0", "VOV", 912)</f>
        <v>Ferramenta Inválida</v>
      </c>
      <c r="F916" s="3"/>
      <c r="G916" s="5"/>
      <c r="H916" s="6"/>
      <c r="I916" s="4"/>
      <c r="K916" s="5"/>
      <c r="L916" s="6"/>
      <c r="N916" s="3"/>
      <c r="O916" s="3"/>
      <c r="P916" s="4"/>
      <c r="Q916" s="4"/>
      <c r="S916" s="3"/>
      <c r="T916" s="3"/>
      <c r="U916" s="4"/>
      <c r="V916" s="4"/>
    </row>
    <row r="917" spans="1:22" x14ac:dyDescent="0.25">
      <c r="A917" s="3" t="str">
        <f>RTD("rtdtrading.rtdserver",, "BOOK0", "VOC", 913)</f>
        <v>Ferramenta Inválida</v>
      </c>
      <c r="B917" s="3" t="str">
        <f>RTD("rtdtrading.rtdserver",, "BOOK0", "OCP", 913)</f>
        <v>Ferramenta Inválida</v>
      </c>
      <c r="C917" s="4" t="str">
        <f>RTD("rtdtrading.rtdserver",, "BOOK0", "OVD", 913)</f>
        <v>Ferramenta Inválida</v>
      </c>
      <c r="D917" s="4" t="str">
        <f>RTD("rtdtrading.rtdserver",, "BOOK0", "VOV", 913)</f>
        <v>Ferramenta Inválida</v>
      </c>
      <c r="F917" s="3"/>
      <c r="G917" s="5"/>
      <c r="H917" s="6"/>
      <c r="I917" s="4"/>
      <c r="K917" s="5"/>
      <c r="L917" s="6"/>
      <c r="N917" s="3"/>
      <c r="O917" s="3"/>
      <c r="P917" s="4"/>
      <c r="Q917" s="4"/>
      <c r="S917" s="3"/>
      <c r="T917" s="3"/>
      <c r="U917" s="4"/>
      <c r="V917" s="4"/>
    </row>
    <row r="918" spans="1:22" x14ac:dyDescent="0.25">
      <c r="A918" s="3" t="str">
        <f>RTD("rtdtrading.rtdserver",, "BOOK0", "VOC", 914)</f>
        <v>Ferramenta Inválida</v>
      </c>
      <c r="B918" s="3" t="str">
        <f>RTD("rtdtrading.rtdserver",, "BOOK0", "OCP", 914)</f>
        <v>Ferramenta Inválida</v>
      </c>
      <c r="C918" s="4" t="str">
        <f>RTD("rtdtrading.rtdserver",, "BOOK0", "OVD", 914)</f>
        <v>Ferramenta Inválida</v>
      </c>
      <c r="D918" s="4" t="str">
        <f>RTD("rtdtrading.rtdserver",, "BOOK0", "VOV", 914)</f>
        <v>Ferramenta Inválida</v>
      </c>
      <c r="F918" s="3"/>
      <c r="G918" s="5"/>
      <c r="H918" s="6"/>
      <c r="I918" s="4"/>
      <c r="K918" s="5"/>
      <c r="L918" s="6"/>
      <c r="N918" s="3"/>
      <c r="O918" s="3"/>
      <c r="P918" s="4"/>
      <c r="Q918" s="4"/>
      <c r="S918" s="3"/>
      <c r="T918" s="3"/>
      <c r="U918" s="4"/>
      <c r="V918" s="4"/>
    </row>
    <row r="919" spans="1:22" x14ac:dyDescent="0.25">
      <c r="A919" s="3" t="str">
        <f>RTD("rtdtrading.rtdserver",, "BOOK0", "VOC", 915)</f>
        <v>Ferramenta Inválida</v>
      </c>
      <c r="B919" s="3" t="str">
        <f>RTD("rtdtrading.rtdserver",, "BOOK0", "OCP", 915)</f>
        <v>Ferramenta Inválida</v>
      </c>
      <c r="C919" s="4" t="str">
        <f>RTD("rtdtrading.rtdserver",, "BOOK0", "OVD", 915)</f>
        <v>Ferramenta Inválida</v>
      </c>
      <c r="D919" s="4" t="str">
        <f>RTD("rtdtrading.rtdserver",, "BOOK0", "VOV", 915)</f>
        <v>Ferramenta Inválida</v>
      </c>
      <c r="F919" s="3"/>
      <c r="G919" s="5"/>
      <c r="H919" s="6"/>
      <c r="I919" s="4"/>
      <c r="K919" s="5"/>
      <c r="L919" s="6"/>
      <c r="N919" s="3"/>
      <c r="O919" s="3"/>
      <c r="P919" s="4"/>
      <c r="Q919" s="4"/>
      <c r="S919" s="3"/>
      <c r="T919" s="3"/>
      <c r="U919" s="4"/>
      <c r="V919" s="4"/>
    </row>
    <row r="920" spans="1:22" x14ac:dyDescent="0.25">
      <c r="A920" s="3" t="str">
        <f>RTD("rtdtrading.rtdserver",, "BOOK0", "VOC", 916)</f>
        <v>Ferramenta Inválida</v>
      </c>
      <c r="B920" s="3" t="str">
        <f>RTD("rtdtrading.rtdserver",, "BOOK0", "OCP", 916)</f>
        <v>Ferramenta Inválida</v>
      </c>
      <c r="C920" s="4" t="str">
        <f>RTD("rtdtrading.rtdserver",, "BOOK0", "OVD", 916)</f>
        <v>Ferramenta Inválida</v>
      </c>
      <c r="D920" s="4" t="str">
        <f>RTD("rtdtrading.rtdserver",, "BOOK0", "VOV", 916)</f>
        <v>Ferramenta Inválida</v>
      </c>
      <c r="F920" s="3"/>
      <c r="G920" s="5"/>
      <c r="H920" s="6"/>
      <c r="I920" s="4"/>
      <c r="K920" s="5"/>
      <c r="L920" s="6"/>
      <c r="N920" s="3"/>
      <c r="O920" s="3"/>
      <c r="P920" s="4"/>
      <c r="Q920" s="4"/>
      <c r="S920" s="3"/>
      <c r="T920" s="3"/>
      <c r="U920" s="4"/>
      <c r="V920" s="4"/>
    </row>
    <row r="921" spans="1:22" x14ac:dyDescent="0.25">
      <c r="A921" s="3" t="str">
        <f>RTD("rtdtrading.rtdserver",, "BOOK0", "VOC", 917)</f>
        <v>Ferramenta Inválida</v>
      </c>
      <c r="B921" s="3" t="str">
        <f>RTD("rtdtrading.rtdserver",, "BOOK0", "OCP", 917)</f>
        <v>Ferramenta Inválida</v>
      </c>
      <c r="C921" s="4" t="str">
        <f>RTD("rtdtrading.rtdserver",, "BOOK0", "OVD", 917)</f>
        <v>Ferramenta Inválida</v>
      </c>
      <c r="D921" s="4" t="str">
        <f>RTD("rtdtrading.rtdserver",, "BOOK0", "VOV", 917)</f>
        <v>Ferramenta Inválida</v>
      </c>
      <c r="F921" s="3"/>
      <c r="G921" s="5"/>
      <c r="H921" s="6"/>
      <c r="I921" s="4"/>
      <c r="K921" s="5"/>
      <c r="L921" s="6"/>
      <c r="N921" s="3"/>
      <c r="O921" s="3"/>
      <c r="P921" s="4"/>
      <c r="Q921" s="4"/>
      <c r="S921" s="3"/>
      <c r="T921" s="3"/>
      <c r="U921" s="4"/>
      <c r="V921" s="4"/>
    </row>
    <row r="922" spans="1:22" x14ac:dyDescent="0.25">
      <c r="A922" s="3" t="str">
        <f>RTD("rtdtrading.rtdserver",, "BOOK0", "VOC", 918)</f>
        <v>Ferramenta Inválida</v>
      </c>
      <c r="B922" s="3" t="str">
        <f>RTD("rtdtrading.rtdserver",, "BOOK0", "OCP", 918)</f>
        <v>Ferramenta Inválida</v>
      </c>
      <c r="C922" s="4" t="str">
        <f>RTD("rtdtrading.rtdserver",, "BOOK0", "OVD", 918)</f>
        <v>Ferramenta Inválida</v>
      </c>
      <c r="D922" s="4" t="str">
        <f>RTD("rtdtrading.rtdserver",, "BOOK0", "VOV", 918)</f>
        <v>Ferramenta Inválida</v>
      </c>
      <c r="F922" s="3"/>
      <c r="G922" s="5"/>
      <c r="H922" s="6"/>
      <c r="I922" s="4"/>
      <c r="K922" s="5"/>
      <c r="L922" s="6"/>
      <c r="N922" s="3"/>
      <c r="O922" s="3"/>
      <c r="P922" s="4"/>
      <c r="Q922" s="4"/>
      <c r="S922" s="3"/>
      <c r="T922" s="3"/>
      <c r="U922" s="4"/>
      <c r="V922" s="4"/>
    </row>
    <row r="923" spans="1:22" x14ac:dyDescent="0.25">
      <c r="A923" s="3" t="str">
        <f>RTD("rtdtrading.rtdserver",, "BOOK0", "VOC", 919)</f>
        <v>Ferramenta Inválida</v>
      </c>
      <c r="B923" s="3" t="str">
        <f>RTD("rtdtrading.rtdserver",, "BOOK0", "OCP", 919)</f>
        <v>Ferramenta Inválida</v>
      </c>
      <c r="C923" s="4" t="str">
        <f>RTD("rtdtrading.rtdserver",, "BOOK0", "OVD", 919)</f>
        <v>Ferramenta Inválida</v>
      </c>
      <c r="D923" s="4" t="str">
        <f>RTD("rtdtrading.rtdserver",, "BOOK0", "VOV", 919)</f>
        <v>Ferramenta Inválida</v>
      </c>
      <c r="F923" s="3"/>
      <c r="G923" s="5"/>
      <c r="H923" s="6"/>
      <c r="I923" s="4"/>
      <c r="K923" s="5"/>
      <c r="L923" s="6"/>
      <c r="N923" s="3"/>
      <c r="O923" s="3"/>
      <c r="P923" s="4"/>
      <c r="Q923" s="4"/>
      <c r="S923" s="3"/>
      <c r="T923" s="3"/>
      <c r="U923" s="4"/>
      <c r="V923" s="4"/>
    </row>
    <row r="924" spans="1:22" x14ac:dyDescent="0.25">
      <c r="A924" s="3" t="str">
        <f>RTD("rtdtrading.rtdserver",, "BOOK0", "VOC", 920)</f>
        <v>Ferramenta Inválida</v>
      </c>
      <c r="B924" s="3" t="str">
        <f>RTD("rtdtrading.rtdserver",, "BOOK0", "OCP", 920)</f>
        <v>Ferramenta Inválida</v>
      </c>
      <c r="C924" s="4" t="str">
        <f>RTD("rtdtrading.rtdserver",, "BOOK0", "OVD", 920)</f>
        <v>Ferramenta Inválida</v>
      </c>
      <c r="D924" s="4" t="str">
        <f>RTD("rtdtrading.rtdserver",, "BOOK0", "VOV", 920)</f>
        <v>Ferramenta Inválida</v>
      </c>
      <c r="F924" s="3"/>
      <c r="G924" s="5"/>
      <c r="H924" s="6"/>
      <c r="I924" s="4"/>
      <c r="K924" s="5"/>
      <c r="L924" s="6"/>
      <c r="N924" s="3"/>
      <c r="O924" s="3"/>
      <c r="P924" s="4"/>
      <c r="Q924" s="4"/>
      <c r="S924" s="3"/>
      <c r="T924" s="3"/>
      <c r="U924" s="4"/>
      <c r="V924" s="4"/>
    </row>
    <row r="925" spans="1:22" x14ac:dyDescent="0.25">
      <c r="A925" s="3" t="str">
        <f>RTD("rtdtrading.rtdserver",, "BOOK0", "VOC", 921)</f>
        <v>Ferramenta Inválida</v>
      </c>
      <c r="B925" s="3" t="str">
        <f>RTD("rtdtrading.rtdserver",, "BOOK0", "OCP", 921)</f>
        <v>Ferramenta Inválida</v>
      </c>
      <c r="C925" s="4" t="str">
        <f>RTD("rtdtrading.rtdserver",, "BOOK0", "OVD", 921)</f>
        <v>Ferramenta Inválida</v>
      </c>
      <c r="D925" s="4" t="str">
        <f>RTD("rtdtrading.rtdserver",, "BOOK0", "VOV", 921)</f>
        <v>Ferramenta Inválida</v>
      </c>
      <c r="F925" s="3"/>
      <c r="G925" s="5"/>
      <c r="H925" s="6"/>
      <c r="I925" s="4"/>
      <c r="K925" s="5"/>
      <c r="L925" s="6"/>
      <c r="N925" s="3"/>
      <c r="O925" s="3"/>
      <c r="P925" s="4"/>
      <c r="Q925" s="4"/>
      <c r="S925" s="3"/>
      <c r="T925" s="3"/>
      <c r="U925" s="4"/>
      <c r="V925" s="4"/>
    </row>
    <row r="926" spans="1:22" x14ac:dyDescent="0.25">
      <c r="A926" s="3" t="str">
        <f>RTD("rtdtrading.rtdserver",, "BOOK0", "VOC", 922)</f>
        <v>Ferramenta Inválida</v>
      </c>
      <c r="B926" s="3" t="str">
        <f>RTD("rtdtrading.rtdserver",, "BOOK0", "OCP", 922)</f>
        <v>Ferramenta Inválida</v>
      </c>
      <c r="C926" s="4" t="str">
        <f>RTD("rtdtrading.rtdserver",, "BOOK0", "OVD", 922)</f>
        <v>Ferramenta Inválida</v>
      </c>
      <c r="D926" s="4" t="str">
        <f>RTD("rtdtrading.rtdserver",, "BOOK0", "VOV", 922)</f>
        <v>Ferramenta Inválida</v>
      </c>
      <c r="F926" s="3"/>
      <c r="G926" s="5"/>
      <c r="H926" s="6"/>
      <c r="I926" s="4"/>
      <c r="K926" s="5"/>
      <c r="L926" s="6"/>
      <c r="N926" s="3"/>
      <c r="O926" s="3"/>
      <c r="P926" s="4"/>
      <c r="Q926" s="4"/>
      <c r="S926" s="3"/>
      <c r="T926" s="3"/>
      <c r="U926" s="4"/>
      <c r="V926" s="4"/>
    </row>
    <row r="927" spans="1:22" x14ac:dyDescent="0.25">
      <c r="A927" s="3" t="str">
        <f>RTD("rtdtrading.rtdserver",, "BOOK0", "VOC", 923)</f>
        <v>Ferramenta Inválida</v>
      </c>
      <c r="B927" s="3" t="str">
        <f>RTD("rtdtrading.rtdserver",, "BOOK0", "OCP", 923)</f>
        <v>Ferramenta Inválida</v>
      </c>
      <c r="C927" s="4" t="str">
        <f>RTD("rtdtrading.rtdserver",, "BOOK0", "OVD", 923)</f>
        <v>Ferramenta Inválida</v>
      </c>
      <c r="D927" s="4" t="str">
        <f>RTD("rtdtrading.rtdserver",, "BOOK0", "VOV", 923)</f>
        <v>Ferramenta Inválida</v>
      </c>
      <c r="F927" s="3"/>
      <c r="G927" s="5"/>
      <c r="H927" s="6"/>
      <c r="I927" s="4"/>
      <c r="K927" s="5"/>
      <c r="L927" s="6"/>
      <c r="N927" s="3"/>
      <c r="O927" s="3"/>
      <c r="P927" s="4"/>
      <c r="Q927" s="4"/>
      <c r="S927" s="3"/>
      <c r="T927" s="3"/>
      <c r="U927" s="4"/>
      <c r="V927" s="4"/>
    </row>
    <row r="928" spans="1:22" x14ac:dyDescent="0.25">
      <c r="A928" s="3" t="str">
        <f>RTD("rtdtrading.rtdserver",, "BOOK0", "VOC", 924)</f>
        <v>Ferramenta Inválida</v>
      </c>
      <c r="B928" s="3" t="str">
        <f>RTD("rtdtrading.rtdserver",, "BOOK0", "OCP", 924)</f>
        <v>Ferramenta Inválida</v>
      </c>
      <c r="C928" s="4" t="str">
        <f>RTD("rtdtrading.rtdserver",, "BOOK0", "OVD", 924)</f>
        <v>Ferramenta Inválida</v>
      </c>
      <c r="D928" s="4" t="str">
        <f>RTD("rtdtrading.rtdserver",, "BOOK0", "VOV", 924)</f>
        <v>Ferramenta Inválida</v>
      </c>
      <c r="F928" s="3"/>
      <c r="G928" s="5"/>
      <c r="H928" s="6"/>
      <c r="I928" s="4"/>
      <c r="K928" s="5"/>
      <c r="L928" s="6"/>
      <c r="N928" s="3"/>
      <c r="O928" s="3"/>
      <c r="P928" s="4"/>
      <c r="Q928" s="4"/>
      <c r="S928" s="3"/>
      <c r="T928" s="3"/>
      <c r="U928" s="4"/>
      <c r="V928" s="4"/>
    </row>
    <row r="929" spans="1:22" x14ac:dyDescent="0.25">
      <c r="A929" s="3" t="str">
        <f>RTD("rtdtrading.rtdserver",, "BOOK0", "VOC", 925)</f>
        <v>Ferramenta Inválida</v>
      </c>
      <c r="B929" s="3" t="str">
        <f>RTD("rtdtrading.rtdserver",, "BOOK0", "OCP", 925)</f>
        <v>Ferramenta Inválida</v>
      </c>
      <c r="C929" s="4" t="str">
        <f>RTD("rtdtrading.rtdserver",, "BOOK0", "OVD", 925)</f>
        <v>Ferramenta Inválida</v>
      </c>
      <c r="D929" s="4" t="str">
        <f>RTD("rtdtrading.rtdserver",, "BOOK0", "VOV", 925)</f>
        <v>Ferramenta Inválida</v>
      </c>
      <c r="F929" s="3"/>
      <c r="G929" s="5"/>
      <c r="H929" s="6"/>
      <c r="I929" s="4"/>
      <c r="K929" s="5"/>
      <c r="L929" s="6"/>
      <c r="N929" s="3"/>
      <c r="O929" s="3"/>
      <c r="P929" s="4"/>
      <c r="Q929" s="4"/>
      <c r="S929" s="3"/>
      <c r="T929" s="3"/>
      <c r="U929" s="4"/>
      <c r="V929" s="4"/>
    </row>
    <row r="930" spans="1:22" x14ac:dyDescent="0.25">
      <c r="A930" s="3" t="str">
        <f>RTD("rtdtrading.rtdserver",, "BOOK0", "VOC", 926)</f>
        <v>Ferramenta Inválida</v>
      </c>
      <c r="B930" s="3" t="str">
        <f>RTD("rtdtrading.rtdserver",, "BOOK0", "OCP", 926)</f>
        <v>Ferramenta Inválida</v>
      </c>
      <c r="C930" s="4" t="str">
        <f>RTD("rtdtrading.rtdserver",, "BOOK0", "OVD", 926)</f>
        <v>Ferramenta Inválida</v>
      </c>
      <c r="D930" s="4" t="str">
        <f>RTD("rtdtrading.rtdserver",, "BOOK0", "VOV", 926)</f>
        <v>Ferramenta Inválida</v>
      </c>
      <c r="F930" s="3"/>
      <c r="G930" s="5"/>
      <c r="H930" s="6"/>
      <c r="I930" s="4"/>
      <c r="K930" s="5"/>
      <c r="L930" s="6"/>
      <c r="N930" s="3"/>
      <c r="O930" s="3"/>
      <c r="P930" s="4"/>
      <c r="Q930" s="4"/>
      <c r="S930" s="3"/>
      <c r="T930" s="3"/>
      <c r="U930" s="4"/>
      <c r="V930" s="4"/>
    </row>
    <row r="931" spans="1:22" x14ac:dyDescent="0.25">
      <c r="A931" s="3" t="str">
        <f>RTD("rtdtrading.rtdserver",, "BOOK0", "VOC", 927)</f>
        <v>Ferramenta Inválida</v>
      </c>
      <c r="B931" s="3" t="str">
        <f>RTD("rtdtrading.rtdserver",, "BOOK0", "OCP", 927)</f>
        <v>Ferramenta Inválida</v>
      </c>
      <c r="C931" s="4" t="str">
        <f>RTD("rtdtrading.rtdserver",, "BOOK0", "OVD", 927)</f>
        <v>Ferramenta Inválida</v>
      </c>
      <c r="D931" s="4" t="str">
        <f>RTD("rtdtrading.rtdserver",, "BOOK0", "VOV", 927)</f>
        <v>Ferramenta Inválida</v>
      </c>
      <c r="F931" s="3"/>
      <c r="G931" s="5"/>
      <c r="H931" s="6"/>
      <c r="I931" s="4"/>
      <c r="K931" s="5"/>
      <c r="L931" s="6"/>
      <c r="N931" s="3"/>
      <c r="O931" s="3"/>
      <c r="P931" s="4"/>
      <c r="Q931" s="4"/>
      <c r="S931" s="3"/>
      <c r="T931" s="3"/>
      <c r="U931" s="4"/>
      <c r="V931" s="4"/>
    </row>
    <row r="932" spans="1:22" x14ac:dyDescent="0.25">
      <c r="A932" s="3" t="str">
        <f>RTD("rtdtrading.rtdserver",, "BOOK0", "VOC", 928)</f>
        <v>Ferramenta Inválida</v>
      </c>
      <c r="B932" s="3" t="str">
        <f>RTD("rtdtrading.rtdserver",, "BOOK0", "OCP", 928)</f>
        <v>Ferramenta Inválida</v>
      </c>
      <c r="C932" s="4" t="str">
        <f>RTD("rtdtrading.rtdserver",, "BOOK0", "OVD", 928)</f>
        <v>Ferramenta Inválida</v>
      </c>
      <c r="D932" s="4" t="str">
        <f>RTD("rtdtrading.rtdserver",, "BOOK0", "VOV", 928)</f>
        <v>Ferramenta Inválida</v>
      </c>
      <c r="F932" s="3"/>
      <c r="G932" s="5"/>
      <c r="H932" s="6"/>
      <c r="I932" s="4"/>
      <c r="K932" s="5"/>
      <c r="L932" s="6"/>
      <c r="N932" s="3"/>
      <c r="O932" s="3"/>
      <c r="P932" s="4"/>
      <c r="Q932" s="4"/>
      <c r="S932" s="3"/>
      <c r="T932" s="3"/>
      <c r="U932" s="4"/>
      <c r="V932" s="4"/>
    </row>
    <row r="933" spans="1:22" x14ac:dyDescent="0.25">
      <c r="A933" s="3" t="str">
        <f>RTD("rtdtrading.rtdserver",, "BOOK0", "VOC", 929)</f>
        <v>Ferramenta Inválida</v>
      </c>
      <c r="B933" s="3" t="str">
        <f>RTD("rtdtrading.rtdserver",, "BOOK0", "OCP", 929)</f>
        <v>Ferramenta Inválida</v>
      </c>
      <c r="C933" s="4" t="str">
        <f>RTD("rtdtrading.rtdserver",, "BOOK0", "OVD", 929)</f>
        <v>Ferramenta Inválida</v>
      </c>
      <c r="D933" s="4" t="str">
        <f>RTD("rtdtrading.rtdserver",, "BOOK0", "VOV", 929)</f>
        <v>Ferramenta Inválida</v>
      </c>
      <c r="F933" s="3"/>
      <c r="G933" s="5"/>
      <c r="H933" s="6"/>
      <c r="I933" s="4"/>
      <c r="K933" s="5"/>
      <c r="L933" s="6"/>
      <c r="N933" s="3"/>
      <c r="O933" s="3"/>
      <c r="P933" s="4"/>
      <c r="Q933" s="4"/>
      <c r="S933" s="3"/>
      <c r="T933" s="3"/>
      <c r="U933" s="4"/>
      <c r="V933" s="4"/>
    </row>
    <row r="934" spans="1:22" x14ac:dyDescent="0.25">
      <c r="A934" s="3" t="str">
        <f>RTD("rtdtrading.rtdserver",, "BOOK0", "VOC", 930)</f>
        <v>Ferramenta Inválida</v>
      </c>
      <c r="B934" s="3" t="str">
        <f>RTD("rtdtrading.rtdserver",, "BOOK0", "OCP", 930)</f>
        <v>Ferramenta Inválida</v>
      </c>
      <c r="C934" s="4" t="str">
        <f>RTD("rtdtrading.rtdserver",, "BOOK0", "OVD", 930)</f>
        <v>Ferramenta Inválida</v>
      </c>
      <c r="D934" s="4" t="str">
        <f>RTD("rtdtrading.rtdserver",, "BOOK0", "VOV", 930)</f>
        <v>Ferramenta Inválida</v>
      </c>
      <c r="F934" s="3"/>
      <c r="G934" s="5"/>
      <c r="H934" s="6"/>
      <c r="I934" s="4"/>
      <c r="K934" s="5"/>
      <c r="L934" s="6"/>
      <c r="N934" s="3"/>
      <c r="O934" s="3"/>
      <c r="P934" s="4"/>
      <c r="Q934" s="4"/>
      <c r="S934" s="3"/>
      <c r="T934" s="3"/>
      <c r="U934" s="4"/>
      <c r="V934" s="4"/>
    </row>
    <row r="935" spans="1:22" x14ac:dyDescent="0.25">
      <c r="A935" s="3" t="str">
        <f>RTD("rtdtrading.rtdserver",, "BOOK0", "VOC", 931)</f>
        <v>Ferramenta Inválida</v>
      </c>
      <c r="B935" s="3" t="str">
        <f>RTD("rtdtrading.rtdserver",, "BOOK0", "OCP", 931)</f>
        <v>Ferramenta Inválida</v>
      </c>
      <c r="C935" s="4" t="str">
        <f>RTD("rtdtrading.rtdserver",, "BOOK0", "OVD", 931)</f>
        <v>Ferramenta Inválida</v>
      </c>
      <c r="D935" s="4" t="str">
        <f>RTD("rtdtrading.rtdserver",, "BOOK0", "VOV", 931)</f>
        <v>Ferramenta Inválida</v>
      </c>
      <c r="F935" s="3"/>
      <c r="G935" s="5"/>
      <c r="H935" s="6"/>
      <c r="I935" s="4"/>
      <c r="K935" s="5"/>
      <c r="L935" s="6"/>
      <c r="N935" s="3"/>
      <c r="O935" s="3"/>
      <c r="P935" s="4"/>
      <c r="Q935" s="4"/>
      <c r="S935" s="3"/>
      <c r="T935" s="3"/>
      <c r="U935" s="4"/>
      <c r="V935" s="4"/>
    </row>
    <row r="936" spans="1:22" x14ac:dyDescent="0.25">
      <c r="A936" s="3" t="str">
        <f>RTD("rtdtrading.rtdserver",, "BOOK0", "VOC", 932)</f>
        <v>Ferramenta Inválida</v>
      </c>
      <c r="B936" s="3" t="str">
        <f>RTD("rtdtrading.rtdserver",, "BOOK0", "OCP", 932)</f>
        <v>Ferramenta Inválida</v>
      </c>
      <c r="C936" s="4" t="str">
        <f>RTD("rtdtrading.rtdserver",, "BOOK0", "OVD", 932)</f>
        <v>Ferramenta Inválida</v>
      </c>
      <c r="D936" s="4" t="str">
        <f>RTD("rtdtrading.rtdserver",, "BOOK0", "VOV", 932)</f>
        <v>Ferramenta Inválida</v>
      </c>
      <c r="F936" s="3"/>
      <c r="G936" s="5"/>
      <c r="H936" s="6"/>
      <c r="I936" s="4"/>
      <c r="K936" s="5"/>
      <c r="L936" s="6"/>
      <c r="N936" s="3"/>
      <c r="O936" s="3"/>
      <c r="P936" s="4"/>
      <c r="Q936" s="4"/>
      <c r="S936" s="3"/>
      <c r="T936" s="3"/>
      <c r="U936" s="4"/>
      <c r="V936" s="4"/>
    </row>
    <row r="937" spans="1:22" x14ac:dyDescent="0.25">
      <c r="A937" s="3" t="str">
        <f>RTD("rtdtrading.rtdserver",, "BOOK0", "VOC", 933)</f>
        <v>Ferramenta Inválida</v>
      </c>
      <c r="B937" s="3" t="str">
        <f>RTD("rtdtrading.rtdserver",, "BOOK0", "OCP", 933)</f>
        <v>Ferramenta Inválida</v>
      </c>
      <c r="C937" s="4" t="str">
        <f>RTD("rtdtrading.rtdserver",, "BOOK0", "OVD", 933)</f>
        <v>Ferramenta Inválida</v>
      </c>
      <c r="D937" s="4" t="str">
        <f>RTD("rtdtrading.rtdserver",, "BOOK0", "VOV", 933)</f>
        <v>Ferramenta Inválida</v>
      </c>
      <c r="F937" s="3"/>
      <c r="G937" s="5"/>
      <c r="H937" s="6"/>
      <c r="I937" s="4"/>
      <c r="K937" s="5"/>
      <c r="L937" s="6"/>
      <c r="N937" s="3"/>
      <c r="O937" s="3"/>
      <c r="P937" s="4"/>
      <c r="Q937" s="4"/>
      <c r="S937" s="3"/>
      <c r="T937" s="3"/>
      <c r="U937" s="4"/>
      <c r="V937" s="4"/>
    </row>
    <row r="938" spans="1:22" x14ac:dyDescent="0.25">
      <c r="A938" s="3" t="str">
        <f>RTD("rtdtrading.rtdserver",, "BOOK0", "VOC", 934)</f>
        <v>Ferramenta Inválida</v>
      </c>
      <c r="B938" s="3" t="str">
        <f>RTD("rtdtrading.rtdserver",, "BOOK0", "OCP", 934)</f>
        <v>Ferramenta Inválida</v>
      </c>
      <c r="C938" s="4" t="str">
        <f>RTD("rtdtrading.rtdserver",, "BOOK0", "OVD", 934)</f>
        <v>Ferramenta Inválida</v>
      </c>
      <c r="D938" s="4" t="str">
        <f>RTD("rtdtrading.rtdserver",, "BOOK0", "VOV", 934)</f>
        <v>Ferramenta Inválida</v>
      </c>
      <c r="F938" s="3"/>
      <c r="G938" s="5"/>
      <c r="H938" s="6"/>
      <c r="I938" s="4"/>
      <c r="K938" s="5"/>
      <c r="L938" s="6"/>
      <c r="N938" s="3"/>
      <c r="O938" s="3"/>
      <c r="P938" s="4"/>
      <c r="Q938" s="4"/>
      <c r="S938" s="3"/>
      <c r="T938" s="3"/>
      <c r="U938" s="4"/>
      <c r="V938" s="4"/>
    </row>
    <row r="939" spans="1:22" x14ac:dyDescent="0.25">
      <c r="A939" s="3" t="str">
        <f>RTD("rtdtrading.rtdserver",, "BOOK0", "VOC", 935)</f>
        <v>Ferramenta Inválida</v>
      </c>
      <c r="B939" s="3" t="str">
        <f>RTD("rtdtrading.rtdserver",, "BOOK0", "OCP", 935)</f>
        <v>Ferramenta Inválida</v>
      </c>
      <c r="C939" s="4" t="str">
        <f>RTD("rtdtrading.rtdserver",, "BOOK0", "OVD", 935)</f>
        <v>Ferramenta Inválida</v>
      </c>
      <c r="D939" s="4" t="str">
        <f>RTD("rtdtrading.rtdserver",, "BOOK0", "VOV", 935)</f>
        <v>Ferramenta Inválida</v>
      </c>
      <c r="F939" s="3"/>
      <c r="G939" s="5"/>
      <c r="H939" s="6"/>
      <c r="I939" s="4"/>
      <c r="K939" s="5"/>
      <c r="L939" s="6"/>
      <c r="N939" s="3"/>
      <c r="O939" s="3"/>
      <c r="P939" s="4"/>
      <c r="Q939" s="4"/>
      <c r="S939" s="3"/>
      <c r="T939" s="3"/>
      <c r="U939" s="4"/>
      <c r="V939" s="4"/>
    </row>
    <row r="940" spans="1:22" x14ac:dyDescent="0.25">
      <c r="A940" s="3" t="str">
        <f>RTD("rtdtrading.rtdserver",, "BOOK0", "VOC", 936)</f>
        <v>Ferramenta Inválida</v>
      </c>
      <c r="B940" s="3" t="str">
        <f>RTD("rtdtrading.rtdserver",, "BOOK0", "OCP", 936)</f>
        <v>Ferramenta Inválida</v>
      </c>
      <c r="C940" s="4" t="str">
        <f>RTD("rtdtrading.rtdserver",, "BOOK0", "OVD", 936)</f>
        <v>Ferramenta Inválida</v>
      </c>
      <c r="D940" s="4" t="str">
        <f>RTD("rtdtrading.rtdserver",, "BOOK0", "VOV", 936)</f>
        <v>Ferramenta Inválida</v>
      </c>
      <c r="F940" s="3"/>
      <c r="G940" s="5"/>
      <c r="H940" s="6"/>
      <c r="I940" s="4"/>
      <c r="K940" s="5"/>
      <c r="L940" s="6"/>
      <c r="N940" s="3"/>
      <c r="O940" s="3"/>
      <c r="P940" s="4"/>
      <c r="Q940" s="4"/>
      <c r="S940" s="3"/>
      <c r="T940" s="3"/>
      <c r="U940" s="4"/>
      <c r="V940" s="4"/>
    </row>
    <row r="941" spans="1:22" x14ac:dyDescent="0.25">
      <c r="A941" s="3" t="str">
        <f>RTD("rtdtrading.rtdserver",, "BOOK0", "VOC", 937)</f>
        <v>Ferramenta Inválida</v>
      </c>
      <c r="B941" s="3" t="str">
        <f>RTD("rtdtrading.rtdserver",, "BOOK0", "OCP", 937)</f>
        <v>Ferramenta Inválida</v>
      </c>
      <c r="C941" s="4" t="str">
        <f>RTD("rtdtrading.rtdserver",, "BOOK0", "OVD", 937)</f>
        <v>Ferramenta Inválida</v>
      </c>
      <c r="D941" s="4" t="str">
        <f>RTD("rtdtrading.rtdserver",, "BOOK0", "VOV", 937)</f>
        <v>Ferramenta Inválida</v>
      </c>
      <c r="F941" s="3"/>
      <c r="G941" s="5"/>
      <c r="H941" s="6"/>
      <c r="I941" s="4"/>
      <c r="K941" s="5"/>
      <c r="L941" s="6"/>
      <c r="N941" s="3"/>
      <c r="O941" s="3"/>
      <c r="P941" s="4"/>
      <c r="Q941" s="4"/>
      <c r="S941" s="3"/>
      <c r="T941" s="3"/>
      <c r="U941" s="4"/>
      <c r="V941" s="4"/>
    </row>
    <row r="942" spans="1:22" x14ac:dyDescent="0.25">
      <c r="A942" s="3" t="str">
        <f>RTD("rtdtrading.rtdserver",, "BOOK0", "VOC", 938)</f>
        <v>Ferramenta Inválida</v>
      </c>
      <c r="B942" s="3" t="str">
        <f>RTD("rtdtrading.rtdserver",, "BOOK0", "OCP", 938)</f>
        <v>Ferramenta Inválida</v>
      </c>
      <c r="C942" s="4" t="str">
        <f>RTD("rtdtrading.rtdserver",, "BOOK0", "OVD", 938)</f>
        <v>Ferramenta Inválida</v>
      </c>
      <c r="D942" s="4" t="str">
        <f>RTD("rtdtrading.rtdserver",, "BOOK0", "VOV", 938)</f>
        <v>Ferramenta Inválida</v>
      </c>
      <c r="F942" s="3"/>
      <c r="G942" s="5"/>
      <c r="H942" s="6"/>
      <c r="I942" s="4"/>
      <c r="K942" s="5"/>
      <c r="L942" s="6"/>
      <c r="N942" s="3"/>
      <c r="O942" s="3"/>
      <c r="P942" s="4"/>
      <c r="Q942" s="4"/>
      <c r="S942" s="3"/>
      <c r="T942" s="3"/>
      <c r="U942" s="4"/>
      <c r="V942" s="4"/>
    </row>
    <row r="943" spans="1:22" x14ac:dyDescent="0.25">
      <c r="A943" s="3" t="str">
        <f>RTD("rtdtrading.rtdserver",, "BOOK0", "VOC", 939)</f>
        <v>Ferramenta Inválida</v>
      </c>
      <c r="B943" s="3" t="str">
        <f>RTD("rtdtrading.rtdserver",, "BOOK0", "OCP", 939)</f>
        <v>Ferramenta Inválida</v>
      </c>
      <c r="C943" s="4" t="str">
        <f>RTD("rtdtrading.rtdserver",, "BOOK0", "OVD", 939)</f>
        <v>Ferramenta Inválida</v>
      </c>
      <c r="D943" s="4" t="str">
        <f>RTD("rtdtrading.rtdserver",, "BOOK0", "VOV", 939)</f>
        <v>Ferramenta Inválida</v>
      </c>
      <c r="F943" s="3"/>
      <c r="G943" s="5"/>
      <c r="H943" s="6"/>
      <c r="I943" s="4"/>
      <c r="K943" s="5"/>
      <c r="L943" s="6"/>
      <c r="N943" s="3"/>
      <c r="O943" s="3"/>
      <c r="P943" s="4"/>
      <c r="Q943" s="4"/>
      <c r="S943" s="3"/>
      <c r="T943" s="3"/>
      <c r="U943" s="4"/>
      <c r="V943" s="4"/>
    </row>
    <row r="944" spans="1:22" x14ac:dyDescent="0.25">
      <c r="A944" s="3" t="str">
        <f>RTD("rtdtrading.rtdserver",, "BOOK0", "VOC", 940)</f>
        <v>Ferramenta Inválida</v>
      </c>
      <c r="B944" s="3" t="str">
        <f>RTD("rtdtrading.rtdserver",, "BOOK0", "OCP", 940)</f>
        <v>Ferramenta Inválida</v>
      </c>
      <c r="C944" s="4" t="str">
        <f>RTD("rtdtrading.rtdserver",, "BOOK0", "OVD", 940)</f>
        <v>Ferramenta Inválida</v>
      </c>
      <c r="D944" s="4" t="str">
        <f>RTD("rtdtrading.rtdserver",, "BOOK0", "VOV", 940)</f>
        <v>Ferramenta Inválida</v>
      </c>
      <c r="F944" s="3"/>
      <c r="G944" s="5"/>
      <c r="H944" s="6"/>
      <c r="I944" s="4"/>
      <c r="K944" s="5"/>
      <c r="L944" s="6"/>
      <c r="N944" s="3"/>
      <c r="O944" s="3"/>
      <c r="P944" s="4"/>
      <c r="Q944" s="4"/>
      <c r="S944" s="3"/>
      <c r="T944" s="3"/>
      <c r="U944" s="4"/>
      <c r="V944" s="4"/>
    </row>
    <row r="945" spans="1:22" x14ac:dyDescent="0.25">
      <c r="A945" s="3" t="str">
        <f>RTD("rtdtrading.rtdserver",, "BOOK0", "VOC", 941)</f>
        <v>Ferramenta Inválida</v>
      </c>
      <c r="B945" s="3" t="str">
        <f>RTD("rtdtrading.rtdserver",, "BOOK0", "OCP", 941)</f>
        <v>Ferramenta Inválida</v>
      </c>
      <c r="C945" s="4" t="str">
        <f>RTD("rtdtrading.rtdserver",, "BOOK0", "OVD", 941)</f>
        <v>Ferramenta Inválida</v>
      </c>
      <c r="D945" s="4" t="str">
        <f>RTD("rtdtrading.rtdserver",, "BOOK0", "VOV", 941)</f>
        <v>Ferramenta Inválida</v>
      </c>
      <c r="F945" s="3"/>
      <c r="G945" s="5"/>
      <c r="H945" s="6"/>
      <c r="I945" s="4"/>
      <c r="K945" s="5"/>
      <c r="L945" s="6"/>
      <c r="N945" s="3"/>
      <c r="O945" s="3"/>
      <c r="P945" s="4"/>
      <c r="Q945" s="4"/>
      <c r="S945" s="3"/>
      <c r="T945" s="3"/>
      <c r="U945" s="4"/>
      <c r="V945" s="4"/>
    </row>
    <row r="946" spans="1:22" x14ac:dyDescent="0.25">
      <c r="A946" s="3" t="str">
        <f>RTD("rtdtrading.rtdserver",, "BOOK0", "VOC", 942)</f>
        <v>Ferramenta Inválida</v>
      </c>
      <c r="B946" s="3" t="str">
        <f>RTD("rtdtrading.rtdserver",, "BOOK0", "OCP", 942)</f>
        <v>Ferramenta Inválida</v>
      </c>
      <c r="C946" s="4" t="str">
        <f>RTD("rtdtrading.rtdserver",, "BOOK0", "OVD", 942)</f>
        <v>Ferramenta Inválida</v>
      </c>
      <c r="D946" s="4" t="str">
        <f>RTD("rtdtrading.rtdserver",, "BOOK0", "VOV", 942)</f>
        <v>Ferramenta Inválida</v>
      </c>
      <c r="F946" s="3"/>
      <c r="G946" s="5"/>
      <c r="H946" s="6"/>
      <c r="I946" s="4"/>
      <c r="K946" s="5"/>
      <c r="L946" s="6"/>
      <c r="N946" s="3"/>
      <c r="O946" s="3"/>
      <c r="P946" s="4"/>
      <c r="Q946" s="4"/>
      <c r="S946" s="3"/>
      <c r="T946" s="3"/>
      <c r="U946" s="4"/>
      <c r="V946" s="4"/>
    </row>
    <row r="947" spans="1:22" x14ac:dyDescent="0.25">
      <c r="A947" s="3" t="str">
        <f>RTD("rtdtrading.rtdserver",, "BOOK0", "VOC", 943)</f>
        <v>Ferramenta Inválida</v>
      </c>
      <c r="B947" s="3" t="str">
        <f>RTD("rtdtrading.rtdserver",, "BOOK0", "OCP", 943)</f>
        <v>Ferramenta Inválida</v>
      </c>
      <c r="C947" s="4" t="str">
        <f>RTD("rtdtrading.rtdserver",, "BOOK0", "OVD", 943)</f>
        <v>Ferramenta Inválida</v>
      </c>
      <c r="D947" s="4" t="str">
        <f>RTD("rtdtrading.rtdserver",, "BOOK0", "VOV", 943)</f>
        <v>Ferramenta Inválida</v>
      </c>
      <c r="F947" s="3"/>
      <c r="G947" s="5"/>
      <c r="H947" s="6"/>
      <c r="I947" s="4"/>
      <c r="K947" s="5"/>
      <c r="L947" s="6"/>
      <c r="N947" s="3"/>
      <c r="O947" s="3"/>
      <c r="P947" s="4"/>
      <c r="Q947" s="4"/>
      <c r="S947" s="3"/>
      <c r="T947" s="3"/>
      <c r="U947" s="4"/>
      <c r="V947" s="4"/>
    </row>
    <row r="948" spans="1:22" x14ac:dyDescent="0.25">
      <c r="A948" s="3" t="str">
        <f>RTD("rtdtrading.rtdserver",, "BOOK0", "VOC", 944)</f>
        <v>Ferramenta Inválida</v>
      </c>
      <c r="B948" s="3" t="str">
        <f>RTD("rtdtrading.rtdserver",, "BOOK0", "OCP", 944)</f>
        <v>Ferramenta Inválida</v>
      </c>
      <c r="C948" s="4" t="str">
        <f>RTD("rtdtrading.rtdserver",, "BOOK0", "OVD", 944)</f>
        <v>Ferramenta Inválida</v>
      </c>
      <c r="D948" s="4" t="str">
        <f>RTD("rtdtrading.rtdserver",, "BOOK0", "VOV", 944)</f>
        <v>Ferramenta Inválida</v>
      </c>
      <c r="F948" s="3"/>
      <c r="G948" s="5"/>
      <c r="H948" s="6"/>
      <c r="I948" s="4"/>
      <c r="K948" s="5"/>
      <c r="L948" s="6"/>
      <c r="N948" s="3"/>
      <c r="O948" s="3"/>
      <c r="P948" s="4"/>
      <c r="Q948" s="4"/>
      <c r="S948" s="3"/>
      <c r="T948" s="3"/>
      <c r="U948" s="4"/>
      <c r="V948" s="4"/>
    </row>
    <row r="949" spans="1:22" x14ac:dyDescent="0.25">
      <c r="A949" s="3" t="str">
        <f>RTD("rtdtrading.rtdserver",, "BOOK0", "VOC", 945)</f>
        <v>Ferramenta Inválida</v>
      </c>
      <c r="B949" s="3" t="str">
        <f>RTD("rtdtrading.rtdserver",, "BOOK0", "OCP", 945)</f>
        <v>Ferramenta Inválida</v>
      </c>
      <c r="C949" s="4" t="str">
        <f>RTD("rtdtrading.rtdserver",, "BOOK0", "OVD", 945)</f>
        <v>Ferramenta Inválida</v>
      </c>
      <c r="D949" s="4" t="str">
        <f>RTD("rtdtrading.rtdserver",, "BOOK0", "VOV", 945)</f>
        <v>Ferramenta Inválida</v>
      </c>
      <c r="F949" s="3"/>
      <c r="G949" s="5"/>
      <c r="H949" s="6"/>
      <c r="I949" s="4"/>
      <c r="K949" s="5"/>
      <c r="L949" s="6"/>
      <c r="N949" s="3"/>
      <c r="O949" s="3"/>
      <c r="P949" s="4"/>
      <c r="Q949" s="4"/>
      <c r="S949" s="3"/>
      <c r="T949" s="3"/>
      <c r="U949" s="4"/>
      <c r="V949" s="4"/>
    </row>
    <row r="950" spans="1:22" x14ac:dyDescent="0.25">
      <c r="A950" s="3" t="str">
        <f>RTD("rtdtrading.rtdserver",, "BOOK0", "VOC", 946)</f>
        <v>Ferramenta Inválida</v>
      </c>
      <c r="B950" s="3" t="str">
        <f>RTD("rtdtrading.rtdserver",, "BOOK0", "OCP", 946)</f>
        <v>Ferramenta Inválida</v>
      </c>
      <c r="C950" s="4" t="str">
        <f>RTD("rtdtrading.rtdserver",, "BOOK0", "OVD", 946)</f>
        <v>Ferramenta Inválida</v>
      </c>
      <c r="D950" s="4" t="str">
        <f>RTD("rtdtrading.rtdserver",, "BOOK0", "VOV", 946)</f>
        <v>Ferramenta Inválida</v>
      </c>
      <c r="F950" s="3"/>
      <c r="G950" s="5"/>
      <c r="H950" s="6"/>
      <c r="I950" s="4"/>
      <c r="K950" s="5"/>
      <c r="L950" s="6"/>
      <c r="N950" s="3"/>
      <c r="O950" s="3"/>
      <c r="P950" s="4"/>
      <c r="Q950" s="4"/>
      <c r="S950" s="3"/>
      <c r="T950" s="3"/>
      <c r="U950" s="4"/>
      <c r="V950" s="4"/>
    </row>
    <row r="951" spans="1:22" x14ac:dyDescent="0.25">
      <c r="A951" s="3" t="str">
        <f>RTD("rtdtrading.rtdserver",, "BOOK0", "VOC", 947)</f>
        <v>Ferramenta Inválida</v>
      </c>
      <c r="B951" s="3" t="str">
        <f>RTD("rtdtrading.rtdserver",, "BOOK0", "OCP", 947)</f>
        <v>Ferramenta Inválida</v>
      </c>
      <c r="C951" s="4" t="str">
        <f>RTD("rtdtrading.rtdserver",, "BOOK0", "OVD", 947)</f>
        <v>Ferramenta Inválida</v>
      </c>
      <c r="D951" s="4" t="str">
        <f>RTD("rtdtrading.rtdserver",, "BOOK0", "VOV", 947)</f>
        <v>Ferramenta Inválida</v>
      </c>
      <c r="F951" s="3"/>
      <c r="G951" s="5"/>
      <c r="H951" s="6"/>
      <c r="I951" s="4"/>
      <c r="K951" s="5"/>
      <c r="L951" s="6"/>
      <c r="N951" s="3"/>
      <c r="O951" s="3"/>
      <c r="P951" s="4"/>
      <c r="Q951" s="4"/>
      <c r="S951" s="3"/>
      <c r="T951" s="3"/>
      <c r="U951" s="4"/>
      <c r="V951" s="4"/>
    </row>
    <row r="952" spans="1:22" x14ac:dyDescent="0.25">
      <c r="A952" s="3" t="str">
        <f>RTD("rtdtrading.rtdserver",, "BOOK0", "VOC", 948)</f>
        <v>Ferramenta Inválida</v>
      </c>
      <c r="B952" s="3" t="str">
        <f>RTD("rtdtrading.rtdserver",, "BOOK0", "OCP", 948)</f>
        <v>Ferramenta Inválida</v>
      </c>
      <c r="C952" s="4" t="str">
        <f>RTD("rtdtrading.rtdserver",, "BOOK0", "OVD", 948)</f>
        <v>Ferramenta Inválida</v>
      </c>
      <c r="D952" s="4" t="str">
        <f>RTD("rtdtrading.rtdserver",, "BOOK0", "VOV", 948)</f>
        <v>Ferramenta Inválida</v>
      </c>
      <c r="F952" s="3"/>
      <c r="G952" s="5"/>
      <c r="H952" s="6"/>
      <c r="I952" s="4"/>
      <c r="K952" s="5"/>
      <c r="L952" s="6"/>
      <c r="N952" s="3"/>
      <c r="O952" s="3"/>
      <c r="P952" s="4"/>
      <c r="Q952" s="4"/>
      <c r="S952" s="3"/>
      <c r="T952" s="3"/>
      <c r="U952" s="4"/>
      <c r="V952" s="4"/>
    </row>
    <row r="953" spans="1:22" x14ac:dyDescent="0.25">
      <c r="A953" s="3" t="str">
        <f>RTD("rtdtrading.rtdserver",, "BOOK0", "VOC", 949)</f>
        <v>Ferramenta Inválida</v>
      </c>
      <c r="B953" s="3" t="str">
        <f>RTD("rtdtrading.rtdserver",, "BOOK0", "OCP", 949)</f>
        <v>Ferramenta Inválida</v>
      </c>
      <c r="C953" s="4" t="str">
        <f>RTD("rtdtrading.rtdserver",, "BOOK0", "OVD", 949)</f>
        <v>Ferramenta Inválida</v>
      </c>
      <c r="D953" s="4" t="str">
        <f>RTD("rtdtrading.rtdserver",, "BOOK0", "VOV", 949)</f>
        <v>Ferramenta Inválida</v>
      </c>
      <c r="F953" s="3"/>
      <c r="G953" s="5"/>
      <c r="H953" s="6"/>
      <c r="I953" s="4"/>
      <c r="K953" s="5"/>
      <c r="L953" s="6"/>
      <c r="N953" s="3"/>
      <c r="O953" s="3"/>
      <c r="P953" s="4"/>
      <c r="Q953" s="4"/>
      <c r="S953" s="3"/>
      <c r="T953" s="3"/>
      <c r="U953" s="4"/>
      <c r="V953" s="4"/>
    </row>
    <row r="954" spans="1:22" x14ac:dyDescent="0.25">
      <c r="A954" s="3" t="str">
        <f>RTD("rtdtrading.rtdserver",, "BOOK0", "VOC", 950)</f>
        <v>Ferramenta Inválida</v>
      </c>
      <c r="B954" s="3" t="str">
        <f>RTD("rtdtrading.rtdserver",, "BOOK0", "OCP", 950)</f>
        <v>Ferramenta Inválida</v>
      </c>
      <c r="C954" s="4" t="str">
        <f>RTD("rtdtrading.rtdserver",, "BOOK0", "OVD", 950)</f>
        <v>Ferramenta Inválida</v>
      </c>
      <c r="D954" s="4" t="str">
        <f>RTD("rtdtrading.rtdserver",, "BOOK0", "VOV", 950)</f>
        <v>Ferramenta Inválida</v>
      </c>
      <c r="F954" s="3"/>
      <c r="G954" s="5"/>
      <c r="H954" s="6"/>
      <c r="I954" s="4"/>
      <c r="K954" s="5"/>
      <c r="L954" s="6"/>
      <c r="N954" s="3"/>
      <c r="O954" s="3"/>
      <c r="P954" s="4"/>
      <c r="Q954" s="4"/>
      <c r="S954" s="3"/>
      <c r="T954" s="3"/>
      <c r="U954" s="4"/>
      <c r="V954" s="4"/>
    </row>
    <row r="955" spans="1:22" x14ac:dyDescent="0.25">
      <c r="A955" s="3" t="str">
        <f>RTD("rtdtrading.rtdserver",, "BOOK0", "VOC", 951)</f>
        <v>Ferramenta Inválida</v>
      </c>
      <c r="B955" s="3" t="str">
        <f>RTD("rtdtrading.rtdserver",, "BOOK0", "OCP", 951)</f>
        <v>Ferramenta Inválida</v>
      </c>
      <c r="C955" s="4" t="str">
        <f>RTD("rtdtrading.rtdserver",, "BOOK0", "OVD", 951)</f>
        <v>Ferramenta Inválida</v>
      </c>
      <c r="D955" s="4" t="str">
        <f>RTD("rtdtrading.rtdserver",, "BOOK0", "VOV", 951)</f>
        <v>Ferramenta Inválida</v>
      </c>
      <c r="F955" s="3"/>
      <c r="G955" s="5"/>
      <c r="H955" s="6"/>
      <c r="I955" s="4"/>
      <c r="K955" s="5"/>
      <c r="L955" s="6"/>
      <c r="N955" s="3"/>
      <c r="O955" s="3"/>
      <c r="P955" s="4"/>
      <c r="Q955" s="4"/>
      <c r="S955" s="3"/>
      <c r="T955" s="3"/>
      <c r="U955" s="4"/>
      <c r="V955" s="4"/>
    </row>
    <row r="956" spans="1:22" x14ac:dyDescent="0.25">
      <c r="A956" s="3" t="str">
        <f>RTD("rtdtrading.rtdserver",, "BOOK0", "VOC", 952)</f>
        <v>Ferramenta Inválida</v>
      </c>
      <c r="B956" s="3" t="str">
        <f>RTD("rtdtrading.rtdserver",, "BOOK0", "OCP", 952)</f>
        <v>Ferramenta Inválida</v>
      </c>
      <c r="C956" s="4" t="str">
        <f>RTD("rtdtrading.rtdserver",, "BOOK0", "OVD", 952)</f>
        <v>Ferramenta Inválida</v>
      </c>
      <c r="D956" s="4" t="str">
        <f>RTD("rtdtrading.rtdserver",, "BOOK0", "VOV", 952)</f>
        <v>Ferramenta Inválida</v>
      </c>
      <c r="F956" s="3"/>
      <c r="G956" s="5"/>
      <c r="H956" s="6"/>
      <c r="I956" s="4"/>
      <c r="K956" s="5"/>
      <c r="L956" s="6"/>
      <c r="N956" s="3"/>
      <c r="O956" s="3"/>
      <c r="P956" s="4"/>
      <c r="Q956" s="4"/>
      <c r="S956" s="3"/>
      <c r="T956" s="3"/>
      <c r="U956" s="4"/>
      <c r="V956" s="4"/>
    </row>
    <row r="957" spans="1:22" x14ac:dyDescent="0.25">
      <c r="A957" s="3" t="str">
        <f>RTD("rtdtrading.rtdserver",, "BOOK0", "VOC", 953)</f>
        <v>Ferramenta Inválida</v>
      </c>
      <c r="B957" s="3" t="str">
        <f>RTD("rtdtrading.rtdserver",, "BOOK0", "OCP", 953)</f>
        <v>Ferramenta Inválida</v>
      </c>
      <c r="C957" s="4" t="str">
        <f>RTD("rtdtrading.rtdserver",, "BOOK0", "OVD", 953)</f>
        <v>Ferramenta Inválida</v>
      </c>
      <c r="D957" s="4" t="str">
        <f>RTD("rtdtrading.rtdserver",, "BOOK0", "VOV", 953)</f>
        <v>Ferramenta Inválida</v>
      </c>
      <c r="F957" s="3"/>
      <c r="G957" s="5"/>
      <c r="H957" s="6"/>
      <c r="I957" s="4"/>
      <c r="K957" s="5"/>
      <c r="L957" s="6"/>
      <c r="N957" s="3"/>
      <c r="O957" s="3"/>
      <c r="P957" s="4"/>
      <c r="Q957" s="4"/>
      <c r="S957" s="3"/>
      <c r="T957" s="3"/>
      <c r="U957" s="4"/>
      <c r="V957" s="4"/>
    </row>
    <row r="958" spans="1:22" x14ac:dyDescent="0.25">
      <c r="A958" s="3" t="str">
        <f>RTD("rtdtrading.rtdserver",, "BOOK0", "VOC", 954)</f>
        <v>Ferramenta Inválida</v>
      </c>
      <c r="B958" s="3" t="str">
        <f>RTD("rtdtrading.rtdserver",, "BOOK0", "OCP", 954)</f>
        <v>Ferramenta Inválida</v>
      </c>
      <c r="C958" s="4" t="str">
        <f>RTD("rtdtrading.rtdserver",, "BOOK0", "OVD", 954)</f>
        <v>Ferramenta Inválida</v>
      </c>
      <c r="D958" s="4" t="str">
        <f>RTD("rtdtrading.rtdserver",, "BOOK0", "VOV", 954)</f>
        <v>Ferramenta Inválida</v>
      </c>
      <c r="F958" s="3"/>
      <c r="G958" s="5"/>
      <c r="H958" s="6"/>
      <c r="I958" s="4"/>
      <c r="K958" s="5"/>
      <c r="L958" s="6"/>
      <c r="N958" s="3"/>
      <c r="O958" s="3"/>
      <c r="P958" s="4"/>
      <c r="Q958" s="4"/>
      <c r="S958" s="3"/>
      <c r="T958" s="3"/>
      <c r="U958" s="4"/>
      <c r="V958" s="4"/>
    </row>
    <row r="959" spans="1:22" x14ac:dyDescent="0.25">
      <c r="A959" s="3" t="str">
        <f>RTD("rtdtrading.rtdserver",, "BOOK0", "VOC", 955)</f>
        <v>Ferramenta Inválida</v>
      </c>
      <c r="B959" s="3" t="str">
        <f>RTD("rtdtrading.rtdserver",, "BOOK0", "OCP", 955)</f>
        <v>Ferramenta Inválida</v>
      </c>
      <c r="C959" s="4" t="str">
        <f>RTD("rtdtrading.rtdserver",, "BOOK0", "OVD", 955)</f>
        <v>Ferramenta Inválida</v>
      </c>
      <c r="D959" s="4" t="str">
        <f>RTD("rtdtrading.rtdserver",, "BOOK0", "VOV", 955)</f>
        <v>Ferramenta Inválida</v>
      </c>
      <c r="F959" s="3"/>
      <c r="G959" s="5"/>
      <c r="H959" s="6"/>
      <c r="I959" s="4"/>
      <c r="K959" s="5"/>
      <c r="L959" s="6"/>
      <c r="N959" s="3"/>
      <c r="O959" s="3"/>
      <c r="P959" s="4"/>
      <c r="Q959" s="4"/>
      <c r="S959" s="3"/>
      <c r="T959" s="3"/>
      <c r="U959" s="4"/>
      <c r="V959" s="4"/>
    </row>
    <row r="960" spans="1:22" x14ac:dyDescent="0.25">
      <c r="A960" s="3" t="str">
        <f>RTD("rtdtrading.rtdserver",, "BOOK0", "VOC", 956)</f>
        <v>Ferramenta Inválida</v>
      </c>
      <c r="B960" s="3" t="str">
        <f>RTD("rtdtrading.rtdserver",, "BOOK0", "OCP", 956)</f>
        <v>Ferramenta Inválida</v>
      </c>
      <c r="C960" s="4" t="str">
        <f>RTD("rtdtrading.rtdserver",, "BOOK0", "OVD", 956)</f>
        <v>Ferramenta Inválida</v>
      </c>
      <c r="D960" s="4" t="str">
        <f>RTD("rtdtrading.rtdserver",, "BOOK0", "VOV", 956)</f>
        <v>Ferramenta Inválida</v>
      </c>
      <c r="F960" s="3"/>
      <c r="G960" s="5"/>
      <c r="H960" s="6"/>
      <c r="I960" s="4"/>
      <c r="K960" s="5"/>
      <c r="L960" s="6"/>
      <c r="N960" s="3"/>
      <c r="O960" s="3"/>
      <c r="P960" s="4"/>
      <c r="Q960" s="4"/>
      <c r="S960" s="3"/>
      <c r="T960" s="3"/>
      <c r="U960" s="4"/>
      <c r="V960" s="4"/>
    </row>
    <row r="961" spans="1:22" x14ac:dyDescent="0.25">
      <c r="A961" s="3" t="str">
        <f>RTD("rtdtrading.rtdserver",, "BOOK0", "VOC", 957)</f>
        <v>Ferramenta Inválida</v>
      </c>
      <c r="B961" s="3" t="str">
        <f>RTD("rtdtrading.rtdserver",, "BOOK0", "OCP", 957)</f>
        <v>Ferramenta Inválida</v>
      </c>
      <c r="C961" s="4" t="str">
        <f>RTD("rtdtrading.rtdserver",, "BOOK0", "OVD", 957)</f>
        <v>Ferramenta Inválida</v>
      </c>
      <c r="D961" s="4" t="str">
        <f>RTD("rtdtrading.rtdserver",, "BOOK0", "VOV", 957)</f>
        <v>Ferramenta Inválida</v>
      </c>
      <c r="F961" s="3"/>
      <c r="G961" s="5"/>
      <c r="H961" s="6"/>
      <c r="I961" s="4"/>
      <c r="K961" s="5"/>
      <c r="L961" s="6"/>
      <c r="N961" s="3"/>
      <c r="O961" s="3"/>
      <c r="P961" s="4"/>
      <c r="Q961" s="4"/>
      <c r="S961" s="3"/>
      <c r="T961" s="3"/>
      <c r="U961" s="4"/>
      <c r="V961" s="4"/>
    </row>
    <row r="962" spans="1:22" x14ac:dyDescent="0.25">
      <c r="A962" s="3" t="str">
        <f>RTD("rtdtrading.rtdserver",, "BOOK0", "VOC", 958)</f>
        <v>Ferramenta Inválida</v>
      </c>
      <c r="B962" s="3" t="str">
        <f>RTD("rtdtrading.rtdserver",, "BOOK0", "OCP", 958)</f>
        <v>Ferramenta Inválida</v>
      </c>
      <c r="C962" s="4" t="str">
        <f>RTD("rtdtrading.rtdserver",, "BOOK0", "OVD", 958)</f>
        <v>Ferramenta Inválida</v>
      </c>
      <c r="D962" s="4" t="str">
        <f>RTD("rtdtrading.rtdserver",, "BOOK0", "VOV", 958)</f>
        <v>Ferramenta Inválida</v>
      </c>
      <c r="F962" s="3"/>
      <c r="G962" s="5"/>
      <c r="H962" s="6"/>
      <c r="I962" s="4"/>
      <c r="K962" s="5"/>
      <c r="L962" s="6"/>
      <c r="N962" s="3"/>
      <c r="O962" s="3"/>
      <c r="P962" s="4"/>
      <c r="Q962" s="4"/>
      <c r="S962" s="3"/>
      <c r="T962" s="3"/>
      <c r="U962" s="4"/>
      <c r="V962" s="4"/>
    </row>
    <row r="963" spans="1:22" x14ac:dyDescent="0.25">
      <c r="A963" s="3" t="str">
        <f>RTD("rtdtrading.rtdserver",, "BOOK0", "VOC", 959)</f>
        <v>Ferramenta Inválida</v>
      </c>
      <c r="B963" s="3" t="str">
        <f>RTD("rtdtrading.rtdserver",, "BOOK0", "OCP", 959)</f>
        <v>Ferramenta Inválida</v>
      </c>
      <c r="C963" s="4" t="str">
        <f>RTD("rtdtrading.rtdserver",, "BOOK0", "OVD", 959)</f>
        <v>Ferramenta Inválida</v>
      </c>
      <c r="D963" s="4" t="str">
        <f>RTD("rtdtrading.rtdserver",, "BOOK0", "VOV", 959)</f>
        <v>Ferramenta Inválida</v>
      </c>
      <c r="F963" s="3"/>
      <c r="G963" s="5"/>
      <c r="H963" s="6"/>
      <c r="I963" s="4"/>
      <c r="K963" s="5"/>
      <c r="L963" s="6"/>
      <c r="N963" s="3"/>
      <c r="O963" s="3"/>
      <c r="P963" s="4"/>
      <c r="Q963" s="4"/>
      <c r="S963" s="3"/>
      <c r="T963" s="3"/>
      <c r="U963" s="4"/>
      <c r="V963" s="4"/>
    </row>
    <row r="964" spans="1:22" x14ac:dyDescent="0.25">
      <c r="A964" s="3" t="str">
        <f>RTD("rtdtrading.rtdserver",, "BOOK0", "VOC", 960)</f>
        <v>Ferramenta Inválida</v>
      </c>
      <c r="B964" s="3" t="str">
        <f>RTD("rtdtrading.rtdserver",, "BOOK0", "OCP", 960)</f>
        <v>Ferramenta Inválida</v>
      </c>
      <c r="C964" s="4" t="str">
        <f>RTD("rtdtrading.rtdserver",, "BOOK0", "OVD", 960)</f>
        <v>Ferramenta Inválida</v>
      </c>
      <c r="D964" s="4" t="str">
        <f>RTD("rtdtrading.rtdserver",, "BOOK0", "VOV", 960)</f>
        <v>Ferramenta Inválida</v>
      </c>
      <c r="F964" s="3"/>
      <c r="G964" s="5"/>
      <c r="H964" s="6"/>
      <c r="I964" s="4"/>
      <c r="K964" s="5"/>
      <c r="L964" s="6"/>
      <c r="N964" s="3"/>
      <c r="O964" s="3"/>
      <c r="P964" s="4"/>
      <c r="Q964" s="4"/>
      <c r="S964" s="3"/>
      <c r="T964" s="3"/>
      <c r="U964" s="4"/>
      <c r="V964" s="4"/>
    </row>
    <row r="965" spans="1:22" x14ac:dyDescent="0.25">
      <c r="A965" s="3" t="str">
        <f>RTD("rtdtrading.rtdserver",, "BOOK0", "VOC", 961)</f>
        <v>Ferramenta Inválida</v>
      </c>
      <c r="B965" s="3" t="str">
        <f>RTD("rtdtrading.rtdserver",, "BOOK0", "OCP", 961)</f>
        <v>Ferramenta Inválida</v>
      </c>
      <c r="C965" s="4" t="str">
        <f>RTD("rtdtrading.rtdserver",, "BOOK0", "OVD", 961)</f>
        <v>Ferramenta Inválida</v>
      </c>
      <c r="D965" s="4" t="str">
        <f>RTD("rtdtrading.rtdserver",, "BOOK0", "VOV", 961)</f>
        <v>Ferramenta Inválida</v>
      </c>
      <c r="F965" s="3"/>
      <c r="G965" s="5"/>
      <c r="H965" s="6"/>
      <c r="I965" s="4"/>
      <c r="K965" s="5"/>
      <c r="L965" s="6"/>
      <c r="N965" s="3"/>
      <c r="O965" s="3"/>
      <c r="P965" s="4"/>
      <c r="Q965" s="4"/>
      <c r="S965" s="3"/>
      <c r="T965" s="3"/>
      <c r="U965" s="4"/>
      <c r="V965" s="4"/>
    </row>
    <row r="966" spans="1:22" x14ac:dyDescent="0.25">
      <c r="A966" s="3" t="str">
        <f>RTD("rtdtrading.rtdserver",, "BOOK0", "VOC", 962)</f>
        <v>Ferramenta Inválida</v>
      </c>
      <c r="B966" s="3" t="str">
        <f>RTD("rtdtrading.rtdserver",, "BOOK0", "OCP", 962)</f>
        <v>Ferramenta Inválida</v>
      </c>
      <c r="C966" s="4" t="str">
        <f>RTD("rtdtrading.rtdserver",, "BOOK0", "OVD", 962)</f>
        <v>Ferramenta Inválida</v>
      </c>
      <c r="D966" s="4" t="str">
        <f>RTD("rtdtrading.rtdserver",, "BOOK0", "VOV", 962)</f>
        <v>Ferramenta Inválida</v>
      </c>
      <c r="F966" s="3"/>
      <c r="G966" s="5"/>
      <c r="H966" s="6"/>
      <c r="I966" s="4"/>
      <c r="K966" s="5"/>
      <c r="L966" s="6"/>
      <c r="N966" s="3"/>
      <c r="O966" s="3"/>
      <c r="P966" s="4"/>
      <c r="Q966" s="4"/>
      <c r="S966" s="3"/>
      <c r="T966" s="3"/>
      <c r="U966" s="4"/>
      <c r="V966" s="4"/>
    </row>
    <row r="967" spans="1:22" x14ac:dyDescent="0.25">
      <c r="A967" s="3" t="str">
        <f>RTD("rtdtrading.rtdserver",, "BOOK0", "VOC", 963)</f>
        <v>Ferramenta Inválida</v>
      </c>
      <c r="B967" s="3" t="str">
        <f>RTD("rtdtrading.rtdserver",, "BOOK0", "OCP", 963)</f>
        <v>Ferramenta Inválida</v>
      </c>
      <c r="C967" s="4" t="str">
        <f>RTD("rtdtrading.rtdserver",, "BOOK0", "OVD", 963)</f>
        <v>Ferramenta Inválida</v>
      </c>
      <c r="D967" s="4" t="str">
        <f>RTD("rtdtrading.rtdserver",, "BOOK0", "VOV", 963)</f>
        <v>Ferramenta Inválida</v>
      </c>
      <c r="F967" s="3"/>
      <c r="G967" s="5"/>
      <c r="H967" s="6"/>
      <c r="I967" s="4"/>
      <c r="K967" s="5"/>
      <c r="L967" s="6"/>
      <c r="N967" s="3"/>
      <c r="O967" s="3"/>
      <c r="P967" s="4"/>
      <c r="Q967" s="4"/>
      <c r="S967" s="3"/>
      <c r="T967" s="3"/>
      <c r="U967" s="4"/>
      <c r="V967" s="4"/>
    </row>
    <row r="968" spans="1:22" x14ac:dyDescent="0.25">
      <c r="A968" s="3" t="str">
        <f>RTD("rtdtrading.rtdserver",, "BOOK0", "VOC", 964)</f>
        <v>Ferramenta Inválida</v>
      </c>
      <c r="B968" s="3" t="str">
        <f>RTD("rtdtrading.rtdserver",, "BOOK0", "OCP", 964)</f>
        <v>Ferramenta Inválida</v>
      </c>
      <c r="C968" s="4" t="str">
        <f>RTD("rtdtrading.rtdserver",, "BOOK0", "OVD", 964)</f>
        <v>Ferramenta Inválida</v>
      </c>
      <c r="D968" s="4" t="str">
        <f>RTD("rtdtrading.rtdserver",, "BOOK0", "VOV", 964)</f>
        <v>Ferramenta Inválida</v>
      </c>
      <c r="F968" s="3"/>
      <c r="G968" s="5"/>
      <c r="H968" s="6"/>
      <c r="I968" s="4"/>
      <c r="K968" s="5"/>
      <c r="L968" s="6"/>
      <c r="N968" s="3"/>
      <c r="O968" s="3"/>
      <c r="P968" s="4"/>
      <c r="Q968" s="4"/>
      <c r="S968" s="3"/>
      <c r="T968" s="3"/>
      <c r="U968" s="4"/>
      <c r="V968" s="4"/>
    </row>
    <row r="969" spans="1:22" x14ac:dyDescent="0.25">
      <c r="A969" s="3" t="str">
        <f>RTD("rtdtrading.rtdserver",, "BOOK0", "VOC", 965)</f>
        <v>Ferramenta Inválida</v>
      </c>
      <c r="B969" s="3" t="str">
        <f>RTD("rtdtrading.rtdserver",, "BOOK0", "OCP", 965)</f>
        <v>Ferramenta Inválida</v>
      </c>
      <c r="C969" s="4" t="str">
        <f>RTD("rtdtrading.rtdserver",, "BOOK0", "OVD", 965)</f>
        <v>Ferramenta Inválida</v>
      </c>
      <c r="D969" s="4" t="str">
        <f>RTD("rtdtrading.rtdserver",, "BOOK0", "VOV", 965)</f>
        <v>Ferramenta Inválida</v>
      </c>
      <c r="F969" s="3"/>
      <c r="G969" s="5"/>
      <c r="H969" s="6"/>
      <c r="I969" s="4"/>
      <c r="K969" s="5"/>
      <c r="L969" s="6"/>
      <c r="N969" s="3"/>
      <c r="O969" s="3"/>
      <c r="P969" s="4"/>
      <c r="Q969" s="4"/>
      <c r="S969" s="3"/>
      <c r="T969" s="3"/>
      <c r="U969" s="4"/>
      <c r="V969" s="4"/>
    </row>
    <row r="970" spans="1:22" x14ac:dyDescent="0.25">
      <c r="A970" s="3" t="str">
        <f>RTD("rtdtrading.rtdserver",, "BOOK0", "VOC", 966)</f>
        <v>Ferramenta Inválida</v>
      </c>
      <c r="B970" s="3" t="str">
        <f>RTD("rtdtrading.rtdserver",, "BOOK0", "OCP", 966)</f>
        <v>Ferramenta Inválida</v>
      </c>
      <c r="C970" s="4" t="str">
        <f>RTD("rtdtrading.rtdserver",, "BOOK0", "OVD", 966)</f>
        <v>Ferramenta Inválida</v>
      </c>
      <c r="D970" s="4" t="str">
        <f>RTD("rtdtrading.rtdserver",, "BOOK0", "VOV", 966)</f>
        <v>Ferramenta Inválida</v>
      </c>
      <c r="F970" s="3"/>
      <c r="G970" s="5"/>
      <c r="H970" s="6"/>
      <c r="I970" s="4"/>
      <c r="K970" s="5"/>
      <c r="L970" s="6"/>
      <c r="N970" s="3"/>
      <c r="O970" s="3"/>
      <c r="P970" s="4"/>
      <c r="Q970" s="4"/>
      <c r="S970" s="3"/>
      <c r="T970" s="3"/>
      <c r="U970" s="4"/>
      <c r="V970" s="4"/>
    </row>
    <row r="971" spans="1:22" x14ac:dyDescent="0.25">
      <c r="A971" s="3" t="str">
        <f>RTD("rtdtrading.rtdserver",, "BOOK0", "VOC", 967)</f>
        <v>Ferramenta Inválida</v>
      </c>
      <c r="B971" s="3" t="str">
        <f>RTD("rtdtrading.rtdserver",, "BOOK0", "OCP", 967)</f>
        <v>Ferramenta Inválida</v>
      </c>
      <c r="C971" s="4" t="str">
        <f>RTD("rtdtrading.rtdserver",, "BOOK0", "OVD", 967)</f>
        <v>Ferramenta Inválida</v>
      </c>
      <c r="D971" s="4" t="str">
        <f>RTD("rtdtrading.rtdserver",, "BOOK0", "VOV", 967)</f>
        <v>Ferramenta Inválida</v>
      </c>
      <c r="F971" s="3"/>
      <c r="G971" s="5"/>
      <c r="H971" s="6"/>
      <c r="I971" s="4"/>
      <c r="K971" s="5"/>
      <c r="L971" s="6"/>
      <c r="N971" s="3"/>
      <c r="O971" s="3"/>
      <c r="P971" s="4"/>
      <c r="Q971" s="4"/>
      <c r="S971" s="3"/>
      <c r="T971" s="3"/>
      <c r="U971" s="4"/>
      <c r="V971" s="4"/>
    </row>
    <row r="972" spans="1:22" x14ac:dyDescent="0.25">
      <c r="A972" s="3" t="str">
        <f>RTD("rtdtrading.rtdserver",, "BOOK0", "VOC", 968)</f>
        <v>Ferramenta Inválida</v>
      </c>
      <c r="B972" s="3" t="str">
        <f>RTD("rtdtrading.rtdserver",, "BOOK0", "OCP", 968)</f>
        <v>Ferramenta Inválida</v>
      </c>
      <c r="C972" s="4" t="str">
        <f>RTD("rtdtrading.rtdserver",, "BOOK0", "OVD", 968)</f>
        <v>Ferramenta Inválida</v>
      </c>
      <c r="D972" s="4" t="str">
        <f>RTD("rtdtrading.rtdserver",, "BOOK0", "VOV", 968)</f>
        <v>Ferramenta Inválida</v>
      </c>
      <c r="F972" s="3"/>
      <c r="G972" s="5"/>
      <c r="H972" s="6"/>
      <c r="I972" s="4"/>
      <c r="K972" s="5"/>
      <c r="L972" s="6"/>
      <c r="N972" s="3"/>
      <c r="O972" s="3"/>
      <c r="P972" s="4"/>
      <c r="Q972" s="4"/>
      <c r="S972" s="3"/>
      <c r="T972" s="3"/>
      <c r="U972" s="4"/>
      <c r="V972" s="4"/>
    </row>
    <row r="973" spans="1:22" x14ac:dyDescent="0.25">
      <c r="A973" s="3" t="str">
        <f>RTD("rtdtrading.rtdserver",, "BOOK0", "VOC", 969)</f>
        <v>Ferramenta Inválida</v>
      </c>
      <c r="B973" s="3" t="str">
        <f>RTD("rtdtrading.rtdserver",, "BOOK0", "OCP", 969)</f>
        <v>Ferramenta Inválida</v>
      </c>
      <c r="C973" s="4" t="str">
        <f>RTD("rtdtrading.rtdserver",, "BOOK0", "OVD", 969)</f>
        <v>Ferramenta Inválida</v>
      </c>
      <c r="D973" s="4" t="str">
        <f>RTD("rtdtrading.rtdserver",, "BOOK0", "VOV", 969)</f>
        <v>Ferramenta Inválida</v>
      </c>
      <c r="F973" s="3"/>
      <c r="G973" s="5"/>
      <c r="H973" s="6"/>
      <c r="I973" s="4"/>
      <c r="K973" s="5"/>
      <c r="L973" s="6"/>
      <c r="N973" s="3"/>
      <c r="O973" s="3"/>
      <c r="P973" s="4"/>
      <c r="Q973" s="4"/>
      <c r="S973" s="3"/>
      <c r="T973" s="3"/>
      <c r="U973" s="4"/>
      <c r="V973" s="4"/>
    </row>
    <row r="974" spans="1:22" x14ac:dyDescent="0.25">
      <c r="A974" s="3" t="str">
        <f>RTD("rtdtrading.rtdserver",, "BOOK0", "VOC", 970)</f>
        <v>Ferramenta Inválida</v>
      </c>
      <c r="B974" s="3" t="str">
        <f>RTD("rtdtrading.rtdserver",, "BOOK0", "OCP", 970)</f>
        <v>Ferramenta Inválida</v>
      </c>
      <c r="C974" s="4" t="str">
        <f>RTD("rtdtrading.rtdserver",, "BOOK0", "OVD", 970)</f>
        <v>Ferramenta Inválida</v>
      </c>
      <c r="D974" s="4" t="str">
        <f>RTD("rtdtrading.rtdserver",, "BOOK0", "VOV", 970)</f>
        <v>Ferramenta Inválida</v>
      </c>
      <c r="F974" s="3"/>
      <c r="G974" s="5"/>
      <c r="H974" s="6"/>
      <c r="I974" s="4"/>
      <c r="K974" s="5"/>
      <c r="L974" s="6"/>
      <c r="N974" s="3"/>
      <c r="O974" s="3"/>
      <c r="P974" s="4"/>
      <c r="Q974" s="4"/>
      <c r="S974" s="3"/>
      <c r="T974" s="3"/>
      <c r="U974" s="4"/>
      <c r="V974" s="4"/>
    </row>
    <row r="975" spans="1:22" x14ac:dyDescent="0.25">
      <c r="A975" s="3" t="str">
        <f>RTD("rtdtrading.rtdserver",, "BOOK0", "VOC", 971)</f>
        <v>Ferramenta Inválida</v>
      </c>
      <c r="B975" s="3" t="str">
        <f>RTD("rtdtrading.rtdserver",, "BOOK0", "OCP", 971)</f>
        <v>Ferramenta Inválida</v>
      </c>
      <c r="C975" s="4" t="str">
        <f>RTD("rtdtrading.rtdserver",, "BOOK0", "OVD", 971)</f>
        <v>Ferramenta Inválida</v>
      </c>
      <c r="D975" s="4" t="str">
        <f>RTD("rtdtrading.rtdserver",, "BOOK0", "VOV", 971)</f>
        <v>Ferramenta Inválida</v>
      </c>
      <c r="F975" s="3"/>
      <c r="G975" s="5"/>
      <c r="H975" s="6"/>
      <c r="I975" s="4"/>
      <c r="K975" s="5"/>
      <c r="L975" s="6"/>
      <c r="N975" s="3"/>
      <c r="O975" s="3"/>
      <c r="P975" s="4"/>
      <c r="Q975" s="4"/>
      <c r="S975" s="3"/>
      <c r="T975" s="3"/>
      <c r="U975" s="4"/>
      <c r="V975" s="4"/>
    </row>
    <row r="976" spans="1:22" x14ac:dyDescent="0.25">
      <c r="A976" s="3" t="str">
        <f>RTD("rtdtrading.rtdserver",, "BOOK0", "VOC", 972)</f>
        <v>Ferramenta Inválida</v>
      </c>
      <c r="B976" s="3" t="str">
        <f>RTD("rtdtrading.rtdserver",, "BOOK0", "OCP", 972)</f>
        <v>Ferramenta Inválida</v>
      </c>
      <c r="C976" s="4" t="str">
        <f>RTD("rtdtrading.rtdserver",, "BOOK0", "OVD", 972)</f>
        <v>Ferramenta Inválida</v>
      </c>
      <c r="D976" s="4" t="str">
        <f>RTD("rtdtrading.rtdserver",, "BOOK0", "VOV", 972)</f>
        <v>Ferramenta Inválida</v>
      </c>
      <c r="F976" s="3"/>
      <c r="G976" s="5"/>
      <c r="H976" s="6"/>
      <c r="I976" s="4"/>
      <c r="K976" s="5"/>
      <c r="L976" s="6"/>
      <c r="N976" s="3"/>
      <c r="O976" s="3"/>
      <c r="P976" s="4"/>
      <c r="Q976" s="4"/>
      <c r="S976" s="3"/>
      <c r="T976" s="3"/>
      <c r="U976" s="4"/>
      <c r="V976" s="4"/>
    </row>
    <row r="977" spans="1:22" x14ac:dyDescent="0.25">
      <c r="A977" s="3" t="str">
        <f>RTD("rtdtrading.rtdserver",, "BOOK0", "VOC", 973)</f>
        <v>Ferramenta Inválida</v>
      </c>
      <c r="B977" s="3" t="str">
        <f>RTD("rtdtrading.rtdserver",, "BOOK0", "OCP", 973)</f>
        <v>Ferramenta Inválida</v>
      </c>
      <c r="C977" s="4" t="str">
        <f>RTD("rtdtrading.rtdserver",, "BOOK0", "OVD", 973)</f>
        <v>Ferramenta Inválida</v>
      </c>
      <c r="D977" s="4" t="str">
        <f>RTD("rtdtrading.rtdserver",, "BOOK0", "VOV", 973)</f>
        <v>Ferramenta Inválida</v>
      </c>
      <c r="F977" s="3"/>
      <c r="G977" s="5"/>
      <c r="H977" s="6"/>
      <c r="I977" s="4"/>
      <c r="K977" s="5"/>
      <c r="L977" s="6"/>
      <c r="N977" s="3"/>
      <c r="O977" s="3"/>
      <c r="P977" s="4"/>
      <c r="Q977" s="4"/>
      <c r="S977" s="3"/>
      <c r="T977" s="3"/>
      <c r="U977" s="4"/>
      <c r="V977" s="4"/>
    </row>
    <row r="978" spans="1:22" x14ac:dyDescent="0.25">
      <c r="A978" s="3" t="str">
        <f>RTD("rtdtrading.rtdserver",, "BOOK0", "VOC", 974)</f>
        <v>Ferramenta Inválida</v>
      </c>
      <c r="B978" s="3" t="str">
        <f>RTD("rtdtrading.rtdserver",, "BOOK0", "OCP", 974)</f>
        <v>Ferramenta Inválida</v>
      </c>
      <c r="C978" s="4" t="str">
        <f>RTD("rtdtrading.rtdserver",, "BOOK0", "OVD", 974)</f>
        <v>Ferramenta Inválida</v>
      </c>
      <c r="D978" s="4" t="str">
        <f>RTD("rtdtrading.rtdserver",, "BOOK0", "VOV", 974)</f>
        <v>Ferramenta Inválida</v>
      </c>
      <c r="F978" s="3"/>
      <c r="G978" s="5"/>
      <c r="H978" s="6"/>
      <c r="I978" s="4"/>
      <c r="K978" s="5"/>
      <c r="L978" s="6"/>
      <c r="N978" s="3"/>
      <c r="O978" s="3"/>
      <c r="P978" s="4"/>
      <c r="Q978" s="4"/>
      <c r="S978" s="3"/>
      <c r="T978" s="3"/>
      <c r="U978" s="4"/>
      <c r="V978" s="4"/>
    </row>
    <row r="979" spans="1:22" x14ac:dyDescent="0.25">
      <c r="A979" s="3" t="str">
        <f>RTD("rtdtrading.rtdserver",, "BOOK0", "VOC", 975)</f>
        <v>Ferramenta Inválida</v>
      </c>
      <c r="B979" s="3" t="str">
        <f>RTD("rtdtrading.rtdserver",, "BOOK0", "OCP", 975)</f>
        <v>Ferramenta Inválida</v>
      </c>
      <c r="C979" s="4" t="str">
        <f>RTD("rtdtrading.rtdserver",, "BOOK0", "OVD", 975)</f>
        <v>Ferramenta Inválida</v>
      </c>
      <c r="D979" s="4" t="str">
        <f>RTD("rtdtrading.rtdserver",, "BOOK0", "VOV", 975)</f>
        <v>Ferramenta Inválida</v>
      </c>
      <c r="F979" s="3"/>
      <c r="G979" s="5"/>
      <c r="H979" s="6"/>
      <c r="I979" s="4"/>
      <c r="K979" s="5"/>
      <c r="L979" s="6"/>
      <c r="N979" s="3"/>
      <c r="O979" s="3"/>
      <c r="P979" s="4"/>
      <c r="Q979" s="4"/>
      <c r="S979" s="3"/>
      <c r="T979" s="3"/>
      <c r="U979" s="4"/>
      <c r="V979" s="4"/>
    </row>
    <row r="980" spans="1:22" x14ac:dyDescent="0.25">
      <c r="A980" s="3" t="str">
        <f>RTD("rtdtrading.rtdserver",, "BOOK0", "VOC", 976)</f>
        <v>Ferramenta Inválida</v>
      </c>
      <c r="B980" s="3" t="str">
        <f>RTD("rtdtrading.rtdserver",, "BOOK0", "OCP", 976)</f>
        <v>Ferramenta Inválida</v>
      </c>
      <c r="C980" s="4" t="str">
        <f>RTD("rtdtrading.rtdserver",, "BOOK0", "OVD", 976)</f>
        <v>Ferramenta Inválida</v>
      </c>
      <c r="D980" s="4" t="str">
        <f>RTD("rtdtrading.rtdserver",, "BOOK0", "VOV", 976)</f>
        <v>Ferramenta Inválida</v>
      </c>
      <c r="F980" s="3"/>
      <c r="G980" s="5"/>
      <c r="H980" s="6"/>
      <c r="I980" s="4"/>
      <c r="K980" s="5"/>
      <c r="L980" s="6"/>
      <c r="N980" s="3"/>
      <c r="O980" s="3"/>
      <c r="P980" s="4"/>
      <c r="Q980" s="4"/>
      <c r="S980" s="3"/>
      <c r="T980" s="3"/>
      <c r="U980" s="4"/>
      <c r="V980" s="4"/>
    </row>
    <row r="981" spans="1:22" x14ac:dyDescent="0.25">
      <c r="A981" s="3" t="str">
        <f>RTD("rtdtrading.rtdserver",, "BOOK0", "VOC", 977)</f>
        <v>Ferramenta Inválida</v>
      </c>
      <c r="B981" s="3" t="str">
        <f>RTD("rtdtrading.rtdserver",, "BOOK0", "OCP", 977)</f>
        <v>Ferramenta Inválida</v>
      </c>
      <c r="C981" s="4" t="str">
        <f>RTD("rtdtrading.rtdserver",, "BOOK0", "OVD", 977)</f>
        <v>Ferramenta Inválida</v>
      </c>
      <c r="D981" s="4" t="str">
        <f>RTD("rtdtrading.rtdserver",, "BOOK0", "VOV", 977)</f>
        <v>Ferramenta Inválida</v>
      </c>
      <c r="F981" s="3"/>
      <c r="G981" s="5"/>
      <c r="H981" s="6"/>
      <c r="I981" s="4"/>
      <c r="K981" s="5"/>
      <c r="L981" s="6"/>
      <c r="N981" s="3"/>
      <c r="O981" s="3"/>
      <c r="P981" s="4"/>
      <c r="Q981" s="4"/>
      <c r="S981" s="3"/>
      <c r="T981" s="3"/>
      <c r="U981" s="4"/>
      <c r="V981" s="4"/>
    </row>
    <row r="982" spans="1:22" x14ac:dyDescent="0.25">
      <c r="A982" s="3" t="str">
        <f>RTD("rtdtrading.rtdserver",, "BOOK0", "VOC", 978)</f>
        <v>Ferramenta Inválida</v>
      </c>
      <c r="B982" s="3" t="str">
        <f>RTD("rtdtrading.rtdserver",, "BOOK0", "OCP", 978)</f>
        <v>Ferramenta Inválida</v>
      </c>
      <c r="C982" s="4" t="str">
        <f>RTD("rtdtrading.rtdserver",, "BOOK0", "OVD", 978)</f>
        <v>Ferramenta Inválida</v>
      </c>
      <c r="D982" s="4" t="str">
        <f>RTD("rtdtrading.rtdserver",, "BOOK0", "VOV", 978)</f>
        <v>Ferramenta Inválida</v>
      </c>
      <c r="F982" s="3"/>
      <c r="G982" s="5"/>
      <c r="H982" s="6"/>
      <c r="I982" s="4"/>
      <c r="K982" s="5"/>
      <c r="L982" s="6"/>
      <c r="N982" s="3"/>
      <c r="O982" s="3"/>
      <c r="P982" s="4"/>
      <c r="Q982" s="4"/>
      <c r="S982" s="3"/>
      <c r="T982" s="3"/>
      <c r="U982" s="4"/>
      <c r="V982" s="4"/>
    </row>
    <row r="983" spans="1:22" x14ac:dyDescent="0.25">
      <c r="A983" s="3" t="str">
        <f>RTD("rtdtrading.rtdserver",, "BOOK0", "VOC", 979)</f>
        <v>Ferramenta Inválida</v>
      </c>
      <c r="B983" s="3" t="str">
        <f>RTD("rtdtrading.rtdserver",, "BOOK0", "OCP", 979)</f>
        <v>Ferramenta Inválida</v>
      </c>
      <c r="C983" s="4" t="str">
        <f>RTD("rtdtrading.rtdserver",, "BOOK0", "OVD", 979)</f>
        <v>Ferramenta Inválida</v>
      </c>
      <c r="D983" s="4" t="str">
        <f>RTD("rtdtrading.rtdserver",, "BOOK0", "VOV", 979)</f>
        <v>Ferramenta Inválida</v>
      </c>
      <c r="F983" s="3"/>
      <c r="G983" s="5"/>
      <c r="H983" s="6"/>
      <c r="I983" s="4"/>
      <c r="K983" s="5"/>
      <c r="L983" s="6"/>
      <c r="N983" s="3"/>
      <c r="O983" s="3"/>
      <c r="P983" s="4"/>
      <c r="Q983" s="4"/>
      <c r="S983" s="3"/>
      <c r="T983" s="3"/>
      <c r="U983" s="4"/>
      <c r="V983" s="4"/>
    </row>
    <row r="984" spans="1:22" x14ac:dyDescent="0.25">
      <c r="A984" s="3" t="str">
        <f>RTD("rtdtrading.rtdserver",, "BOOK0", "VOC", 980)</f>
        <v>Ferramenta Inválida</v>
      </c>
      <c r="B984" s="3" t="str">
        <f>RTD("rtdtrading.rtdserver",, "BOOK0", "OCP", 980)</f>
        <v>Ferramenta Inválida</v>
      </c>
      <c r="C984" s="4" t="str">
        <f>RTD("rtdtrading.rtdserver",, "BOOK0", "OVD", 980)</f>
        <v>Ferramenta Inválida</v>
      </c>
      <c r="D984" s="4" t="str">
        <f>RTD("rtdtrading.rtdserver",, "BOOK0", "VOV", 980)</f>
        <v>Ferramenta Inválida</v>
      </c>
      <c r="F984" s="3"/>
      <c r="G984" s="5"/>
      <c r="H984" s="6"/>
      <c r="I984" s="4"/>
      <c r="K984" s="5"/>
      <c r="L984" s="6"/>
      <c r="N984" s="3"/>
      <c r="O984" s="3"/>
      <c r="P984" s="4"/>
      <c r="Q984" s="4"/>
      <c r="S984" s="3"/>
      <c r="T984" s="3"/>
      <c r="U984" s="4"/>
      <c r="V984" s="4"/>
    </row>
    <row r="985" spans="1:22" x14ac:dyDescent="0.25">
      <c r="A985" s="3" t="str">
        <f>RTD("rtdtrading.rtdserver",, "BOOK0", "VOC", 981)</f>
        <v>Ferramenta Inválida</v>
      </c>
      <c r="B985" s="3" t="str">
        <f>RTD("rtdtrading.rtdserver",, "BOOK0", "OCP", 981)</f>
        <v>Ferramenta Inválida</v>
      </c>
      <c r="C985" s="4" t="str">
        <f>RTD("rtdtrading.rtdserver",, "BOOK0", "OVD", 981)</f>
        <v>Ferramenta Inválida</v>
      </c>
      <c r="D985" s="4" t="str">
        <f>RTD("rtdtrading.rtdserver",, "BOOK0", "VOV", 981)</f>
        <v>Ferramenta Inválida</v>
      </c>
      <c r="F985" s="3"/>
      <c r="G985" s="5"/>
      <c r="H985" s="6"/>
      <c r="I985" s="4"/>
      <c r="K985" s="5"/>
      <c r="L985" s="6"/>
      <c r="N985" s="3"/>
      <c r="O985" s="3"/>
      <c r="P985" s="4"/>
      <c r="Q985" s="4"/>
      <c r="S985" s="3"/>
      <c r="T985" s="3"/>
      <c r="U985" s="4"/>
      <c r="V985" s="4"/>
    </row>
    <row r="986" spans="1:22" x14ac:dyDescent="0.25">
      <c r="A986" s="3" t="str">
        <f>RTD("rtdtrading.rtdserver",, "BOOK0", "VOC", 982)</f>
        <v>Ferramenta Inválida</v>
      </c>
      <c r="B986" s="3" t="str">
        <f>RTD("rtdtrading.rtdserver",, "BOOK0", "OCP", 982)</f>
        <v>Ferramenta Inválida</v>
      </c>
      <c r="C986" s="4" t="str">
        <f>RTD("rtdtrading.rtdserver",, "BOOK0", "OVD", 982)</f>
        <v>Ferramenta Inválida</v>
      </c>
      <c r="D986" s="4" t="str">
        <f>RTD("rtdtrading.rtdserver",, "BOOK0", "VOV", 982)</f>
        <v>Ferramenta Inválida</v>
      </c>
      <c r="F986" s="3"/>
      <c r="G986" s="5"/>
      <c r="H986" s="6"/>
      <c r="I986" s="4"/>
      <c r="K986" s="5"/>
      <c r="L986" s="6"/>
      <c r="N986" s="3"/>
      <c r="O986" s="3"/>
      <c r="P986" s="4"/>
      <c r="Q986" s="4"/>
      <c r="S986" s="3"/>
      <c r="T986" s="3"/>
      <c r="U986" s="4"/>
      <c r="V986" s="4"/>
    </row>
    <row r="987" spans="1:22" x14ac:dyDescent="0.25">
      <c r="A987" s="3" t="str">
        <f>RTD("rtdtrading.rtdserver",, "BOOK0", "VOC", 983)</f>
        <v>Ferramenta Inválida</v>
      </c>
      <c r="B987" s="3" t="str">
        <f>RTD("rtdtrading.rtdserver",, "BOOK0", "OCP", 983)</f>
        <v>Ferramenta Inválida</v>
      </c>
      <c r="C987" s="4" t="str">
        <f>RTD("rtdtrading.rtdserver",, "BOOK0", "OVD", 983)</f>
        <v>Ferramenta Inválida</v>
      </c>
      <c r="D987" s="4" t="str">
        <f>RTD("rtdtrading.rtdserver",, "BOOK0", "VOV", 983)</f>
        <v>Ferramenta Inválida</v>
      </c>
      <c r="F987" s="3"/>
      <c r="G987" s="5"/>
      <c r="H987" s="6"/>
      <c r="I987" s="4"/>
      <c r="K987" s="5"/>
      <c r="L987" s="6"/>
      <c r="N987" s="3"/>
      <c r="O987" s="3"/>
      <c r="P987" s="4"/>
      <c r="Q987" s="4"/>
      <c r="S987" s="3"/>
      <c r="T987" s="3"/>
      <c r="U987" s="4"/>
      <c r="V987" s="4"/>
    </row>
    <row r="988" spans="1:22" x14ac:dyDescent="0.25">
      <c r="A988" s="3" t="str">
        <f>RTD("rtdtrading.rtdserver",, "BOOK0", "VOC", 984)</f>
        <v>Ferramenta Inválida</v>
      </c>
      <c r="B988" s="3" t="str">
        <f>RTD("rtdtrading.rtdserver",, "BOOK0", "OCP", 984)</f>
        <v>Ferramenta Inválida</v>
      </c>
      <c r="C988" s="4" t="str">
        <f>RTD("rtdtrading.rtdserver",, "BOOK0", "OVD", 984)</f>
        <v>Ferramenta Inválida</v>
      </c>
      <c r="D988" s="4" t="str">
        <f>RTD("rtdtrading.rtdserver",, "BOOK0", "VOV", 984)</f>
        <v>Ferramenta Inválida</v>
      </c>
      <c r="F988" s="3"/>
      <c r="G988" s="5"/>
      <c r="H988" s="6"/>
      <c r="I988" s="4"/>
      <c r="K988" s="5"/>
      <c r="L988" s="6"/>
      <c r="N988" s="3"/>
      <c r="O988" s="3"/>
      <c r="P988" s="4"/>
      <c r="Q988" s="4"/>
      <c r="S988" s="3"/>
      <c r="T988" s="3"/>
      <c r="U988" s="4"/>
      <c r="V988" s="4"/>
    </row>
    <row r="989" spans="1:22" x14ac:dyDescent="0.25">
      <c r="A989" s="3" t="str">
        <f>RTD("rtdtrading.rtdserver",, "BOOK0", "VOC", 985)</f>
        <v>Ferramenta Inválida</v>
      </c>
      <c r="B989" s="3" t="str">
        <f>RTD("rtdtrading.rtdserver",, "BOOK0", "OCP", 985)</f>
        <v>Ferramenta Inválida</v>
      </c>
      <c r="C989" s="4" t="str">
        <f>RTD("rtdtrading.rtdserver",, "BOOK0", "OVD", 985)</f>
        <v>Ferramenta Inválida</v>
      </c>
      <c r="D989" s="4" t="str">
        <f>RTD("rtdtrading.rtdserver",, "BOOK0", "VOV", 985)</f>
        <v>Ferramenta Inválida</v>
      </c>
      <c r="F989" s="3"/>
      <c r="G989" s="5"/>
      <c r="H989" s="6"/>
      <c r="I989" s="4"/>
      <c r="K989" s="5"/>
      <c r="L989" s="6"/>
      <c r="N989" s="3"/>
      <c r="O989" s="3"/>
      <c r="P989" s="4"/>
      <c r="Q989" s="4"/>
      <c r="S989" s="3"/>
      <c r="T989" s="3"/>
      <c r="U989" s="4"/>
      <c r="V989" s="4"/>
    </row>
    <row r="990" spans="1:22" x14ac:dyDescent="0.25">
      <c r="A990" s="3" t="str">
        <f>RTD("rtdtrading.rtdserver",, "BOOK0", "VOC", 986)</f>
        <v>Ferramenta Inválida</v>
      </c>
      <c r="B990" s="3" t="str">
        <f>RTD("rtdtrading.rtdserver",, "BOOK0", "OCP", 986)</f>
        <v>Ferramenta Inválida</v>
      </c>
      <c r="C990" s="4" t="str">
        <f>RTD("rtdtrading.rtdserver",, "BOOK0", "OVD", 986)</f>
        <v>Ferramenta Inválida</v>
      </c>
      <c r="D990" s="4" t="str">
        <f>RTD("rtdtrading.rtdserver",, "BOOK0", "VOV", 986)</f>
        <v>Ferramenta Inválida</v>
      </c>
      <c r="F990" s="3"/>
      <c r="G990" s="5"/>
      <c r="H990" s="6"/>
      <c r="I990" s="4"/>
      <c r="K990" s="5"/>
      <c r="L990" s="6"/>
      <c r="N990" s="3"/>
      <c r="O990" s="3"/>
      <c r="P990" s="4"/>
      <c r="Q990" s="4"/>
      <c r="S990" s="3"/>
      <c r="T990" s="3"/>
      <c r="U990" s="4"/>
      <c r="V990" s="4"/>
    </row>
    <row r="991" spans="1:22" x14ac:dyDescent="0.25">
      <c r="A991" s="3" t="str">
        <f>RTD("rtdtrading.rtdserver",, "BOOK0", "VOC", 987)</f>
        <v>Ferramenta Inválida</v>
      </c>
      <c r="B991" s="3" t="str">
        <f>RTD("rtdtrading.rtdserver",, "BOOK0", "OCP", 987)</f>
        <v>Ferramenta Inválida</v>
      </c>
      <c r="C991" s="4" t="str">
        <f>RTD("rtdtrading.rtdserver",, "BOOK0", "OVD", 987)</f>
        <v>Ferramenta Inválida</v>
      </c>
      <c r="D991" s="4" t="str">
        <f>RTD("rtdtrading.rtdserver",, "BOOK0", "VOV", 987)</f>
        <v>Ferramenta Inválida</v>
      </c>
      <c r="F991" s="3"/>
      <c r="G991" s="5"/>
      <c r="H991" s="6"/>
      <c r="I991" s="4"/>
      <c r="K991" s="5"/>
      <c r="L991" s="6"/>
      <c r="N991" s="3"/>
      <c r="O991" s="3"/>
      <c r="P991" s="4"/>
      <c r="Q991" s="4"/>
      <c r="S991" s="3"/>
      <c r="T991" s="3"/>
      <c r="U991" s="4"/>
      <c r="V991" s="4"/>
    </row>
    <row r="992" spans="1:22" x14ac:dyDescent="0.25">
      <c r="A992" s="3" t="str">
        <f>RTD("rtdtrading.rtdserver",, "BOOK0", "VOC", 988)</f>
        <v>Ferramenta Inválida</v>
      </c>
      <c r="B992" s="3" t="str">
        <f>RTD("rtdtrading.rtdserver",, "BOOK0", "OCP", 988)</f>
        <v>Ferramenta Inválida</v>
      </c>
      <c r="C992" s="4" t="str">
        <f>RTD("rtdtrading.rtdserver",, "BOOK0", "OVD", 988)</f>
        <v>Ferramenta Inválida</v>
      </c>
      <c r="D992" s="4" t="str">
        <f>RTD("rtdtrading.rtdserver",, "BOOK0", "VOV", 988)</f>
        <v>Ferramenta Inválida</v>
      </c>
      <c r="F992" s="3"/>
      <c r="G992" s="5"/>
      <c r="H992" s="6"/>
      <c r="I992" s="4"/>
      <c r="K992" s="5"/>
      <c r="L992" s="6"/>
      <c r="N992" s="3"/>
      <c r="O992" s="3"/>
      <c r="P992" s="4"/>
      <c r="Q992" s="4"/>
      <c r="S992" s="3"/>
      <c r="T992" s="3"/>
      <c r="U992" s="4"/>
      <c r="V992" s="4"/>
    </row>
    <row r="993" spans="1:22" x14ac:dyDescent="0.25">
      <c r="A993" s="3" t="str">
        <f>RTD("rtdtrading.rtdserver",, "BOOK0", "VOC", 989)</f>
        <v>Ferramenta Inválida</v>
      </c>
      <c r="B993" s="3" t="str">
        <f>RTD("rtdtrading.rtdserver",, "BOOK0", "OCP", 989)</f>
        <v>Ferramenta Inválida</v>
      </c>
      <c r="C993" s="4" t="str">
        <f>RTD("rtdtrading.rtdserver",, "BOOK0", "OVD", 989)</f>
        <v>Ferramenta Inválida</v>
      </c>
      <c r="D993" s="4" t="str">
        <f>RTD("rtdtrading.rtdserver",, "BOOK0", "VOV", 989)</f>
        <v>Ferramenta Inválida</v>
      </c>
      <c r="F993" s="3"/>
      <c r="G993" s="5"/>
      <c r="H993" s="6"/>
      <c r="I993" s="4"/>
      <c r="K993" s="5"/>
      <c r="L993" s="6"/>
      <c r="N993" s="3"/>
      <c r="O993" s="3"/>
      <c r="P993" s="4"/>
      <c r="Q993" s="4"/>
      <c r="S993" s="3"/>
      <c r="T993" s="3"/>
      <c r="U993" s="4"/>
      <c r="V993" s="4"/>
    </row>
    <row r="994" spans="1:22" x14ac:dyDescent="0.25">
      <c r="A994" s="3" t="str">
        <f>RTD("rtdtrading.rtdserver",, "BOOK0", "VOC", 990)</f>
        <v>Ferramenta Inválida</v>
      </c>
      <c r="B994" s="3" t="str">
        <f>RTD("rtdtrading.rtdserver",, "BOOK0", "OCP", 990)</f>
        <v>Ferramenta Inválida</v>
      </c>
      <c r="C994" s="4" t="str">
        <f>RTD("rtdtrading.rtdserver",, "BOOK0", "OVD", 990)</f>
        <v>Ferramenta Inválida</v>
      </c>
      <c r="D994" s="4" t="str">
        <f>RTD("rtdtrading.rtdserver",, "BOOK0", "VOV", 990)</f>
        <v>Ferramenta Inválida</v>
      </c>
      <c r="F994" s="3"/>
      <c r="G994" s="5"/>
      <c r="H994" s="6"/>
      <c r="I994" s="4"/>
      <c r="K994" s="5"/>
      <c r="L994" s="6"/>
      <c r="N994" s="3"/>
      <c r="O994" s="3"/>
      <c r="P994" s="4"/>
      <c r="Q994" s="4"/>
      <c r="S994" s="3"/>
      <c r="T994" s="3"/>
      <c r="U994" s="4"/>
      <c r="V994" s="4"/>
    </row>
    <row r="995" spans="1:22" x14ac:dyDescent="0.25">
      <c r="A995" s="3" t="str">
        <f>RTD("rtdtrading.rtdserver",, "BOOK0", "VOC", 991)</f>
        <v>Ferramenta Inválida</v>
      </c>
      <c r="B995" s="3" t="str">
        <f>RTD("rtdtrading.rtdserver",, "BOOK0", "OCP", 991)</f>
        <v>Ferramenta Inválida</v>
      </c>
      <c r="C995" s="4" t="str">
        <f>RTD("rtdtrading.rtdserver",, "BOOK0", "OVD", 991)</f>
        <v>Ferramenta Inválida</v>
      </c>
      <c r="D995" s="4" t="str">
        <f>RTD("rtdtrading.rtdserver",, "BOOK0", "VOV", 991)</f>
        <v>Ferramenta Inválida</v>
      </c>
      <c r="F995" s="3"/>
      <c r="G995" s="5"/>
      <c r="H995" s="6"/>
      <c r="I995" s="4"/>
      <c r="K995" s="5"/>
      <c r="L995" s="6"/>
      <c r="N995" s="3"/>
      <c r="O995" s="3"/>
      <c r="P995" s="4"/>
      <c r="Q995" s="4"/>
      <c r="S995" s="3"/>
      <c r="T995" s="3"/>
      <c r="U995" s="4"/>
      <c r="V995" s="4"/>
    </row>
    <row r="996" spans="1:22" x14ac:dyDescent="0.25">
      <c r="A996" s="3" t="str">
        <f>RTD("rtdtrading.rtdserver",, "BOOK0", "VOC", 992)</f>
        <v>Ferramenta Inválida</v>
      </c>
      <c r="B996" s="3" t="str">
        <f>RTD("rtdtrading.rtdserver",, "BOOK0", "OCP", 992)</f>
        <v>Ferramenta Inválida</v>
      </c>
      <c r="C996" s="4" t="str">
        <f>RTD("rtdtrading.rtdserver",, "BOOK0", "OVD", 992)</f>
        <v>Ferramenta Inválida</v>
      </c>
      <c r="D996" s="4" t="str">
        <f>RTD("rtdtrading.rtdserver",, "BOOK0", "VOV", 992)</f>
        <v>Ferramenta Inválida</v>
      </c>
      <c r="F996" s="3"/>
      <c r="G996" s="5"/>
      <c r="H996" s="6"/>
      <c r="I996" s="4"/>
      <c r="K996" s="5"/>
      <c r="L996" s="6"/>
      <c r="N996" s="3"/>
      <c r="O996" s="3"/>
      <c r="P996" s="4"/>
      <c r="Q996" s="4"/>
      <c r="S996" s="3"/>
      <c r="T996" s="3"/>
      <c r="U996" s="4"/>
      <c r="V996" s="4"/>
    </row>
    <row r="997" spans="1:22" x14ac:dyDescent="0.25">
      <c r="A997" s="3" t="str">
        <f>RTD("rtdtrading.rtdserver",, "BOOK0", "VOC", 993)</f>
        <v>Ferramenta Inválida</v>
      </c>
      <c r="B997" s="3" t="str">
        <f>RTD("rtdtrading.rtdserver",, "BOOK0", "OCP", 993)</f>
        <v>Ferramenta Inválida</v>
      </c>
      <c r="C997" s="4" t="str">
        <f>RTD("rtdtrading.rtdserver",, "BOOK0", "OVD", 993)</f>
        <v>Ferramenta Inválida</v>
      </c>
      <c r="D997" s="4" t="str">
        <f>RTD("rtdtrading.rtdserver",, "BOOK0", "VOV", 993)</f>
        <v>Ferramenta Inválida</v>
      </c>
      <c r="F997" s="3"/>
      <c r="G997" s="5"/>
      <c r="H997" s="6"/>
      <c r="I997" s="4"/>
      <c r="K997" s="5"/>
      <c r="L997" s="6"/>
      <c r="N997" s="3"/>
      <c r="O997" s="3"/>
      <c r="P997" s="4"/>
      <c r="Q997" s="4"/>
      <c r="S997" s="3"/>
      <c r="T997" s="3"/>
      <c r="U997" s="4"/>
      <c r="V997" s="4"/>
    </row>
    <row r="998" spans="1:22" x14ac:dyDescent="0.25">
      <c r="A998" s="3" t="str">
        <f>RTD("rtdtrading.rtdserver",, "BOOK0", "VOC", 994)</f>
        <v>Ferramenta Inválida</v>
      </c>
      <c r="B998" s="3" t="str">
        <f>RTD("rtdtrading.rtdserver",, "BOOK0", "OCP", 994)</f>
        <v>Ferramenta Inválida</v>
      </c>
      <c r="C998" s="4" t="str">
        <f>RTD("rtdtrading.rtdserver",, "BOOK0", "OVD", 994)</f>
        <v>Ferramenta Inválida</v>
      </c>
      <c r="D998" s="4" t="str">
        <f>RTD("rtdtrading.rtdserver",, "BOOK0", "VOV", 994)</f>
        <v>Ferramenta Inválida</v>
      </c>
      <c r="F998" s="3"/>
      <c r="G998" s="5"/>
      <c r="H998" s="6"/>
      <c r="I998" s="4"/>
      <c r="K998" s="5"/>
      <c r="L998" s="6"/>
      <c r="N998" s="3"/>
      <c r="O998" s="3"/>
      <c r="P998" s="4"/>
      <c r="Q998" s="4"/>
      <c r="S998" s="3"/>
      <c r="T998" s="3"/>
      <c r="U998" s="4"/>
      <c r="V998" s="4"/>
    </row>
    <row r="999" spans="1:22" x14ac:dyDescent="0.25">
      <c r="A999" s="3" t="str">
        <f>RTD("rtdtrading.rtdserver",, "BOOK0", "VOC", 995)</f>
        <v>Ferramenta Inválida</v>
      </c>
      <c r="B999" s="3" t="str">
        <f>RTD("rtdtrading.rtdserver",, "BOOK0", "OCP", 995)</f>
        <v>Ferramenta Inválida</v>
      </c>
      <c r="C999" s="4" t="str">
        <f>RTD("rtdtrading.rtdserver",, "BOOK0", "OVD", 995)</f>
        <v>Ferramenta Inválida</v>
      </c>
      <c r="D999" s="4" t="str">
        <f>RTD("rtdtrading.rtdserver",, "BOOK0", "VOV", 995)</f>
        <v>Ferramenta Inválida</v>
      </c>
      <c r="F999" s="3"/>
      <c r="G999" s="5"/>
      <c r="H999" s="6"/>
      <c r="I999" s="4"/>
      <c r="K999" s="5"/>
      <c r="L999" s="6"/>
      <c r="N999" s="3"/>
      <c r="O999" s="3"/>
      <c r="P999" s="4"/>
      <c r="Q999" s="4"/>
      <c r="S999" s="3"/>
      <c r="T999" s="3"/>
      <c r="U999" s="4"/>
      <c r="V999" s="4"/>
    </row>
    <row r="1000" spans="1:22" x14ac:dyDescent="0.25">
      <c r="A1000" s="3" t="str">
        <f>RTD("rtdtrading.rtdserver",, "BOOK0", "VOC", 996)</f>
        <v>Ferramenta Inválida</v>
      </c>
      <c r="B1000" s="3" t="str">
        <f>RTD("rtdtrading.rtdserver",, "BOOK0", "OCP", 996)</f>
        <v>Ferramenta Inválida</v>
      </c>
      <c r="C1000" s="4" t="str">
        <f>RTD("rtdtrading.rtdserver",, "BOOK0", "OVD", 996)</f>
        <v>Ferramenta Inválida</v>
      </c>
      <c r="D1000" s="4" t="str">
        <f>RTD("rtdtrading.rtdserver",, "BOOK0", "VOV", 996)</f>
        <v>Ferramenta Inválida</v>
      </c>
      <c r="F1000" s="3"/>
      <c r="G1000" s="5"/>
      <c r="H1000" s="6"/>
      <c r="I1000" s="4"/>
      <c r="K1000" s="5"/>
      <c r="L1000" s="6"/>
      <c r="N1000" s="3"/>
      <c r="O1000" s="3"/>
      <c r="P1000" s="4"/>
      <c r="Q1000" s="4"/>
      <c r="S1000" s="3"/>
      <c r="T1000" s="3"/>
      <c r="U1000" s="4"/>
      <c r="V1000" s="4"/>
    </row>
    <row r="1001" spans="1:22" x14ac:dyDescent="0.25">
      <c r="A1001" s="3" t="str">
        <f>RTD("rtdtrading.rtdserver",, "BOOK0", "VOC", 997)</f>
        <v>Ferramenta Inválida</v>
      </c>
      <c r="B1001" s="3" t="str">
        <f>RTD("rtdtrading.rtdserver",, "BOOK0", "OCP", 997)</f>
        <v>Ferramenta Inválida</v>
      </c>
      <c r="C1001" s="4" t="str">
        <f>RTD("rtdtrading.rtdserver",, "BOOK0", "OVD", 997)</f>
        <v>Ferramenta Inválida</v>
      </c>
      <c r="D1001" s="4" t="str">
        <f>RTD("rtdtrading.rtdserver",, "BOOK0", "VOV", 997)</f>
        <v>Ferramenta Inválida</v>
      </c>
      <c r="F1001" s="3"/>
      <c r="G1001" s="5"/>
      <c r="H1001" s="6"/>
      <c r="I1001" s="4"/>
      <c r="K1001" s="5"/>
      <c r="L1001" s="6"/>
      <c r="N1001" s="3"/>
      <c r="O1001" s="3"/>
      <c r="P1001" s="4"/>
      <c r="Q1001" s="4"/>
      <c r="S1001" s="3"/>
      <c r="T1001" s="3"/>
      <c r="U1001" s="4"/>
      <c r="V1001" s="4"/>
    </row>
    <row r="1002" spans="1:22" x14ac:dyDescent="0.25">
      <c r="A1002" s="3" t="str">
        <f>RTD("rtdtrading.rtdserver",, "BOOK0", "VOC", 998)</f>
        <v>Ferramenta Inválida</v>
      </c>
      <c r="B1002" s="3" t="str">
        <f>RTD("rtdtrading.rtdserver",, "BOOK0", "OCP", 998)</f>
        <v>Ferramenta Inválida</v>
      </c>
      <c r="C1002" s="4" t="str">
        <f>RTD("rtdtrading.rtdserver",, "BOOK0", "OVD", 998)</f>
        <v>Ferramenta Inválida</v>
      </c>
      <c r="D1002" s="4" t="str">
        <f>RTD("rtdtrading.rtdserver",, "BOOK0", "VOV", 998)</f>
        <v>Ferramenta Inválida</v>
      </c>
      <c r="F1002" s="3"/>
      <c r="G1002" s="5"/>
      <c r="H1002" s="6"/>
      <c r="I1002" s="4"/>
      <c r="K1002" s="5"/>
      <c r="L1002" s="6"/>
      <c r="N1002" s="3"/>
      <c r="O1002" s="3"/>
      <c r="P1002" s="4"/>
      <c r="Q1002" s="4"/>
      <c r="S1002" s="3"/>
      <c r="T1002" s="3"/>
      <c r="U1002" s="4"/>
      <c r="V1002" s="4"/>
    </row>
    <row r="1003" spans="1:22" x14ac:dyDescent="0.25">
      <c r="A1003" s="3" t="str">
        <f>RTD("rtdtrading.rtdserver",, "BOOK0", "VOC", 999)</f>
        <v>Ferramenta Inválida</v>
      </c>
      <c r="B1003" s="3" t="str">
        <f>RTD("rtdtrading.rtdserver",, "BOOK0", "OCP", 999)</f>
        <v>Ferramenta Inválida</v>
      </c>
      <c r="C1003" s="4" t="str">
        <f>RTD("rtdtrading.rtdserver",, "BOOK0", "OVD", 999)</f>
        <v>Ferramenta Inválida</v>
      </c>
      <c r="D1003" s="4" t="str">
        <f>RTD("rtdtrading.rtdserver",, "BOOK0", "VOV", 999)</f>
        <v>Ferramenta Inválida</v>
      </c>
      <c r="F1003" s="3"/>
      <c r="G1003" s="5"/>
      <c r="H1003" s="6"/>
      <c r="I1003" s="4"/>
      <c r="K1003" s="5"/>
      <c r="L1003" s="6"/>
      <c r="N1003" s="3"/>
      <c r="O1003" s="3"/>
      <c r="P1003" s="4"/>
      <c r="Q1003" s="4"/>
      <c r="S1003" s="3"/>
      <c r="T1003" s="3"/>
      <c r="U1003" s="4"/>
      <c r="V1003" s="4"/>
    </row>
  </sheetData>
  <mergeCells count="6">
    <mergeCell ref="T2:U2"/>
    <mergeCell ref="A1:D1"/>
    <mergeCell ref="F1:I1"/>
    <mergeCell ref="K1:L1"/>
    <mergeCell ref="N1:Q1"/>
    <mergeCell ref="S1:V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96"/>
  <sheetViews>
    <sheetView topLeftCell="DH1" zoomScale="220" zoomScaleNormal="220" workbookViewId="0">
      <selection activeCell="DM5" sqref="DM5"/>
    </sheetView>
  </sheetViews>
  <sheetFormatPr defaultRowHeight="15" x14ac:dyDescent="0.25"/>
  <cols>
    <col min="1" max="1" width="9.85546875" bestFit="1" customWidth="1"/>
    <col min="116" max="116" width="9.140625" style="20"/>
    <col min="117" max="117" width="10.42578125" customWidth="1"/>
  </cols>
  <sheetData>
    <row r="1" spans="1:117" ht="15.75" x14ac:dyDescent="0.25">
      <c r="A1" s="11" t="s">
        <v>5</v>
      </c>
      <c r="B1" s="11" t="s">
        <v>11</v>
      </c>
      <c r="C1" s="15">
        <v>0.37847222222222227</v>
      </c>
      <c r="D1" s="15">
        <v>0.38194444444444442</v>
      </c>
      <c r="E1" s="15">
        <v>0.38541666666666669</v>
      </c>
      <c r="F1" s="15">
        <v>0.3888888888888889</v>
      </c>
      <c r="G1" s="15">
        <v>0.3923611111111111</v>
      </c>
      <c r="H1" s="15">
        <v>0.39583333333333331</v>
      </c>
      <c r="I1" s="15">
        <v>0.39930555555555558</v>
      </c>
      <c r="J1" s="15">
        <v>0.40277777777777773</v>
      </c>
      <c r="K1" s="15">
        <v>0.40625</v>
      </c>
      <c r="L1" s="15">
        <v>0.40972222222222227</v>
      </c>
      <c r="M1" s="15">
        <v>0.41319444444444442</v>
      </c>
      <c r="N1" s="15">
        <v>0.41666666666666669</v>
      </c>
      <c r="O1" s="15">
        <v>0.4201388888888889</v>
      </c>
      <c r="P1" s="15">
        <v>0.4236111111111111</v>
      </c>
      <c r="Q1" s="15">
        <v>0.42708333333333331</v>
      </c>
      <c r="R1" s="15">
        <v>0.43055555555555558</v>
      </c>
      <c r="S1" s="15">
        <v>0.43402777777777773</v>
      </c>
      <c r="T1" s="15">
        <v>0.4375</v>
      </c>
      <c r="U1" s="15">
        <v>0.44097222222222227</v>
      </c>
      <c r="V1" s="15">
        <v>0.44444444444444442</v>
      </c>
      <c r="W1" s="15">
        <v>0.44791666666666669</v>
      </c>
      <c r="X1" s="15">
        <v>0.4513888888888889</v>
      </c>
      <c r="Y1" s="15">
        <v>0.4548611111111111</v>
      </c>
      <c r="Z1" s="15">
        <v>0.45833333333333331</v>
      </c>
      <c r="AA1" s="15">
        <v>0.46180555555555558</v>
      </c>
      <c r="AB1" s="15">
        <v>0.46527777777777773</v>
      </c>
      <c r="AC1" s="15">
        <v>0.46875</v>
      </c>
      <c r="AD1" s="15">
        <v>0.47222222222222227</v>
      </c>
      <c r="AE1" s="15">
        <v>0.47569444444444442</v>
      </c>
      <c r="AF1" s="15">
        <v>0.47916666666666669</v>
      </c>
      <c r="AG1" s="15">
        <v>0.4826388888888889</v>
      </c>
      <c r="AH1" s="15">
        <v>0.4861111111111111</v>
      </c>
      <c r="AI1" s="15">
        <v>0.48958333333333331</v>
      </c>
      <c r="AJ1" s="15">
        <v>0.49305555555555558</v>
      </c>
      <c r="AK1" s="15">
        <v>0.49652777777777773</v>
      </c>
      <c r="AL1" s="15">
        <v>0.5</v>
      </c>
      <c r="AM1" s="15">
        <v>0.50347222222222221</v>
      </c>
      <c r="AN1" s="15">
        <v>0.50694444444444442</v>
      </c>
      <c r="AO1" s="15">
        <v>0.51041666666666663</v>
      </c>
      <c r="AP1" s="15">
        <v>0.51388888888888895</v>
      </c>
      <c r="AQ1" s="15">
        <v>0.51736111111111105</v>
      </c>
      <c r="AR1" s="15">
        <v>0.52083333333333337</v>
      </c>
      <c r="AS1" s="15">
        <v>0.52430555555555558</v>
      </c>
      <c r="AT1" s="15">
        <v>0.52777777777777779</v>
      </c>
      <c r="AU1" s="15">
        <v>0.53125</v>
      </c>
      <c r="AV1" s="15">
        <v>0.53472222222222221</v>
      </c>
      <c r="AW1" s="15">
        <v>0.53819444444444442</v>
      </c>
      <c r="AX1" s="15">
        <v>0.54166666666666663</v>
      </c>
      <c r="AY1" s="15">
        <v>0.54513888888888895</v>
      </c>
      <c r="AZ1" s="15">
        <v>0.54861111111111105</v>
      </c>
      <c r="BA1" s="15">
        <v>0.55208333333333337</v>
      </c>
      <c r="BB1" s="15">
        <v>0.55555555555555558</v>
      </c>
      <c r="BC1" s="15">
        <v>0.55902777777777779</v>
      </c>
      <c r="BD1" s="15">
        <v>0.5625</v>
      </c>
      <c r="BE1" s="15">
        <v>0.56597222222222221</v>
      </c>
      <c r="BF1" s="15">
        <v>0.56944444444444442</v>
      </c>
      <c r="BG1" s="15">
        <v>0.57291666666666663</v>
      </c>
      <c r="BH1" s="15">
        <v>0.57638888888888895</v>
      </c>
      <c r="BI1" s="15">
        <v>0.57986111111111105</v>
      </c>
      <c r="BJ1" s="15">
        <v>0.58333333333333337</v>
      </c>
      <c r="BK1" s="15">
        <v>0.58680555555555558</v>
      </c>
      <c r="BL1" s="15">
        <v>0.59027777777777779</v>
      </c>
      <c r="BM1" s="15">
        <v>0.59375</v>
      </c>
      <c r="BN1" s="15">
        <v>0.59722222222222221</v>
      </c>
      <c r="BO1" s="15">
        <v>0.60069444444444442</v>
      </c>
      <c r="BP1" s="15">
        <v>0.60416666666666663</v>
      </c>
      <c r="BQ1" s="15">
        <v>0.60763888888888895</v>
      </c>
      <c r="BR1" s="15">
        <v>0.61111111111111105</v>
      </c>
      <c r="BS1" s="15">
        <v>0.61458333333333337</v>
      </c>
      <c r="BT1" s="15">
        <v>0.61805555555555558</v>
      </c>
      <c r="BU1" s="15">
        <v>0.62152777777777779</v>
      </c>
      <c r="BV1" s="15">
        <v>0.625</v>
      </c>
      <c r="BW1" s="15">
        <v>0.62847222222222221</v>
      </c>
      <c r="BX1" s="15">
        <v>0.63194444444444442</v>
      </c>
      <c r="BY1" s="15">
        <v>0.63541666666666663</v>
      </c>
      <c r="BZ1" s="15">
        <v>0.63888888888888895</v>
      </c>
      <c r="CA1" s="15">
        <v>0.64236111111111105</v>
      </c>
      <c r="CB1" s="15">
        <v>0.64583333333333337</v>
      </c>
      <c r="CC1" s="15">
        <v>0.64930555555555558</v>
      </c>
      <c r="CD1" s="15">
        <v>0.65277777777777779</v>
      </c>
      <c r="CE1" s="15">
        <v>0.65625</v>
      </c>
      <c r="CF1" s="15">
        <v>0.65972222222222221</v>
      </c>
      <c r="CG1" s="15">
        <v>0.66319444444444442</v>
      </c>
      <c r="CH1" s="15">
        <v>0.66666666666666663</v>
      </c>
      <c r="CI1" s="15">
        <v>0.67013888888888884</v>
      </c>
      <c r="CJ1" s="15">
        <v>0.67361111111111116</v>
      </c>
      <c r="CK1" s="15">
        <v>0.67708333333333337</v>
      </c>
      <c r="CL1" s="15">
        <v>0.68055555555555547</v>
      </c>
      <c r="CM1" s="15">
        <v>0.68402777777777779</v>
      </c>
      <c r="CN1" s="15">
        <v>0.6875</v>
      </c>
      <c r="CO1" s="15">
        <v>0.69097222222222221</v>
      </c>
      <c r="CP1" s="15">
        <v>0.69444444444444453</v>
      </c>
      <c r="CQ1" s="15">
        <v>0.69791666666666663</v>
      </c>
      <c r="CR1" s="15">
        <v>0.70138888888888884</v>
      </c>
      <c r="CS1" s="15">
        <v>0.70486111111111116</v>
      </c>
      <c r="CT1" s="15">
        <v>0.70833333333333337</v>
      </c>
      <c r="CU1" s="15">
        <v>0.71180555555555547</v>
      </c>
      <c r="CV1" s="15">
        <v>0.71527777777777779</v>
      </c>
      <c r="CW1" s="15">
        <v>0.71875</v>
      </c>
      <c r="CX1" s="15">
        <v>0.72222222222222221</v>
      </c>
      <c r="CY1" s="15">
        <v>0.72569444444444453</v>
      </c>
      <c r="CZ1" s="15">
        <v>0.72916666666666663</v>
      </c>
      <c r="DA1" s="15">
        <v>0.73263888888888884</v>
      </c>
      <c r="DB1" s="15">
        <v>0.73611111111111116</v>
      </c>
      <c r="DC1" s="15">
        <v>0.73958333333333337</v>
      </c>
      <c r="DD1" s="15">
        <v>0.74305555555555547</v>
      </c>
      <c r="DE1" s="15">
        <v>0.74652777777777779</v>
      </c>
      <c r="DF1" s="15">
        <v>0.75</v>
      </c>
      <c r="DG1" s="15">
        <v>0.75347222222222221</v>
      </c>
      <c r="DH1" s="15">
        <v>0.75694444444444453</v>
      </c>
      <c r="DI1" s="15">
        <v>0.76041666666666663</v>
      </c>
      <c r="DJ1" s="15">
        <v>0.76388888888888884</v>
      </c>
      <c r="DK1" s="15">
        <v>0.76736111111111116</v>
      </c>
      <c r="DM1" s="20"/>
    </row>
    <row r="2" spans="1:117" ht="15.75" x14ac:dyDescent="0.25">
      <c r="A2" s="14">
        <v>44138</v>
      </c>
      <c r="B2" s="12" t="s">
        <v>6</v>
      </c>
      <c r="C2" s="13">
        <v>5737</v>
      </c>
      <c r="D2" s="13">
        <v>5739</v>
      </c>
      <c r="E2" s="13">
        <v>5737</v>
      </c>
      <c r="F2" s="13">
        <v>5733</v>
      </c>
      <c r="G2" s="13">
        <v>5731.18</v>
      </c>
      <c r="H2" s="13">
        <v>5722.67</v>
      </c>
      <c r="I2" s="13">
        <v>5720.18</v>
      </c>
      <c r="J2" s="13">
        <v>5703.18</v>
      </c>
      <c r="K2" s="13">
        <v>5706.18</v>
      </c>
      <c r="L2" s="13">
        <v>5699.67</v>
      </c>
      <c r="M2" s="13">
        <v>5705.47</v>
      </c>
      <c r="N2" s="13">
        <v>5706.33</v>
      </c>
      <c r="O2" s="13">
        <v>5714.73</v>
      </c>
      <c r="P2" s="13">
        <v>5716.06</v>
      </c>
      <c r="Q2" s="13">
        <v>5718.6</v>
      </c>
      <c r="R2" s="13">
        <v>5721.27</v>
      </c>
      <c r="S2" s="13">
        <v>5726.73</v>
      </c>
      <c r="T2" s="13">
        <v>5722.18</v>
      </c>
      <c r="U2" s="13">
        <v>5715.76</v>
      </c>
      <c r="V2" s="13">
        <v>5722.82</v>
      </c>
      <c r="W2" s="13">
        <v>5720.18</v>
      </c>
      <c r="X2" s="13">
        <v>5718.14</v>
      </c>
      <c r="Y2" s="13">
        <v>5715.06</v>
      </c>
      <c r="Z2" s="13">
        <v>5698.82</v>
      </c>
      <c r="AA2" s="13">
        <v>5697.18</v>
      </c>
      <c r="AB2" s="13">
        <v>5687.67</v>
      </c>
      <c r="AC2" s="13">
        <v>5679.18</v>
      </c>
      <c r="AD2" s="13">
        <v>5673.18</v>
      </c>
      <c r="AE2" s="13">
        <v>5670.47</v>
      </c>
      <c r="AF2" s="13">
        <v>5672.82</v>
      </c>
      <c r="AG2" s="13">
        <v>5674.18</v>
      </c>
      <c r="AH2" s="13">
        <v>5678.06</v>
      </c>
      <c r="AI2" s="13">
        <v>5683.47</v>
      </c>
      <c r="AJ2" s="13">
        <v>5687.88</v>
      </c>
      <c r="AK2" s="13">
        <v>5690.4</v>
      </c>
      <c r="AL2" s="13">
        <v>5690</v>
      </c>
      <c r="AM2" s="13">
        <v>5693.71</v>
      </c>
      <c r="AN2" s="13">
        <v>5695.29</v>
      </c>
      <c r="AO2" s="13">
        <v>5697</v>
      </c>
      <c r="AP2" s="13">
        <v>5697</v>
      </c>
      <c r="AQ2" s="13">
        <v>5698</v>
      </c>
      <c r="AR2" s="13">
        <v>5705</v>
      </c>
      <c r="AS2" s="13">
        <v>5707</v>
      </c>
      <c r="AT2" s="13">
        <v>5705.88</v>
      </c>
      <c r="AU2" s="13">
        <v>5711.91</v>
      </c>
      <c r="AV2" s="13">
        <v>5708</v>
      </c>
      <c r="AW2" s="13">
        <v>5712.41</v>
      </c>
      <c r="AX2" s="13">
        <v>5719</v>
      </c>
      <c r="AY2" s="13">
        <v>5727.88</v>
      </c>
      <c r="AZ2" s="13">
        <v>5723.59</v>
      </c>
      <c r="BA2" s="13">
        <v>5727</v>
      </c>
      <c r="BB2" s="13">
        <v>5731</v>
      </c>
      <c r="BC2" s="13">
        <v>5732.59</v>
      </c>
      <c r="BD2" s="13">
        <v>5736</v>
      </c>
      <c r="BE2" s="13">
        <v>5753.59</v>
      </c>
      <c r="BF2" s="13">
        <v>5754</v>
      </c>
      <c r="BG2" s="13">
        <v>5753.29</v>
      </c>
      <c r="BH2" s="13">
        <v>5748.88</v>
      </c>
      <c r="BI2" s="13">
        <v>5752</v>
      </c>
      <c r="BJ2" s="13">
        <v>5751</v>
      </c>
      <c r="BK2" s="13">
        <v>5758</v>
      </c>
      <c r="BL2" s="13">
        <v>5758</v>
      </c>
      <c r="BM2" s="13">
        <v>5761.68</v>
      </c>
      <c r="BN2" s="13">
        <v>5763</v>
      </c>
      <c r="BO2" s="13">
        <v>5760.91</v>
      </c>
      <c r="BP2" s="13">
        <v>5760</v>
      </c>
      <c r="BQ2" s="13">
        <v>5759.91</v>
      </c>
      <c r="BR2" s="13">
        <v>5767</v>
      </c>
      <c r="BS2" s="13">
        <v>5768</v>
      </c>
      <c r="BT2" s="13">
        <v>5773</v>
      </c>
      <c r="BU2" s="13">
        <v>5772.59</v>
      </c>
      <c r="BV2" s="13">
        <v>5769.88</v>
      </c>
      <c r="BW2" s="13">
        <v>5769.29</v>
      </c>
      <c r="BX2" s="13">
        <v>5768.29</v>
      </c>
      <c r="BY2" s="13">
        <v>5758.33</v>
      </c>
      <c r="BZ2" s="13">
        <v>5755.05</v>
      </c>
      <c r="CA2" s="13">
        <v>5756.58</v>
      </c>
      <c r="CB2" s="13">
        <v>5757.36</v>
      </c>
      <c r="CC2" s="13">
        <v>5761</v>
      </c>
      <c r="CD2" s="13">
        <v>5765.29</v>
      </c>
      <c r="CE2" s="13">
        <v>5764.29</v>
      </c>
      <c r="CF2" s="13">
        <v>5763</v>
      </c>
      <c r="CG2" s="13">
        <v>5761</v>
      </c>
      <c r="CH2" s="13">
        <v>5767</v>
      </c>
      <c r="CI2" s="13">
        <v>5766.88</v>
      </c>
      <c r="CJ2" s="13">
        <v>5770.88</v>
      </c>
      <c r="CK2" s="13">
        <v>5772.88</v>
      </c>
      <c r="CL2" s="13">
        <v>5772.88</v>
      </c>
      <c r="CM2" s="13">
        <v>5769.59</v>
      </c>
      <c r="CN2" s="13">
        <v>5768.88</v>
      </c>
      <c r="CO2" s="13">
        <v>5768.91</v>
      </c>
      <c r="CP2" s="13">
        <v>5769.88</v>
      </c>
      <c r="CQ2" s="13">
        <v>5768.88</v>
      </c>
      <c r="CR2" s="13">
        <v>5768.88</v>
      </c>
      <c r="CS2" s="13">
        <v>5771.88</v>
      </c>
      <c r="CT2" s="13">
        <v>5775.88</v>
      </c>
      <c r="CU2" s="13">
        <v>5778.88</v>
      </c>
      <c r="CV2" s="13">
        <v>5778.88</v>
      </c>
      <c r="CW2" s="13">
        <v>5780.88</v>
      </c>
      <c r="CX2" s="13">
        <v>5778.59</v>
      </c>
      <c r="CY2" s="13">
        <v>5777</v>
      </c>
      <c r="CZ2" s="13">
        <v>5775.18</v>
      </c>
      <c r="DA2" s="13">
        <v>5767.8</v>
      </c>
      <c r="DB2" s="13">
        <v>5760.88</v>
      </c>
      <c r="DC2" s="13">
        <v>5765.88</v>
      </c>
      <c r="DD2" s="13">
        <v>5765.67</v>
      </c>
      <c r="DE2" s="13">
        <v>5764.83</v>
      </c>
      <c r="DF2" s="13">
        <v>5769</v>
      </c>
      <c r="DG2" s="13">
        <v>5771</v>
      </c>
      <c r="DH2" s="13">
        <v>5770.29</v>
      </c>
      <c r="DI2" s="13">
        <v>5769</v>
      </c>
      <c r="DJ2" s="13">
        <v>5765.33</v>
      </c>
      <c r="DK2" s="13">
        <v>5766.18</v>
      </c>
      <c r="DM2" s="23">
        <v>44315</v>
      </c>
    </row>
    <row r="3" spans="1:117" ht="15.75" x14ac:dyDescent="0.25">
      <c r="A3" s="14" t="s">
        <v>12</v>
      </c>
      <c r="B3" s="12" t="s">
        <v>10</v>
      </c>
      <c r="C3" s="13">
        <v>5729.75</v>
      </c>
      <c r="D3" s="13">
        <v>5738</v>
      </c>
      <c r="E3" s="13">
        <v>5731</v>
      </c>
      <c r="F3" s="13">
        <v>5730.11</v>
      </c>
      <c r="G3" s="13">
        <v>5717.67</v>
      </c>
      <c r="H3" s="13">
        <v>5718.47</v>
      </c>
      <c r="I3" s="13">
        <v>5699.18</v>
      </c>
      <c r="J3" s="13">
        <v>5694.47</v>
      </c>
      <c r="K3" s="13">
        <v>5702.47</v>
      </c>
      <c r="L3" s="13">
        <v>5698.47</v>
      </c>
      <c r="M3" s="13">
        <v>5705.47</v>
      </c>
      <c r="N3" s="13">
        <v>5706.33</v>
      </c>
      <c r="O3" s="13">
        <v>5714.47</v>
      </c>
      <c r="P3" s="13">
        <v>5712.18</v>
      </c>
      <c r="Q3" s="13">
        <v>5718.6</v>
      </c>
      <c r="R3" s="13">
        <v>5719.06</v>
      </c>
      <c r="S3" s="13">
        <v>5724.5</v>
      </c>
      <c r="T3" s="13">
        <v>5715.06</v>
      </c>
      <c r="U3" s="13">
        <v>5715.73</v>
      </c>
      <c r="V3" s="13">
        <v>5720.27</v>
      </c>
      <c r="W3" s="13">
        <v>5719.05</v>
      </c>
      <c r="X3" s="13">
        <v>5712.18</v>
      </c>
      <c r="Y3" s="13">
        <v>5715.06</v>
      </c>
      <c r="Z3" s="13">
        <v>5698.47</v>
      </c>
      <c r="AA3" s="13">
        <v>5686.59</v>
      </c>
      <c r="AB3" s="13">
        <v>5680.67</v>
      </c>
      <c r="AC3" s="13">
        <v>5671.18</v>
      </c>
      <c r="AD3" s="13">
        <v>5670.18</v>
      </c>
      <c r="AE3" s="13">
        <v>5665.95</v>
      </c>
      <c r="AF3" s="13">
        <v>5667.18</v>
      </c>
      <c r="AG3" s="13">
        <v>5673.18</v>
      </c>
      <c r="AH3" s="13">
        <v>5677.76</v>
      </c>
      <c r="AI3" s="13">
        <v>5683.18</v>
      </c>
      <c r="AJ3" s="13">
        <v>5687.88</v>
      </c>
      <c r="AK3" s="13">
        <v>5690</v>
      </c>
      <c r="AL3" s="13">
        <v>5689</v>
      </c>
      <c r="AM3" s="13">
        <v>5692.23</v>
      </c>
      <c r="AN3" s="13">
        <v>5695.29</v>
      </c>
      <c r="AO3" s="13">
        <v>5693.61</v>
      </c>
      <c r="AP3" s="13">
        <v>5695.29</v>
      </c>
      <c r="AQ3" s="13">
        <v>5697</v>
      </c>
      <c r="AR3" s="13">
        <v>5705</v>
      </c>
      <c r="AS3" s="13">
        <v>5705</v>
      </c>
      <c r="AT3" s="13">
        <v>5705.88</v>
      </c>
      <c r="AU3" s="13">
        <v>5708.88</v>
      </c>
      <c r="AV3" s="13">
        <v>5706</v>
      </c>
      <c r="AW3" s="13">
        <v>5710.59</v>
      </c>
      <c r="AX3" s="13">
        <v>5718</v>
      </c>
      <c r="AY3" s="13">
        <v>5722.29</v>
      </c>
      <c r="AZ3" s="13">
        <v>5723</v>
      </c>
      <c r="BA3" s="13">
        <v>5727</v>
      </c>
      <c r="BB3" s="13">
        <v>5728.59</v>
      </c>
      <c r="BC3" s="13">
        <v>5731.47</v>
      </c>
      <c r="BD3" s="13">
        <v>5736</v>
      </c>
      <c r="BE3" s="13">
        <v>5751.59</v>
      </c>
      <c r="BF3" s="13">
        <v>5748.41</v>
      </c>
      <c r="BG3" s="13">
        <v>5748.12</v>
      </c>
      <c r="BH3" s="13">
        <v>5747.88</v>
      </c>
      <c r="BI3" s="13">
        <v>5751</v>
      </c>
      <c r="BJ3" s="13">
        <v>5747.88</v>
      </c>
      <c r="BK3" s="13">
        <v>5758</v>
      </c>
      <c r="BL3" s="13">
        <v>5756.29</v>
      </c>
      <c r="BM3" s="13">
        <v>5761.68</v>
      </c>
      <c r="BN3" s="13">
        <v>5758.88</v>
      </c>
      <c r="BO3" s="13">
        <v>5759.29</v>
      </c>
      <c r="BP3" s="13">
        <v>5759</v>
      </c>
      <c r="BQ3" s="13">
        <v>5759.88</v>
      </c>
      <c r="BR3" s="13">
        <v>5767</v>
      </c>
      <c r="BS3" s="13">
        <v>5767</v>
      </c>
      <c r="BT3" s="13">
        <v>5771.88</v>
      </c>
      <c r="BU3" s="13">
        <v>5769</v>
      </c>
      <c r="BV3" s="13">
        <v>5767</v>
      </c>
      <c r="BW3" s="13">
        <v>5766.59</v>
      </c>
      <c r="BX3" s="13">
        <v>5759.59</v>
      </c>
      <c r="BY3" s="13">
        <v>5751.64</v>
      </c>
      <c r="BZ3" s="13">
        <v>5754.18</v>
      </c>
      <c r="CA3" s="13">
        <v>5754.18</v>
      </c>
      <c r="CB3" s="13">
        <v>5755.82</v>
      </c>
      <c r="CC3" s="13">
        <v>5760.29</v>
      </c>
      <c r="CD3" s="13">
        <v>5762</v>
      </c>
      <c r="CE3" s="13">
        <v>5761</v>
      </c>
      <c r="CF3" s="13">
        <v>5763</v>
      </c>
      <c r="CG3" s="13">
        <v>5758</v>
      </c>
      <c r="CH3" s="13">
        <v>5765</v>
      </c>
      <c r="CI3" s="13">
        <v>5766.59</v>
      </c>
      <c r="CJ3" s="13">
        <v>5770.59</v>
      </c>
      <c r="CK3" s="13">
        <v>5772.88</v>
      </c>
      <c r="CL3" s="13">
        <v>5763.91</v>
      </c>
      <c r="CM3" s="13">
        <v>5768.59</v>
      </c>
      <c r="CN3" s="13">
        <v>5766.59</v>
      </c>
      <c r="CO3" s="13">
        <v>5768.91</v>
      </c>
      <c r="CP3" s="13">
        <v>5768.88</v>
      </c>
      <c r="CQ3" s="13">
        <v>5764.83</v>
      </c>
      <c r="CR3" s="13">
        <v>5764.88</v>
      </c>
      <c r="CS3" s="13">
        <v>5771.59</v>
      </c>
      <c r="CT3" s="13">
        <v>5774.88</v>
      </c>
      <c r="CU3" s="13">
        <v>5777.88</v>
      </c>
      <c r="CV3" s="13">
        <v>5777.91</v>
      </c>
      <c r="CW3" s="13">
        <v>5778.59</v>
      </c>
      <c r="CX3" s="13">
        <v>5774.59</v>
      </c>
      <c r="CY3" s="13">
        <v>5775.18</v>
      </c>
      <c r="CZ3" s="13">
        <v>5765.88</v>
      </c>
      <c r="DA3" s="13">
        <v>5759.59</v>
      </c>
      <c r="DB3" s="13">
        <v>5758.88</v>
      </c>
      <c r="DC3" s="13">
        <v>5765.88</v>
      </c>
      <c r="DD3" s="13">
        <v>5763.88</v>
      </c>
      <c r="DE3" s="13">
        <v>5761.83</v>
      </c>
      <c r="DF3" s="13">
        <v>5766</v>
      </c>
      <c r="DG3" s="13">
        <v>5769.29</v>
      </c>
      <c r="DH3" s="13">
        <v>5769</v>
      </c>
      <c r="DI3" s="13">
        <v>5761.22</v>
      </c>
      <c r="DJ3" s="13">
        <v>5763.83</v>
      </c>
      <c r="DK3" s="13">
        <v>5765.83</v>
      </c>
      <c r="DM3" s="20"/>
    </row>
    <row r="4" spans="1:117" ht="15.75" x14ac:dyDescent="0.25">
      <c r="A4" s="14" t="s">
        <v>12</v>
      </c>
      <c r="B4" s="12" t="s">
        <v>9</v>
      </c>
      <c r="C4" s="13">
        <v>5716.18</v>
      </c>
      <c r="D4" s="13">
        <v>5728</v>
      </c>
      <c r="E4" s="13">
        <v>5720</v>
      </c>
      <c r="F4" s="13">
        <v>5721</v>
      </c>
      <c r="G4" s="13">
        <v>5709</v>
      </c>
      <c r="H4" s="13">
        <v>5709.83</v>
      </c>
      <c r="I4" s="13">
        <v>5690</v>
      </c>
      <c r="J4" s="13">
        <v>5685</v>
      </c>
      <c r="K4" s="13">
        <v>5693</v>
      </c>
      <c r="L4" s="13">
        <v>5689.12</v>
      </c>
      <c r="M4" s="13">
        <v>5695.71</v>
      </c>
      <c r="N4" s="13">
        <v>5696</v>
      </c>
      <c r="O4" s="13">
        <v>5703.53</v>
      </c>
      <c r="P4" s="13">
        <v>5702.71</v>
      </c>
      <c r="Q4" s="13">
        <v>5707.12</v>
      </c>
      <c r="R4" s="13">
        <v>5709</v>
      </c>
      <c r="S4" s="13">
        <v>5715</v>
      </c>
      <c r="T4" s="13">
        <v>5705</v>
      </c>
      <c r="U4" s="13">
        <v>5705</v>
      </c>
      <c r="V4" s="13">
        <v>5710</v>
      </c>
      <c r="W4" s="13">
        <v>5709</v>
      </c>
      <c r="X4" s="13">
        <v>5703</v>
      </c>
      <c r="Y4" s="13">
        <v>5724.5</v>
      </c>
      <c r="Z4" s="13">
        <v>5689.29</v>
      </c>
      <c r="AA4" s="13">
        <v>5676.71</v>
      </c>
      <c r="AB4" s="13">
        <v>5671</v>
      </c>
      <c r="AC4" s="13">
        <v>5661</v>
      </c>
      <c r="AD4" s="13">
        <v>5661</v>
      </c>
      <c r="AE4" s="13">
        <v>5654.71</v>
      </c>
      <c r="AF4" s="13">
        <v>5657.71</v>
      </c>
      <c r="AG4" s="13">
        <v>5663.71</v>
      </c>
      <c r="AH4" s="13">
        <v>5668.71</v>
      </c>
      <c r="AI4" s="13">
        <v>5673.5</v>
      </c>
      <c r="AJ4" s="13">
        <v>5678.55</v>
      </c>
      <c r="AK4" s="13">
        <v>5673</v>
      </c>
      <c r="AL4" s="13">
        <v>5679.83</v>
      </c>
      <c r="AM4" s="13">
        <v>5684.59</v>
      </c>
      <c r="AN4" s="13">
        <v>5686.71</v>
      </c>
      <c r="AO4" s="13">
        <v>5685.71</v>
      </c>
      <c r="AP4" s="13">
        <v>5687.59</v>
      </c>
      <c r="AQ4" s="13">
        <v>5688.71</v>
      </c>
      <c r="AR4" s="13">
        <v>5695.88</v>
      </c>
      <c r="AS4" s="13">
        <v>5696.83</v>
      </c>
      <c r="AT4" s="13">
        <v>5698</v>
      </c>
      <c r="AU4" s="13">
        <v>5699.88</v>
      </c>
      <c r="AV4" s="13">
        <v>5697.59</v>
      </c>
      <c r="AW4" s="13">
        <v>5702.59</v>
      </c>
      <c r="AX4" s="13">
        <v>5709.59</v>
      </c>
      <c r="AY4" s="13">
        <v>5714.29</v>
      </c>
      <c r="AZ4" s="13">
        <v>5714.83</v>
      </c>
      <c r="BA4" s="13">
        <v>5718.88</v>
      </c>
      <c r="BB4" s="13">
        <v>5720.59</v>
      </c>
      <c r="BC4" s="13">
        <v>5723.83</v>
      </c>
      <c r="BD4" s="13">
        <v>5727.59</v>
      </c>
      <c r="BE4" s="13">
        <v>5743.59</v>
      </c>
      <c r="BF4" s="13">
        <v>5740.59</v>
      </c>
      <c r="BG4" s="13">
        <v>5740.88</v>
      </c>
      <c r="BH4" s="13">
        <v>5739.88</v>
      </c>
      <c r="BI4" s="13">
        <v>5742.71</v>
      </c>
      <c r="BJ4" s="13">
        <v>5739.71</v>
      </c>
      <c r="BK4" s="13">
        <v>5750.59</v>
      </c>
      <c r="BL4" s="13">
        <v>5748.59</v>
      </c>
      <c r="BM4" s="13">
        <v>5752.77</v>
      </c>
      <c r="BN4" s="13">
        <v>5750.59</v>
      </c>
      <c r="BO4" s="13">
        <v>5751.59</v>
      </c>
      <c r="BP4" s="13">
        <v>5751.71</v>
      </c>
      <c r="BQ4" s="13">
        <v>5752</v>
      </c>
      <c r="BR4" s="13">
        <v>5759.29</v>
      </c>
      <c r="BS4" s="13">
        <v>5759.83</v>
      </c>
      <c r="BT4" s="13">
        <v>5762.77</v>
      </c>
      <c r="BU4" s="13">
        <v>5761.59</v>
      </c>
      <c r="BV4" s="13">
        <v>5759.71</v>
      </c>
      <c r="BW4" s="13">
        <v>5759.29</v>
      </c>
      <c r="BX4" s="13">
        <v>5750.71</v>
      </c>
      <c r="BY4" s="13">
        <v>5740.59</v>
      </c>
      <c r="BZ4" s="13">
        <v>5743.53</v>
      </c>
      <c r="CA4" s="13">
        <v>5743.79</v>
      </c>
      <c r="CB4" s="13">
        <v>5746.86</v>
      </c>
      <c r="CC4" s="13">
        <v>5752.88</v>
      </c>
      <c r="CD4" s="13">
        <v>5754.71</v>
      </c>
      <c r="CE4" s="13">
        <v>5753.59</v>
      </c>
      <c r="CF4" s="13">
        <v>5754.71</v>
      </c>
      <c r="CG4" s="13">
        <v>5750.59</v>
      </c>
      <c r="CH4" s="13">
        <v>5757.83</v>
      </c>
      <c r="CI4" s="13">
        <v>5759.29</v>
      </c>
      <c r="CJ4" s="13">
        <v>5762.59</v>
      </c>
      <c r="CK4" s="13">
        <v>5764.71</v>
      </c>
      <c r="CL4" s="13">
        <v>5755.59</v>
      </c>
      <c r="CM4" s="13">
        <v>5760.59</v>
      </c>
      <c r="CN4" s="13">
        <v>5759.88</v>
      </c>
      <c r="CO4" s="13">
        <v>5760.59</v>
      </c>
      <c r="CP4" s="13">
        <v>5760.59</v>
      </c>
      <c r="CQ4" s="13">
        <v>5757.83</v>
      </c>
      <c r="CR4" s="13">
        <v>5757.83</v>
      </c>
      <c r="CS4" s="13">
        <v>5763.59</v>
      </c>
      <c r="CT4" s="13">
        <v>5766.59</v>
      </c>
      <c r="CU4" s="13">
        <v>5769.88</v>
      </c>
      <c r="CV4" s="13">
        <v>5769.88</v>
      </c>
      <c r="CW4" s="13">
        <v>5770.59</v>
      </c>
      <c r="CX4" s="13">
        <v>5766.83</v>
      </c>
      <c r="CY4" s="13">
        <v>5767.59</v>
      </c>
      <c r="CZ4" s="13">
        <v>5757</v>
      </c>
      <c r="DA4" s="13">
        <v>5723.5</v>
      </c>
      <c r="DB4" s="13">
        <v>5747.5</v>
      </c>
      <c r="DC4" s="13">
        <v>5757.59</v>
      </c>
      <c r="DD4" s="13">
        <v>5754.88</v>
      </c>
      <c r="DE4" s="13">
        <v>5753.59</v>
      </c>
      <c r="DF4" s="13">
        <v>5758</v>
      </c>
      <c r="DG4" s="13">
        <v>5761.59</v>
      </c>
      <c r="DH4" s="13">
        <v>5760.59</v>
      </c>
      <c r="DI4" s="13">
        <v>5751.83</v>
      </c>
      <c r="DJ4" s="13">
        <v>5755.59</v>
      </c>
      <c r="DK4" s="13">
        <v>5758</v>
      </c>
      <c r="DM4" s="20"/>
    </row>
    <row r="5" spans="1:117" ht="15.75" x14ac:dyDescent="0.25">
      <c r="A5" s="14" t="s">
        <v>12</v>
      </c>
      <c r="B5" s="12" t="s">
        <v>7</v>
      </c>
      <c r="C5" s="13">
        <v>5701.5</v>
      </c>
      <c r="D5" s="13">
        <v>5714.33</v>
      </c>
      <c r="E5" s="13">
        <v>5718</v>
      </c>
      <c r="F5" s="13">
        <v>5717</v>
      </c>
      <c r="G5" s="13">
        <v>5706</v>
      </c>
      <c r="H5" s="13">
        <v>5706</v>
      </c>
      <c r="I5" s="13">
        <v>5690</v>
      </c>
      <c r="J5" s="13">
        <v>5685</v>
      </c>
      <c r="K5" s="13">
        <v>5681</v>
      </c>
      <c r="L5" s="13">
        <v>5682</v>
      </c>
      <c r="M5" s="13">
        <v>5682.71</v>
      </c>
      <c r="N5" s="13">
        <v>5687</v>
      </c>
      <c r="O5" s="13">
        <v>5693</v>
      </c>
      <c r="P5" s="13">
        <v>5700.71</v>
      </c>
      <c r="Q5" s="13">
        <v>5702.09</v>
      </c>
      <c r="R5" s="13">
        <v>5707.82</v>
      </c>
      <c r="S5" s="13">
        <v>5705.71</v>
      </c>
      <c r="T5" s="13">
        <v>5704.71</v>
      </c>
      <c r="U5" s="13">
        <v>5700</v>
      </c>
      <c r="V5" s="13">
        <v>5703.71</v>
      </c>
      <c r="W5" s="13">
        <v>5704</v>
      </c>
      <c r="X5" s="13">
        <v>5702.71</v>
      </c>
      <c r="Y5" s="13">
        <v>5724.5</v>
      </c>
      <c r="Z5" s="13">
        <v>5684.71</v>
      </c>
      <c r="AA5" s="13">
        <v>5676</v>
      </c>
      <c r="AB5" s="13">
        <v>5669</v>
      </c>
      <c r="AC5" s="13">
        <v>5661</v>
      </c>
      <c r="AD5" s="13">
        <v>5657.71</v>
      </c>
      <c r="AE5" s="13">
        <v>5654.71</v>
      </c>
      <c r="AF5" s="13">
        <v>5656</v>
      </c>
      <c r="AG5" s="13">
        <v>5658</v>
      </c>
      <c r="AH5" s="13">
        <v>5661.07</v>
      </c>
      <c r="AI5" s="13">
        <v>5668</v>
      </c>
      <c r="AJ5" s="13">
        <v>5673.71</v>
      </c>
      <c r="AK5" s="13">
        <v>5673</v>
      </c>
      <c r="AL5" s="13">
        <v>5673</v>
      </c>
      <c r="AM5" s="13">
        <v>5676.59</v>
      </c>
      <c r="AN5" s="13">
        <v>5681.59</v>
      </c>
      <c r="AO5" s="13">
        <v>5684.59</v>
      </c>
      <c r="AP5" s="13">
        <v>5685</v>
      </c>
      <c r="AQ5" s="13">
        <v>5686.59</v>
      </c>
      <c r="AR5" s="13">
        <v>5691.59</v>
      </c>
      <c r="AS5" s="13">
        <v>5693.88</v>
      </c>
      <c r="AT5" s="13">
        <v>5692.71</v>
      </c>
      <c r="AU5" s="13">
        <v>5698</v>
      </c>
      <c r="AV5" s="13">
        <v>5696.59</v>
      </c>
      <c r="AW5" s="13">
        <v>5697.88</v>
      </c>
      <c r="AX5" s="13">
        <v>5701.71</v>
      </c>
      <c r="AY5" s="13">
        <v>5709.59</v>
      </c>
      <c r="AZ5" s="13">
        <v>5712.59</v>
      </c>
      <c r="BA5" s="13">
        <v>5715.88</v>
      </c>
      <c r="BB5" s="13">
        <v>5718.71</v>
      </c>
      <c r="BC5" s="13">
        <v>5718.59</v>
      </c>
      <c r="BD5" s="13">
        <v>5721.71</v>
      </c>
      <c r="BE5" s="13">
        <v>5727.59</v>
      </c>
      <c r="BF5" s="13">
        <v>5739.88</v>
      </c>
      <c r="BG5" s="13">
        <v>5740.59</v>
      </c>
      <c r="BH5" s="13">
        <v>5736.59</v>
      </c>
      <c r="BI5" s="13">
        <v>5739.83</v>
      </c>
      <c r="BJ5" s="13">
        <v>5737.59</v>
      </c>
      <c r="BK5" s="13">
        <v>5740.59</v>
      </c>
      <c r="BL5" s="13">
        <v>5747.59</v>
      </c>
      <c r="BM5" s="13">
        <v>5748.59</v>
      </c>
      <c r="BN5" s="13">
        <v>5750.59</v>
      </c>
      <c r="BO5" s="13">
        <v>5749.88</v>
      </c>
      <c r="BP5" s="13">
        <v>5750.59</v>
      </c>
      <c r="BQ5" s="13">
        <v>5748.59</v>
      </c>
      <c r="BR5" s="13">
        <v>5753.47</v>
      </c>
      <c r="BS5" s="13">
        <v>5757.59</v>
      </c>
      <c r="BT5" s="13">
        <v>5758.59</v>
      </c>
      <c r="BU5" s="13">
        <v>5760.59</v>
      </c>
      <c r="BV5" s="13">
        <v>5759.71</v>
      </c>
      <c r="BW5" s="13">
        <v>5757.59</v>
      </c>
      <c r="BX5" s="13">
        <v>5750.71</v>
      </c>
      <c r="BY5" s="13">
        <v>5740.45</v>
      </c>
      <c r="BZ5" s="13">
        <v>5741.18</v>
      </c>
      <c r="CA5" s="13">
        <v>5742.53</v>
      </c>
      <c r="CB5" s="13">
        <v>5743.71</v>
      </c>
      <c r="CC5" s="13">
        <v>5743.59</v>
      </c>
      <c r="CD5" s="13">
        <v>5753.59</v>
      </c>
      <c r="CE5" s="13">
        <v>5753.59</v>
      </c>
      <c r="CF5" s="13">
        <v>5752.59</v>
      </c>
      <c r="CG5" s="13">
        <v>5746.71</v>
      </c>
      <c r="CH5" s="13">
        <v>5750.59</v>
      </c>
      <c r="CI5" s="13">
        <v>5755.59</v>
      </c>
      <c r="CJ5" s="13">
        <v>5758.59</v>
      </c>
      <c r="CK5" s="13">
        <v>5760.59</v>
      </c>
      <c r="CL5" s="13">
        <v>5755.59</v>
      </c>
      <c r="CM5" s="13">
        <v>5755.59</v>
      </c>
      <c r="CN5" s="13">
        <v>5759.88</v>
      </c>
      <c r="CO5" s="13">
        <v>5758.59</v>
      </c>
      <c r="CP5" s="13">
        <v>5760.59</v>
      </c>
      <c r="CQ5" s="13">
        <v>5755.59</v>
      </c>
      <c r="CR5" s="13">
        <v>5757.59</v>
      </c>
      <c r="CS5" s="13">
        <v>5759.29</v>
      </c>
      <c r="CT5" s="13">
        <v>5763.59</v>
      </c>
      <c r="CU5" s="13">
        <v>5766.83</v>
      </c>
      <c r="CV5" s="13">
        <v>5769.71</v>
      </c>
      <c r="CW5" s="13">
        <v>5769.71</v>
      </c>
      <c r="CX5" s="13">
        <v>5766.59</v>
      </c>
      <c r="CY5" s="13">
        <v>5766.59</v>
      </c>
      <c r="CZ5" s="13">
        <v>5757</v>
      </c>
      <c r="DA5" s="13">
        <v>5723.5</v>
      </c>
      <c r="DB5" s="13">
        <v>5722.5</v>
      </c>
      <c r="DC5" s="13">
        <v>5747.46</v>
      </c>
      <c r="DD5" s="13">
        <v>5754.83</v>
      </c>
      <c r="DE5" s="13">
        <v>5751.59</v>
      </c>
      <c r="DF5" s="13">
        <v>5753.71</v>
      </c>
      <c r="DG5" s="13">
        <v>5757.88</v>
      </c>
      <c r="DH5" s="13">
        <v>5760.59</v>
      </c>
      <c r="DI5" s="13">
        <v>5751.83</v>
      </c>
      <c r="DJ5" s="13">
        <v>5750.59</v>
      </c>
      <c r="DK5" s="13">
        <v>5753.59</v>
      </c>
      <c r="DM5" s="20"/>
    </row>
    <row r="6" spans="1:117" ht="15.75" x14ac:dyDescent="0.25">
      <c r="A6" s="11" t="s">
        <v>5</v>
      </c>
      <c r="B6" s="11" t="s">
        <v>11</v>
      </c>
      <c r="C6" s="15">
        <v>0.37847222222222227</v>
      </c>
      <c r="D6" s="15">
        <v>0.38194444444444442</v>
      </c>
      <c r="E6" s="15">
        <v>0.38541666666666669</v>
      </c>
      <c r="F6" s="15">
        <v>0.3888888888888889</v>
      </c>
      <c r="G6" s="15">
        <v>0.3923611111111111</v>
      </c>
      <c r="H6" s="15">
        <v>0.39583333333333331</v>
      </c>
      <c r="I6" s="15">
        <v>0.39930555555555558</v>
      </c>
      <c r="J6" s="15">
        <v>0.40277777777777773</v>
      </c>
      <c r="K6" s="15">
        <v>0.40625</v>
      </c>
      <c r="L6" s="15">
        <v>0.40972222222222227</v>
      </c>
      <c r="M6" s="15">
        <v>0.41319444444444442</v>
      </c>
      <c r="N6" s="15">
        <v>0.41666666666666669</v>
      </c>
      <c r="O6" s="15">
        <v>0.4201388888888889</v>
      </c>
      <c r="P6" s="15">
        <v>0.4236111111111111</v>
      </c>
      <c r="Q6" s="15">
        <v>0.42708333333333331</v>
      </c>
      <c r="R6" s="15">
        <v>0.43055555555555558</v>
      </c>
      <c r="S6" s="15">
        <v>0.43402777777777773</v>
      </c>
      <c r="T6" s="15">
        <v>0.4375</v>
      </c>
      <c r="U6" s="15">
        <v>0.44097222222222227</v>
      </c>
      <c r="V6" s="15">
        <v>0.44444444444444442</v>
      </c>
      <c r="W6" s="15">
        <v>0.44791666666666669</v>
      </c>
      <c r="X6" s="15">
        <v>0.4513888888888889</v>
      </c>
      <c r="Y6" s="15">
        <v>0.4548611111111111</v>
      </c>
      <c r="Z6" s="15">
        <v>0.45833333333333331</v>
      </c>
      <c r="AA6" s="15">
        <v>0.46180555555555558</v>
      </c>
      <c r="AB6" s="15">
        <v>0.46527777777777773</v>
      </c>
      <c r="AC6" s="15">
        <v>0.46875</v>
      </c>
      <c r="AD6" s="15">
        <v>0.47222222222222227</v>
      </c>
      <c r="AE6" s="15">
        <v>0.47569444444444442</v>
      </c>
      <c r="AF6" s="15">
        <v>0.47916666666666669</v>
      </c>
      <c r="AG6" s="15">
        <v>0.4826388888888889</v>
      </c>
      <c r="AH6" s="15">
        <v>0.4861111111111111</v>
      </c>
      <c r="AI6" s="15">
        <v>0.48958333333333331</v>
      </c>
      <c r="AJ6" s="15">
        <v>0.49305555555555558</v>
      </c>
      <c r="AK6" s="15">
        <v>0.49652777777777773</v>
      </c>
      <c r="AL6" s="15">
        <v>0.5</v>
      </c>
      <c r="AM6" s="15">
        <v>0.50347222222222221</v>
      </c>
      <c r="AN6" s="15">
        <v>0.50694444444444442</v>
      </c>
      <c r="AO6" s="15">
        <v>0.51041666666666663</v>
      </c>
      <c r="AP6" s="15">
        <v>0.51388888888888895</v>
      </c>
      <c r="AQ6" s="15">
        <v>0.51736111111111105</v>
      </c>
      <c r="AR6" s="15">
        <v>0.52083333333333337</v>
      </c>
      <c r="AS6" s="15">
        <v>0.52430555555555558</v>
      </c>
      <c r="AT6" s="15">
        <v>0.52777777777777779</v>
      </c>
      <c r="AU6" s="15">
        <v>0.53125</v>
      </c>
      <c r="AV6" s="15">
        <v>0.53472222222222221</v>
      </c>
      <c r="AW6" s="15">
        <v>0.53819444444444442</v>
      </c>
      <c r="AX6" s="15">
        <v>0.54166666666666663</v>
      </c>
      <c r="AY6" s="15">
        <v>0.54513888888888895</v>
      </c>
      <c r="AZ6" s="15">
        <v>0.54861111111111105</v>
      </c>
      <c r="BA6" s="15">
        <v>0.55208333333333337</v>
      </c>
      <c r="BB6" s="15">
        <v>0.55555555555555558</v>
      </c>
      <c r="BC6" s="15">
        <v>0.55902777777777779</v>
      </c>
      <c r="BD6" s="15">
        <v>0.5625</v>
      </c>
      <c r="BE6" s="15">
        <v>0.56597222222222221</v>
      </c>
      <c r="BF6" s="15">
        <v>0.56944444444444442</v>
      </c>
      <c r="BG6" s="15">
        <v>0.57291666666666663</v>
      </c>
      <c r="BH6" s="15">
        <v>0.57638888888888895</v>
      </c>
      <c r="BI6" s="15">
        <v>0.57986111111111105</v>
      </c>
      <c r="BJ6" s="15">
        <v>0.58333333333333337</v>
      </c>
      <c r="BK6" s="15">
        <v>0.58680555555555558</v>
      </c>
      <c r="BL6" s="15">
        <v>0.59027777777777779</v>
      </c>
      <c r="BM6" s="15">
        <v>0.59375</v>
      </c>
      <c r="BN6" s="15">
        <v>0.59722222222222221</v>
      </c>
      <c r="BO6" s="15">
        <v>0.60069444444444442</v>
      </c>
      <c r="BP6" s="15">
        <v>0.60416666666666663</v>
      </c>
      <c r="BQ6" s="15">
        <v>0.60763888888888895</v>
      </c>
      <c r="BR6" s="15">
        <v>0.61111111111111105</v>
      </c>
      <c r="BS6" s="15">
        <v>0.61458333333333337</v>
      </c>
      <c r="BT6" s="15">
        <v>0.61805555555555558</v>
      </c>
      <c r="BU6" s="15">
        <v>0.62152777777777779</v>
      </c>
      <c r="BV6" s="15">
        <v>0.625</v>
      </c>
      <c r="BW6" s="15">
        <v>0.62847222222222221</v>
      </c>
      <c r="BX6" s="15">
        <v>0.63194444444444442</v>
      </c>
      <c r="BY6" s="15">
        <v>0.63541666666666663</v>
      </c>
      <c r="BZ6" s="15">
        <v>0.63888888888888895</v>
      </c>
      <c r="CA6" s="15">
        <v>0.64236111111111105</v>
      </c>
      <c r="CB6" s="15">
        <v>0.64583333333333337</v>
      </c>
      <c r="CC6" s="15">
        <v>0.64930555555555558</v>
      </c>
      <c r="CD6" s="15">
        <v>0.65277777777777779</v>
      </c>
      <c r="CE6" s="15">
        <v>0.65625</v>
      </c>
      <c r="CF6" s="15">
        <v>0.65972222222222221</v>
      </c>
      <c r="CG6" s="15">
        <v>0.66319444444444442</v>
      </c>
      <c r="CH6" s="15">
        <v>0.66666666666666663</v>
      </c>
      <c r="CI6" s="15">
        <v>0.67013888888888884</v>
      </c>
      <c r="CJ6" s="15">
        <v>0.67361111111111116</v>
      </c>
      <c r="CK6" s="15">
        <v>0.67708333333333337</v>
      </c>
      <c r="CL6" s="15">
        <v>0.68055555555555547</v>
      </c>
      <c r="CM6" s="15">
        <v>0.68402777777777779</v>
      </c>
      <c r="CN6" s="15">
        <v>0.6875</v>
      </c>
      <c r="CO6" s="15">
        <v>0.69097222222222221</v>
      </c>
      <c r="CP6" s="15">
        <v>0.69444444444444453</v>
      </c>
      <c r="CQ6" s="15">
        <v>0.69791666666666663</v>
      </c>
      <c r="CR6" s="15">
        <v>0.70138888888888884</v>
      </c>
      <c r="CS6" s="15">
        <v>0.70486111111111116</v>
      </c>
      <c r="CT6" s="15">
        <v>0.70833333333333337</v>
      </c>
      <c r="CU6" s="15">
        <v>0.71180555555555547</v>
      </c>
      <c r="CV6" s="15">
        <v>0.71527777777777779</v>
      </c>
      <c r="CW6" s="15">
        <v>0.71875</v>
      </c>
      <c r="CX6" s="15">
        <v>0.72222222222222221</v>
      </c>
      <c r="CY6" s="15">
        <v>0.72569444444444453</v>
      </c>
      <c r="CZ6" s="15">
        <v>0.72916666666666663</v>
      </c>
      <c r="DA6" s="15">
        <v>0.73263888888888884</v>
      </c>
      <c r="DB6" s="15">
        <v>0.73611111111111116</v>
      </c>
      <c r="DC6" s="15">
        <v>0.73958333333333337</v>
      </c>
      <c r="DD6" s="15">
        <v>0.74305555555555547</v>
      </c>
      <c r="DE6" s="15">
        <v>0.74652777777777779</v>
      </c>
      <c r="DF6" s="15">
        <v>0.75</v>
      </c>
      <c r="DG6" s="15">
        <v>0.75347222222222221</v>
      </c>
      <c r="DH6" s="15">
        <v>0.75694444444444453</v>
      </c>
      <c r="DI6" s="15">
        <v>0.76041666666666663</v>
      </c>
      <c r="DJ6" s="15">
        <v>0.76388888888888884</v>
      </c>
      <c r="DK6" s="15">
        <v>0.76736111111111116</v>
      </c>
      <c r="DM6" s="20"/>
    </row>
    <row r="7" spans="1:117" ht="15.75" x14ac:dyDescent="0.25">
      <c r="A7" s="14">
        <v>44140</v>
      </c>
      <c r="B7" s="12" t="s">
        <v>6</v>
      </c>
      <c r="C7" s="13">
        <v>5650</v>
      </c>
      <c r="D7" s="13">
        <v>5650</v>
      </c>
      <c r="E7" s="13">
        <v>5644</v>
      </c>
      <c r="F7" s="13">
        <v>5631.88</v>
      </c>
      <c r="G7" s="13">
        <v>5624.88</v>
      </c>
      <c r="H7" s="13">
        <v>5628.29</v>
      </c>
      <c r="I7" s="13">
        <v>5621.29</v>
      </c>
      <c r="J7" s="13">
        <v>5617</v>
      </c>
      <c r="K7" s="13">
        <v>5615</v>
      </c>
      <c r="L7" s="13">
        <v>5608.23</v>
      </c>
      <c r="M7" s="13">
        <v>5600.09</v>
      </c>
      <c r="N7" s="13">
        <v>5590.45</v>
      </c>
      <c r="O7" s="13">
        <v>5593</v>
      </c>
      <c r="P7" s="13">
        <v>5588.45</v>
      </c>
      <c r="Q7" s="13">
        <v>5580.93</v>
      </c>
      <c r="R7" s="13">
        <v>5570.36</v>
      </c>
      <c r="S7" s="13">
        <v>5577</v>
      </c>
      <c r="T7" s="13">
        <v>5580</v>
      </c>
      <c r="U7" s="13">
        <v>5580</v>
      </c>
      <c r="V7" s="13">
        <v>5588</v>
      </c>
      <c r="W7" s="13">
        <v>5587.5</v>
      </c>
      <c r="X7" s="13">
        <v>5587</v>
      </c>
      <c r="Y7" s="13">
        <v>5576.67</v>
      </c>
      <c r="Z7" s="13">
        <v>5575.5</v>
      </c>
      <c r="AA7" s="13">
        <v>5575.25</v>
      </c>
      <c r="AB7" s="13">
        <v>5586.67</v>
      </c>
      <c r="AC7" s="13">
        <v>5585</v>
      </c>
      <c r="AD7" s="13">
        <v>5584</v>
      </c>
      <c r="AE7" s="13">
        <v>5585.36</v>
      </c>
      <c r="AF7" s="13">
        <v>5581.81</v>
      </c>
      <c r="AG7" s="13">
        <v>5588.71</v>
      </c>
      <c r="AH7" s="13">
        <v>5588.44</v>
      </c>
      <c r="AI7" s="13">
        <v>5587.02</v>
      </c>
      <c r="AJ7" s="13">
        <v>5586.43</v>
      </c>
      <c r="AK7" s="13">
        <v>5579.61</v>
      </c>
      <c r="AL7" s="13">
        <v>5575.01</v>
      </c>
      <c r="AM7" s="13">
        <v>5579.65</v>
      </c>
      <c r="AN7" s="13">
        <v>5580.01</v>
      </c>
      <c r="AO7" s="13">
        <v>5578.01</v>
      </c>
      <c r="AP7" s="13">
        <v>5570.69</v>
      </c>
      <c r="AQ7" s="13">
        <v>5563.82</v>
      </c>
      <c r="AR7" s="13">
        <v>5573.22</v>
      </c>
      <c r="AS7" s="13">
        <v>5575.36</v>
      </c>
      <c r="AT7" s="13">
        <v>5572.82</v>
      </c>
      <c r="AU7" s="13">
        <v>5570.56</v>
      </c>
      <c r="AV7" s="13">
        <v>5567.25</v>
      </c>
      <c r="AW7" s="13">
        <v>5567.01</v>
      </c>
      <c r="AX7" s="13">
        <v>5567.89</v>
      </c>
      <c r="AY7" s="13">
        <v>5570.55</v>
      </c>
      <c r="AZ7" s="13">
        <v>5573.25</v>
      </c>
      <c r="BA7" s="13">
        <v>5572.9</v>
      </c>
      <c r="BB7" s="13">
        <v>5570.89</v>
      </c>
      <c r="BC7" s="13">
        <v>5572.43</v>
      </c>
      <c r="BD7" s="13">
        <v>5565.94</v>
      </c>
      <c r="BE7" s="13">
        <v>5570.29</v>
      </c>
      <c r="BF7" s="13">
        <v>5574.43</v>
      </c>
      <c r="BG7" s="13">
        <v>5577.55</v>
      </c>
      <c r="BH7" s="13">
        <v>5574.05</v>
      </c>
      <c r="BI7" s="13">
        <v>5575.67</v>
      </c>
      <c r="BJ7" s="13">
        <v>5584.9</v>
      </c>
      <c r="BK7" s="13">
        <v>5585.73</v>
      </c>
      <c r="BL7" s="13">
        <v>5584.9</v>
      </c>
      <c r="BM7" s="13">
        <v>5585.62</v>
      </c>
      <c r="BN7" s="13">
        <v>5584.07</v>
      </c>
      <c r="BO7" s="13">
        <v>5589.47</v>
      </c>
      <c r="BP7" s="13">
        <v>5599.62</v>
      </c>
      <c r="BQ7" s="13">
        <v>5599.92</v>
      </c>
      <c r="BR7" s="13">
        <v>5597.47</v>
      </c>
      <c r="BS7" s="13">
        <v>5590.02</v>
      </c>
      <c r="BT7" s="13">
        <v>5589.9</v>
      </c>
      <c r="BU7" s="13">
        <v>5586.87</v>
      </c>
      <c r="BV7" s="13">
        <v>5585.34</v>
      </c>
      <c r="BW7" s="13">
        <v>5584.86</v>
      </c>
      <c r="BX7" s="13">
        <v>5588.82</v>
      </c>
      <c r="BY7" s="13">
        <v>5589.82</v>
      </c>
      <c r="BZ7" s="13">
        <v>5592.29</v>
      </c>
      <c r="CA7" s="13">
        <v>5596.43</v>
      </c>
      <c r="CB7" s="13">
        <v>5596.9</v>
      </c>
      <c r="CC7" s="13">
        <v>5596.15</v>
      </c>
      <c r="CD7" s="13">
        <v>5602.55</v>
      </c>
      <c r="CE7" s="13">
        <v>5603.55</v>
      </c>
      <c r="CF7" s="13">
        <v>5592.14</v>
      </c>
      <c r="CG7" s="13">
        <v>5585.06</v>
      </c>
      <c r="CH7" s="13">
        <v>5581.14</v>
      </c>
      <c r="CI7" s="13">
        <v>5576.09</v>
      </c>
      <c r="CJ7" s="13">
        <v>5577.94</v>
      </c>
      <c r="CK7" s="13">
        <v>5576.06</v>
      </c>
      <c r="CL7" s="13">
        <v>5578.23</v>
      </c>
      <c r="CM7" s="13">
        <v>5569.58</v>
      </c>
      <c r="CN7" s="13">
        <v>5562.94</v>
      </c>
      <c r="CO7" s="13">
        <v>5562.94</v>
      </c>
      <c r="CP7" s="13">
        <v>5566.06</v>
      </c>
      <c r="CQ7" s="13">
        <v>5560.78</v>
      </c>
      <c r="CR7" s="13">
        <v>5556.71</v>
      </c>
      <c r="CS7" s="13">
        <v>5565.67</v>
      </c>
      <c r="CT7" s="13">
        <v>5567.55</v>
      </c>
      <c r="CU7" s="13">
        <v>5560.6</v>
      </c>
      <c r="CV7" s="13">
        <v>5564.67</v>
      </c>
      <c r="CW7" s="13">
        <v>5566.65</v>
      </c>
      <c r="CX7" s="13">
        <v>5564.01</v>
      </c>
      <c r="CY7" s="13">
        <v>5561.01</v>
      </c>
      <c r="CZ7" s="13">
        <v>5563.65</v>
      </c>
      <c r="DA7" s="13">
        <v>5567.38</v>
      </c>
      <c r="DB7" s="13">
        <v>5571.58</v>
      </c>
      <c r="DC7" s="13">
        <v>5570.24</v>
      </c>
      <c r="DD7" s="13">
        <v>5564.02</v>
      </c>
      <c r="DE7" s="13">
        <v>5556.9</v>
      </c>
      <c r="DF7" s="13">
        <v>5554.59</v>
      </c>
      <c r="DG7" s="13">
        <v>5552.59</v>
      </c>
      <c r="DH7" s="13">
        <v>5556.59</v>
      </c>
      <c r="DI7" s="13">
        <v>5557.91</v>
      </c>
      <c r="DJ7" s="13">
        <v>5547.65</v>
      </c>
      <c r="DK7" s="13">
        <v>5544.83</v>
      </c>
      <c r="DM7" s="20"/>
    </row>
    <row r="8" spans="1:117" ht="15.75" x14ac:dyDescent="0.25">
      <c r="A8" s="14" t="s">
        <v>12</v>
      </c>
      <c r="B8" s="12" t="s">
        <v>10</v>
      </c>
      <c r="C8" s="13">
        <v>5642</v>
      </c>
      <c r="D8" s="13">
        <v>5639</v>
      </c>
      <c r="E8" s="13">
        <v>5631.47</v>
      </c>
      <c r="F8" s="13">
        <v>5622.71</v>
      </c>
      <c r="G8" s="13">
        <v>5617.59</v>
      </c>
      <c r="H8" s="13">
        <v>5621</v>
      </c>
      <c r="I8" s="13">
        <v>5616.29</v>
      </c>
      <c r="J8" s="13">
        <v>5613</v>
      </c>
      <c r="K8" s="13">
        <v>5604.59</v>
      </c>
      <c r="L8" s="13">
        <v>5600.09</v>
      </c>
      <c r="M8" s="13">
        <v>5588.14</v>
      </c>
      <c r="N8" s="13">
        <v>5589</v>
      </c>
      <c r="O8" s="13">
        <v>5588.29</v>
      </c>
      <c r="P8" s="13">
        <v>5582.45</v>
      </c>
      <c r="Q8" s="13">
        <v>5573.59</v>
      </c>
      <c r="R8" s="13">
        <v>5560</v>
      </c>
      <c r="S8" s="13">
        <v>5575</v>
      </c>
      <c r="T8" s="13">
        <v>5580</v>
      </c>
      <c r="U8" s="13">
        <v>5576</v>
      </c>
      <c r="V8" s="13">
        <v>5587.5</v>
      </c>
      <c r="W8" s="13">
        <v>5583</v>
      </c>
      <c r="X8" s="13">
        <v>5575.4</v>
      </c>
      <c r="Y8" s="13">
        <v>5566.67</v>
      </c>
      <c r="Z8" s="13">
        <v>5574</v>
      </c>
      <c r="AA8" s="13">
        <v>5574</v>
      </c>
      <c r="AB8" s="13">
        <v>5585.67</v>
      </c>
      <c r="AC8" s="13">
        <v>5581</v>
      </c>
      <c r="AD8" s="13">
        <v>5580.93</v>
      </c>
      <c r="AE8" s="13">
        <v>5579.45</v>
      </c>
      <c r="AF8" s="13">
        <v>5581.81</v>
      </c>
      <c r="AG8" s="13">
        <v>5587.77</v>
      </c>
      <c r="AH8" s="13">
        <v>5577.37</v>
      </c>
      <c r="AI8" s="13">
        <v>5584.84</v>
      </c>
      <c r="AJ8" s="13">
        <v>5580.02</v>
      </c>
      <c r="AK8" s="13">
        <v>5568.97</v>
      </c>
      <c r="AL8" s="13">
        <v>5575.01</v>
      </c>
      <c r="AM8" s="13">
        <v>5579.65</v>
      </c>
      <c r="AN8" s="13">
        <v>5575.74</v>
      </c>
      <c r="AO8" s="13">
        <v>5574.54</v>
      </c>
      <c r="AP8" s="13">
        <v>5562.86</v>
      </c>
      <c r="AQ8" s="13">
        <v>5559.01</v>
      </c>
      <c r="AR8" s="13">
        <v>5572.01</v>
      </c>
      <c r="AS8" s="13">
        <v>5572.48</v>
      </c>
      <c r="AT8" s="13">
        <v>5570.56</v>
      </c>
      <c r="AU8" s="13">
        <v>5563.87</v>
      </c>
      <c r="AV8" s="13">
        <v>5564.89</v>
      </c>
      <c r="AW8" s="13">
        <v>5566.58</v>
      </c>
      <c r="AX8" s="13">
        <v>5567.88</v>
      </c>
      <c r="AY8" s="13">
        <v>5567.84</v>
      </c>
      <c r="AZ8" s="13">
        <v>5569.13</v>
      </c>
      <c r="BA8" s="13">
        <v>5570.01</v>
      </c>
      <c r="BB8" s="13">
        <v>5570.4</v>
      </c>
      <c r="BC8" s="13">
        <v>5563.58</v>
      </c>
      <c r="BD8" s="13">
        <v>5563.09</v>
      </c>
      <c r="BE8" s="13">
        <v>5567.94</v>
      </c>
      <c r="BF8" s="13">
        <v>5574.43</v>
      </c>
      <c r="BG8" s="13">
        <v>5574.88</v>
      </c>
      <c r="BH8" s="13">
        <v>5571.99</v>
      </c>
      <c r="BI8" s="13">
        <v>5575.67</v>
      </c>
      <c r="BJ8" s="13">
        <v>5584.9</v>
      </c>
      <c r="BK8" s="13">
        <v>5580.5</v>
      </c>
      <c r="BL8" s="13">
        <v>5582.99</v>
      </c>
      <c r="BM8" s="13">
        <v>5580.51</v>
      </c>
      <c r="BN8" s="13">
        <v>5581.82</v>
      </c>
      <c r="BO8" s="13">
        <v>5587.87</v>
      </c>
      <c r="BP8" s="13">
        <v>5599.62</v>
      </c>
      <c r="BQ8" s="13">
        <v>5595.84</v>
      </c>
      <c r="BR8" s="13">
        <v>5587.17</v>
      </c>
      <c r="BS8" s="13">
        <v>5587.84</v>
      </c>
      <c r="BT8" s="13">
        <v>5585.58</v>
      </c>
      <c r="BU8" s="13">
        <v>5585.53</v>
      </c>
      <c r="BV8" s="13">
        <v>5583.48</v>
      </c>
      <c r="BW8" s="13">
        <v>5580.9</v>
      </c>
      <c r="BX8" s="13">
        <v>5584.94</v>
      </c>
      <c r="BY8" s="13">
        <v>5589.82</v>
      </c>
      <c r="BZ8" s="13">
        <v>5590.84</v>
      </c>
      <c r="CA8" s="13">
        <v>5595.02</v>
      </c>
      <c r="CB8" s="13">
        <v>5594.99</v>
      </c>
      <c r="CC8" s="13">
        <v>5594.41</v>
      </c>
      <c r="CD8" s="13">
        <v>5601.5</v>
      </c>
      <c r="CE8" s="13">
        <v>5591.67</v>
      </c>
      <c r="CF8" s="13">
        <v>5584.97</v>
      </c>
      <c r="CG8" s="13">
        <v>5581.97</v>
      </c>
      <c r="CH8" s="13">
        <v>5569.78</v>
      </c>
      <c r="CI8" s="13">
        <v>5573.28</v>
      </c>
      <c r="CJ8" s="13">
        <v>5574.06</v>
      </c>
      <c r="CK8" s="13">
        <v>5575.06</v>
      </c>
      <c r="CL8" s="13">
        <v>5573.23</v>
      </c>
      <c r="CM8" s="13">
        <v>5563.67</v>
      </c>
      <c r="CN8" s="13">
        <v>5562.06</v>
      </c>
      <c r="CO8" s="13">
        <v>5562.16</v>
      </c>
      <c r="CP8" s="13">
        <v>5560.78</v>
      </c>
      <c r="CQ8" s="13">
        <v>5549.67</v>
      </c>
      <c r="CR8" s="13">
        <v>5556.71</v>
      </c>
      <c r="CS8" s="13">
        <v>5565.67</v>
      </c>
      <c r="CT8" s="13">
        <v>5559.73</v>
      </c>
      <c r="CU8" s="13">
        <v>5559.85</v>
      </c>
      <c r="CV8" s="13">
        <v>5563.67</v>
      </c>
      <c r="CW8" s="13">
        <v>5565.01</v>
      </c>
      <c r="CX8" s="13">
        <v>5561.01</v>
      </c>
      <c r="CY8" s="13">
        <v>5558.65</v>
      </c>
      <c r="CZ8" s="13">
        <v>5561.67</v>
      </c>
      <c r="DA8" s="13">
        <v>5566</v>
      </c>
      <c r="DB8" s="13">
        <v>5570.55</v>
      </c>
      <c r="DC8" s="13">
        <v>5568.02</v>
      </c>
      <c r="DD8" s="13">
        <v>5558.01</v>
      </c>
      <c r="DE8" s="13">
        <v>5550.17</v>
      </c>
      <c r="DF8" s="13">
        <v>5554.59</v>
      </c>
      <c r="DG8" s="13">
        <v>5551.59</v>
      </c>
      <c r="DH8" s="13">
        <v>5555.59</v>
      </c>
      <c r="DI8" s="13">
        <v>5546.59</v>
      </c>
      <c r="DJ8" s="13">
        <v>5543</v>
      </c>
      <c r="DK8" s="13">
        <v>5543</v>
      </c>
      <c r="DM8" s="20"/>
    </row>
    <row r="9" spans="1:117" ht="15.75" x14ac:dyDescent="0.25">
      <c r="A9" s="14" t="s">
        <v>12</v>
      </c>
      <c r="B9" s="12" t="s">
        <v>9</v>
      </c>
      <c r="C9" s="13">
        <v>5615.94</v>
      </c>
      <c r="D9" s="13">
        <v>5624.76</v>
      </c>
      <c r="E9" s="13">
        <v>5617.33</v>
      </c>
      <c r="F9" s="13">
        <v>5610.72</v>
      </c>
      <c r="G9" s="13">
        <v>5604.11</v>
      </c>
      <c r="H9" s="13">
        <v>5606.69</v>
      </c>
      <c r="I9" s="13">
        <v>5603.13</v>
      </c>
      <c r="J9" s="13">
        <v>5601.11</v>
      </c>
      <c r="K9" s="13">
        <v>5592.78</v>
      </c>
      <c r="L9" s="13">
        <v>5585.22</v>
      </c>
      <c r="M9" s="13">
        <v>5575.78</v>
      </c>
      <c r="N9" s="13">
        <v>5578.61</v>
      </c>
      <c r="O9" s="13">
        <v>5576.72</v>
      </c>
      <c r="P9" s="13">
        <v>5571.06</v>
      </c>
      <c r="Q9" s="13">
        <v>5563.22</v>
      </c>
      <c r="R9" s="13">
        <v>5560</v>
      </c>
      <c r="S9" s="13">
        <v>5556.5</v>
      </c>
      <c r="T9" s="13">
        <v>5562</v>
      </c>
      <c r="U9" s="13">
        <v>5558</v>
      </c>
      <c r="V9" s="13">
        <v>5569.67</v>
      </c>
      <c r="W9" s="13">
        <v>5565.5</v>
      </c>
      <c r="X9" s="13">
        <v>5565.75</v>
      </c>
      <c r="Y9" s="13">
        <v>5557</v>
      </c>
      <c r="Z9" s="13">
        <v>5563.75</v>
      </c>
      <c r="AA9" s="13">
        <v>5563</v>
      </c>
      <c r="AB9" s="13">
        <v>5574.75</v>
      </c>
      <c r="AC9" s="13">
        <v>5571.55</v>
      </c>
      <c r="AD9" s="13">
        <v>5571</v>
      </c>
      <c r="AE9" s="13">
        <v>5568.8</v>
      </c>
      <c r="AF9" s="13">
        <v>5572.63</v>
      </c>
      <c r="AG9" s="13">
        <v>5578.23</v>
      </c>
      <c r="AH9" s="13">
        <v>5567.29</v>
      </c>
      <c r="AI9" s="13">
        <v>5573.14</v>
      </c>
      <c r="AJ9" s="13">
        <v>5568.86</v>
      </c>
      <c r="AK9" s="13">
        <v>5557.69</v>
      </c>
      <c r="AL9" s="13">
        <v>5563.98</v>
      </c>
      <c r="AM9" s="13">
        <v>5568.26</v>
      </c>
      <c r="AN9" s="13">
        <v>5564.47</v>
      </c>
      <c r="AO9" s="13">
        <v>5563.02</v>
      </c>
      <c r="AP9" s="13">
        <v>5551.75</v>
      </c>
      <c r="AQ9" s="13">
        <v>5547.77</v>
      </c>
      <c r="AR9" s="13">
        <v>5560.7</v>
      </c>
      <c r="AS9" s="13">
        <v>5561.14</v>
      </c>
      <c r="AT9" s="13">
        <v>5559.06</v>
      </c>
      <c r="AU9" s="13">
        <v>5552.63</v>
      </c>
      <c r="AV9" s="13">
        <v>5553.67</v>
      </c>
      <c r="AW9" s="13">
        <v>5556.05</v>
      </c>
      <c r="AX9" s="13">
        <v>5556.7</v>
      </c>
      <c r="AY9" s="13">
        <v>5556.97</v>
      </c>
      <c r="AZ9" s="13">
        <v>5558</v>
      </c>
      <c r="BA9" s="13">
        <v>5558.85</v>
      </c>
      <c r="BB9" s="13">
        <v>5559.05</v>
      </c>
      <c r="BC9" s="13">
        <v>5552.42</v>
      </c>
      <c r="BD9" s="13">
        <v>5552.01</v>
      </c>
      <c r="BE9" s="13">
        <v>5556.86</v>
      </c>
      <c r="BF9" s="13">
        <v>5563.12</v>
      </c>
      <c r="BG9" s="13">
        <v>5563.74</v>
      </c>
      <c r="BH9" s="13">
        <v>5560.86</v>
      </c>
      <c r="BI9" s="13">
        <v>5564.38</v>
      </c>
      <c r="BJ9" s="13">
        <v>5573.82</v>
      </c>
      <c r="BK9" s="13">
        <v>5569.41</v>
      </c>
      <c r="BL9" s="13">
        <v>5571.93</v>
      </c>
      <c r="BM9" s="13">
        <v>5568.63</v>
      </c>
      <c r="BN9" s="13">
        <v>5570.28</v>
      </c>
      <c r="BO9" s="13">
        <v>5576.08</v>
      </c>
      <c r="BP9" s="13">
        <v>5586.66</v>
      </c>
      <c r="BQ9" s="13">
        <v>5583.15</v>
      </c>
      <c r="BR9" s="13">
        <v>5575</v>
      </c>
      <c r="BS9" s="13">
        <v>5576.14</v>
      </c>
      <c r="BT9" s="13">
        <v>5573.54</v>
      </c>
      <c r="BU9" s="13">
        <v>5573.25</v>
      </c>
      <c r="BV9" s="13">
        <v>5570.82</v>
      </c>
      <c r="BW9" s="13">
        <v>5568.79</v>
      </c>
      <c r="BX9" s="13">
        <v>5573.12</v>
      </c>
      <c r="BY9" s="13">
        <v>5577.44</v>
      </c>
      <c r="BZ9" s="13">
        <v>5578.87</v>
      </c>
      <c r="CA9" s="13">
        <v>5582.95</v>
      </c>
      <c r="CB9" s="13">
        <v>5582.78</v>
      </c>
      <c r="CC9" s="13">
        <v>5582.31</v>
      </c>
      <c r="CD9" s="13">
        <v>5589.08</v>
      </c>
      <c r="CE9" s="13">
        <v>5580.18</v>
      </c>
      <c r="CF9" s="13">
        <v>5575.16</v>
      </c>
      <c r="CG9" s="13">
        <v>5572.75</v>
      </c>
      <c r="CH9" s="13">
        <v>5561.67</v>
      </c>
      <c r="CI9" s="13">
        <v>5564.24</v>
      </c>
      <c r="CJ9" s="13">
        <v>5563.95</v>
      </c>
      <c r="CK9" s="13">
        <v>5565.54</v>
      </c>
      <c r="CL9" s="13">
        <v>5563.75</v>
      </c>
      <c r="CM9" s="13">
        <v>5554.66</v>
      </c>
      <c r="CN9" s="13">
        <v>5553.13</v>
      </c>
      <c r="CO9" s="13">
        <v>5553.01</v>
      </c>
      <c r="CP9" s="13">
        <v>5552.01</v>
      </c>
      <c r="CQ9" s="13">
        <v>5541.11</v>
      </c>
      <c r="CR9" s="13">
        <v>5547.97</v>
      </c>
      <c r="CS9" s="13">
        <v>5556.6</v>
      </c>
      <c r="CT9" s="13">
        <v>5551.24</v>
      </c>
      <c r="CU9" s="13">
        <v>5551.15</v>
      </c>
      <c r="CV9" s="13">
        <v>5554.93</v>
      </c>
      <c r="CW9" s="13">
        <v>5556.11</v>
      </c>
      <c r="CX9" s="13">
        <v>5552.68</v>
      </c>
      <c r="CY9" s="13">
        <v>5550.15</v>
      </c>
      <c r="CZ9" s="13">
        <v>5553.24</v>
      </c>
      <c r="DA9" s="13">
        <v>5559.43</v>
      </c>
      <c r="DB9" s="13">
        <v>5562.15</v>
      </c>
      <c r="DC9" s="13">
        <v>5559.24</v>
      </c>
      <c r="DD9" s="13">
        <v>5549.5</v>
      </c>
      <c r="DE9" s="13">
        <v>5543.5</v>
      </c>
      <c r="DF9" s="13">
        <v>5546.47</v>
      </c>
      <c r="DG9" s="13">
        <v>5543.76</v>
      </c>
      <c r="DH9" s="13">
        <v>5547.41</v>
      </c>
      <c r="DI9" s="13">
        <v>5537.57</v>
      </c>
      <c r="DJ9" s="13">
        <v>5536.67</v>
      </c>
      <c r="DK9" s="13">
        <v>5534.67</v>
      </c>
      <c r="DM9" s="20"/>
    </row>
    <row r="10" spans="1:117" ht="15.75" x14ac:dyDescent="0.25">
      <c r="A10" s="14" t="s">
        <v>12</v>
      </c>
      <c r="B10" s="12" t="s">
        <v>7</v>
      </c>
      <c r="C10" s="13">
        <v>5612</v>
      </c>
      <c r="D10" s="13">
        <v>5555</v>
      </c>
      <c r="E10" s="13">
        <v>5615.92</v>
      </c>
      <c r="F10" s="13">
        <v>5605.72</v>
      </c>
      <c r="G10" s="13">
        <v>5604.11</v>
      </c>
      <c r="H10" s="13">
        <v>5604.11</v>
      </c>
      <c r="I10" s="13">
        <v>5599.67</v>
      </c>
      <c r="J10" s="13">
        <v>5598.72</v>
      </c>
      <c r="K10" s="13">
        <v>5592.78</v>
      </c>
      <c r="L10" s="13">
        <v>5584.94</v>
      </c>
      <c r="M10" s="13">
        <v>5573.86</v>
      </c>
      <c r="N10" s="13">
        <v>5566.5</v>
      </c>
      <c r="O10" s="13">
        <v>5569</v>
      </c>
      <c r="P10" s="13">
        <v>5569.38</v>
      </c>
      <c r="Q10" s="13">
        <v>5561.33</v>
      </c>
      <c r="R10" s="13">
        <v>5554.72</v>
      </c>
      <c r="S10" s="13">
        <v>5555</v>
      </c>
      <c r="T10" s="13">
        <v>5562</v>
      </c>
      <c r="U10" s="13">
        <v>5557</v>
      </c>
      <c r="V10" s="13">
        <v>5552</v>
      </c>
      <c r="W10" s="13">
        <v>5565</v>
      </c>
      <c r="X10" s="13">
        <v>5564</v>
      </c>
      <c r="Y10" s="13">
        <v>5552.25</v>
      </c>
      <c r="Z10" s="13">
        <v>5557</v>
      </c>
      <c r="AA10" s="13">
        <v>5560</v>
      </c>
      <c r="AB10" s="13">
        <v>5563</v>
      </c>
      <c r="AC10" s="13">
        <v>5570.37</v>
      </c>
      <c r="AD10" s="13">
        <v>5571</v>
      </c>
      <c r="AE10" s="13">
        <v>5568.8</v>
      </c>
      <c r="AF10" s="13">
        <v>5566.41</v>
      </c>
      <c r="AG10" s="13">
        <v>5571.29</v>
      </c>
      <c r="AH10" s="13">
        <v>5567.29</v>
      </c>
      <c r="AI10" s="13">
        <v>5562.93</v>
      </c>
      <c r="AJ10" s="13">
        <v>5568.67</v>
      </c>
      <c r="AK10" s="13">
        <v>5556.88</v>
      </c>
      <c r="AL10" s="13">
        <v>5555.33</v>
      </c>
      <c r="AM10" s="13">
        <v>5563.27</v>
      </c>
      <c r="AN10" s="13">
        <v>5562.43</v>
      </c>
      <c r="AO10" s="13">
        <v>5561.61</v>
      </c>
      <c r="AP10" s="13">
        <v>5547.62</v>
      </c>
      <c r="AQ10" s="13">
        <v>5546.58</v>
      </c>
      <c r="AR10" s="13">
        <v>5547.77</v>
      </c>
      <c r="AS10" s="13">
        <v>5559.01</v>
      </c>
      <c r="AT10" s="13">
        <v>5558.28</v>
      </c>
      <c r="AU10" s="13">
        <v>5549.85</v>
      </c>
      <c r="AV10" s="13">
        <v>5548.49</v>
      </c>
      <c r="AW10" s="13">
        <v>5553.05</v>
      </c>
      <c r="AX10" s="13">
        <v>5552.93</v>
      </c>
      <c r="AY10" s="13">
        <v>5554.4</v>
      </c>
      <c r="AZ10" s="13">
        <v>5557.79</v>
      </c>
      <c r="BA10" s="13">
        <v>5557.27</v>
      </c>
      <c r="BB10" s="13">
        <v>5557.05</v>
      </c>
      <c r="BC10" s="13">
        <v>5552.42</v>
      </c>
      <c r="BD10" s="13">
        <v>5550.64</v>
      </c>
      <c r="BE10" s="13">
        <v>5552.42</v>
      </c>
      <c r="BF10" s="13">
        <v>5555.93</v>
      </c>
      <c r="BG10" s="13">
        <v>5559.93</v>
      </c>
      <c r="BH10" s="13">
        <v>5560.34</v>
      </c>
      <c r="BI10" s="13">
        <v>5557.4</v>
      </c>
      <c r="BJ10" s="13">
        <v>5565.24</v>
      </c>
      <c r="BK10" s="13">
        <v>5569.4</v>
      </c>
      <c r="BL10" s="13">
        <v>5568.85</v>
      </c>
      <c r="BM10" s="13">
        <v>5567.36</v>
      </c>
      <c r="BN10" s="13">
        <v>5567.62</v>
      </c>
      <c r="BO10" s="13">
        <v>5566.91</v>
      </c>
      <c r="BP10" s="13">
        <v>5574.19</v>
      </c>
      <c r="BQ10" s="13">
        <v>5583.15</v>
      </c>
      <c r="BR10" s="13">
        <v>5572.66</v>
      </c>
      <c r="BS10" s="13">
        <v>5574.18</v>
      </c>
      <c r="BT10" s="13">
        <v>5572.9</v>
      </c>
      <c r="BU10" s="13">
        <v>5570.67</v>
      </c>
      <c r="BV10" s="13">
        <v>5570.82</v>
      </c>
      <c r="BW10" s="13">
        <v>5567.66</v>
      </c>
      <c r="BX10" s="13">
        <v>5568.72</v>
      </c>
      <c r="BY10" s="13">
        <v>5569.55</v>
      </c>
      <c r="BZ10" s="13">
        <v>5574.19</v>
      </c>
      <c r="CA10" s="13">
        <v>5578.4</v>
      </c>
      <c r="CB10" s="13">
        <v>5581.14</v>
      </c>
      <c r="CC10" s="13">
        <v>5576.95</v>
      </c>
      <c r="CD10" s="13">
        <v>5581.43</v>
      </c>
      <c r="CE10" s="13">
        <v>5579.28</v>
      </c>
      <c r="CF10" s="13">
        <v>5559.26</v>
      </c>
      <c r="CG10" s="13">
        <v>5563.61</v>
      </c>
      <c r="CH10" s="13">
        <v>5559.88</v>
      </c>
      <c r="CI10" s="13">
        <v>5560.44</v>
      </c>
      <c r="CJ10" s="13">
        <v>5563.75</v>
      </c>
      <c r="CK10" s="13">
        <v>5562.27</v>
      </c>
      <c r="CL10" s="13">
        <v>5563.75</v>
      </c>
      <c r="CM10" s="13">
        <v>5553.74</v>
      </c>
      <c r="CN10" s="13">
        <v>5551.01</v>
      </c>
      <c r="CO10" s="13">
        <v>5551.82</v>
      </c>
      <c r="CP10" s="13">
        <v>5551.39</v>
      </c>
      <c r="CQ10" s="13">
        <v>5541.11</v>
      </c>
      <c r="CR10" s="13">
        <v>5541.15</v>
      </c>
      <c r="CS10" s="13">
        <v>5547.15</v>
      </c>
      <c r="CT10" s="13">
        <v>5550.15</v>
      </c>
      <c r="CU10" s="13">
        <v>5550.76</v>
      </c>
      <c r="CV10" s="13">
        <v>5551.15</v>
      </c>
      <c r="CW10" s="13">
        <v>5552.76</v>
      </c>
      <c r="CX10" s="13">
        <v>5551.24</v>
      </c>
      <c r="CY10" s="13">
        <v>5549.15</v>
      </c>
      <c r="CZ10" s="13">
        <v>5549.5</v>
      </c>
      <c r="DA10" s="13">
        <v>5552.49</v>
      </c>
      <c r="DB10" s="13">
        <v>5558.67</v>
      </c>
      <c r="DC10" s="13">
        <v>5558.88</v>
      </c>
      <c r="DD10" s="13">
        <v>5549.05</v>
      </c>
      <c r="DE10" s="13">
        <v>5542.83</v>
      </c>
      <c r="DF10" s="13">
        <v>5542</v>
      </c>
      <c r="DG10" s="13">
        <v>5543.43</v>
      </c>
      <c r="DH10" s="13">
        <v>5543.43</v>
      </c>
      <c r="DI10" s="13">
        <v>5537.57</v>
      </c>
      <c r="DJ10" s="13">
        <v>5532.67</v>
      </c>
      <c r="DK10" s="13">
        <v>5533.33</v>
      </c>
      <c r="DM10" s="20"/>
    </row>
    <row r="11" spans="1:117" ht="15.75" x14ac:dyDescent="0.25">
      <c r="A11" s="11" t="s">
        <v>5</v>
      </c>
      <c r="B11" s="11" t="s">
        <v>11</v>
      </c>
      <c r="C11" s="15">
        <v>0.37847222222222227</v>
      </c>
      <c r="D11" s="15">
        <v>0.38194444444444442</v>
      </c>
      <c r="E11" s="15">
        <v>0.38541666666666669</v>
      </c>
      <c r="F11" s="15">
        <v>0.3888888888888889</v>
      </c>
      <c r="G11" s="15">
        <v>0.3923611111111111</v>
      </c>
      <c r="H11" s="15">
        <v>0.39583333333333331</v>
      </c>
      <c r="I11" s="15">
        <v>0.39930555555555558</v>
      </c>
      <c r="J11" s="15">
        <v>0.40277777777777773</v>
      </c>
      <c r="K11" s="15">
        <v>0.40625</v>
      </c>
      <c r="L11" s="15">
        <v>0.40972222222222227</v>
      </c>
      <c r="M11" s="15">
        <v>0.41319444444444442</v>
      </c>
      <c r="N11" s="15">
        <v>0.41666666666666669</v>
      </c>
      <c r="O11" s="15">
        <v>0.4201388888888889</v>
      </c>
      <c r="P11" s="15">
        <v>0.4236111111111111</v>
      </c>
      <c r="Q11" s="15">
        <v>0.42708333333333331</v>
      </c>
      <c r="R11" s="15">
        <v>0.43055555555555558</v>
      </c>
      <c r="S11" s="15">
        <v>0.43402777777777773</v>
      </c>
      <c r="T11" s="15">
        <v>0.4375</v>
      </c>
      <c r="U11" s="15">
        <v>0.44097222222222227</v>
      </c>
      <c r="V11" s="15">
        <v>0.44444444444444442</v>
      </c>
      <c r="W11" s="15">
        <v>0.44791666666666669</v>
      </c>
      <c r="X11" s="15">
        <v>0.4513888888888889</v>
      </c>
      <c r="Y11" s="15">
        <v>0.4548611111111111</v>
      </c>
      <c r="Z11" s="15">
        <v>0.45833333333333331</v>
      </c>
      <c r="AA11" s="15">
        <v>0.46180555555555558</v>
      </c>
      <c r="AB11" s="15">
        <v>0.46527777777777773</v>
      </c>
      <c r="AC11" s="15">
        <v>0.46875</v>
      </c>
      <c r="AD11" s="15">
        <v>0.47222222222222227</v>
      </c>
      <c r="AE11" s="15">
        <v>0.47569444444444442</v>
      </c>
      <c r="AF11" s="15">
        <v>0.47916666666666669</v>
      </c>
      <c r="AG11" s="15">
        <v>0.4826388888888889</v>
      </c>
      <c r="AH11" s="15">
        <v>0.4861111111111111</v>
      </c>
      <c r="AI11" s="15">
        <v>0.48958333333333331</v>
      </c>
      <c r="AJ11" s="15">
        <v>0.49305555555555558</v>
      </c>
      <c r="AK11" s="15">
        <v>0.49652777777777773</v>
      </c>
      <c r="AL11" s="15">
        <v>0.5</v>
      </c>
      <c r="AM11" s="15">
        <v>0.50347222222222221</v>
      </c>
      <c r="AN11" s="15">
        <v>0.50694444444444442</v>
      </c>
      <c r="AO11" s="15">
        <v>0.51041666666666663</v>
      </c>
      <c r="AP11" s="15">
        <v>0.51388888888888895</v>
      </c>
      <c r="AQ11" s="15">
        <v>0.51736111111111105</v>
      </c>
      <c r="AR11" s="15">
        <v>0.52083333333333337</v>
      </c>
      <c r="AS11" s="15">
        <v>0.52430555555555558</v>
      </c>
      <c r="AT11" s="15">
        <v>0.52777777777777779</v>
      </c>
      <c r="AU11" s="15">
        <v>0.53125</v>
      </c>
      <c r="AV11" s="15">
        <v>0.53472222222222221</v>
      </c>
      <c r="AW11" s="15">
        <v>0.53819444444444442</v>
      </c>
      <c r="AX11" s="15">
        <v>0.54166666666666663</v>
      </c>
      <c r="AY11" s="15">
        <v>0.54513888888888895</v>
      </c>
      <c r="AZ11" s="15">
        <v>0.54861111111111105</v>
      </c>
      <c r="BA11" s="15">
        <v>0.55208333333333337</v>
      </c>
      <c r="BB11" s="15">
        <v>0.55555555555555558</v>
      </c>
      <c r="BC11" s="15">
        <v>0.55902777777777779</v>
      </c>
      <c r="BD11" s="15">
        <v>0.5625</v>
      </c>
      <c r="BE11" s="15">
        <v>0.56597222222222221</v>
      </c>
      <c r="BF11" s="15">
        <v>0.56944444444444442</v>
      </c>
      <c r="BG11" s="15">
        <v>0.57291666666666663</v>
      </c>
      <c r="BH11" s="15">
        <v>0.57638888888888895</v>
      </c>
      <c r="BI11" s="15">
        <v>0.57986111111111105</v>
      </c>
      <c r="BJ11" s="15">
        <v>0.58333333333333337</v>
      </c>
      <c r="BK11" s="15">
        <v>0.58680555555555558</v>
      </c>
      <c r="BL11" s="15">
        <v>0.59027777777777779</v>
      </c>
      <c r="BM11" s="15">
        <v>0.59375</v>
      </c>
      <c r="BN11" s="15">
        <v>0.59722222222222221</v>
      </c>
      <c r="BO11" s="15">
        <v>0.60069444444444442</v>
      </c>
      <c r="BP11" s="15">
        <v>0.60416666666666663</v>
      </c>
      <c r="BQ11" s="15">
        <v>0.60763888888888895</v>
      </c>
      <c r="BR11" s="15">
        <v>0.61111111111111105</v>
      </c>
      <c r="BS11" s="15">
        <v>0.61458333333333337</v>
      </c>
      <c r="BT11" s="15">
        <v>0.61805555555555558</v>
      </c>
      <c r="BU11" s="15">
        <v>0.62152777777777779</v>
      </c>
      <c r="BV11" s="15">
        <v>0.625</v>
      </c>
      <c r="BW11" s="15">
        <v>0.62847222222222221</v>
      </c>
      <c r="BX11" s="15">
        <v>0.63194444444444442</v>
      </c>
      <c r="BY11" s="15">
        <v>0.63541666666666663</v>
      </c>
      <c r="BZ11" s="15">
        <v>0.63888888888888895</v>
      </c>
      <c r="CA11" s="15">
        <v>0.64236111111111105</v>
      </c>
      <c r="CB11" s="15">
        <v>0.64583333333333337</v>
      </c>
      <c r="CC11" s="15">
        <v>0.64930555555555558</v>
      </c>
      <c r="CD11" s="15">
        <v>0.65277777777777779</v>
      </c>
      <c r="CE11" s="15">
        <v>0.65625</v>
      </c>
      <c r="CF11" s="15">
        <v>0.65972222222222221</v>
      </c>
      <c r="CG11" s="15">
        <v>0.66319444444444442</v>
      </c>
      <c r="CH11" s="15">
        <v>0.66666666666666663</v>
      </c>
      <c r="CI11" s="15">
        <v>0.67013888888888884</v>
      </c>
      <c r="CJ11" s="15">
        <v>0.67361111111111116</v>
      </c>
      <c r="CK11" s="15">
        <v>0.67708333333333337</v>
      </c>
      <c r="CL11" s="15">
        <v>0.68055555555555547</v>
      </c>
      <c r="CM11" s="15">
        <v>0.68402777777777779</v>
      </c>
      <c r="CN11" s="15">
        <v>0.6875</v>
      </c>
      <c r="CO11" s="15">
        <v>0.69097222222222221</v>
      </c>
      <c r="CP11" s="15">
        <v>0.69444444444444453</v>
      </c>
      <c r="CQ11" s="15">
        <v>0.69791666666666663</v>
      </c>
      <c r="CR11" s="15">
        <v>0.70138888888888884</v>
      </c>
      <c r="CS11" s="15">
        <v>0.70486111111111116</v>
      </c>
      <c r="CT11" s="15">
        <v>0.70833333333333337</v>
      </c>
      <c r="CU11" s="15">
        <v>0.71180555555555547</v>
      </c>
      <c r="CV11" s="15">
        <v>0.71527777777777779</v>
      </c>
      <c r="CW11" s="15">
        <v>0.71875</v>
      </c>
      <c r="CX11" s="15">
        <v>0.72222222222222221</v>
      </c>
      <c r="CY11" s="15">
        <v>0.72569444444444453</v>
      </c>
      <c r="CZ11" s="15">
        <v>0.72916666666666663</v>
      </c>
      <c r="DA11" s="15">
        <v>0.73263888888888884</v>
      </c>
      <c r="DB11" s="15">
        <v>0.73611111111111116</v>
      </c>
      <c r="DC11" s="15">
        <v>0.73958333333333337</v>
      </c>
      <c r="DD11" s="15">
        <v>0.74305555555555547</v>
      </c>
      <c r="DE11" s="15">
        <v>0.74652777777777779</v>
      </c>
      <c r="DF11" s="15">
        <v>0.75</v>
      </c>
      <c r="DG11" s="15">
        <v>0.75347222222222221</v>
      </c>
      <c r="DH11" s="15">
        <v>0.75694444444444453</v>
      </c>
      <c r="DI11" s="15">
        <v>0.76041666666666663</v>
      </c>
      <c r="DJ11" s="15">
        <v>0.76388888888888884</v>
      </c>
      <c r="DK11" s="15">
        <v>0.76736111111111116</v>
      </c>
      <c r="DM11" s="20"/>
    </row>
    <row r="12" spans="1:117" ht="15.75" x14ac:dyDescent="0.25">
      <c r="A12" s="14">
        <v>44141</v>
      </c>
      <c r="B12" s="12" t="s">
        <v>6</v>
      </c>
      <c r="C12" s="13">
        <v>5563</v>
      </c>
      <c r="D12" s="13">
        <v>5540</v>
      </c>
      <c r="E12" s="13">
        <v>5552</v>
      </c>
      <c r="F12" s="13">
        <v>5550.33</v>
      </c>
      <c r="G12" s="13">
        <v>5566.33</v>
      </c>
      <c r="H12" s="13">
        <v>5569.33</v>
      </c>
      <c r="I12" s="13">
        <v>5574</v>
      </c>
      <c r="J12" s="13">
        <v>5573.33</v>
      </c>
      <c r="K12" s="13">
        <v>5577</v>
      </c>
      <c r="L12" s="13">
        <v>5575.33</v>
      </c>
      <c r="M12" s="13">
        <v>5581</v>
      </c>
      <c r="N12" s="13">
        <v>5583.33</v>
      </c>
      <c r="O12" s="13">
        <v>5586.33</v>
      </c>
      <c r="P12" s="13">
        <v>5584</v>
      </c>
      <c r="Q12" s="13">
        <v>5584.18</v>
      </c>
      <c r="R12" s="13">
        <v>5584.11</v>
      </c>
      <c r="S12" s="13">
        <v>5584.78</v>
      </c>
      <c r="T12" s="13">
        <v>5582</v>
      </c>
      <c r="U12" s="13">
        <v>5572.46</v>
      </c>
      <c r="V12" s="13">
        <v>5567.25</v>
      </c>
      <c r="W12" s="13">
        <v>5573.96</v>
      </c>
      <c r="X12" s="13">
        <v>5575.59</v>
      </c>
      <c r="Y12" s="13">
        <v>5573.5</v>
      </c>
      <c r="Z12" s="13">
        <v>5569.3</v>
      </c>
      <c r="AA12" s="13">
        <v>5563.32</v>
      </c>
      <c r="AB12" s="13">
        <v>5563.47</v>
      </c>
      <c r="AC12" s="13">
        <v>5558.55</v>
      </c>
      <c r="AD12" s="13">
        <v>5547.5</v>
      </c>
      <c r="AE12" s="13">
        <v>5546.73</v>
      </c>
      <c r="AF12" s="13">
        <v>5543.02</v>
      </c>
      <c r="AG12" s="13">
        <v>5546.89</v>
      </c>
      <c r="AH12" s="13">
        <v>5545.6</v>
      </c>
      <c r="AI12" s="13">
        <v>5549.13</v>
      </c>
      <c r="AJ12" s="13">
        <v>5547.26</v>
      </c>
      <c r="AK12" s="13">
        <v>5551.25</v>
      </c>
      <c r="AL12" s="13">
        <v>5552.17</v>
      </c>
      <c r="AM12" s="13">
        <v>5547.97</v>
      </c>
      <c r="AN12" s="13">
        <v>5543.88</v>
      </c>
      <c r="AO12" s="13">
        <v>5531.04</v>
      </c>
      <c r="AP12" s="13">
        <v>5529.93</v>
      </c>
      <c r="AQ12" s="13">
        <v>5514.71</v>
      </c>
      <c r="AR12" s="13">
        <v>5514.79</v>
      </c>
      <c r="AS12" s="13">
        <v>5506.26</v>
      </c>
      <c r="AT12" s="13">
        <v>5500.12</v>
      </c>
      <c r="AU12" s="13">
        <v>5499.32</v>
      </c>
      <c r="AV12" s="13">
        <v>5499.07</v>
      </c>
      <c r="AW12" s="13">
        <v>5499.12</v>
      </c>
      <c r="AX12" s="13">
        <v>5502.95</v>
      </c>
      <c r="AY12" s="13">
        <v>5503.58</v>
      </c>
      <c r="AZ12" s="13">
        <v>5495.9</v>
      </c>
      <c r="BA12" s="13">
        <v>5494.55</v>
      </c>
      <c r="BB12" s="13">
        <v>5492.02</v>
      </c>
      <c r="BC12" s="13">
        <v>5482.92</v>
      </c>
      <c r="BD12" s="13">
        <v>5481.95</v>
      </c>
      <c r="BE12" s="13">
        <v>5478.66</v>
      </c>
      <c r="BF12" s="13">
        <v>5475.37</v>
      </c>
      <c r="BG12" s="13">
        <v>5476.02</v>
      </c>
      <c r="BH12" s="13">
        <v>5476.87</v>
      </c>
      <c r="BI12" s="13">
        <v>5477.5</v>
      </c>
      <c r="BJ12" s="13">
        <v>5476.02</v>
      </c>
      <c r="BK12" s="13">
        <v>5474.73</v>
      </c>
      <c r="BL12" s="13">
        <v>5471.68</v>
      </c>
      <c r="BM12" s="13">
        <v>5469.99</v>
      </c>
      <c r="BN12" s="13">
        <v>5461.14</v>
      </c>
      <c r="BO12" s="13">
        <v>5460.97</v>
      </c>
      <c r="BP12" s="13">
        <v>5465.15</v>
      </c>
      <c r="BQ12" s="13">
        <v>5455.42</v>
      </c>
      <c r="BR12" s="13">
        <v>5457.51</v>
      </c>
      <c r="BS12" s="13">
        <v>5452.03</v>
      </c>
      <c r="BT12" s="13">
        <v>5451.65</v>
      </c>
      <c r="BU12" s="13">
        <v>5448.58</v>
      </c>
      <c r="BV12" s="13">
        <v>5450.9</v>
      </c>
      <c r="BW12" s="13">
        <v>5451.57</v>
      </c>
      <c r="BX12" s="13">
        <v>5450.58</v>
      </c>
      <c r="BY12" s="13">
        <v>5453.93</v>
      </c>
      <c r="BZ12" s="13">
        <v>5451.57</v>
      </c>
      <c r="CA12" s="13">
        <v>5454.46</v>
      </c>
      <c r="CB12" s="13">
        <v>5451.93</v>
      </c>
      <c r="CC12" s="13">
        <v>5452.64</v>
      </c>
      <c r="CD12" s="13">
        <v>5449.71</v>
      </c>
      <c r="CE12" s="13">
        <v>5447.84</v>
      </c>
      <c r="CF12" s="13">
        <v>5447.52</v>
      </c>
      <c r="CG12" s="13">
        <v>5444.26</v>
      </c>
      <c r="CH12" s="13">
        <v>5432.56</v>
      </c>
      <c r="CI12" s="13">
        <v>5432.96</v>
      </c>
      <c r="CJ12" s="13">
        <v>5439.58</v>
      </c>
      <c r="CK12" s="13">
        <v>5437.56</v>
      </c>
      <c r="CL12" s="13">
        <v>5427.81</v>
      </c>
      <c r="CM12" s="13">
        <v>5420.01</v>
      </c>
      <c r="CN12" s="13">
        <v>5427.05</v>
      </c>
      <c r="CO12" s="13">
        <v>5426.69</v>
      </c>
      <c r="CP12" s="13">
        <v>5422.01</v>
      </c>
      <c r="CQ12" s="13">
        <v>5422.63</v>
      </c>
      <c r="CR12" s="13">
        <v>5423.2</v>
      </c>
      <c r="CS12" s="13">
        <v>5419.93</v>
      </c>
      <c r="CT12" s="13">
        <v>5404.87</v>
      </c>
      <c r="CU12" s="13">
        <v>5412.61</v>
      </c>
      <c r="CV12" s="13">
        <v>5416.4</v>
      </c>
      <c r="CW12" s="13">
        <v>5408.93</v>
      </c>
      <c r="CX12" s="13">
        <v>5411.93</v>
      </c>
      <c r="CY12" s="13">
        <v>5715.06</v>
      </c>
      <c r="CZ12" s="13">
        <v>5406.05</v>
      </c>
      <c r="DA12" s="13">
        <v>5398.84</v>
      </c>
      <c r="DB12" s="13">
        <v>5389.92</v>
      </c>
      <c r="DC12" s="13">
        <v>5390.53</v>
      </c>
      <c r="DD12" s="13">
        <v>5390.07</v>
      </c>
      <c r="DE12" s="13">
        <v>5392.96</v>
      </c>
      <c r="DF12" s="13">
        <v>5392.33</v>
      </c>
      <c r="DG12" s="13">
        <v>5391.61</v>
      </c>
      <c r="DH12" s="13">
        <v>5389.08</v>
      </c>
      <c r="DI12" s="13">
        <v>5715.06</v>
      </c>
      <c r="DJ12" s="13">
        <v>5383.67</v>
      </c>
      <c r="DK12" s="13">
        <v>5378.79</v>
      </c>
      <c r="DM12" s="20"/>
    </row>
    <row r="13" spans="1:117" ht="15.75" x14ac:dyDescent="0.25">
      <c r="A13" s="14" t="s">
        <v>12</v>
      </c>
      <c r="B13" s="12" t="s">
        <v>10</v>
      </c>
      <c r="C13" s="13">
        <v>5530.33</v>
      </c>
      <c r="D13" s="13">
        <v>5538</v>
      </c>
      <c r="E13" s="13">
        <v>5552</v>
      </c>
      <c r="F13" s="13">
        <v>5547</v>
      </c>
      <c r="G13" s="13">
        <v>5566</v>
      </c>
      <c r="H13" s="13">
        <v>5565</v>
      </c>
      <c r="I13" s="13">
        <v>5571.25</v>
      </c>
      <c r="J13" s="13">
        <v>5572</v>
      </c>
      <c r="K13" s="13">
        <v>5571.33</v>
      </c>
      <c r="L13" s="13">
        <v>5571</v>
      </c>
      <c r="M13" s="13">
        <v>5579</v>
      </c>
      <c r="N13" s="13">
        <v>5583.33</v>
      </c>
      <c r="O13" s="13">
        <v>5580.33</v>
      </c>
      <c r="P13" s="13">
        <v>5582</v>
      </c>
      <c r="Q13" s="13">
        <v>5581.78</v>
      </c>
      <c r="R13" s="13">
        <v>5583.3</v>
      </c>
      <c r="S13" s="13">
        <v>5578.67</v>
      </c>
      <c r="T13" s="13">
        <v>5568.11</v>
      </c>
      <c r="U13" s="13">
        <v>5562.12</v>
      </c>
      <c r="V13" s="13">
        <v>5563.14</v>
      </c>
      <c r="W13" s="13">
        <v>5573.96</v>
      </c>
      <c r="X13" s="13">
        <v>5572.4</v>
      </c>
      <c r="Y13" s="13">
        <v>5569.96</v>
      </c>
      <c r="Z13" s="13">
        <v>5555.2</v>
      </c>
      <c r="AA13" s="13">
        <v>5562.17</v>
      </c>
      <c r="AB13" s="13">
        <v>5556.66</v>
      </c>
      <c r="AC13" s="13">
        <v>5543.34</v>
      </c>
      <c r="AD13" s="13">
        <v>5537.9</v>
      </c>
      <c r="AE13" s="13">
        <v>5540.24</v>
      </c>
      <c r="AF13" s="13">
        <v>5542.24</v>
      </c>
      <c r="AG13" s="13">
        <v>5541.55</v>
      </c>
      <c r="AH13" s="13">
        <v>5542.51</v>
      </c>
      <c r="AI13" s="13">
        <v>5546.32</v>
      </c>
      <c r="AJ13" s="13">
        <v>5542.43</v>
      </c>
      <c r="AK13" s="13">
        <v>5549.87</v>
      </c>
      <c r="AL13" s="13">
        <v>5549.96</v>
      </c>
      <c r="AM13" s="13">
        <v>5543.4</v>
      </c>
      <c r="AN13" s="13">
        <v>5528.9</v>
      </c>
      <c r="AO13" s="13">
        <v>5526.52</v>
      </c>
      <c r="AP13" s="13">
        <v>5522.7</v>
      </c>
      <c r="AQ13" s="13">
        <v>5512.07</v>
      </c>
      <c r="AR13" s="13">
        <v>5506.93</v>
      </c>
      <c r="AS13" s="13">
        <v>5496.48</v>
      </c>
      <c r="AT13" s="13">
        <v>5498.5</v>
      </c>
      <c r="AU13" s="13">
        <v>5499.32</v>
      </c>
      <c r="AV13" s="13">
        <v>5496.61</v>
      </c>
      <c r="AW13" s="13">
        <v>5497.95</v>
      </c>
      <c r="AX13" s="13">
        <v>5502.95</v>
      </c>
      <c r="AY13" s="13">
        <v>5494.91</v>
      </c>
      <c r="AZ13" s="13">
        <v>5484.53</v>
      </c>
      <c r="BA13" s="13">
        <v>5492.03</v>
      </c>
      <c r="BB13" s="13">
        <v>5478.69</v>
      </c>
      <c r="BC13" s="13">
        <v>5482.02</v>
      </c>
      <c r="BD13" s="13">
        <v>5478.66</v>
      </c>
      <c r="BE13" s="13">
        <v>5473.02</v>
      </c>
      <c r="BF13" s="13">
        <v>5475.37</v>
      </c>
      <c r="BG13" s="13">
        <v>5471.55</v>
      </c>
      <c r="BH13" s="13">
        <v>5476.87</v>
      </c>
      <c r="BI13" s="13">
        <v>5473.62</v>
      </c>
      <c r="BJ13" s="13">
        <v>5474.65</v>
      </c>
      <c r="BK13" s="13">
        <v>5472.02</v>
      </c>
      <c r="BL13" s="13">
        <v>5469.99</v>
      </c>
      <c r="BM13" s="13">
        <v>5464.66</v>
      </c>
      <c r="BN13" s="13">
        <v>5449.88</v>
      </c>
      <c r="BO13" s="13">
        <v>5460.97</v>
      </c>
      <c r="BP13" s="13">
        <v>5454.08</v>
      </c>
      <c r="BQ13" s="13">
        <v>5450.63</v>
      </c>
      <c r="BR13" s="13">
        <v>5454</v>
      </c>
      <c r="BS13" s="13">
        <v>5449.15</v>
      </c>
      <c r="BT13" s="13">
        <v>5448.2</v>
      </c>
      <c r="BU13" s="13">
        <v>5443.01</v>
      </c>
      <c r="BV13" s="13">
        <v>5447.12</v>
      </c>
      <c r="BW13" s="13">
        <v>5447.58</v>
      </c>
      <c r="BX13" s="13">
        <v>5447.58</v>
      </c>
      <c r="BY13" s="13">
        <v>5453.93</v>
      </c>
      <c r="BZ13" s="13">
        <v>5450.93</v>
      </c>
      <c r="CA13" s="13">
        <v>5448.37</v>
      </c>
      <c r="CB13" s="13">
        <v>5451.52</v>
      </c>
      <c r="CC13" s="13">
        <v>5450.05</v>
      </c>
      <c r="CD13" s="13">
        <v>5447.01</v>
      </c>
      <c r="CE13" s="13">
        <v>5446.75</v>
      </c>
      <c r="CF13" s="13">
        <v>5447.01</v>
      </c>
      <c r="CG13" s="13">
        <v>5432.24</v>
      </c>
      <c r="CH13" s="13">
        <v>5425.04</v>
      </c>
      <c r="CI13" s="13">
        <v>5432.58</v>
      </c>
      <c r="CJ13" s="13">
        <v>5437.56</v>
      </c>
      <c r="CK13" s="13">
        <v>5428.05</v>
      </c>
      <c r="CL13" s="13">
        <v>5419.61</v>
      </c>
      <c r="CM13" s="13">
        <v>5415.48</v>
      </c>
      <c r="CN13" s="13">
        <v>5424.57</v>
      </c>
      <c r="CO13" s="13">
        <v>5421.51</v>
      </c>
      <c r="CP13" s="13">
        <v>5421</v>
      </c>
      <c r="CQ13" s="13">
        <v>5420.96</v>
      </c>
      <c r="CR13" s="13">
        <v>5420.93</v>
      </c>
      <c r="CS13" s="13">
        <v>5406.6</v>
      </c>
      <c r="CT13" s="13">
        <v>5403.71</v>
      </c>
      <c r="CU13" s="13">
        <v>5409.75</v>
      </c>
      <c r="CV13" s="13">
        <v>5409.08</v>
      </c>
      <c r="CW13" s="13">
        <v>5407.69</v>
      </c>
      <c r="CX13" s="13">
        <v>5404.08</v>
      </c>
      <c r="CY13" s="13">
        <v>5405.52</v>
      </c>
      <c r="CZ13" s="13">
        <v>5396.91</v>
      </c>
      <c r="DA13" s="13">
        <v>5389.73</v>
      </c>
      <c r="DB13" s="13">
        <v>5387.56</v>
      </c>
      <c r="DC13" s="13">
        <v>5383.95</v>
      </c>
      <c r="DD13" s="13">
        <v>5389.59</v>
      </c>
      <c r="DE13" s="13">
        <v>5390.18</v>
      </c>
      <c r="DF13" s="13">
        <v>5392.33</v>
      </c>
      <c r="DG13" s="13">
        <v>5388.39</v>
      </c>
      <c r="DH13" s="13">
        <v>5389.08</v>
      </c>
      <c r="DI13" s="13">
        <v>5383.33</v>
      </c>
      <c r="DJ13" s="13">
        <v>5376.8</v>
      </c>
      <c r="DK13" s="13">
        <v>5374.82</v>
      </c>
      <c r="DM13" s="20"/>
    </row>
    <row r="14" spans="1:117" ht="15.75" x14ac:dyDescent="0.25">
      <c r="A14" s="14" t="s">
        <v>12</v>
      </c>
      <c r="B14" s="12" t="s">
        <v>9</v>
      </c>
      <c r="C14" s="13">
        <v>5521</v>
      </c>
      <c r="D14" s="13">
        <v>5530</v>
      </c>
      <c r="E14" s="13">
        <v>5543</v>
      </c>
      <c r="F14" s="13">
        <v>5538.5</v>
      </c>
      <c r="G14" s="13">
        <v>5557.67</v>
      </c>
      <c r="H14" s="13">
        <v>5556</v>
      </c>
      <c r="I14" s="13">
        <v>5561</v>
      </c>
      <c r="J14" s="13">
        <v>5563</v>
      </c>
      <c r="K14" s="13">
        <v>5563</v>
      </c>
      <c r="L14" s="13">
        <v>5562</v>
      </c>
      <c r="M14" s="13">
        <v>5570</v>
      </c>
      <c r="N14" s="13">
        <v>5573.75</v>
      </c>
      <c r="O14" s="13">
        <v>5571.33</v>
      </c>
      <c r="P14" s="13">
        <v>5572.33</v>
      </c>
      <c r="Q14" s="13">
        <v>5573.29</v>
      </c>
      <c r="R14" s="13">
        <v>5574.11</v>
      </c>
      <c r="S14" s="13">
        <v>5570.04</v>
      </c>
      <c r="T14" s="13">
        <v>5558.73</v>
      </c>
      <c r="U14" s="13">
        <v>5553.31</v>
      </c>
      <c r="V14" s="13">
        <v>5554.1</v>
      </c>
      <c r="W14" s="13">
        <v>5565.42</v>
      </c>
      <c r="X14" s="13">
        <v>5563.85</v>
      </c>
      <c r="Y14" s="13">
        <v>5561.13</v>
      </c>
      <c r="Z14" s="13">
        <v>5547</v>
      </c>
      <c r="AA14" s="13">
        <v>5553.25</v>
      </c>
      <c r="AB14" s="13">
        <v>5548.19</v>
      </c>
      <c r="AC14" s="13">
        <v>5534.52</v>
      </c>
      <c r="AD14" s="13">
        <v>5529.68</v>
      </c>
      <c r="AE14" s="13">
        <v>5531.91</v>
      </c>
      <c r="AF14" s="13">
        <v>5533.84</v>
      </c>
      <c r="AG14" s="13">
        <v>5532.96</v>
      </c>
      <c r="AH14" s="13">
        <v>5534.09</v>
      </c>
      <c r="AI14" s="13">
        <v>5537.74</v>
      </c>
      <c r="AJ14" s="13">
        <v>5533.45</v>
      </c>
      <c r="AK14" s="13">
        <v>5541</v>
      </c>
      <c r="AL14" s="13">
        <v>5541.11</v>
      </c>
      <c r="AM14" s="13">
        <v>5535.46</v>
      </c>
      <c r="AN14" s="13">
        <v>5520.73</v>
      </c>
      <c r="AO14" s="13">
        <v>5517.69</v>
      </c>
      <c r="AP14" s="13">
        <v>5513.84</v>
      </c>
      <c r="AQ14" s="13">
        <v>5503.43</v>
      </c>
      <c r="AR14" s="13">
        <v>5498.18</v>
      </c>
      <c r="AS14" s="13">
        <v>5487.82</v>
      </c>
      <c r="AT14" s="13">
        <v>5490.07</v>
      </c>
      <c r="AU14" s="13">
        <v>5490.6</v>
      </c>
      <c r="AV14" s="13">
        <v>5488.1</v>
      </c>
      <c r="AW14" s="13">
        <v>5489.02</v>
      </c>
      <c r="AX14" s="13">
        <v>5494.09</v>
      </c>
      <c r="AY14" s="13">
        <v>5486.34</v>
      </c>
      <c r="AZ14" s="13">
        <v>5476.16</v>
      </c>
      <c r="BA14" s="13">
        <v>5483.76</v>
      </c>
      <c r="BB14" s="13">
        <v>5470.93</v>
      </c>
      <c r="BC14" s="13">
        <v>5473.16</v>
      </c>
      <c r="BD14" s="13">
        <v>5469.86</v>
      </c>
      <c r="BE14" s="13">
        <v>5464.69</v>
      </c>
      <c r="BF14" s="13">
        <v>5466.57</v>
      </c>
      <c r="BG14" s="13">
        <v>5463.26</v>
      </c>
      <c r="BH14" s="13">
        <v>5468.47</v>
      </c>
      <c r="BI14" s="13">
        <v>5464.83</v>
      </c>
      <c r="BJ14" s="13">
        <v>5466.14</v>
      </c>
      <c r="BK14" s="13">
        <v>5463.27</v>
      </c>
      <c r="BL14" s="13">
        <v>5460.53</v>
      </c>
      <c r="BM14" s="13">
        <v>5455.93</v>
      </c>
      <c r="BN14" s="13">
        <v>5440.67</v>
      </c>
      <c r="BO14" s="13">
        <v>5452.24</v>
      </c>
      <c r="BP14" s="13">
        <v>5445.38</v>
      </c>
      <c r="BQ14" s="13">
        <v>5441.76</v>
      </c>
      <c r="BR14" s="13">
        <v>5445.09</v>
      </c>
      <c r="BS14" s="13">
        <v>5440.73</v>
      </c>
      <c r="BT14" s="13">
        <v>5439.17</v>
      </c>
      <c r="BU14" s="13">
        <v>5434.24</v>
      </c>
      <c r="BV14" s="13">
        <v>5438.7</v>
      </c>
      <c r="BW14" s="13">
        <v>5438.81</v>
      </c>
      <c r="BX14" s="13">
        <v>5438.72</v>
      </c>
      <c r="BY14" s="13">
        <v>5445.5</v>
      </c>
      <c r="BZ14" s="13">
        <v>5442.07</v>
      </c>
      <c r="CA14" s="13">
        <v>5440.08</v>
      </c>
      <c r="CB14" s="13">
        <v>5443.01</v>
      </c>
      <c r="CC14" s="13">
        <v>5441.27</v>
      </c>
      <c r="CD14" s="13">
        <v>5438.21</v>
      </c>
      <c r="CE14" s="13">
        <v>5439.01</v>
      </c>
      <c r="CF14" s="13">
        <v>5438.28</v>
      </c>
      <c r="CG14" s="13">
        <v>5423.73</v>
      </c>
      <c r="CH14" s="13">
        <v>5416.76</v>
      </c>
      <c r="CI14" s="13">
        <v>5424.11</v>
      </c>
      <c r="CJ14" s="13">
        <v>5429.2</v>
      </c>
      <c r="CK14" s="13">
        <v>5419.31</v>
      </c>
      <c r="CL14" s="13">
        <v>5411.2</v>
      </c>
      <c r="CM14" s="13">
        <v>5407.22</v>
      </c>
      <c r="CN14" s="13">
        <v>5416.16</v>
      </c>
      <c r="CO14" s="13">
        <v>5413.04</v>
      </c>
      <c r="CP14" s="13">
        <v>5412.71</v>
      </c>
      <c r="CQ14" s="13">
        <v>5412.64</v>
      </c>
      <c r="CR14" s="13">
        <v>5412.19</v>
      </c>
      <c r="CS14" s="13">
        <v>5397.97</v>
      </c>
      <c r="CT14" s="13">
        <v>5394.82</v>
      </c>
      <c r="CU14" s="13">
        <v>5401.21</v>
      </c>
      <c r="CV14" s="13">
        <v>5400.73</v>
      </c>
      <c r="CW14" s="13">
        <v>5399.2</v>
      </c>
      <c r="CX14" s="13">
        <v>5395.8</v>
      </c>
      <c r="CY14" s="13">
        <v>5397.17</v>
      </c>
      <c r="CZ14" s="13">
        <v>5388.62</v>
      </c>
      <c r="DA14" s="13">
        <v>5378.88</v>
      </c>
      <c r="DB14" s="13">
        <v>5376.52</v>
      </c>
      <c r="DC14" s="13">
        <v>5372.64</v>
      </c>
      <c r="DD14" s="13">
        <v>5378.45</v>
      </c>
      <c r="DE14" s="13">
        <v>5377.44</v>
      </c>
      <c r="DF14" s="13">
        <v>5380.33</v>
      </c>
      <c r="DG14" s="13">
        <v>5377.09</v>
      </c>
      <c r="DH14" s="13">
        <v>5377.88</v>
      </c>
      <c r="DI14" s="13">
        <v>5372.51</v>
      </c>
      <c r="DJ14" s="13">
        <v>5365.42</v>
      </c>
      <c r="DK14" s="13">
        <v>5363.84</v>
      </c>
      <c r="DM14" s="20"/>
    </row>
    <row r="15" spans="1:117" ht="15.75" x14ac:dyDescent="0.25">
      <c r="A15" s="14" t="s">
        <v>12</v>
      </c>
      <c r="B15" s="12" t="s">
        <v>7</v>
      </c>
      <c r="C15" s="13">
        <v>5503</v>
      </c>
      <c r="D15" s="13">
        <v>5521.33</v>
      </c>
      <c r="E15" s="13">
        <v>5536</v>
      </c>
      <c r="F15" s="13">
        <v>5531.67</v>
      </c>
      <c r="G15" s="13">
        <v>5539</v>
      </c>
      <c r="H15" s="13">
        <v>5551.67</v>
      </c>
      <c r="I15" s="13">
        <v>5554</v>
      </c>
      <c r="J15" s="13">
        <v>5556</v>
      </c>
      <c r="K15" s="13">
        <v>5559</v>
      </c>
      <c r="L15" s="13">
        <v>5561</v>
      </c>
      <c r="M15" s="13">
        <v>5559.67</v>
      </c>
      <c r="N15" s="13">
        <v>5567.67</v>
      </c>
      <c r="O15" s="13">
        <v>5570</v>
      </c>
      <c r="P15" s="13">
        <v>5571</v>
      </c>
      <c r="Q15" s="13">
        <v>5570.64</v>
      </c>
      <c r="R15" s="13">
        <v>5567.11</v>
      </c>
      <c r="S15" s="13">
        <v>5567.17</v>
      </c>
      <c r="T15" s="13">
        <v>5554.12</v>
      </c>
      <c r="U15" s="13">
        <v>5547</v>
      </c>
      <c r="V15" s="13">
        <v>5549.86</v>
      </c>
      <c r="W15" s="13">
        <v>5556.48</v>
      </c>
      <c r="X15" s="13">
        <v>5560.29</v>
      </c>
      <c r="Y15" s="13">
        <v>5552.22</v>
      </c>
      <c r="Z15" s="13">
        <v>5546.9</v>
      </c>
      <c r="AA15" s="13">
        <v>5540.17</v>
      </c>
      <c r="AB15" s="13">
        <v>5548.19</v>
      </c>
      <c r="AC15" s="13">
        <v>5534.52</v>
      </c>
      <c r="AD15" s="13">
        <v>5521.82</v>
      </c>
      <c r="AE15" s="13">
        <v>5528.81</v>
      </c>
      <c r="AF15" s="13">
        <v>5528.84</v>
      </c>
      <c r="AG15" s="13">
        <v>5530.8</v>
      </c>
      <c r="AH15" s="13">
        <v>5524.17</v>
      </c>
      <c r="AI15" s="13">
        <v>5531.85</v>
      </c>
      <c r="AJ15" s="13">
        <v>5528.24</v>
      </c>
      <c r="AK15" s="13">
        <v>5532.24</v>
      </c>
      <c r="AL15" s="13">
        <v>5536.68</v>
      </c>
      <c r="AM15" s="13">
        <v>5534.11</v>
      </c>
      <c r="AN15" s="13">
        <v>5520.73</v>
      </c>
      <c r="AO15" s="13">
        <v>5515.82</v>
      </c>
      <c r="AP15" s="13">
        <v>5513.84</v>
      </c>
      <c r="AQ15" s="13">
        <v>5495.45</v>
      </c>
      <c r="AR15" s="13">
        <v>5496.48</v>
      </c>
      <c r="AS15" s="13">
        <v>5485.48</v>
      </c>
      <c r="AT15" s="13">
        <v>5486.93</v>
      </c>
      <c r="AU15" s="13">
        <v>5483.15</v>
      </c>
      <c r="AV15" s="13">
        <v>5486</v>
      </c>
      <c r="AW15" s="13">
        <v>5485.22</v>
      </c>
      <c r="AX15" s="13">
        <v>5485.68</v>
      </c>
      <c r="AY15" s="13">
        <v>5485.81</v>
      </c>
      <c r="AZ15" s="13">
        <v>5475.68</v>
      </c>
      <c r="BA15" s="13">
        <v>5475.2</v>
      </c>
      <c r="BB15" s="13">
        <v>5470.93</v>
      </c>
      <c r="BC15" s="13">
        <v>5469.73</v>
      </c>
      <c r="BD15" s="13">
        <v>5469.86</v>
      </c>
      <c r="BE15" s="13">
        <v>5463.77</v>
      </c>
      <c r="BF15" s="13">
        <v>5460.93</v>
      </c>
      <c r="BG15" s="13">
        <v>5463.26</v>
      </c>
      <c r="BH15" s="13">
        <v>5462.92</v>
      </c>
      <c r="BI15" s="13">
        <v>5464.83</v>
      </c>
      <c r="BJ15" s="13">
        <v>5463.18</v>
      </c>
      <c r="BK15" s="13">
        <v>5463.27</v>
      </c>
      <c r="BL15" s="13">
        <v>5459.68</v>
      </c>
      <c r="BM15" s="13">
        <v>5455.93</v>
      </c>
      <c r="BN15" s="13">
        <v>5437.83</v>
      </c>
      <c r="BO15" s="13">
        <v>5443.47</v>
      </c>
      <c r="BP15" s="13">
        <v>5444.79</v>
      </c>
      <c r="BQ15" s="13">
        <v>5441.2</v>
      </c>
      <c r="BR15" s="13">
        <v>5441.8</v>
      </c>
      <c r="BS15" s="13">
        <v>5440.13</v>
      </c>
      <c r="BT15" s="13">
        <v>5439.17</v>
      </c>
      <c r="BU15" s="13">
        <v>5434.24</v>
      </c>
      <c r="BV15" s="13">
        <v>5431.76</v>
      </c>
      <c r="BW15" s="13">
        <v>5437.72</v>
      </c>
      <c r="BX15" s="13">
        <v>5437.69</v>
      </c>
      <c r="BY15" s="13">
        <v>5437.73</v>
      </c>
      <c r="BZ15" s="13">
        <v>5439.73</v>
      </c>
      <c r="CA15" s="13">
        <v>5438.05</v>
      </c>
      <c r="CB15" s="13">
        <v>5439.43</v>
      </c>
      <c r="CC15" s="13">
        <v>5440.81</v>
      </c>
      <c r="CD15" s="13">
        <v>5438.21</v>
      </c>
      <c r="CE15" s="13">
        <v>5438.27</v>
      </c>
      <c r="CF15" s="13">
        <v>5436.4</v>
      </c>
      <c r="CG15" s="13">
        <v>5423.73</v>
      </c>
      <c r="CH15" s="13">
        <v>5414.18</v>
      </c>
      <c r="CI15" s="13">
        <v>5416.2</v>
      </c>
      <c r="CJ15" s="13">
        <v>5423.43</v>
      </c>
      <c r="CK15" s="13">
        <v>5419.16</v>
      </c>
      <c r="CL15" s="13">
        <v>5408.86</v>
      </c>
      <c r="CM15" s="13">
        <v>5401.21</v>
      </c>
      <c r="CN15" s="13">
        <v>5409.2</v>
      </c>
      <c r="CO15" s="13">
        <v>5411.06</v>
      </c>
      <c r="CP15" s="13">
        <v>5409.15</v>
      </c>
      <c r="CQ15" s="13">
        <v>5409.83</v>
      </c>
      <c r="CR15" s="13">
        <v>5410.85</v>
      </c>
      <c r="CS15" s="13">
        <v>5397.37</v>
      </c>
      <c r="CT15" s="13">
        <v>5391.22</v>
      </c>
      <c r="CU15" s="13">
        <v>5395.65</v>
      </c>
      <c r="CV15" s="13">
        <v>5400.16</v>
      </c>
      <c r="CW15" s="13">
        <v>5395.45</v>
      </c>
      <c r="CX15" s="13">
        <v>5395.45</v>
      </c>
      <c r="CY15" s="13">
        <v>5394.16</v>
      </c>
      <c r="CZ15" s="13">
        <v>5387.72</v>
      </c>
      <c r="DA15" s="13">
        <v>5367.86</v>
      </c>
      <c r="DB15" s="13">
        <v>5343.14</v>
      </c>
      <c r="DC15" s="13">
        <v>5359.28</v>
      </c>
      <c r="DD15" s="13">
        <v>5369.12</v>
      </c>
      <c r="DE15" s="13">
        <v>5376.06</v>
      </c>
      <c r="DF15" s="13">
        <v>5375</v>
      </c>
      <c r="DG15" s="13">
        <v>5369.39</v>
      </c>
      <c r="DH15" s="13">
        <v>5365.72</v>
      </c>
      <c r="DI15" s="13">
        <v>5364.84</v>
      </c>
      <c r="DJ15" s="13">
        <v>5362.96</v>
      </c>
      <c r="DK15" s="13">
        <v>5345.34</v>
      </c>
      <c r="DM15" s="20"/>
    </row>
    <row r="16" spans="1:117" ht="15.75" x14ac:dyDescent="0.25">
      <c r="A16" s="11" t="s">
        <v>5</v>
      </c>
      <c r="B16" s="11" t="s">
        <v>11</v>
      </c>
      <c r="C16" s="15">
        <v>0.37847222222222227</v>
      </c>
      <c r="D16" s="15">
        <v>0.38194444444444442</v>
      </c>
      <c r="E16" s="15">
        <v>0.38541666666666669</v>
      </c>
      <c r="F16" s="15">
        <v>0.3888888888888889</v>
      </c>
      <c r="G16" s="15">
        <v>0.3923611111111111</v>
      </c>
      <c r="H16" s="15">
        <v>0.39583333333333331</v>
      </c>
      <c r="I16" s="15">
        <v>0.39930555555555558</v>
      </c>
      <c r="J16" s="15">
        <v>0.40277777777777773</v>
      </c>
      <c r="K16" s="15">
        <v>0.40625</v>
      </c>
      <c r="L16" s="15">
        <v>0.40972222222222227</v>
      </c>
      <c r="M16" s="15">
        <v>0.41319444444444442</v>
      </c>
      <c r="N16" s="15">
        <v>0.41666666666666669</v>
      </c>
      <c r="O16" s="15">
        <v>0.4201388888888889</v>
      </c>
      <c r="P16" s="15">
        <v>0.4236111111111111</v>
      </c>
      <c r="Q16" s="15">
        <v>0.42708333333333331</v>
      </c>
      <c r="R16" s="15">
        <v>0.43055555555555558</v>
      </c>
      <c r="S16" s="15">
        <v>0.43402777777777773</v>
      </c>
      <c r="T16" s="15">
        <v>0.4375</v>
      </c>
      <c r="U16" s="15">
        <v>0.44097222222222227</v>
      </c>
      <c r="V16" s="15">
        <v>0.44444444444444442</v>
      </c>
      <c r="W16" s="15">
        <v>0.44791666666666669</v>
      </c>
      <c r="X16" s="15">
        <v>0.4513888888888889</v>
      </c>
      <c r="Y16" s="15">
        <v>0.4548611111111111</v>
      </c>
      <c r="Z16" s="15">
        <v>0.45833333333333331</v>
      </c>
      <c r="AA16" s="15">
        <v>0.46180555555555558</v>
      </c>
      <c r="AB16" s="15">
        <v>0.46527777777777773</v>
      </c>
      <c r="AC16" s="15">
        <v>0.46875</v>
      </c>
      <c r="AD16" s="15">
        <v>0.47222222222222227</v>
      </c>
      <c r="AE16" s="15">
        <v>0.47569444444444442</v>
      </c>
      <c r="AF16" s="15">
        <v>0.47916666666666669</v>
      </c>
      <c r="AG16" s="15">
        <v>0.4826388888888889</v>
      </c>
      <c r="AH16" s="15">
        <v>0.4861111111111111</v>
      </c>
      <c r="AI16" s="15">
        <v>0.48958333333333331</v>
      </c>
      <c r="AJ16" s="15">
        <v>0.49305555555555558</v>
      </c>
      <c r="AK16" s="15">
        <v>0.49652777777777773</v>
      </c>
      <c r="AL16" s="15">
        <v>0.5</v>
      </c>
      <c r="AM16" s="15">
        <v>0.50347222222222221</v>
      </c>
      <c r="AN16" s="15">
        <v>0.50694444444444442</v>
      </c>
      <c r="AO16" s="15">
        <v>0.51041666666666663</v>
      </c>
      <c r="AP16" s="15">
        <v>0.51388888888888895</v>
      </c>
      <c r="AQ16" s="15">
        <v>0.51736111111111105</v>
      </c>
      <c r="AR16" s="15">
        <v>0.52083333333333337</v>
      </c>
      <c r="AS16" s="15">
        <v>0.52430555555555558</v>
      </c>
      <c r="AT16" s="15">
        <v>0.52777777777777779</v>
      </c>
      <c r="AU16" s="15">
        <v>0.53125</v>
      </c>
      <c r="AV16" s="15">
        <v>0.53472222222222221</v>
      </c>
      <c r="AW16" s="15">
        <v>0.53819444444444442</v>
      </c>
      <c r="AX16" s="15">
        <v>0.54166666666666663</v>
      </c>
      <c r="AY16" s="15">
        <v>0.54513888888888895</v>
      </c>
      <c r="AZ16" s="15">
        <v>0.54861111111111105</v>
      </c>
      <c r="BA16" s="15">
        <v>0.55208333333333337</v>
      </c>
      <c r="BB16" s="15">
        <v>0.55555555555555558</v>
      </c>
      <c r="BC16" s="15">
        <v>0.55902777777777779</v>
      </c>
      <c r="BD16" s="15">
        <v>0.5625</v>
      </c>
      <c r="BE16" s="15">
        <v>0.56597222222222221</v>
      </c>
      <c r="BF16" s="15">
        <v>0.56944444444444442</v>
      </c>
      <c r="BG16" s="15">
        <v>0.57291666666666663</v>
      </c>
      <c r="BH16" s="15">
        <v>0.57638888888888895</v>
      </c>
      <c r="BI16" s="15">
        <v>0.57986111111111105</v>
      </c>
      <c r="BJ16" s="15">
        <v>0.58333333333333337</v>
      </c>
      <c r="BK16" s="15">
        <v>0.58680555555555558</v>
      </c>
      <c r="BL16" s="15">
        <v>0.59027777777777779</v>
      </c>
      <c r="BM16" s="15">
        <v>0.59375</v>
      </c>
      <c r="BN16" s="15">
        <v>0.59722222222222221</v>
      </c>
      <c r="BO16" s="15">
        <v>0.60069444444444442</v>
      </c>
      <c r="BP16" s="15">
        <v>0.60416666666666663</v>
      </c>
      <c r="BQ16" s="15">
        <v>0.60763888888888895</v>
      </c>
      <c r="BR16" s="15">
        <v>0.61111111111111105</v>
      </c>
      <c r="BS16" s="15">
        <v>0.61458333333333337</v>
      </c>
      <c r="BT16" s="15">
        <v>0.61805555555555558</v>
      </c>
      <c r="BU16" s="15">
        <v>0.62152777777777779</v>
      </c>
      <c r="BV16" s="15">
        <v>0.625</v>
      </c>
      <c r="BW16" s="15">
        <v>0.62847222222222221</v>
      </c>
      <c r="BX16" s="15">
        <v>0.63194444444444442</v>
      </c>
      <c r="BY16" s="15">
        <v>0.63541666666666663</v>
      </c>
      <c r="BZ16" s="15">
        <v>0.63888888888888895</v>
      </c>
      <c r="CA16" s="15">
        <v>0.64236111111111105</v>
      </c>
      <c r="CB16" s="15">
        <v>0.64583333333333337</v>
      </c>
      <c r="CC16" s="15">
        <v>0.64930555555555558</v>
      </c>
      <c r="CD16" s="15">
        <v>0.65277777777777779</v>
      </c>
      <c r="CE16" s="15">
        <v>0.65625</v>
      </c>
      <c r="CF16" s="15">
        <v>0.65972222222222221</v>
      </c>
      <c r="CG16" s="15">
        <v>0.66319444444444442</v>
      </c>
      <c r="CH16" s="15">
        <v>0.66666666666666663</v>
      </c>
      <c r="CI16" s="15">
        <v>0.67013888888888884</v>
      </c>
      <c r="CJ16" s="15">
        <v>0.67361111111111116</v>
      </c>
      <c r="CK16" s="15">
        <v>0.67708333333333337</v>
      </c>
      <c r="CL16" s="15">
        <v>0.68055555555555547</v>
      </c>
      <c r="CM16" s="15">
        <v>0.68402777777777779</v>
      </c>
      <c r="CN16" s="15">
        <v>0.6875</v>
      </c>
      <c r="CO16" s="15">
        <v>0.69097222222222221</v>
      </c>
      <c r="CP16" s="15">
        <v>0.69444444444444453</v>
      </c>
      <c r="CQ16" s="15">
        <v>0.69791666666666663</v>
      </c>
      <c r="CR16" s="15">
        <v>0.70138888888888884</v>
      </c>
      <c r="CS16" s="15">
        <v>0.70486111111111116</v>
      </c>
      <c r="CT16" s="15">
        <v>0.70833333333333337</v>
      </c>
      <c r="CU16" s="15">
        <v>0.71180555555555547</v>
      </c>
      <c r="CV16" s="15">
        <v>0.71527777777777779</v>
      </c>
      <c r="CW16" s="15">
        <v>0.71875</v>
      </c>
      <c r="CX16" s="15">
        <v>0.72222222222222221</v>
      </c>
      <c r="CY16" s="15">
        <v>0.72569444444444453</v>
      </c>
      <c r="CZ16" s="15">
        <v>0.72916666666666663</v>
      </c>
      <c r="DA16" s="15">
        <v>0.73263888888888884</v>
      </c>
      <c r="DB16" s="15">
        <v>0.73611111111111116</v>
      </c>
      <c r="DC16" s="15">
        <v>0.73958333333333337</v>
      </c>
      <c r="DD16" s="15">
        <v>0.74305555555555547</v>
      </c>
      <c r="DE16" s="15">
        <v>0.74652777777777779</v>
      </c>
      <c r="DF16" s="15">
        <v>0.75</v>
      </c>
      <c r="DG16" s="15">
        <v>0.75347222222222221</v>
      </c>
      <c r="DH16" s="15">
        <v>0.75694444444444453</v>
      </c>
      <c r="DI16" s="15">
        <v>0.76041666666666663</v>
      </c>
      <c r="DJ16" s="15">
        <v>0.76388888888888884</v>
      </c>
      <c r="DK16" s="15">
        <v>0.76736111111111116</v>
      </c>
      <c r="DM16" s="20"/>
    </row>
    <row r="17" spans="1:117" ht="15.75" x14ac:dyDescent="0.25">
      <c r="A17" s="14">
        <v>44144</v>
      </c>
      <c r="B17" s="12" t="s">
        <v>6</v>
      </c>
      <c r="C17" s="13">
        <v>5400</v>
      </c>
      <c r="D17" s="13">
        <v>5308</v>
      </c>
      <c r="E17" s="13">
        <v>5300</v>
      </c>
      <c r="F17" s="13">
        <v>5275.38</v>
      </c>
      <c r="G17" s="13">
        <v>5282.37</v>
      </c>
      <c r="H17" s="13">
        <v>5280.79</v>
      </c>
      <c r="I17" s="13">
        <v>5284.35</v>
      </c>
      <c r="J17" s="13">
        <v>5283.91</v>
      </c>
      <c r="K17" s="13">
        <v>5264.7</v>
      </c>
      <c r="L17" s="13">
        <v>5252.65</v>
      </c>
      <c r="M17" s="13">
        <v>5248.06</v>
      </c>
      <c r="N17" s="13">
        <v>5247.64</v>
      </c>
      <c r="O17" s="13">
        <v>5256.92</v>
      </c>
      <c r="P17" s="13">
        <v>5262.66</v>
      </c>
      <c r="Q17" s="13">
        <v>5268.6</v>
      </c>
      <c r="R17" s="13">
        <v>5276.29</v>
      </c>
      <c r="S17" s="13">
        <v>5269.46</v>
      </c>
      <c r="T17" s="13">
        <v>5279.63</v>
      </c>
      <c r="U17" s="13">
        <v>5270.36</v>
      </c>
      <c r="V17" s="13">
        <v>5276.29</v>
      </c>
      <c r="W17" s="13">
        <v>5289.66</v>
      </c>
      <c r="X17" s="13">
        <v>5290.11</v>
      </c>
      <c r="Y17" s="13">
        <v>5279.67</v>
      </c>
      <c r="Z17" s="13">
        <v>5279.06</v>
      </c>
      <c r="AA17" s="13">
        <v>5280.06</v>
      </c>
      <c r="AB17" s="13">
        <v>5279.47</v>
      </c>
      <c r="AC17" s="13">
        <v>5277.09</v>
      </c>
      <c r="AD17" s="13">
        <v>5273.32</v>
      </c>
      <c r="AE17" s="13">
        <v>5272.46</v>
      </c>
      <c r="AF17" s="13">
        <v>5277.13</v>
      </c>
      <c r="AG17" s="13">
        <v>5280.36</v>
      </c>
      <c r="AH17" s="13">
        <v>5279.91</v>
      </c>
      <c r="AI17" s="13">
        <v>5299.62</v>
      </c>
      <c r="AJ17" s="13">
        <v>5303.61</v>
      </c>
      <c r="AK17" s="13">
        <v>5314.55</v>
      </c>
      <c r="AL17" s="13">
        <v>5330.04</v>
      </c>
      <c r="AM17" s="13">
        <v>5326.93</v>
      </c>
      <c r="AN17" s="13">
        <v>5332.33</v>
      </c>
      <c r="AO17" s="13">
        <v>5326.06</v>
      </c>
      <c r="AP17" s="13">
        <v>5326.83</v>
      </c>
      <c r="AQ17" s="13">
        <v>5340.36</v>
      </c>
      <c r="AR17" s="13">
        <v>5334.04</v>
      </c>
      <c r="AS17" s="13">
        <v>5337.89</v>
      </c>
      <c r="AT17" s="13">
        <v>5355.57</v>
      </c>
      <c r="AU17" s="13">
        <v>5357.22</v>
      </c>
      <c r="AV17" s="13">
        <v>5367.37</v>
      </c>
      <c r="AW17" s="13">
        <v>5369.24</v>
      </c>
      <c r="AX17" s="13">
        <v>5368.42</v>
      </c>
      <c r="AY17" s="13">
        <v>5371.11</v>
      </c>
      <c r="AZ17" s="13">
        <v>5376.9</v>
      </c>
      <c r="BA17" s="13">
        <v>5375.96</v>
      </c>
      <c r="BB17" s="13">
        <v>5368.79</v>
      </c>
      <c r="BC17" s="13">
        <v>5364.3</v>
      </c>
      <c r="BD17" s="13">
        <v>5367.26</v>
      </c>
      <c r="BE17" s="13">
        <v>5364.97</v>
      </c>
      <c r="BF17" s="13">
        <v>5364.7</v>
      </c>
      <c r="BG17" s="13">
        <v>5386.81</v>
      </c>
      <c r="BH17" s="13">
        <v>5393.7</v>
      </c>
      <c r="BI17" s="13">
        <v>5393.77</v>
      </c>
      <c r="BJ17" s="13">
        <v>5390.14</v>
      </c>
      <c r="BK17" s="13">
        <v>5384.76</v>
      </c>
      <c r="BL17" s="13">
        <v>5380.81</v>
      </c>
      <c r="BM17" s="13">
        <v>5383.15</v>
      </c>
      <c r="BN17" s="13">
        <v>5389.42</v>
      </c>
      <c r="BO17" s="13">
        <v>5384.77</v>
      </c>
      <c r="BP17" s="13">
        <v>5379.15</v>
      </c>
      <c r="BQ17" s="13">
        <v>5376.15</v>
      </c>
      <c r="BR17" s="13">
        <v>5385.15</v>
      </c>
      <c r="BS17" s="13">
        <v>5392.76</v>
      </c>
      <c r="BT17" s="13">
        <v>5406.8</v>
      </c>
      <c r="BU17" s="13">
        <v>5401.14</v>
      </c>
      <c r="BV17" s="13">
        <v>5400.81</v>
      </c>
      <c r="BW17" s="13">
        <v>5402.16</v>
      </c>
      <c r="BX17" s="13">
        <v>5410.15</v>
      </c>
      <c r="BY17" s="13">
        <v>5412.49</v>
      </c>
      <c r="BZ17" s="13">
        <v>5408.06</v>
      </c>
      <c r="CA17" s="13">
        <v>5408.06</v>
      </c>
      <c r="CB17" s="13">
        <v>5408.06</v>
      </c>
      <c r="CC17" s="13">
        <v>5409.67</v>
      </c>
      <c r="CD17" s="13">
        <v>5422.91</v>
      </c>
      <c r="CE17" s="13">
        <v>5428.62</v>
      </c>
      <c r="CF17" s="13">
        <v>5437.81</v>
      </c>
      <c r="CG17" s="13">
        <v>5436.51</v>
      </c>
      <c r="CH17" s="13">
        <v>5431.58</v>
      </c>
      <c r="CI17" s="13">
        <v>5435.02</v>
      </c>
      <c r="CJ17" s="13">
        <v>5428.62</v>
      </c>
      <c r="CK17" s="13">
        <v>5428.14</v>
      </c>
      <c r="CL17" s="13">
        <v>5429.04</v>
      </c>
      <c r="CM17" s="13">
        <v>5428.07</v>
      </c>
      <c r="CN17" s="13">
        <v>5434.9</v>
      </c>
      <c r="CO17" s="13">
        <v>5430.58</v>
      </c>
      <c r="CP17" s="13">
        <v>5427.59</v>
      </c>
      <c r="CQ17" s="13">
        <v>5418.13</v>
      </c>
      <c r="CR17" s="13">
        <v>5443.29</v>
      </c>
      <c r="CS17" s="13">
        <v>5435.38</v>
      </c>
      <c r="CT17" s="13">
        <v>5406.85</v>
      </c>
      <c r="CU17" s="13">
        <v>5416.88</v>
      </c>
      <c r="CV17" s="13">
        <v>5417.27</v>
      </c>
      <c r="CW17" s="13">
        <v>5408.76</v>
      </c>
      <c r="CX17" s="13">
        <v>5413.89</v>
      </c>
      <c r="CY17" s="13">
        <v>5428.77</v>
      </c>
      <c r="CZ17" s="13">
        <v>5411.55</v>
      </c>
      <c r="DA17" s="13">
        <v>5409.29</v>
      </c>
      <c r="DB17" s="13">
        <v>5388.96</v>
      </c>
      <c r="DC17" s="13">
        <v>5435</v>
      </c>
      <c r="DD17" s="13">
        <v>5425</v>
      </c>
      <c r="DE17" s="13">
        <v>5447.88</v>
      </c>
      <c r="DF17" s="13">
        <v>5423.25</v>
      </c>
      <c r="DG17" s="13">
        <v>5404.8</v>
      </c>
      <c r="DH17" s="13">
        <v>5427.42</v>
      </c>
      <c r="DI17" s="13">
        <v>5407.72</v>
      </c>
      <c r="DJ17" s="13">
        <v>5416.45</v>
      </c>
      <c r="DK17" s="13">
        <v>5432.5</v>
      </c>
      <c r="DM17" s="20"/>
    </row>
    <row r="18" spans="1:117" ht="15.75" x14ac:dyDescent="0.25">
      <c r="A18" s="14" t="s">
        <v>12</v>
      </c>
      <c r="B18" s="12" t="s">
        <v>10</v>
      </c>
      <c r="C18" s="13">
        <v>5303</v>
      </c>
      <c r="D18" s="13">
        <v>5299</v>
      </c>
      <c r="E18" s="13">
        <v>5269.3</v>
      </c>
      <c r="F18" s="13">
        <v>5252.56</v>
      </c>
      <c r="G18" s="13">
        <v>5278.83</v>
      </c>
      <c r="H18" s="13">
        <v>5275.57</v>
      </c>
      <c r="I18" s="13">
        <v>5278.64</v>
      </c>
      <c r="J18" s="13">
        <v>5266.11</v>
      </c>
      <c r="K18" s="13">
        <v>5252.06</v>
      </c>
      <c r="L18" s="13">
        <v>5239.05</v>
      </c>
      <c r="M18" s="13">
        <v>5245.77</v>
      </c>
      <c r="N18" s="13">
        <v>5245.69</v>
      </c>
      <c r="O18" s="13">
        <v>5256.31</v>
      </c>
      <c r="P18" s="13">
        <v>5259.52</v>
      </c>
      <c r="Q18" s="13">
        <v>5268.6</v>
      </c>
      <c r="R18" s="13">
        <v>5255.62</v>
      </c>
      <c r="S18" s="13">
        <v>5269.46</v>
      </c>
      <c r="T18" s="13">
        <v>5268.91</v>
      </c>
      <c r="U18" s="13">
        <v>5261.34</v>
      </c>
      <c r="V18" s="13">
        <v>5276.02</v>
      </c>
      <c r="W18" s="13">
        <v>5289.66</v>
      </c>
      <c r="X18" s="13">
        <v>5279.2</v>
      </c>
      <c r="Y18" s="13">
        <v>5275.02</v>
      </c>
      <c r="Z18" s="13">
        <v>5276.66</v>
      </c>
      <c r="AA18" s="13">
        <v>5278.74</v>
      </c>
      <c r="AB18" s="13">
        <v>5271.06</v>
      </c>
      <c r="AC18" s="13">
        <v>5273.32</v>
      </c>
      <c r="AD18" s="13">
        <v>5262.69</v>
      </c>
      <c r="AE18" s="13">
        <v>5271.06</v>
      </c>
      <c r="AF18" s="13">
        <v>5273.52</v>
      </c>
      <c r="AG18" s="13">
        <v>5280.36</v>
      </c>
      <c r="AH18" s="13">
        <v>5277.66</v>
      </c>
      <c r="AI18" s="13">
        <v>5297.6</v>
      </c>
      <c r="AJ18" s="13">
        <v>5303.61</v>
      </c>
      <c r="AK18" s="13">
        <v>5311.91</v>
      </c>
      <c r="AL18" s="13">
        <v>5327.36</v>
      </c>
      <c r="AM18" s="13">
        <v>5314.79</v>
      </c>
      <c r="AN18" s="13">
        <v>5326.36</v>
      </c>
      <c r="AO18" s="13">
        <v>5323.11</v>
      </c>
      <c r="AP18" s="13">
        <v>5320.64</v>
      </c>
      <c r="AQ18" s="13">
        <v>5334.04</v>
      </c>
      <c r="AR18" s="13">
        <v>5333.67</v>
      </c>
      <c r="AS18" s="13">
        <v>5331.67</v>
      </c>
      <c r="AT18" s="13">
        <v>5352.02</v>
      </c>
      <c r="AU18" s="13">
        <v>5357.22</v>
      </c>
      <c r="AV18" s="13">
        <v>5367.23</v>
      </c>
      <c r="AW18" s="13">
        <v>5365.31</v>
      </c>
      <c r="AX18" s="13">
        <v>5359.08</v>
      </c>
      <c r="AY18" s="13">
        <v>5367.51</v>
      </c>
      <c r="AZ18" s="13">
        <v>5376.54</v>
      </c>
      <c r="BA18" s="13">
        <v>5364.69</v>
      </c>
      <c r="BB18" s="13">
        <v>5351.43</v>
      </c>
      <c r="BC18" s="13">
        <v>5356.19</v>
      </c>
      <c r="BD18" s="13">
        <v>5357.61</v>
      </c>
      <c r="BE18" s="13">
        <v>5360.91</v>
      </c>
      <c r="BF18" s="13">
        <v>5359.62</v>
      </c>
      <c r="BG18" s="13">
        <v>5384.15</v>
      </c>
      <c r="BH18" s="13">
        <v>5390.13</v>
      </c>
      <c r="BI18" s="13">
        <v>5385.95</v>
      </c>
      <c r="BJ18" s="13">
        <v>5384.18</v>
      </c>
      <c r="BK18" s="13">
        <v>5374.15</v>
      </c>
      <c r="BL18" s="13">
        <v>5374.49</v>
      </c>
      <c r="BM18" s="13">
        <v>5379.52</v>
      </c>
      <c r="BN18" s="13">
        <v>5383.15</v>
      </c>
      <c r="BO18" s="13">
        <v>5376.49</v>
      </c>
      <c r="BP18" s="13">
        <v>5373</v>
      </c>
      <c r="BQ18" s="13">
        <v>5371.06</v>
      </c>
      <c r="BR18" s="13">
        <v>5381.8</v>
      </c>
      <c r="BS18" s="13">
        <v>5392.76</v>
      </c>
      <c r="BT18" s="13">
        <v>5400.8</v>
      </c>
      <c r="BU18" s="13">
        <v>5397.15</v>
      </c>
      <c r="BV18" s="13">
        <v>5400.2</v>
      </c>
      <c r="BW18" s="13">
        <v>5400.73</v>
      </c>
      <c r="BX18" s="13">
        <v>5406.44</v>
      </c>
      <c r="BY18" s="13">
        <v>5408.06</v>
      </c>
      <c r="BZ18" s="13">
        <v>5408.06</v>
      </c>
      <c r="CA18" s="13">
        <v>5408.06</v>
      </c>
      <c r="CB18" s="13">
        <v>5408.06</v>
      </c>
      <c r="CC18" s="13">
        <v>5408.65</v>
      </c>
      <c r="CD18" s="13">
        <v>5422.91</v>
      </c>
      <c r="CE18" s="13">
        <v>5427.07</v>
      </c>
      <c r="CF18" s="13">
        <v>5437.81</v>
      </c>
      <c r="CG18" s="13">
        <v>5430.67</v>
      </c>
      <c r="CH18" s="13">
        <v>5421.04</v>
      </c>
      <c r="CI18" s="13">
        <v>5427.93</v>
      </c>
      <c r="CJ18" s="13">
        <v>5425.16</v>
      </c>
      <c r="CK18" s="13">
        <v>5428.04</v>
      </c>
      <c r="CL18" s="13">
        <v>5421.71</v>
      </c>
      <c r="CM18" s="13">
        <v>5427.87</v>
      </c>
      <c r="CN18" s="13">
        <v>5426.78</v>
      </c>
      <c r="CO18" s="13">
        <v>5424.59</v>
      </c>
      <c r="CP18" s="13">
        <v>5418.3</v>
      </c>
      <c r="CQ18" s="13">
        <v>5406.03</v>
      </c>
      <c r="CR18" s="13">
        <v>5403.21</v>
      </c>
      <c r="CS18" s="13">
        <v>5406.2</v>
      </c>
      <c r="CT18" s="13">
        <v>5402.31</v>
      </c>
      <c r="CU18" s="13">
        <v>5394.86</v>
      </c>
      <c r="CV18" s="13">
        <v>5401.75</v>
      </c>
      <c r="CW18" s="13">
        <v>5402.42</v>
      </c>
      <c r="CX18" s="13">
        <v>5410.14</v>
      </c>
      <c r="CY18" s="13">
        <v>5406.93</v>
      </c>
      <c r="CZ18" s="13">
        <v>5399.52</v>
      </c>
      <c r="DA18" s="13">
        <v>5387.76</v>
      </c>
      <c r="DB18" s="13">
        <v>5387</v>
      </c>
      <c r="DC18" s="13">
        <v>5394.68</v>
      </c>
      <c r="DD18" s="13">
        <v>5401.33</v>
      </c>
      <c r="DE18" s="13">
        <v>5417.17</v>
      </c>
      <c r="DF18" s="13">
        <v>5397.69</v>
      </c>
      <c r="DG18" s="13">
        <v>5398.55</v>
      </c>
      <c r="DH18" s="13">
        <v>5403.21</v>
      </c>
      <c r="DI18" s="13">
        <v>5398.43</v>
      </c>
      <c r="DJ18" s="13">
        <v>5395.24</v>
      </c>
      <c r="DK18" s="13">
        <v>5401.68</v>
      </c>
      <c r="DM18" s="20"/>
    </row>
    <row r="19" spans="1:117" ht="15.75" x14ac:dyDescent="0.25">
      <c r="A19" s="14" t="s">
        <v>12</v>
      </c>
      <c r="B19" s="12" t="s">
        <v>9</v>
      </c>
      <c r="C19" s="13">
        <v>5293.66</v>
      </c>
      <c r="D19" s="13">
        <v>5290.13</v>
      </c>
      <c r="E19" s="13">
        <v>5260.2</v>
      </c>
      <c r="F19" s="13">
        <v>5243.46</v>
      </c>
      <c r="G19" s="13">
        <v>5270</v>
      </c>
      <c r="H19" s="13">
        <v>5267.82</v>
      </c>
      <c r="I19" s="13">
        <v>5264</v>
      </c>
      <c r="J19" s="13">
        <v>5257.52</v>
      </c>
      <c r="K19" s="13">
        <v>5243.81</v>
      </c>
      <c r="L19" s="13">
        <v>5230.87</v>
      </c>
      <c r="M19" s="13">
        <v>5237.1499999999996</v>
      </c>
      <c r="N19" s="13">
        <v>5236.93</v>
      </c>
      <c r="O19" s="13">
        <v>5248.99</v>
      </c>
      <c r="P19" s="13">
        <v>5251.45</v>
      </c>
      <c r="Q19" s="13">
        <v>5260.62</v>
      </c>
      <c r="R19" s="13">
        <v>5252.64</v>
      </c>
      <c r="S19" s="13">
        <v>5258.17</v>
      </c>
      <c r="T19" s="13">
        <v>5257.75</v>
      </c>
      <c r="U19" s="13">
        <v>5247.84</v>
      </c>
      <c r="V19" s="13">
        <v>5265.29</v>
      </c>
      <c r="W19" s="13">
        <v>5277.83</v>
      </c>
      <c r="X19" s="13">
        <v>5269.15</v>
      </c>
      <c r="Y19" s="13">
        <v>5264.26</v>
      </c>
      <c r="Z19" s="13">
        <v>5265.71</v>
      </c>
      <c r="AA19" s="13">
        <v>5267.72</v>
      </c>
      <c r="AB19" s="13">
        <v>5259.63</v>
      </c>
      <c r="AC19" s="13">
        <v>5262.38</v>
      </c>
      <c r="AD19" s="13">
        <v>5252.7</v>
      </c>
      <c r="AE19" s="13">
        <v>5260.42</v>
      </c>
      <c r="AF19" s="13">
        <v>5261.77</v>
      </c>
      <c r="AG19" s="13">
        <v>5265.54</v>
      </c>
      <c r="AH19" s="13">
        <v>5262.36</v>
      </c>
      <c r="AI19" s="13">
        <v>5285.35</v>
      </c>
      <c r="AJ19" s="13">
        <v>5292.33</v>
      </c>
      <c r="AK19" s="13">
        <v>5300.61</v>
      </c>
      <c r="AL19" s="13">
        <v>5315.38</v>
      </c>
      <c r="AM19" s="13">
        <v>5302.93</v>
      </c>
      <c r="AN19" s="13">
        <v>5314.42</v>
      </c>
      <c r="AO19" s="13">
        <v>5310.74</v>
      </c>
      <c r="AP19" s="13">
        <v>5307.77</v>
      </c>
      <c r="AQ19" s="13">
        <v>5310.47</v>
      </c>
      <c r="AR19" s="13">
        <v>5320.96</v>
      </c>
      <c r="AS19" s="13">
        <v>5318.88</v>
      </c>
      <c r="AT19" s="13">
        <v>5330.01</v>
      </c>
      <c r="AU19" s="13">
        <v>5342.91</v>
      </c>
      <c r="AV19" s="13">
        <v>5353.14</v>
      </c>
      <c r="AW19" s="13">
        <v>5351.07</v>
      </c>
      <c r="AX19" s="13">
        <v>5342.46</v>
      </c>
      <c r="AY19" s="13">
        <v>5337.15</v>
      </c>
      <c r="AZ19" s="13">
        <v>5361.33</v>
      </c>
      <c r="BA19" s="13">
        <v>5350.95</v>
      </c>
      <c r="BB19" s="13">
        <v>5333.57</v>
      </c>
      <c r="BC19" s="13">
        <v>5340.34</v>
      </c>
      <c r="BD19" s="13">
        <v>5277.38</v>
      </c>
      <c r="BE19" s="13">
        <v>5346.4</v>
      </c>
      <c r="BF19" s="13">
        <v>5342.73</v>
      </c>
      <c r="BG19" s="13">
        <v>5370.44</v>
      </c>
      <c r="BH19" s="13">
        <v>5375.31</v>
      </c>
      <c r="BI19" s="13">
        <v>5367.71</v>
      </c>
      <c r="BJ19" s="13">
        <v>5360.29</v>
      </c>
      <c r="BK19" s="13">
        <v>5358.53</v>
      </c>
      <c r="BL19" s="13">
        <v>5356.77</v>
      </c>
      <c r="BM19" s="13">
        <v>5363.6</v>
      </c>
      <c r="BN19" s="13">
        <v>5369.09</v>
      </c>
      <c r="BO19" s="13">
        <v>5360.62</v>
      </c>
      <c r="BP19" s="13">
        <v>5358.7</v>
      </c>
      <c r="BQ19" s="13">
        <v>5357.06</v>
      </c>
      <c r="BR19" s="13">
        <v>5367.25</v>
      </c>
      <c r="BS19" s="13">
        <v>5378.2</v>
      </c>
      <c r="BT19" s="13">
        <v>5385.67</v>
      </c>
      <c r="BU19" s="13">
        <v>5381.83</v>
      </c>
      <c r="BV19" s="13">
        <v>5374.76</v>
      </c>
      <c r="BW19" s="13">
        <v>5369.42</v>
      </c>
      <c r="BX19" s="13">
        <v>5390.48</v>
      </c>
      <c r="BY19" s="13">
        <v>5388.13</v>
      </c>
      <c r="BZ19" s="13">
        <v>5388.13</v>
      </c>
      <c r="CA19" s="13">
        <v>5388.13</v>
      </c>
      <c r="CB19" s="13">
        <v>5388.13</v>
      </c>
      <c r="CC19" s="13">
        <v>5393.03</v>
      </c>
      <c r="CD19" s="13">
        <v>5409.64</v>
      </c>
      <c r="CE19" s="13">
        <v>5411.7</v>
      </c>
      <c r="CF19" s="13">
        <v>5420.72</v>
      </c>
      <c r="CG19" s="13">
        <v>5414.81</v>
      </c>
      <c r="CH19" s="13">
        <v>5398.39</v>
      </c>
      <c r="CI19" s="13">
        <v>5411.88</v>
      </c>
      <c r="CJ19" s="13">
        <v>5409.63</v>
      </c>
      <c r="CK19" s="13">
        <v>5412.42</v>
      </c>
      <c r="CL19" s="13">
        <v>5406.1</v>
      </c>
      <c r="CM19" s="13">
        <v>5409.98</v>
      </c>
      <c r="CN19" s="13">
        <v>5397.6</v>
      </c>
      <c r="CO19" s="13">
        <v>5399.97</v>
      </c>
      <c r="CP19" s="13">
        <v>5327.98</v>
      </c>
      <c r="CQ19" s="13">
        <v>5387.59</v>
      </c>
      <c r="CR19" s="13">
        <v>5383.48</v>
      </c>
      <c r="CS19" s="13">
        <v>5371.59</v>
      </c>
      <c r="CT19" s="13">
        <v>5376.85</v>
      </c>
      <c r="CU19" s="13">
        <v>5369.82</v>
      </c>
      <c r="CV19" s="13">
        <v>5382.31</v>
      </c>
      <c r="CW19" s="13">
        <v>5382.31</v>
      </c>
      <c r="CX19" s="13">
        <v>5387.03</v>
      </c>
      <c r="CY19" s="13">
        <v>5388.86</v>
      </c>
      <c r="CZ19" s="13">
        <v>5377.07</v>
      </c>
      <c r="DA19" s="13">
        <v>5369.04</v>
      </c>
      <c r="DB19" s="13">
        <v>5362.93</v>
      </c>
      <c r="DC19" s="13">
        <v>5362.4</v>
      </c>
      <c r="DD19" s="13">
        <v>5373.96</v>
      </c>
      <c r="DE19" s="13">
        <v>5379.3</v>
      </c>
      <c r="DF19" s="13">
        <v>5368.73</v>
      </c>
      <c r="DG19" s="13">
        <v>5380.11</v>
      </c>
      <c r="DH19" s="13">
        <v>5382.17</v>
      </c>
      <c r="DI19" s="13">
        <v>5377.55</v>
      </c>
      <c r="DJ19" s="13">
        <v>5376.54</v>
      </c>
      <c r="DK19" s="13">
        <v>5378.46</v>
      </c>
      <c r="DM19" s="20"/>
    </row>
    <row r="20" spans="1:117" ht="15.75" x14ac:dyDescent="0.25">
      <c r="A20" s="14" t="s">
        <v>12</v>
      </c>
      <c r="B20" s="12" t="s">
        <v>7</v>
      </c>
      <c r="C20" s="13">
        <v>5259</v>
      </c>
      <c r="D20" s="13">
        <v>5281.45</v>
      </c>
      <c r="E20" s="13">
        <v>5260.2</v>
      </c>
      <c r="F20" s="13">
        <v>5240</v>
      </c>
      <c r="G20" s="13">
        <v>5245</v>
      </c>
      <c r="H20" s="13">
        <v>5264.63</v>
      </c>
      <c r="I20" s="13">
        <v>5264</v>
      </c>
      <c r="J20" s="13">
        <v>5249.33</v>
      </c>
      <c r="K20" s="13">
        <v>5238.1499999999996</v>
      </c>
      <c r="L20" s="13">
        <v>5229.7700000000004</v>
      </c>
      <c r="M20" s="13">
        <v>5230.18</v>
      </c>
      <c r="N20" s="13">
        <v>5233.17</v>
      </c>
      <c r="O20" s="13">
        <v>5236.13</v>
      </c>
      <c r="P20" s="13">
        <v>5240.78</v>
      </c>
      <c r="Q20" s="13">
        <v>5249.42</v>
      </c>
      <c r="R20" s="13">
        <v>5248.18</v>
      </c>
      <c r="S20" s="13">
        <v>5248.91</v>
      </c>
      <c r="T20" s="13">
        <v>5232.6499999999996</v>
      </c>
      <c r="U20" s="13">
        <v>5233.7700000000004</v>
      </c>
      <c r="V20" s="13">
        <v>5235.74</v>
      </c>
      <c r="W20" s="13">
        <v>5252.32</v>
      </c>
      <c r="X20" s="13">
        <v>5257.34</v>
      </c>
      <c r="Y20" s="13">
        <v>5243.28</v>
      </c>
      <c r="Z20" s="13">
        <v>5243.52</v>
      </c>
      <c r="AA20" s="13">
        <v>5217</v>
      </c>
      <c r="AB20" s="13">
        <v>5238.7</v>
      </c>
      <c r="AC20" s="13">
        <v>5237.76</v>
      </c>
      <c r="AD20" s="13">
        <v>5238.0600000000004</v>
      </c>
      <c r="AE20" s="13">
        <v>5249.36</v>
      </c>
      <c r="AF20" s="13">
        <v>5233.74</v>
      </c>
      <c r="AG20" s="13">
        <v>5249.61</v>
      </c>
      <c r="AH20" s="13">
        <v>5208.76</v>
      </c>
      <c r="AI20" s="13">
        <v>5209.88</v>
      </c>
      <c r="AJ20" s="13">
        <v>5273.16</v>
      </c>
      <c r="AK20" s="13">
        <v>5279.54</v>
      </c>
      <c r="AL20" s="13">
        <v>5272.62</v>
      </c>
      <c r="AM20" s="13">
        <v>5205</v>
      </c>
      <c r="AN20" s="13">
        <v>5280</v>
      </c>
      <c r="AO20" s="13">
        <v>5210.53</v>
      </c>
      <c r="AP20" s="13">
        <v>5291.84</v>
      </c>
      <c r="AQ20" s="13">
        <v>5303.37</v>
      </c>
      <c r="AR20" s="13">
        <v>5303.65</v>
      </c>
      <c r="AS20" s="13">
        <v>5218.53</v>
      </c>
      <c r="AT20" s="13">
        <v>5308.67</v>
      </c>
      <c r="AU20" s="13">
        <v>5223.24</v>
      </c>
      <c r="AV20" s="13">
        <v>5254.04</v>
      </c>
      <c r="AW20" s="13">
        <v>5321.21</v>
      </c>
      <c r="AX20" s="13">
        <v>5263.65</v>
      </c>
      <c r="AY20" s="13">
        <v>5322.65</v>
      </c>
      <c r="AZ20" s="13">
        <v>5301.6</v>
      </c>
      <c r="BA20" s="13">
        <v>5226.78</v>
      </c>
      <c r="BB20" s="13">
        <v>5223.1400000000003</v>
      </c>
      <c r="BC20" s="13">
        <v>5296.26</v>
      </c>
      <c r="BD20" s="13">
        <v>5277.38</v>
      </c>
      <c r="BE20" s="13">
        <v>5328.93</v>
      </c>
      <c r="BF20" s="13">
        <v>5315.28</v>
      </c>
      <c r="BG20" s="13">
        <v>5332.24</v>
      </c>
      <c r="BH20" s="13">
        <v>5326.45</v>
      </c>
      <c r="BI20" s="13">
        <v>5231.33</v>
      </c>
      <c r="BJ20" s="13">
        <v>5345.45</v>
      </c>
      <c r="BK20" s="13">
        <v>5251.79</v>
      </c>
      <c r="BL20" s="13">
        <v>5308.21</v>
      </c>
      <c r="BM20" s="13">
        <v>5253.38</v>
      </c>
      <c r="BN20" s="13">
        <v>5330.91</v>
      </c>
      <c r="BO20" s="13">
        <v>5313.68</v>
      </c>
      <c r="BP20" s="13">
        <v>5300.64</v>
      </c>
      <c r="BQ20" s="13">
        <v>5345.77</v>
      </c>
      <c r="BR20" s="13">
        <v>5338.72</v>
      </c>
      <c r="BS20" s="13">
        <v>5365.38</v>
      </c>
      <c r="BT20" s="13">
        <v>5329.54</v>
      </c>
      <c r="BU20" s="13">
        <v>5357.16</v>
      </c>
      <c r="BV20" s="13">
        <v>5371.32</v>
      </c>
      <c r="BW20" s="13">
        <v>5368.15</v>
      </c>
      <c r="BX20" s="13">
        <v>5341.38</v>
      </c>
      <c r="BY20" s="13">
        <v>5375.9</v>
      </c>
      <c r="BZ20" s="13">
        <v>5388.13</v>
      </c>
      <c r="CA20" s="13">
        <v>5388.13</v>
      </c>
      <c r="CB20" s="13">
        <v>5388.13</v>
      </c>
      <c r="CC20" s="13">
        <v>5349.16</v>
      </c>
      <c r="CD20" s="13">
        <v>5385.69</v>
      </c>
      <c r="CE20" s="13">
        <v>5384.57</v>
      </c>
      <c r="CF20" s="13">
        <v>5403.08</v>
      </c>
      <c r="CG20" s="13">
        <v>5351.1</v>
      </c>
      <c r="CH20" s="13">
        <v>5343.27</v>
      </c>
      <c r="CI20" s="13">
        <v>5237.1000000000004</v>
      </c>
      <c r="CJ20" s="13">
        <v>5390.7</v>
      </c>
      <c r="CK20" s="13">
        <v>5394.96</v>
      </c>
      <c r="CL20" s="13">
        <v>5388.82</v>
      </c>
      <c r="CM20" s="13">
        <v>5391.58</v>
      </c>
      <c r="CN20" s="13">
        <v>5390.03</v>
      </c>
      <c r="CO20" s="13">
        <v>5391.88</v>
      </c>
      <c r="CP20" s="13">
        <v>5327.98</v>
      </c>
      <c r="CQ20" s="13">
        <v>5332.07</v>
      </c>
      <c r="CR20" s="13">
        <v>5242.22</v>
      </c>
      <c r="CS20" s="13">
        <v>5356.01</v>
      </c>
      <c r="CT20" s="13">
        <v>5342.54</v>
      </c>
      <c r="CU20" s="13">
        <v>5337.6</v>
      </c>
      <c r="CV20" s="13">
        <v>5369.91</v>
      </c>
      <c r="CW20" s="13">
        <v>5364.83</v>
      </c>
      <c r="CX20" s="13">
        <v>5372.52</v>
      </c>
      <c r="CY20" s="13">
        <v>5360.29</v>
      </c>
      <c r="CZ20" s="13">
        <v>5354.95</v>
      </c>
      <c r="DA20" s="13">
        <v>5243.13</v>
      </c>
      <c r="DB20" s="13">
        <v>5358</v>
      </c>
      <c r="DC20" s="13">
        <v>5353.51</v>
      </c>
      <c r="DD20" s="13">
        <v>5245.77</v>
      </c>
      <c r="DE20" s="13">
        <v>5216.67</v>
      </c>
      <c r="DF20" s="13">
        <v>5216.67</v>
      </c>
      <c r="DG20" s="13">
        <v>5217.3900000000003</v>
      </c>
      <c r="DH20" s="13">
        <v>5353.78</v>
      </c>
      <c r="DI20" s="13">
        <v>5250.24</v>
      </c>
      <c r="DJ20" s="13">
        <v>5335.83</v>
      </c>
      <c r="DK20" s="13">
        <v>5363.24</v>
      </c>
      <c r="DM20" s="20"/>
    </row>
    <row r="21" spans="1:117" ht="15.75" x14ac:dyDescent="0.25">
      <c r="A21" s="11" t="s">
        <v>5</v>
      </c>
      <c r="B21" s="11" t="s">
        <v>11</v>
      </c>
      <c r="C21" s="15">
        <v>0.37847222222222227</v>
      </c>
      <c r="D21" s="15">
        <v>0.38194444444444442</v>
      </c>
      <c r="E21" s="15">
        <v>0.38541666666666669</v>
      </c>
      <c r="F21" s="15">
        <v>0.3888888888888889</v>
      </c>
      <c r="G21" s="15">
        <v>0.3923611111111111</v>
      </c>
      <c r="H21" s="15">
        <v>0.39583333333333331</v>
      </c>
      <c r="I21" s="15">
        <v>0.39930555555555558</v>
      </c>
      <c r="J21" s="15">
        <v>0.40277777777777773</v>
      </c>
      <c r="K21" s="15">
        <v>0.40625</v>
      </c>
      <c r="L21" s="15">
        <v>0.40972222222222227</v>
      </c>
      <c r="M21" s="15">
        <v>0.41319444444444442</v>
      </c>
      <c r="N21" s="15">
        <v>0.41666666666666669</v>
      </c>
      <c r="O21" s="15">
        <v>0.4201388888888889</v>
      </c>
      <c r="P21" s="15">
        <v>0.4236111111111111</v>
      </c>
      <c r="Q21" s="15">
        <v>0.42708333333333331</v>
      </c>
      <c r="R21" s="15">
        <v>0.43055555555555558</v>
      </c>
      <c r="S21" s="15">
        <v>0.43402777777777773</v>
      </c>
      <c r="T21" s="15">
        <v>0.4375</v>
      </c>
      <c r="U21" s="15">
        <v>0.44097222222222227</v>
      </c>
      <c r="V21" s="15">
        <v>0.44444444444444442</v>
      </c>
      <c r="W21" s="15">
        <v>0.44791666666666669</v>
      </c>
      <c r="X21" s="15">
        <v>0.4513888888888889</v>
      </c>
      <c r="Y21" s="15">
        <v>0.4548611111111111</v>
      </c>
      <c r="Z21" s="15">
        <v>0.45833333333333331</v>
      </c>
      <c r="AA21" s="15">
        <v>0.46180555555555558</v>
      </c>
      <c r="AB21" s="15">
        <v>0.46527777777777773</v>
      </c>
      <c r="AC21" s="15">
        <v>0.46875</v>
      </c>
      <c r="AD21" s="15">
        <v>0.47222222222222227</v>
      </c>
      <c r="AE21" s="15">
        <v>0.47569444444444442</v>
      </c>
      <c r="AF21" s="15">
        <v>0.47916666666666669</v>
      </c>
      <c r="AG21" s="15">
        <v>0.4826388888888889</v>
      </c>
      <c r="AH21" s="15">
        <v>0.4861111111111111</v>
      </c>
      <c r="AI21" s="15">
        <v>0.48958333333333331</v>
      </c>
      <c r="AJ21" s="15">
        <v>0.49305555555555558</v>
      </c>
      <c r="AK21" s="15">
        <v>0.49652777777777773</v>
      </c>
      <c r="AL21" s="15">
        <v>0.5</v>
      </c>
      <c r="AM21" s="15">
        <v>0.50347222222222221</v>
      </c>
      <c r="AN21" s="15">
        <v>0.50694444444444442</v>
      </c>
      <c r="AO21" s="15">
        <v>0.51041666666666663</v>
      </c>
      <c r="AP21" s="15">
        <v>0.51388888888888895</v>
      </c>
      <c r="AQ21" s="15">
        <v>0.51736111111111105</v>
      </c>
      <c r="AR21" s="15">
        <v>0.52083333333333337</v>
      </c>
      <c r="AS21" s="15">
        <v>0.52430555555555558</v>
      </c>
      <c r="AT21" s="15">
        <v>0.52777777777777779</v>
      </c>
      <c r="AU21" s="15">
        <v>0.53125</v>
      </c>
      <c r="AV21" s="15">
        <v>0.53472222222222221</v>
      </c>
      <c r="AW21" s="15">
        <v>0.53819444444444442</v>
      </c>
      <c r="AX21" s="15">
        <v>0.54166666666666663</v>
      </c>
      <c r="AY21" s="15">
        <v>0.54513888888888895</v>
      </c>
      <c r="AZ21" s="15">
        <v>0.54861111111111105</v>
      </c>
      <c r="BA21" s="15">
        <v>0.55208333333333337</v>
      </c>
      <c r="BB21" s="15">
        <v>0.55555555555555558</v>
      </c>
      <c r="BC21" s="15">
        <v>0.55902777777777779</v>
      </c>
      <c r="BD21" s="15">
        <v>0.5625</v>
      </c>
      <c r="BE21" s="15">
        <v>0.56597222222222221</v>
      </c>
      <c r="BF21" s="15">
        <v>0.56944444444444442</v>
      </c>
      <c r="BG21" s="15">
        <v>0.57291666666666663</v>
      </c>
      <c r="BH21" s="15">
        <v>0.57638888888888895</v>
      </c>
      <c r="BI21" s="15">
        <v>0.57986111111111105</v>
      </c>
      <c r="BJ21" s="15">
        <v>0.58333333333333337</v>
      </c>
      <c r="BK21" s="15">
        <v>0.58680555555555558</v>
      </c>
      <c r="BL21" s="15">
        <v>0.59027777777777779</v>
      </c>
      <c r="BM21" s="15">
        <v>0.59375</v>
      </c>
      <c r="BN21" s="15">
        <v>0.59722222222222221</v>
      </c>
      <c r="BO21" s="15">
        <v>0.60069444444444442</v>
      </c>
      <c r="BP21" s="15">
        <v>0.60416666666666663</v>
      </c>
      <c r="BQ21" s="15">
        <v>0.60763888888888895</v>
      </c>
      <c r="BR21" s="15">
        <v>0.61111111111111105</v>
      </c>
      <c r="BS21" s="15">
        <v>0.61458333333333337</v>
      </c>
      <c r="BT21" s="15">
        <v>0.61805555555555558</v>
      </c>
      <c r="BU21" s="15">
        <v>0.62152777777777779</v>
      </c>
      <c r="BV21" s="15">
        <v>0.625</v>
      </c>
      <c r="BW21" s="15">
        <v>0.62847222222222221</v>
      </c>
      <c r="BX21" s="15">
        <v>0.63194444444444442</v>
      </c>
      <c r="BY21" s="15">
        <v>0.63541666666666663</v>
      </c>
      <c r="BZ21" s="15">
        <v>0.63888888888888895</v>
      </c>
      <c r="CA21" s="15">
        <v>0.64236111111111105</v>
      </c>
      <c r="CB21" s="15">
        <v>0.64583333333333337</v>
      </c>
      <c r="CC21" s="15">
        <v>0.64930555555555558</v>
      </c>
      <c r="CD21" s="15">
        <v>0.65277777777777779</v>
      </c>
      <c r="CE21" s="15">
        <v>0.65625</v>
      </c>
      <c r="CF21" s="15">
        <v>0.65972222222222221</v>
      </c>
      <c r="CG21" s="15">
        <v>0.66319444444444442</v>
      </c>
      <c r="CH21" s="15">
        <v>0.66666666666666663</v>
      </c>
      <c r="CI21" s="15">
        <v>0.67013888888888884</v>
      </c>
      <c r="CJ21" s="15">
        <v>0.67361111111111116</v>
      </c>
      <c r="CK21" s="15">
        <v>0.67708333333333337</v>
      </c>
      <c r="CL21" s="15">
        <v>0.68055555555555547</v>
      </c>
      <c r="CM21" s="15">
        <v>0.68402777777777779</v>
      </c>
      <c r="CN21" s="15">
        <v>0.6875</v>
      </c>
      <c r="CO21" s="15">
        <v>0.69097222222222221</v>
      </c>
      <c r="CP21" s="15">
        <v>0.69444444444444453</v>
      </c>
      <c r="CQ21" s="15">
        <v>0.69791666666666663</v>
      </c>
      <c r="CR21" s="15">
        <v>0.70138888888888884</v>
      </c>
      <c r="CS21" s="15">
        <v>0.70486111111111116</v>
      </c>
      <c r="CT21" s="15">
        <v>0.70833333333333337</v>
      </c>
      <c r="CU21" s="15">
        <v>0.71180555555555547</v>
      </c>
      <c r="CV21" s="15">
        <v>0.71527777777777779</v>
      </c>
      <c r="CW21" s="15">
        <v>0.71875</v>
      </c>
      <c r="CX21" s="15">
        <v>0.72222222222222221</v>
      </c>
      <c r="CY21" s="15">
        <v>0.72569444444444453</v>
      </c>
      <c r="CZ21" s="15">
        <v>0.72916666666666663</v>
      </c>
      <c r="DA21" s="15">
        <v>0.73263888888888884</v>
      </c>
      <c r="DB21" s="15">
        <v>0.73611111111111116</v>
      </c>
      <c r="DC21" s="15">
        <v>0.73958333333333337</v>
      </c>
      <c r="DD21" s="15">
        <v>0.74305555555555547</v>
      </c>
      <c r="DE21" s="15">
        <v>0.74652777777777779</v>
      </c>
      <c r="DF21" s="15">
        <v>0.75</v>
      </c>
      <c r="DG21" s="15">
        <v>0.75347222222222221</v>
      </c>
      <c r="DH21" s="15">
        <v>0.75694444444444453</v>
      </c>
      <c r="DI21" s="15">
        <v>0.76041666666666663</v>
      </c>
      <c r="DJ21" s="15">
        <v>0.76388888888888884</v>
      </c>
      <c r="DK21" s="15">
        <v>0.76736111111111116</v>
      </c>
      <c r="DM21" s="20"/>
    </row>
    <row r="22" spans="1:117" ht="15.75" x14ac:dyDescent="0.25">
      <c r="A22" s="14">
        <v>44145</v>
      </c>
      <c r="B22" s="12" t="s">
        <v>6</v>
      </c>
      <c r="C22" s="13">
        <v>5391.83</v>
      </c>
      <c r="D22" s="13">
        <v>5397.33</v>
      </c>
      <c r="E22" s="13">
        <v>5402.86</v>
      </c>
      <c r="F22" s="13">
        <v>5383.04</v>
      </c>
      <c r="G22" s="13">
        <v>5397.12</v>
      </c>
      <c r="H22" s="13">
        <v>5393.91</v>
      </c>
      <c r="I22" s="13">
        <v>5390.66</v>
      </c>
      <c r="J22" s="13">
        <v>5390.85</v>
      </c>
      <c r="K22" s="13">
        <v>5390.57</v>
      </c>
      <c r="L22" s="13">
        <v>5387.64</v>
      </c>
      <c r="M22" s="13">
        <v>5389.52</v>
      </c>
      <c r="N22" s="13">
        <v>5401.74</v>
      </c>
      <c r="O22" s="13">
        <v>5394.4</v>
      </c>
      <c r="P22" s="13">
        <v>5398.45</v>
      </c>
      <c r="Q22" s="13">
        <v>5399.32</v>
      </c>
      <c r="R22" s="13">
        <v>5395.64</v>
      </c>
      <c r="S22" s="13">
        <v>5396.89</v>
      </c>
      <c r="T22" s="13">
        <v>5404.64</v>
      </c>
      <c r="U22" s="13">
        <v>5408.89</v>
      </c>
      <c r="V22" s="13">
        <v>5414.76</v>
      </c>
      <c r="W22" s="13">
        <v>5417.61</v>
      </c>
      <c r="X22" s="13">
        <v>5422.55</v>
      </c>
      <c r="Y22" s="13">
        <v>5418.67</v>
      </c>
      <c r="Z22" s="13">
        <v>5413.88</v>
      </c>
      <c r="AA22" s="13">
        <v>5411.64</v>
      </c>
      <c r="AB22" s="13">
        <v>5416.69</v>
      </c>
      <c r="AC22" s="13">
        <v>5405.06</v>
      </c>
      <c r="AD22" s="13">
        <v>5416.19</v>
      </c>
      <c r="AE22" s="13">
        <v>5415.79</v>
      </c>
      <c r="AF22" s="13">
        <v>5415.64</v>
      </c>
      <c r="AG22" s="13">
        <v>5410.88</v>
      </c>
      <c r="AH22" s="13">
        <v>5412.64</v>
      </c>
      <c r="AI22" s="13">
        <v>5408.52</v>
      </c>
      <c r="AJ22" s="13">
        <v>5394.61</v>
      </c>
      <c r="AK22" s="13">
        <v>5386.85</v>
      </c>
      <c r="AL22" s="13">
        <v>5387.24</v>
      </c>
      <c r="AM22" s="13">
        <v>5390.61</v>
      </c>
      <c r="AN22" s="13">
        <v>5372.15</v>
      </c>
      <c r="AO22" s="13">
        <v>5363.01</v>
      </c>
      <c r="AP22" s="13">
        <v>5361.64</v>
      </c>
      <c r="AQ22" s="13">
        <v>5372.27</v>
      </c>
      <c r="AR22" s="13">
        <v>5370.37</v>
      </c>
      <c r="AS22" s="13">
        <v>5368.01</v>
      </c>
      <c r="AT22" s="13">
        <v>5376.06</v>
      </c>
      <c r="AU22" s="13">
        <v>5383.01</v>
      </c>
      <c r="AV22" s="13">
        <v>5380.64</v>
      </c>
      <c r="AW22" s="13">
        <v>5377.97</v>
      </c>
      <c r="AX22" s="13">
        <v>5376.01</v>
      </c>
      <c r="AY22" s="13">
        <v>5368.64</v>
      </c>
      <c r="AZ22" s="13">
        <v>5372.64</v>
      </c>
      <c r="BA22" s="13">
        <v>5381.69</v>
      </c>
      <c r="BB22" s="13">
        <v>5381.38</v>
      </c>
      <c r="BC22" s="13">
        <v>5376.14</v>
      </c>
      <c r="BD22" s="13">
        <v>5375.06</v>
      </c>
      <c r="BE22" s="13">
        <v>5374.05</v>
      </c>
      <c r="BF22" s="13">
        <v>5374.8</v>
      </c>
      <c r="BG22" s="13">
        <v>5371.09</v>
      </c>
      <c r="BH22" s="13">
        <v>5367.34</v>
      </c>
      <c r="BI22" s="13">
        <v>5378.69</v>
      </c>
      <c r="BJ22" s="13">
        <v>5384.55</v>
      </c>
      <c r="BK22" s="13">
        <v>5386.69</v>
      </c>
      <c r="BL22" s="13">
        <v>5377.85</v>
      </c>
      <c r="BM22" s="13">
        <v>5377.61</v>
      </c>
      <c r="BN22" s="13">
        <v>5380.57</v>
      </c>
      <c r="BO22" s="13">
        <v>5383.01</v>
      </c>
      <c r="BP22" s="13">
        <v>5377.62</v>
      </c>
      <c r="BQ22" s="13">
        <v>5374.7</v>
      </c>
      <c r="BR22" s="13">
        <v>5380.69</v>
      </c>
      <c r="BS22" s="13">
        <v>5383.58</v>
      </c>
      <c r="BT22" s="13">
        <v>5380.06</v>
      </c>
      <c r="BU22" s="13">
        <v>5377.06</v>
      </c>
      <c r="BV22" s="13">
        <v>5381.61</v>
      </c>
      <c r="BW22" s="13">
        <v>5381.06</v>
      </c>
      <c r="BX22" s="13">
        <v>5382.06</v>
      </c>
      <c r="BY22" s="13">
        <v>5397.29</v>
      </c>
      <c r="BZ22" s="13">
        <v>5398.09</v>
      </c>
      <c r="CA22" s="13">
        <v>5404.22</v>
      </c>
      <c r="CB22" s="13">
        <v>5405.1</v>
      </c>
      <c r="CC22" s="13">
        <v>5401.8</v>
      </c>
      <c r="CD22" s="13">
        <v>5403.53</v>
      </c>
      <c r="CE22" s="13">
        <v>5399.66</v>
      </c>
      <c r="CF22" s="13">
        <v>5397.97</v>
      </c>
      <c r="CG22" s="13">
        <v>5396.35</v>
      </c>
      <c r="CH22" s="13">
        <v>5399.18</v>
      </c>
      <c r="CI22" s="13">
        <v>5400</v>
      </c>
      <c r="CJ22" s="13">
        <v>5398.05</v>
      </c>
      <c r="CK22" s="13">
        <v>5401.29</v>
      </c>
      <c r="CL22" s="13">
        <v>5402.55</v>
      </c>
      <c r="CM22" s="13">
        <v>5399.46</v>
      </c>
      <c r="CN22" s="13">
        <v>5397.56</v>
      </c>
      <c r="CO22" s="13">
        <v>5396.64</v>
      </c>
      <c r="CP22" s="13">
        <v>5397.55</v>
      </c>
      <c r="CQ22" s="13">
        <v>5395.93</v>
      </c>
      <c r="CR22" s="13">
        <v>5400.55</v>
      </c>
      <c r="CS22" s="13">
        <v>5398.77</v>
      </c>
      <c r="CT22" s="13">
        <v>5408.69</v>
      </c>
      <c r="CU22" s="13">
        <v>5410.88</v>
      </c>
      <c r="CV22" s="13">
        <v>5410.24</v>
      </c>
      <c r="CW22" s="13">
        <v>5413.94</v>
      </c>
      <c r="CX22" s="13">
        <v>5415.94</v>
      </c>
      <c r="CY22" s="13">
        <v>5418.79</v>
      </c>
      <c r="CZ22" s="13">
        <v>5421.66</v>
      </c>
      <c r="DA22" s="13">
        <v>5425.21</v>
      </c>
      <c r="DB22" s="13">
        <v>5423.95</v>
      </c>
      <c r="DC22" s="13">
        <v>5428.57</v>
      </c>
      <c r="DD22" s="13">
        <v>5428.1</v>
      </c>
      <c r="DE22" s="13">
        <v>5428.62</v>
      </c>
      <c r="DF22" s="13">
        <v>5427.68</v>
      </c>
      <c r="DG22" s="13">
        <v>5431.99</v>
      </c>
      <c r="DH22" s="13">
        <v>5431.07</v>
      </c>
      <c r="DI22" s="13">
        <v>5427.1</v>
      </c>
      <c r="DJ22" s="13">
        <v>5426.72</v>
      </c>
      <c r="DK22" s="13">
        <v>5426.72</v>
      </c>
      <c r="DM22" s="20"/>
    </row>
    <row r="23" spans="1:117" ht="15.75" x14ac:dyDescent="0.25">
      <c r="A23" s="14" t="s">
        <v>12</v>
      </c>
      <c r="B23" s="12" t="s">
        <v>10</v>
      </c>
      <c r="C23" s="13">
        <v>5391.83</v>
      </c>
      <c r="D23" s="13">
        <v>5386.67</v>
      </c>
      <c r="E23" s="13">
        <v>5383.45</v>
      </c>
      <c r="F23" s="13">
        <v>5371.67</v>
      </c>
      <c r="G23" s="13">
        <v>5395.47</v>
      </c>
      <c r="H23" s="13">
        <v>5392.79</v>
      </c>
      <c r="I23" s="13">
        <v>5380.79</v>
      </c>
      <c r="J23" s="13">
        <v>5384.36</v>
      </c>
      <c r="K23" s="13">
        <v>5386.44</v>
      </c>
      <c r="L23" s="13">
        <v>5377.69</v>
      </c>
      <c r="M23" s="13">
        <v>5388.24</v>
      </c>
      <c r="N23" s="13">
        <v>5394.24</v>
      </c>
      <c r="O23" s="13">
        <v>5388.29</v>
      </c>
      <c r="P23" s="13">
        <v>5395.65</v>
      </c>
      <c r="Q23" s="13">
        <v>5395.09</v>
      </c>
      <c r="R23" s="13">
        <v>5381.83</v>
      </c>
      <c r="S23" s="13">
        <v>5395.97</v>
      </c>
      <c r="T23" s="13">
        <v>5402.56</v>
      </c>
      <c r="U23" s="13">
        <v>5406.52</v>
      </c>
      <c r="V23" s="13">
        <v>5414.76</v>
      </c>
      <c r="W23" s="13">
        <v>5409.69</v>
      </c>
      <c r="X23" s="13">
        <v>5420.61</v>
      </c>
      <c r="Y23" s="13">
        <v>5414.23</v>
      </c>
      <c r="Z23" s="13">
        <v>5405.24</v>
      </c>
      <c r="AA23" s="13">
        <v>5411.64</v>
      </c>
      <c r="AB23" s="13">
        <v>5399.69</v>
      </c>
      <c r="AC23" s="13">
        <v>5405.06</v>
      </c>
      <c r="AD23" s="13">
        <v>5409.12</v>
      </c>
      <c r="AE23" s="13">
        <v>5414.55</v>
      </c>
      <c r="AF23" s="13">
        <v>5403.9</v>
      </c>
      <c r="AG23" s="13">
        <v>5404.34</v>
      </c>
      <c r="AH23" s="13">
        <v>5402.09</v>
      </c>
      <c r="AI23" s="13">
        <v>5392.12</v>
      </c>
      <c r="AJ23" s="13">
        <v>5386.8</v>
      </c>
      <c r="AK23" s="13">
        <v>5385.29</v>
      </c>
      <c r="AL23" s="13">
        <v>5386.51</v>
      </c>
      <c r="AM23" s="13">
        <v>5373.7</v>
      </c>
      <c r="AN23" s="13">
        <v>5364.09</v>
      </c>
      <c r="AO23" s="13">
        <v>5355.28</v>
      </c>
      <c r="AP23" s="13">
        <v>5360.01</v>
      </c>
      <c r="AQ23" s="13">
        <v>5369.63</v>
      </c>
      <c r="AR23" s="13">
        <v>5365.09</v>
      </c>
      <c r="AS23" s="13">
        <v>5356.11</v>
      </c>
      <c r="AT23" s="13">
        <v>5371.86</v>
      </c>
      <c r="AU23" s="13">
        <v>5379.84</v>
      </c>
      <c r="AV23" s="13">
        <v>5379.32</v>
      </c>
      <c r="AW23" s="13">
        <v>5377.64</v>
      </c>
      <c r="AX23" s="13">
        <v>5365.29</v>
      </c>
      <c r="AY23" s="13">
        <v>5366.22</v>
      </c>
      <c r="AZ23" s="13">
        <v>5370.13</v>
      </c>
      <c r="BA23" s="13">
        <v>5379.02</v>
      </c>
      <c r="BB23" s="13">
        <v>5372.75</v>
      </c>
      <c r="BC23" s="13">
        <v>5372.24</v>
      </c>
      <c r="BD23" s="13">
        <v>5372.67</v>
      </c>
      <c r="BE23" s="13">
        <v>5366.15</v>
      </c>
      <c r="BF23" s="13">
        <v>5373.65</v>
      </c>
      <c r="BG23" s="13">
        <v>5365.64</v>
      </c>
      <c r="BH23" s="13">
        <v>5364.09</v>
      </c>
      <c r="BI23" s="13">
        <v>5377.06</v>
      </c>
      <c r="BJ23" s="13">
        <v>5384.55</v>
      </c>
      <c r="BK23" s="13">
        <v>5375.97</v>
      </c>
      <c r="BL23" s="13">
        <v>5375.24</v>
      </c>
      <c r="BM23" s="13">
        <v>5376.15</v>
      </c>
      <c r="BN23" s="13">
        <v>5376.64</v>
      </c>
      <c r="BO23" s="13">
        <v>5376.92</v>
      </c>
      <c r="BP23" s="13">
        <v>5373.63</v>
      </c>
      <c r="BQ23" s="13">
        <v>5373.66</v>
      </c>
      <c r="BR23" s="13">
        <v>5375.14</v>
      </c>
      <c r="BS23" s="13">
        <v>5378.55</v>
      </c>
      <c r="BT23" s="13">
        <v>5375.25</v>
      </c>
      <c r="BU23" s="13">
        <v>5373.06</v>
      </c>
      <c r="BV23" s="13">
        <v>5381.61</v>
      </c>
      <c r="BW23" s="13">
        <v>5375.63</v>
      </c>
      <c r="BX23" s="13">
        <v>5382.06</v>
      </c>
      <c r="BY23" s="13">
        <v>5397.29</v>
      </c>
      <c r="BZ23" s="13">
        <v>5395.99</v>
      </c>
      <c r="CA23" s="13">
        <v>5404.22</v>
      </c>
      <c r="CB23" s="13">
        <v>5400.78</v>
      </c>
      <c r="CC23" s="13">
        <v>5398.61</v>
      </c>
      <c r="CD23" s="13">
        <v>5398.61</v>
      </c>
      <c r="CE23" s="13">
        <v>5399.52</v>
      </c>
      <c r="CF23" s="13">
        <v>5395.91</v>
      </c>
      <c r="CG23" s="13">
        <v>5396.01</v>
      </c>
      <c r="CH23" s="13">
        <v>5395.76</v>
      </c>
      <c r="CI23" s="13">
        <v>5397.82</v>
      </c>
      <c r="CJ23" s="13">
        <v>5396.35</v>
      </c>
      <c r="CK23" s="13">
        <v>5400.34</v>
      </c>
      <c r="CL23" s="13">
        <v>5399.38</v>
      </c>
      <c r="CM23" s="13">
        <v>5396.58</v>
      </c>
      <c r="CN23" s="13">
        <v>5394.34</v>
      </c>
      <c r="CO23" s="13">
        <v>5396.1</v>
      </c>
      <c r="CP23" s="13">
        <v>5396.66</v>
      </c>
      <c r="CQ23" s="13">
        <v>5389.99</v>
      </c>
      <c r="CR23" s="13">
        <v>5395.29</v>
      </c>
      <c r="CS23" s="13">
        <v>5397.96</v>
      </c>
      <c r="CT23" s="13">
        <v>5403.7</v>
      </c>
      <c r="CU23" s="13">
        <v>5407.79</v>
      </c>
      <c r="CV23" s="13">
        <v>5406.94</v>
      </c>
      <c r="CW23" s="13">
        <v>5413.94</v>
      </c>
      <c r="CX23" s="13">
        <v>5414.04</v>
      </c>
      <c r="CY23" s="13">
        <v>5418.79</v>
      </c>
      <c r="CZ23" s="13">
        <v>5420.42</v>
      </c>
      <c r="DA23" s="13">
        <v>5423.6</v>
      </c>
      <c r="DB23" s="13">
        <v>5417.34</v>
      </c>
      <c r="DC23" s="13">
        <v>5424.31</v>
      </c>
      <c r="DD23" s="13">
        <v>5423.15</v>
      </c>
      <c r="DE23" s="13">
        <v>5427.56</v>
      </c>
      <c r="DF23" s="13">
        <v>5425.88</v>
      </c>
      <c r="DG23" s="13">
        <v>5431.99</v>
      </c>
      <c r="DH23" s="13">
        <v>5425.83</v>
      </c>
      <c r="DI23" s="13">
        <v>5416.6</v>
      </c>
      <c r="DJ23" s="13">
        <v>5426.72</v>
      </c>
      <c r="DK23" s="13">
        <v>5423.72</v>
      </c>
      <c r="DM23" s="20"/>
    </row>
    <row r="24" spans="1:117" ht="15.75" x14ac:dyDescent="0.25">
      <c r="A24" s="14" t="s">
        <v>12</v>
      </c>
      <c r="B24" s="12" t="s">
        <v>9</v>
      </c>
      <c r="C24" s="13">
        <v>5384</v>
      </c>
      <c r="D24" s="13">
        <v>5377.81</v>
      </c>
      <c r="E24" s="13">
        <v>5374.81</v>
      </c>
      <c r="F24" s="13">
        <v>5364.23</v>
      </c>
      <c r="G24" s="13">
        <v>5386.05</v>
      </c>
      <c r="H24" s="13">
        <v>5384.17</v>
      </c>
      <c r="I24" s="13">
        <v>5371.85</v>
      </c>
      <c r="J24" s="13">
        <v>5376.78</v>
      </c>
      <c r="K24" s="13">
        <v>5377.65</v>
      </c>
      <c r="L24" s="13">
        <v>5368.8</v>
      </c>
      <c r="M24" s="13">
        <v>5379.49</v>
      </c>
      <c r="N24" s="13">
        <v>5385.26</v>
      </c>
      <c r="O24" s="13">
        <v>5379.98</v>
      </c>
      <c r="P24" s="13">
        <v>5386.8</v>
      </c>
      <c r="Q24" s="13">
        <v>5386.58</v>
      </c>
      <c r="R24" s="13">
        <v>5374.37</v>
      </c>
      <c r="S24" s="13">
        <v>5388.14</v>
      </c>
      <c r="T24" s="13">
        <v>5394.79</v>
      </c>
      <c r="U24" s="13">
        <v>5398.2</v>
      </c>
      <c r="V24" s="13">
        <v>5405.85</v>
      </c>
      <c r="W24" s="13">
        <v>5401.26</v>
      </c>
      <c r="X24" s="13">
        <v>5412.22</v>
      </c>
      <c r="Y24" s="13">
        <v>5405.8</v>
      </c>
      <c r="Z24" s="13">
        <v>5396.73</v>
      </c>
      <c r="AA24" s="13">
        <v>5402.73</v>
      </c>
      <c r="AB24" s="13">
        <v>5391.13</v>
      </c>
      <c r="AC24" s="13">
        <v>5397.98</v>
      </c>
      <c r="AD24" s="13">
        <v>5400.78</v>
      </c>
      <c r="AE24" s="13">
        <v>5405.62</v>
      </c>
      <c r="AF24" s="13">
        <v>5395.03</v>
      </c>
      <c r="AG24" s="13">
        <v>5395.28</v>
      </c>
      <c r="AH24" s="13">
        <v>5393.57</v>
      </c>
      <c r="AI24" s="13">
        <v>5383.22</v>
      </c>
      <c r="AJ24" s="13">
        <v>5378.18</v>
      </c>
      <c r="AK24" s="13">
        <v>5376.47</v>
      </c>
      <c r="AL24" s="13">
        <v>5377.31</v>
      </c>
      <c r="AM24" s="13">
        <v>5366.23</v>
      </c>
      <c r="AN24" s="13">
        <v>5355.36</v>
      </c>
      <c r="AO24" s="13">
        <v>5346.43</v>
      </c>
      <c r="AP24" s="13">
        <v>5351.21</v>
      </c>
      <c r="AQ24" s="13">
        <v>5361.13</v>
      </c>
      <c r="AR24" s="13">
        <v>5356.01</v>
      </c>
      <c r="AS24" s="13">
        <v>5348.44</v>
      </c>
      <c r="AT24" s="13">
        <v>5363.66</v>
      </c>
      <c r="AU24" s="13">
        <v>5371.22</v>
      </c>
      <c r="AV24" s="13">
        <v>5370.77</v>
      </c>
      <c r="AW24" s="13">
        <v>5368.8</v>
      </c>
      <c r="AX24" s="13">
        <v>5357.52</v>
      </c>
      <c r="AY24" s="13">
        <v>5358.73</v>
      </c>
      <c r="AZ24" s="13">
        <v>5361.59</v>
      </c>
      <c r="BA24" s="13">
        <v>5370.98</v>
      </c>
      <c r="BB24" s="13">
        <v>5363.69</v>
      </c>
      <c r="BC24" s="13">
        <v>5363.78</v>
      </c>
      <c r="BD24" s="13">
        <v>5364.15</v>
      </c>
      <c r="BE24" s="13">
        <v>5357.7</v>
      </c>
      <c r="BF24" s="13">
        <v>5364.46</v>
      </c>
      <c r="BG24" s="13">
        <v>5357.11</v>
      </c>
      <c r="BH24" s="13">
        <v>5355.79</v>
      </c>
      <c r="BI24" s="13">
        <v>5368.22</v>
      </c>
      <c r="BJ24" s="13">
        <v>5376.14</v>
      </c>
      <c r="BK24" s="13">
        <v>5367.13</v>
      </c>
      <c r="BL24" s="13">
        <v>5366.83</v>
      </c>
      <c r="BM24" s="13">
        <v>5367.81</v>
      </c>
      <c r="BN24" s="13">
        <v>5368.78</v>
      </c>
      <c r="BO24" s="13">
        <v>5368.66</v>
      </c>
      <c r="BP24" s="13">
        <v>5365.2</v>
      </c>
      <c r="BQ24" s="13">
        <v>5365.17</v>
      </c>
      <c r="BR24" s="13">
        <v>5366.84</v>
      </c>
      <c r="BS24" s="13">
        <v>5369.61</v>
      </c>
      <c r="BT24" s="13">
        <v>5366.68</v>
      </c>
      <c r="BU24" s="13">
        <v>5365.01</v>
      </c>
      <c r="BV24" s="13">
        <v>5373.14</v>
      </c>
      <c r="BW24" s="13">
        <v>5367.27</v>
      </c>
      <c r="BX24" s="13">
        <v>5373.04</v>
      </c>
      <c r="BY24" s="13">
        <v>5388.62</v>
      </c>
      <c r="BZ24" s="13">
        <v>5385.46</v>
      </c>
      <c r="CA24" s="13">
        <v>5393.88</v>
      </c>
      <c r="CB24" s="13">
        <v>5390.11</v>
      </c>
      <c r="CC24" s="13">
        <v>5388.18</v>
      </c>
      <c r="CD24" s="13">
        <v>5387.86</v>
      </c>
      <c r="CE24" s="13">
        <v>5389.22</v>
      </c>
      <c r="CF24" s="13">
        <v>5384.72</v>
      </c>
      <c r="CG24" s="13">
        <v>5385.14</v>
      </c>
      <c r="CH24" s="13">
        <v>5385</v>
      </c>
      <c r="CI24" s="13">
        <v>5387.68</v>
      </c>
      <c r="CJ24" s="13">
        <v>5385.47</v>
      </c>
      <c r="CK24" s="13">
        <v>5390.11</v>
      </c>
      <c r="CL24" s="13">
        <v>5388</v>
      </c>
      <c r="CM24" s="13">
        <v>5385.49</v>
      </c>
      <c r="CN24" s="13">
        <v>5383.58</v>
      </c>
      <c r="CO24" s="13">
        <v>5385.61</v>
      </c>
      <c r="CP24" s="13">
        <v>5385.89</v>
      </c>
      <c r="CQ24" s="13">
        <v>5378.2</v>
      </c>
      <c r="CR24" s="13">
        <v>5384.85</v>
      </c>
      <c r="CS24" s="13">
        <v>5387.7</v>
      </c>
      <c r="CT24" s="13">
        <v>5394.16</v>
      </c>
      <c r="CU24" s="13">
        <v>5398.09</v>
      </c>
      <c r="CV24" s="13">
        <v>5397.98</v>
      </c>
      <c r="CW24" s="13">
        <v>5404.23</v>
      </c>
      <c r="CX24" s="13">
        <v>5404.8</v>
      </c>
      <c r="CY24" s="13">
        <v>5410.85</v>
      </c>
      <c r="CZ24" s="13">
        <v>5412.26</v>
      </c>
      <c r="DA24" s="13">
        <v>5415.17</v>
      </c>
      <c r="DB24" s="13">
        <v>5408.76</v>
      </c>
      <c r="DC24" s="13">
        <v>5415.85</v>
      </c>
      <c r="DD24" s="13">
        <v>5414.78</v>
      </c>
      <c r="DE24" s="13">
        <v>5418.81</v>
      </c>
      <c r="DF24" s="13">
        <v>5417.13</v>
      </c>
      <c r="DG24" s="13">
        <v>5423.77</v>
      </c>
      <c r="DH24" s="13">
        <v>5417.22</v>
      </c>
      <c r="DI24" s="13">
        <v>5408.22</v>
      </c>
      <c r="DJ24" s="13">
        <v>5418.23</v>
      </c>
      <c r="DK24" s="13">
        <v>5415.51</v>
      </c>
      <c r="DM24" s="20"/>
    </row>
    <row r="25" spans="1:117" ht="15.75" x14ac:dyDescent="0.25">
      <c r="A25" s="14" t="s">
        <v>12</v>
      </c>
      <c r="B25" s="12" t="s">
        <v>7</v>
      </c>
      <c r="C25" s="13">
        <v>5384</v>
      </c>
      <c r="D25" s="13">
        <v>5374.38</v>
      </c>
      <c r="E25" s="13">
        <v>5370.81</v>
      </c>
      <c r="F25" s="13">
        <v>5358</v>
      </c>
      <c r="G25" s="13">
        <v>5361.86</v>
      </c>
      <c r="H25" s="13">
        <v>5374.77</v>
      </c>
      <c r="I25" s="13">
        <v>5365.98</v>
      </c>
      <c r="J25" s="13">
        <v>5367.23</v>
      </c>
      <c r="K25" s="13">
        <v>5369.77</v>
      </c>
      <c r="L25" s="13">
        <v>5367.8</v>
      </c>
      <c r="M25" s="13">
        <v>5373.85</v>
      </c>
      <c r="N25" s="13">
        <v>5382.8</v>
      </c>
      <c r="O25" s="13">
        <v>5374.39</v>
      </c>
      <c r="P25" s="13">
        <v>5381.74</v>
      </c>
      <c r="Q25" s="13">
        <v>5382.51</v>
      </c>
      <c r="R25" s="13">
        <v>5374.37</v>
      </c>
      <c r="S25" s="13">
        <v>5372.23</v>
      </c>
      <c r="T25" s="13">
        <v>5387.22</v>
      </c>
      <c r="U25" s="13">
        <v>5394.19</v>
      </c>
      <c r="V25" s="13">
        <v>5395.72</v>
      </c>
      <c r="W25" s="13">
        <v>5400.05</v>
      </c>
      <c r="X25" s="13">
        <v>5403.8</v>
      </c>
      <c r="Y25" s="13">
        <v>5404.87</v>
      </c>
      <c r="Z25" s="13">
        <v>5393.14</v>
      </c>
      <c r="AA25" s="13">
        <v>5394.44</v>
      </c>
      <c r="AB25" s="13">
        <v>5387.85</v>
      </c>
      <c r="AC25" s="13">
        <v>5389.16</v>
      </c>
      <c r="AD25" s="13">
        <v>5396.95</v>
      </c>
      <c r="AE25" s="13">
        <v>5401.67</v>
      </c>
      <c r="AF25" s="13">
        <v>5395.03</v>
      </c>
      <c r="AG25" s="13">
        <v>5388.85</v>
      </c>
      <c r="AH25" s="13">
        <v>5392.24</v>
      </c>
      <c r="AI25" s="13">
        <v>5380.98</v>
      </c>
      <c r="AJ25" s="13">
        <v>5376.87</v>
      </c>
      <c r="AK25" s="13">
        <v>5370.47</v>
      </c>
      <c r="AL25" s="13">
        <v>5374.37</v>
      </c>
      <c r="AM25" s="13">
        <v>5366.23</v>
      </c>
      <c r="AN25" s="13">
        <v>5353.01</v>
      </c>
      <c r="AO25" s="13">
        <v>5340.7</v>
      </c>
      <c r="AP25" s="13">
        <v>5346.2</v>
      </c>
      <c r="AQ25" s="13">
        <v>5350.24</v>
      </c>
      <c r="AR25" s="13">
        <v>5354.18</v>
      </c>
      <c r="AS25" s="13">
        <v>5348.44</v>
      </c>
      <c r="AT25" s="13">
        <v>5349.89</v>
      </c>
      <c r="AU25" s="13">
        <v>5362.87</v>
      </c>
      <c r="AV25" s="13">
        <v>5367.68</v>
      </c>
      <c r="AW25" s="13">
        <v>5363.29</v>
      </c>
      <c r="AX25" s="13">
        <v>5355.16</v>
      </c>
      <c r="AY25" s="13">
        <v>5353.99</v>
      </c>
      <c r="AZ25" s="13">
        <v>5358.2</v>
      </c>
      <c r="BA25" s="13">
        <v>5359.81</v>
      </c>
      <c r="BB25" s="13">
        <v>5363.69</v>
      </c>
      <c r="BC25" s="13">
        <v>5359.33</v>
      </c>
      <c r="BD25" s="13">
        <v>5361.83</v>
      </c>
      <c r="BE25" s="13">
        <v>5353.4</v>
      </c>
      <c r="BF25" s="13">
        <v>5352.29</v>
      </c>
      <c r="BG25" s="13">
        <v>5354.8</v>
      </c>
      <c r="BH25" s="13">
        <v>5351.17</v>
      </c>
      <c r="BI25" s="13">
        <v>5354.01</v>
      </c>
      <c r="BJ25" s="13">
        <v>5364.42</v>
      </c>
      <c r="BK25" s="13">
        <v>5365.18</v>
      </c>
      <c r="BL25" s="13">
        <v>5365.21</v>
      </c>
      <c r="BM25" s="13">
        <v>5363.83</v>
      </c>
      <c r="BN25" s="13">
        <v>5365.8</v>
      </c>
      <c r="BO25" s="13">
        <v>5366.82</v>
      </c>
      <c r="BP25" s="13">
        <v>5364.01</v>
      </c>
      <c r="BQ25" s="13">
        <v>5363.68</v>
      </c>
      <c r="BR25" s="13">
        <v>5364.17</v>
      </c>
      <c r="BS25" s="13">
        <v>5366.2</v>
      </c>
      <c r="BT25" s="13">
        <v>5366.23</v>
      </c>
      <c r="BU25" s="13">
        <v>5364.35</v>
      </c>
      <c r="BV25" s="13">
        <v>5364.64</v>
      </c>
      <c r="BW25" s="13">
        <v>5367.27</v>
      </c>
      <c r="BX25" s="13">
        <v>5366.01</v>
      </c>
      <c r="BY25" s="13">
        <v>5373.66</v>
      </c>
      <c r="BZ25" s="13">
        <v>5383.58</v>
      </c>
      <c r="CA25" s="13">
        <v>5385.02</v>
      </c>
      <c r="CB25" s="13">
        <v>5388</v>
      </c>
      <c r="CC25" s="13">
        <v>5385.16</v>
      </c>
      <c r="CD25" s="13">
        <v>5385.89</v>
      </c>
      <c r="CE25" s="13">
        <v>5381.82</v>
      </c>
      <c r="CF25" s="13">
        <v>5384.58</v>
      </c>
      <c r="CG25" s="13">
        <v>5382.29</v>
      </c>
      <c r="CH25" s="13">
        <v>5385</v>
      </c>
      <c r="CI25" s="13">
        <v>5385.31</v>
      </c>
      <c r="CJ25" s="13">
        <v>5384.57</v>
      </c>
      <c r="CK25" s="13">
        <v>5386</v>
      </c>
      <c r="CL25" s="13">
        <v>5388</v>
      </c>
      <c r="CM25" s="13">
        <v>5385.49</v>
      </c>
      <c r="CN25" s="13">
        <v>5383.58</v>
      </c>
      <c r="CO25" s="13">
        <v>5382.71</v>
      </c>
      <c r="CP25" s="13">
        <v>5383.67</v>
      </c>
      <c r="CQ25" s="13">
        <v>5376.68</v>
      </c>
      <c r="CR25" s="13">
        <v>5377.89</v>
      </c>
      <c r="CS25" s="13">
        <v>5381.85</v>
      </c>
      <c r="CT25" s="13">
        <v>5390.68</v>
      </c>
      <c r="CU25" s="13">
        <v>5391.71</v>
      </c>
      <c r="CV25" s="13">
        <v>5397.18</v>
      </c>
      <c r="CW25" s="13">
        <v>5395.22</v>
      </c>
      <c r="CX25" s="13">
        <v>5402.28</v>
      </c>
      <c r="CY25" s="13">
        <v>5403.8</v>
      </c>
      <c r="CZ25" s="13">
        <v>5409.81</v>
      </c>
      <c r="DA25" s="13">
        <v>5411.22</v>
      </c>
      <c r="DB25" s="13">
        <v>5408.76</v>
      </c>
      <c r="DC25" s="13">
        <v>5411.17</v>
      </c>
      <c r="DD25" s="13">
        <v>5412.31</v>
      </c>
      <c r="DE25" s="13">
        <v>5414.78</v>
      </c>
      <c r="DF25" s="13">
        <v>5416.04</v>
      </c>
      <c r="DG25" s="13">
        <v>5418.21</v>
      </c>
      <c r="DH25" s="13">
        <v>5416.85</v>
      </c>
      <c r="DI25" s="13">
        <v>5408.22</v>
      </c>
      <c r="DJ25" s="13">
        <v>5407.85</v>
      </c>
      <c r="DK25" s="13">
        <v>5413.51</v>
      </c>
      <c r="DM25" s="20"/>
    </row>
    <row r="26" spans="1:117" ht="15.75" x14ac:dyDescent="0.25">
      <c r="A26" s="11" t="s">
        <v>5</v>
      </c>
      <c r="B26" s="11" t="s">
        <v>11</v>
      </c>
      <c r="C26" s="15">
        <v>0.37847222222222227</v>
      </c>
      <c r="D26" s="15">
        <v>0.38194444444444442</v>
      </c>
      <c r="E26" s="15">
        <v>0.38541666666666669</v>
      </c>
      <c r="F26" s="15">
        <v>0.3888888888888889</v>
      </c>
      <c r="G26" s="15">
        <v>0.3923611111111111</v>
      </c>
      <c r="H26" s="15">
        <v>0.39583333333333331</v>
      </c>
      <c r="I26" s="15">
        <v>0.39930555555555558</v>
      </c>
      <c r="J26" s="15">
        <v>0.40277777777777773</v>
      </c>
      <c r="K26" s="15">
        <v>0.40625</v>
      </c>
      <c r="L26" s="15">
        <v>0.40972222222222227</v>
      </c>
      <c r="M26" s="15">
        <v>0.41319444444444442</v>
      </c>
      <c r="N26" s="15">
        <v>0.41666666666666669</v>
      </c>
      <c r="O26" s="15">
        <v>0.4201388888888889</v>
      </c>
      <c r="P26" s="15">
        <v>0.4236111111111111</v>
      </c>
      <c r="Q26" s="15">
        <v>0.42708333333333331</v>
      </c>
      <c r="R26" s="15">
        <v>0.43055555555555558</v>
      </c>
      <c r="S26" s="15">
        <v>0.43402777777777773</v>
      </c>
      <c r="T26" s="15">
        <v>0.4375</v>
      </c>
      <c r="U26" s="15">
        <v>0.44097222222222227</v>
      </c>
      <c r="V26" s="15">
        <v>0.44444444444444442</v>
      </c>
      <c r="W26" s="15">
        <v>0.44791666666666669</v>
      </c>
      <c r="X26" s="15">
        <v>0.4513888888888889</v>
      </c>
      <c r="Y26" s="15">
        <v>0.4548611111111111</v>
      </c>
      <c r="Z26" s="15">
        <v>0.45833333333333331</v>
      </c>
      <c r="AA26" s="15">
        <v>0.46180555555555558</v>
      </c>
      <c r="AB26" s="15">
        <v>0.46527777777777773</v>
      </c>
      <c r="AC26" s="15">
        <v>0.46875</v>
      </c>
      <c r="AD26" s="15">
        <v>0.47222222222222227</v>
      </c>
      <c r="AE26" s="15">
        <v>0.47569444444444442</v>
      </c>
      <c r="AF26" s="15">
        <v>0.47916666666666669</v>
      </c>
      <c r="AG26" s="15">
        <v>0.4826388888888889</v>
      </c>
      <c r="AH26" s="15">
        <v>0.4861111111111111</v>
      </c>
      <c r="AI26" s="15">
        <v>0.48958333333333331</v>
      </c>
      <c r="AJ26" s="15">
        <v>0.49305555555555558</v>
      </c>
      <c r="AK26" s="15">
        <v>0.49652777777777773</v>
      </c>
      <c r="AL26" s="15">
        <v>0.5</v>
      </c>
      <c r="AM26" s="15">
        <v>0.50347222222222221</v>
      </c>
      <c r="AN26" s="15">
        <v>0.50694444444444442</v>
      </c>
      <c r="AO26" s="15">
        <v>0.51041666666666663</v>
      </c>
      <c r="AP26" s="15">
        <v>0.51388888888888895</v>
      </c>
      <c r="AQ26" s="15">
        <v>0.51736111111111105</v>
      </c>
      <c r="AR26" s="15">
        <v>0.52083333333333337</v>
      </c>
      <c r="AS26" s="15">
        <v>0.52430555555555558</v>
      </c>
      <c r="AT26" s="15">
        <v>0.52777777777777779</v>
      </c>
      <c r="AU26" s="15">
        <v>0.53125</v>
      </c>
      <c r="AV26" s="15">
        <v>0.53472222222222221</v>
      </c>
      <c r="AW26" s="15">
        <v>0.53819444444444442</v>
      </c>
      <c r="AX26" s="15">
        <v>0.54166666666666663</v>
      </c>
      <c r="AY26" s="15">
        <v>0.54513888888888895</v>
      </c>
      <c r="AZ26" s="15">
        <v>0.54861111111111105</v>
      </c>
      <c r="BA26" s="15">
        <v>0.55208333333333337</v>
      </c>
      <c r="BB26" s="15">
        <v>0.55555555555555558</v>
      </c>
      <c r="BC26" s="15">
        <v>0.55902777777777779</v>
      </c>
      <c r="BD26" s="15">
        <v>0.5625</v>
      </c>
      <c r="BE26" s="15">
        <v>0.56597222222222221</v>
      </c>
      <c r="BF26" s="15">
        <v>0.56944444444444442</v>
      </c>
      <c r="BG26" s="15">
        <v>0.57291666666666663</v>
      </c>
      <c r="BH26" s="15">
        <v>0.57638888888888895</v>
      </c>
      <c r="BI26" s="15">
        <v>0.57986111111111105</v>
      </c>
      <c r="BJ26" s="15">
        <v>0.58333333333333337</v>
      </c>
      <c r="BK26" s="15">
        <v>0.58680555555555558</v>
      </c>
      <c r="BL26" s="15">
        <v>0.59027777777777779</v>
      </c>
      <c r="BM26" s="15">
        <v>0.59375</v>
      </c>
      <c r="BN26" s="15">
        <v>0.59722222222222221</v>
      </c>
      <c r="BO26" s="15">
        <v>0.60069444444444442</v>
      </c>
      <c r="BP26" s="15">
        <v>0.60416666666666663</v>
      </c>
      <c r="BQ26" s="15">
        <v>0.60763888888888895</v>
      </c>
      <c r="BR26" s="15">
        <v>0.61111111111111105</v>
      </c>
      <c r="BS26" s="15">
        <v>0.61458333333333337</v>
      </c>
      <c r="BT26" s="15">
        <v>0.61805555555555558</v>
      </c>
      <c r="BU26" s="15">
        <v>0.62152777777777779</v>
      </c>
      <c r="BV26" s="15">
        <v>0.625</v>
      </c>
      <c r="BW26" s="15">
        <v>0.62847222222222221</v>
      </c>
      <c r="BX26" s="15">
        <v>0.63194444444444442</v>
      </c>
      <c r="BY26" s="15">
        <v>0.63541666666666663</v>
      </c>
      <c r="BZ26" s="15">
        <v>0.63888888888888895</v>
      </c>
      <c r="CA26" s="15">
        <v>0.64236111111111105</v>
      </c>
      <c r="CB26" s="15">
        <v>0.64583333333333337</v>
      </c>
      <c r="CC26" s="15">
        <v>0.64930555555555558</v>
      </c>
      <c r="CD26" s="15">
        <v>0.65277777777777779</v>
      </c>
      <c r="CE26" s="15">
        <v>0.65625</v>
      </c>
      <c r="CF26" s="15">
        <v>0.65972222222222221</v>
      </c>
      <c r="CG26" s="15">
        <v>0.66319444444444442</v>
      </c>
      <c r="CH26" s="15">
        <v>0.66666666666666663</v>
      </c>
      <c r="CI26" s="15">
        <v>0.67013888888888884</v>
      </c>
      <c r="CJ26" s="15">
        <v>0.67361111111111116</v>
      </c>
      <c r="CK26" s="15">
        <v>0.67708333333333337</v>
      </c>
      <c r="CL26" s="15">
        <v>0.68055555555555547</v>
      </c>
      <c r="CM26" s="15">
        <v>0.68402777777777779</v>
      </c>
      <c r="CN26" s="15">
        <v>0.6875</v>
      </c>
      <c r="CO26" s="15">
        <v>0.69097222222222221</v>
      </c>
      <c r="CP26" s="15">
        <v>0.69444444444444453</v>
      </c>
      <c r="CQ26" s="15">
        <v>0.69791666666666663</v>
      </c>
      <c r="CR26" s="15">
        <v>0.70138888888888884</v>
      </c>
      <c r="CS26" s="15">
        <v>0.70486111111111116</v>
      </c>
      <c r="CT26" s="15">
        <v>0.70833333333333337</v>
      </c>
      <c r="CU26" s="15">
        <v>0.71180555555555547</v>
      </c>
      <c r="CV26" s="15">
        <v>0.71527777777777779</v>
      </c>
      <c r="CW26" s="15">
        <v>0.71875</v>
      </c>
      <c r="CX26" s="15">
        <v>0.72222222222222221</v>
      </c>
      <c r="CY26" s="15">
        <v>0.72569444444444453</v>
      </c>
      <c r="CZ26" s="15">
        <v>0.72916666666666663</v>
      </c>
      <c r="DA26" s="15">
        <v>0.73263888888888884</v>
      </c>
      <c r="DB26" s="15">
        <v>0.73611111111111116</v>
      </c>
      <c r="DC26" s="15">
        <v>0.73958333333333337</v>
      </c>
      <c r="DD26" s="15">
        <v>0.74305555555555547</v>
      </c>
      <c r="DE26" s="15">
        <v>0.74652777777777779</v>
      </c>
      <c r="DF26" s="15">
        <v>0.75</v>
      </c>
      <c r="DG26" s="15">
        <v>0.75347222222222221</v>
      </c>
      <c r="DH26" s="15">
        <v>0.75694444444444453</v>
      </c>
      <c r="DI26" s="15">
        <v>0.76041666666666663</v>
      </c>
      <c r="DJ26" s="15">
        <v>0.76388888888888884</v>
      </c>
      <c r="DK26" s="15">
        <v>0.76736111111111116</v>
      </c>
      <c r="DM26" s="20"/>
    </row>
    <row r="27" spans="1:117" ht="15.75" x14ac:dyDescent="0.25">
      <c r="A27" s="14">
        <v>44146</v>
      </c>
      <c r="B27" s="12" t="s">
        <v>6</v>
      </c>
      <c r="C27" s="13">
        <v>5457.89</v>
      </c>
      <c r="D27" s="13">
        <v>5451.34</v>
      </c>
      <c r="E27" s="13">
        <v>5455.93</v>
      </c>
      <c r="F27" s="13">
        <v>5453.16</v>
      </c>
      <c r="G27" s="13">
        <v>5456.4</v>
      </c>
      <c r="H27" s="13">
        <v>5467.2</v>
      </c>
      <c r="I27" s="13">
        <v>5460.77</v>
      </c>
      <c r="J27" s="13">
        <v>5466.65</v>
      </c>
      <c r="K27" s="13">
        <v>5463.87</v>
      </c>
      <c r="L27" s="13">
        <v>5469.06</v>
      </c>
      <c r="M27" s="13">
        <v>5463.41</v>
      </c>
      <c r="N27" s="13">
        <v>5452.1</v>
      </c>
      <c r="O27" s="13">
        <v>5451.89</v>
      </c>
      <c r="P27" s="13">
        <v>5444.94</v>
      </c>
      <c r="Q27" s="13">
        <v>5441.28</v>
      </c>
      <c r="R27" s="13">
        <v>5439.91</v>
      </c>
      <c r="S27" s="13">
        <v>5459.47</v>
      </c>
      <c r="T27" s="13">
        <v>5464.13</v>
      </c>
      <c r="U27" s="13">
        <v>5467.1</v>
      </c>
      <c r="V27" s="13">
        <v>5455.3</v>
      </c>
      <c r="W27" s="13">
        <v>5456.37</v>
      </c>
      <c r="X27" s="13">
        <v>5455.79</v>
      </c>
      <c r="Y27" s="13">
        <v>5440.3</v>
      </c>
      <c r="Z27" s="13">
        <v>5432.83</v>
      </c>
      <c r="AA27" s="13">
        <v>5434.52</v>
      </c>
      <c r="AB27" s="13">
        <v>5420.29</v>
      </c>
      <c r="AC27" s="13">
        <v>5417.4</v>
      </c>
      <c r="AD27" s="13">
        <v>5439.76</v>
      </c>
      <c r="AE27" s="13">
        <v>5431.51</v>
      </c>
      <c r="AF27" s="13">
        <v>5414.52</v>
      </c>
      <c r="AG27" s="13">
        <v>5421.29</v>
      </c>
      <c r="AH27" s="13">
        <v>5417.33</v>
      </c>
      <c r="AI27" s="13">
        <v>5421.18</v>
      </c>
      <c r="AJ27" s="13">
        <v>5422.48</v>
      </c>
      <c r="AK27" s="13">
        <v>5418.95</v>
      </c>
      <c r="AL27" s="13">
        <v>5417.93</v>
      </c>
      <c r="AM27" s="13">
        <v>5418.58</v>
      </c>
      <c r="AN27" s="13">
        <v>5425.63</v>
      </c>
      <c r="AO27" s="13">
        <v>5428.96</v>
      </c>
      <c r="AP27" s="13">
        <v>5441.84</v>
      </c>
      <c r="AQ27" s="13">
        <v>5417.13</v>
      </c>
      <c r="AR27" s="13">
        <v>5429.36</v>
      </c>
      <c r="AS27" s="13">
        <v>5428.57</v>
      </c>
      <c r="AT27" s="13">
        <v>5430.3</v>
      </c>
      <c r="AU27" s="13">
        <v>5427.66</v>
      </c>
      <c r="AV27" s="13">
        <v>5425.39</v>
      </c>
      <c r="AW27" s="13">
        <v>5420.27</v>
      </c>
      <c r="AX27" s="13">
        <v>5414.98</v>
      </c>
      <c r="AY27" s="13">
        <v>5421.53</v>
      </c>
      <c r="AZ27" s="13">
        <v>5417.51</v>
      </c>
      <c r="BA27" s="13">
        <v>5393.66</v>
      </c>
      <c r="BB27" s="13">
        <v>5407.65</v>
      </c>
      <c r="BC27" s="13">
        <v>5411.32</v>
      </c>
      <c r="BD27" s="13">
        <v>5408.29</v>
      </c>
      <c r="BE27" s="13">
        <v>5415.99</v>
      </c>
      <c r="BF27" s="13">
        <v>5417.56</v>
      </c>
      <c r="BG27" s="13">
        <v>5417.94</v>
      </c>
      <c r="BH27" s="13">
        <v>5421.22</v>
      </c>
      <c r="BI27" s="13">
        <v>5415.83</v>
      </c>
      <c r="BJ27" s="13">
        <v>5426.16</v>
      </c>
      <c r="BK27" s="13">
        <v>5430.27</v>
      </c>
      <c r="BL27" s="13">
        <v>5432.01</v>
      </c>
      <c r="BM27" s="13">
        <v>5431.74</v>
      </c>
      <c r="BN27" s="13">
        <v>5430.39</v>
      </c>
      <c r="BO27" s="13">
        <v>5438.77</v>
      </c>
      <c r="BP27" s="13">
        <v>5431.02</v>
      </c>
      <c r="BQ27" s="13">
        <v>5427.42</v>
      </c>
      <c r="BR27" s="13">
        <v>5436.54</v>
      </c>
      <c r="BS27" s="13">
        <v>5430.54</v>
      </c>
      <c r="BT27" s="13">
        <v>5428.03</v>
      </c>
      <c r="BU27" s="13">
        <v>5427.18</v>
      </c>
      <c r="BV27" s="13">
        <v>5428.88</v>
      </c>
      <c r="BW27" s="13">
        <v>5425.63</v>
      </c>
      <c r="BX27" s="13">
        <v>5427.18</v>
      </c>
      <c r="BY27" s="13">
        <v>5439.81</v>
      </c>
      <c r="BZ27" s="13">
        <v>5430.63</v>
      </c>
      <c r="CA27" s="13">
        <v>5426.62</v>
      </c>
      <c r="CB27" s="13">
        <v>5428.92</v>
      </c>
      <c r="CC27" s="13">
        <v>5441.89</v>
      </c>
      <c r="CD27" s="13">
        <v>5429.73</v>
      </c>
      <c r="CE27" s="13">
        <v>5441.49</v>
      </c>
      <c r="CF27" s="13">
        <v>5434.41</v>
      </c>
      <c r="CG27" s="13">
        <v>5432.38</v>
      </c>
      <c r="CH27" s="13">
        <v>5457.47</v>
      </c>
      <c r="CI27" s="13">
        <v>5424.69</v>
      </c>
      <c r="CJ27" s="13">
        <v>5432.44</v>
      </c>
      <c r="CK27" s="13">
        <v>5429.12</v>
      </c>
      <c r="CL27" s="13">
        <v>5435.11</v>
      </c>
      <c r="CM27" s="13">
        <v>5433.47</v>
      </c>
      <c r="CN27" s="13">
        <v>5433.42</v>
      </c>
      <c r="CO27" s="13">
        <v>5432.19</v>
      </c>
      <c r="CP27" s="13">
        <v>5432.77</v>
      </c>
      <c r="CQ27" s="13">
        <v>5431.99</v>
      </c>
      <c r="CR27" s="13">
        <v>5440.53</v>
      </c>
      <c r="CS27" s="13">
        <v>5439.22</v>
      </c>
      <c r="CT27" s="13">
        <v>5437.09</v>
      </c>
      <c r="CU27" s="13">
        <v>5431.06</v>
      </c>
      <c r="CV27" s="13">
        <v>5432.09</v>
      </c>
      <c r="CW27" s="13">
        <v>5425.19</v>
      </c>
      <c r="CX27" s="13">
        <v>5433.52</v>
      </c>
      <c r="CY27" s="13">
        <v>5429.56</v>
      </c>
      <c r="CZ27" s="13">
        <v>5432.42</v>
      </c>
      <c r="DA27" s="13">
        <v>5429.99</v>
      </c>
      <c r="DB27" s="13">
        <v>5429.6</v>
      </c>
      <c r="DC27" s="13">
        <v>5428.01</v>
      </c>
      <c r="DD27" s="13">
        <v>5424.19</v>
      </c>
      <c r="DE27" s="13">
        <v>5425.13</v>
      </c>
      <c r="DF27" s="13">
        <v>5420.33</v>
      </c>
      <c r="DG27" s="13">
        <v>5422.09</v>
      </c>
      <c r="DH27" s="13">
        <v>5423.07</v>
      </c>
      <c r="DI27" s="13">
        <v>5428.14</v>
      </c>
      <c r="DJ27" s="13">
        <v>5416.22</v>
      </c>
      <c r="DK27" s="13">
        <v>5423.51</v>
      </c>
      <c r="DM27" s="20"/>
    </row>
    <row r="28" spans="1:117" ht="15.75" x14ac:dyDescent="0.25">
      <c r="A28" s="14" t="s">
        <v>12</v>
      </c>
      <c r="B28" s="12" t="s">
        <v>10</v>
      </c>
      <c r="C28" s="13">
        <v>5444.12</v>
      </c>
      <c r="D28" s="13">
        <v>5451.34</v>
      </c>
      <c r="E28" s="13">
        <v>5449.97</v>
      </c>
      <c r="F28" s="13">
        <v>5443.97</v>
      </c>
      <c r="G28" s="13">
        <v>5452.73</v>
      </c>
      <c r="H28" s="13">
        <v>5457.93</v>
      </c>
      <c r="I28" s="13">
        <v>5460.34</v>
      </c>
      <c r="J28" s="13">
        <v>5462.56</v>
      </c>
      <c r="K28" s="13">
        <v>5460.38</v>
      </c>
      <c r="L28" s="13">
        <v>5464.22</v>
      </c>
      <c r="M28" s="13">
        <v>5444.6</v>
      </c>
      <c r="N28" s="13">
        <v>5434.73</v>
      </c>
      <c r="O28" s="13">
        <v>5438.52</v>
      </c>
      <c r="P28" s="13">
        <v>5437.67</v>
      </c>
      <c r="Q28" s="13">
        <v>5439.8</v>
      </c>
      <c r="R28" s="13">
        <v>5436.11</v>
      </c>
      <c r="S28" s="13">
        <v>5438.4</v>
      </c>
      <c r="T28" s="13">
        <v>5448.82</v>
      </c>
      <c r="U28" s="13">
        <v>5460.65</v>
      </c>
      <c r="V28" s="13">
        <v>5449.77</v>
      </c>
      <c r="W28" s="13">
        <v>5440.72</v>
      </c>
      <c r="X28" s="13">
        <v>5437.8</v>
      </c>
      <c r="Y28" s="13">
        <v>5425.55</v>
      </c>
      <c r="Z28" s="13">
        <v>5420.96</v>
      </c>
      <c r="AA28" s="13">
        <v>5414.81</v>
      </c>
      <c r="AB28" s="13">
        <v>5409.63</v>
      </c>
      <c r="AC28" s="13">
        <v>5403.76</v>
      </c>
      <c r="AD28" s="13">
        <v>5407.43</v>
      </c>
      <c r="AE28" s="13">
        <v>5409.44</v>
      </c>
      <c r="AF28" s="13">
        <v>5408.62</v>
      </c>
      <c r="AG28" s="13">
        <v>5409.92</v>
      </c>
      <c r="AH28" s="13">
        <v>5412.08</v>
      </c>
      <c r="AI28" s="13">
        <v>5410.67</v>
      </c>
      <c r="AJ28" s="13">
        <v>5411.86</v>
      </c>
      <c r="AK28" s="13">
        <v>5410.18</v>
      </c>
      <c r="AL28" s="13">
        <v>5409.16</v>
      </c>
      <c r="AM28" s="13">
        <v>5415.06</v>
      </c>
      <c r="AN28" s="13">
        <v>5425.63</v>
      </c>
      <c r="AO28" s="13">
        <v>5418.64</v>
      </c>
      <c r="AP28" s="13">
        <v>5412.13</v>
      </c>
      <c r="AQ28" s="13">
        <v>5409</v>
      </c>
      <c r="AR28" s="13">
        <v>5410.65</v>
      </c>
      <c r="AS28" s="13">
        <v>5419.58</v>
      </c>
      <c r="AT28" s="13">
        <v>5420.16</v>
      </c>
      <c r="AU28" s="13">
        <v>5420.33</v>
      </c>
      <c r="AV28" s="13">
        <v>5416.31</v>
      </c>
      <c r="AW28" s="13">
        <v>5411.65</v>
      </c>
      <c r="AX28" s="13">
        <v>5409.26</v>
      </c>
      <c r="AY28" s="13">
        <v>5415.74</v>
      </c>
      <c r="AZ28" s="13">
        <v>5409.16</v>
      </c>
      <c r="BA28" s="13">
        <v>5393.66</v>
      </c>
      <c r="BB28" s="13">
        <v>5400.63</v>
      </c>
      <c r="BC28" s="13">
        <v>5401.36</v>
      </c>
      <c r="BD28" s="13">
        <v>5403.69</v>
      </c>
      <c r="BE28" s="13">
        <v>5406.17</v>
      </c>
      <c r="BF28" s="13">
        <v>5413.65</v>
      </c>
      <c r="BG28" s="13">
        <v>5414.23</v>
      </c>
      <c r="BH28" s="13">
        <v>5413.49</v>
      </c>
      <c r="BI28" s="13">
        <v>5412.66</v>
      </c>
      <c r="BJ28" s="13">
        <v>5418.41</v>
      </c>
      <c r="BK28" s="13">
        <v>5425.32</v>
      </c>
      <c r="BL28" s="13">
        <v>5423.77</v>
      </c>
      <c r="BM28" s="13">
        <v>5428.68</v>
      </c>
      <c r="BN28" s="13">
        <v>5425.77</v>
      </c>
      <c r="BO28" s="13">
        <v>5432.7</v>
      </c>
      <c r="BP28" s="13">
        <v>5426.7</v>
      </c>
      <c r="BQ28" s="13">
        <v>5422.33</v>
      </c>
      <c r="BR28" s="13">
        <v>5427.27</v>
      </c>
      <c r="BS28" s="13">
        <v>5428.95</v>
      </c>
      <c r="BT28" s="13">
        <v>5425.8</v>
      </c>
      <c r="BU28" s="13">
        <v>5425.03</v>
      </c>
      <c r="BV28" s="13">
        <v>5423.51</v>
      </c>
      <c r="BW28" s="13">
        <v>5421.82</v>
      </c>
      <c r="BX28" s="13">
        <v>5421.91</v>
      </c>
      <c r="BY28" s="13">
        <v>5428.9</v>
      </c>
      <c r="BZ28" s="13">
        <v>5426.72</v>
      </c>
      <c r="CA28" s="13">
        <v>5422.19</v>
      </c>
      <c r="CB28" s="13">
        <v>5423.12</v>
      </c>
      <c r="CC28" s="13">
        <v>5426.77</v>
      </c>
      <c r="CD28" s="13">
        <v>5427.7</v>
      </c>
      <c r="CE28" s="13">
        <v>5432.12</v>
      </c>
      <c r="CF28" s="13">
        <v>5428.07</v>
      </c>
      <c r="CG28" s="13">
        <v>5430.48</v>
      </c>
      <c r="CH28" s="13">
        <v>5423.92</v>
      </c>
      <c r="CI28" s="13">
        <v>5415.7</v>
      </c>
      <c r="CJ28" s="13">
        <v>5424.8</v>
      </c>
      <c r="CK28" s="13">
        <v>5427.24</v>
      </c>
      <c r="CL28" s="13">
        <v>5424.56</v>
      </c>
      <c r="CM28" s="13">
        <v>5425.09</v>
      </c>
      <c r="CN28" s="13">
        <v>5430.23</v>
      </c>
      <c r="CO28" s="13">
        <v>5430.23</v>
      </c>
      <c r="CP28" s="13">
        <v>5429.64</v>
      </c>
      <c r="CQ28" s="13">
        <v>5428.36</v>
      </c>
      <c r="CR28" s="13">
        <v>5434.83</v>
      </c>
      <c r="CS28" s="13">
        <v>5430.92</v>
      </c>
      <c r="CT28" s="13">
        <v>5431.56</v>
      </c>
      <c r="CU28" s="13">
        <v>5426.84</v>
      </c>
      <c r="CV28" s="13">
        <v>5420.96</v>
      </c>
      <c r="CW28" s="13">
        <v>5420.5</v>
      </c>
      <c r="CX28" s="13">
        <v>5424.26</v>
      </c>
      <c r="CY28" s="13">
        <v>5423.64</v>
      </c>
      <c r="CZ28" s="13">
        <v>5425.49</v>
      </c>
      <c r="DA28" s="13">
        <v>5426.76</v>
      </c>
      <c r="DB28" s="13">
        <v>5428.6</v>
      </c>
      <c r="DC28" s="13">
        <v>5428.01</v>
      </c>
      <c r="DD28" s="13">
        <v>5417.93</v>
      </c>
      <c r="DE28" s="13">
        <v>5417.78</v>
      </c>
      <c r="DF28" s="13">
        <v>5415.66</v>
      </c>
      <c r="DG28" s="13">
        <v>5420.49</v>
      </c>
      <c r="DH28" s="13">
        <v>5417.1</v>
      </c>
      <c r="DI28" s="13">
        <v>5407.28</v>
      </c>
      <c r="DJ28" s="13">
        <v>5409.17</v>
      </c>
      <c r="DK28" s="13">
        <v>5412.44</v>
      </c>
      <c r="DM28" s="20"/>
    </row>
    <row r="29" spans="1:117" ht="15.75" x14ac:dyDescent="0.25">
      <c r="A29" s="14" t="s">
        <v>12</v>
      </c>
      <c r="B29" s="12" t="s">
        <v>9</v>
      </c>
      <c r="C29" s="13">
        <v>5431.33</v>
      </c>
      <c r="D29" s="13">
        <v>5440.19</v>
      </c>
      <c r="E29" s="13">
        <v>5442.78</v>
      </c>
      <c r="F29" s="13">
        <v>5434.26</v>
      </c>
      <c r="G29" s="13">
        <v>5441.61</v>
      </c>
      <c r="H29" s="13">
        <v>5446.63</v>
      </c>
      <c r="I29" s="13">
        <v>5444.57</v>
      </c>
      <c r="J29" s="13">
        <v>5450.48</v>
      </c>
      <c r="K29" s="13">
        <v>5449.86</v>
      </c>
      <c r="L29" s="13">
        <v>5453.44</v>
      </c>
      <c r="M29" s="13">
        <v>5431.32</v>
      </c>
      <c r="N29" s="13">
        <v>5420.14</v>
      </c>
      <c r="O29" s="13">
        <v>5425.66</v>
      </c>
      <c r="P29" s="13">
        <v>5425.3</v>
      </c>
      <c r="Q29" s="13">
        <v>5427.14</v>
      </c>
      <c r="R29" s="13">
        <v>5423.8</v>
      </c>
      <c r="S29" s="13">
        <v>5425.92</v>
      </c>
      <c r="T29" s="13">
        <v>5436.62</v>
      </c>
      <c r="U29" s="13">
        <v>5442.1</v>
      </c>
      <c r="V29" s="13">
        <v>5438.95</v>
      </c>
      <c r="W29" s="13">
        <v>5429.17</v>
      </c>
      <c r="X29" s="13">
        <v>5423.64</v>
      </c>
      <c r="Y29" s="13">
        <v>5410.08</v>
      </c>
      <c r="Z29" s="13">
        <v>5406.61</v>
      </c>
      <c r="AA29" s="13">
        <v>5402.21</v>
      </c>
      <c r="AB29" s="13">
        <v>5396.55</v>
      </c>
      <c r="AC29" s="13">
        <v>5387.41</v>
      </c>
      <c r="AD29" s="13">
        <v>5394.66</v>
      </c>
      <c r="AE29" s="13">
        <v>5393.29</v>
      </c>
      <c r="AF29" s="13">
        <v>5392.77</v>
      </c>
      <c r="AG29" s="13">
        <v>5394.68</v>
      </c>
      <c r="AH29" s="13">
        <v>5394.7</v>
      </c>
      <c r="AI29" s="13">
        <v>5391.41</v>
      </c>
      <c r="AJ29" s="13">
        <v>5396.73</v>
      </c>
      <c r="AK29" s="13">
        <v>5394.86</v>
      </c>
      <c r="AL29" s="13">
        <v>5392.23</v>
      </c>
      <c r="AM29" s="13">
        <v>5394.71</v>
      </c>
      <c r="AN29" s="13">
        <v>5403.29</v>
      </c>
      <c r="AO29" s="13">
        <v>5398.84</v>
      </c>
      <c r="AP29" s="13">
        <v>5388.12</v>
      </c>
      <c r="AQ29" s="13">
        <v>5393.69</v>
      </c>
      <c r="AR29" s="13">
        <v>5379.64</v>
      </c>
      <c r="AS29" s="13">
        <v>5403.25</v>
      </c>
      <c r="AT29" s="13">
        <v>5397.21</v>
      </c>
      <c r="AU29" s="13">
        <v>5391.85</v>
      </c>
      <c r="AV29" s="13">
        <v>5399.48</v>
      </c>
      <c r="AW29" s="13">
        <v>5396.37</v>
      </c>
      <c r="AX29" s="13">
        <v>5394.46</v>
      </c>
      <c r="AY29" s="13">
        <v>5399.7</v>
      </c>
      <c r="AZ29" s="13">
        <v>5394.69</v>
      </c>
      <c r="BA29" s="13">
        <v>5375.36</v>
      </c>
      <c r="BB29" s="13">
        <v>5382.04</v>
      </c>
      <c r="BC29" s="13">
        <v>5379.25</v>
      </c>
      <c r="BD29" s="13">
        <v>5381.97</v>
      </c>
      <c r="BE29" s="13">
        <v>5387.65</v>
      </c>
      <c r="BF29" s="13">
        <v>5395.28</v>
      </c>
      <c r="BG29" s="13">
        <v>5396.17</v>
      </c>
      <c r="BH29" s="13">
        <v>5392.79</v>
      </c>
      <c r="BI29" s="13">
        <v>5391.51</v>
      </c>
      <c r="BJ29" s="13">
        <v>5394.84</v>
      </c>
      <c r="BK29" s="13">
        <v>5398.67</v>
      </c>
      <c r="BL29" s="13">
        <v>5405.09</v>
      </c>
      <c r="BM29" s="13">
        <v>5404.04</v>
      </c>
      <c r="BN29" s="13">
        <v>5396.71</v>
      </c>
      <c r="BO29" s="13">
        <v>5413.11</v>
      </c>
      <c r="BP29" s="13">
        <v>5402.84</v>
      </c>
      <c r="BQ29" s="13">
        <v>5400.98</v>
      </c>
      <c r="BR29" s="13">
        <v>5401.23</v>
      </c>
      <c r="BS29" s="13">
        <v>5410.47</v>
      </c>
      <c r="BT29" s="13">
        <v>5403.58</v>
      </c>
      <c r="BU29" s="13">
        <v>5403.09</v>
      </c>
      <c r="BV29" s="13">
        <v>5403.2</v>
      </c>
      <c r="BW29" s="13">
        <v>5398.79</v>
      </c>
      <c r="BX29" s="13">
        <v>5404.61</v>
      </c>
      <c r="BY29" s="13">
        <v>5411.63</v>
      </c>
      <c r="BZ29" s="13">
        <v>5408.99</v>
      </c>
      <c r="CA29" s="13">
        <v>5401.37</v>
      </c>
      <c r="CB29" s="13">
        <v>5399.94</v>
      </c>
      <c r="CC29" s="13">
        <v>5409.5</v>
      </c>
      <c r="CD29" s="13">
        <v>5410.36</v>
      </c>
      <c r="CE29" s="13">
        <v>5413.94</v>
      </c>
      <c r="CF29" s="13">
        <v>5405.13</v>
      </c>
      <c r="CG29" s="13">
        <v>5411.03</v>
      </c>
      <c r="CH29" s="13">
        <v>5380.16</v>
      </c>
      <c r="CI29" s="13">
        <v>5395.76</v>
      </c>
      <c r="CJ29" s="13">
        <v>5403.54</v>
      </c>
      <c r="CK29" s="13">
        <v>5404.99</v>
      </c>
      <c r="CL29" s="13">
        <v>5403.05</v>
      </c>
      <c r="CM29" s="13">
        <v>5398.56</v>
      </c>
      <c r="CN29" s="13">
        <v>5406.6</v>
      </c>
      <c r="CO29" s="13">
        <v>5408.18</v>
      </c>
      <c r="CP29" s="13">
        <v>5407.54</v>
      </c>
      <c r="CQ29" s="13">
        <v>5407.27</v>
      </c>
      <c r="CR29" s="13">
        <v>5412.34</v>
      </c>
      <c r="CS29" s="13">
        <v>5408.92</v>
      </c>
      <c r="CT29" s="13">
        <v>5404.41</v>
      </c>
      <c r="CU29" s="13">
        <v>5405.35</v>
      </c>
      <c r="CV29" s="13">
        <v>5392.89</v>
      </c>
      <c r="CW29" s="13">
        <v>5398.03</v>
      </c>
      <c r="CX29" s="13">
        <v>5403.66</v>
      </c>
      <c r="CY29" s="13">
        <v>5402.51</v>
      </c>
      <c r="CZ29" s="13">
        <v>5404.06</v>
      </c>
      <c r="DA29" s="13">
        <v>5404.56</v>
      </c>
      <c r="DB29" s="13">
        <v>5405.7</v>
      </c>
      <c r="DC29" s="13">
        <v>5403</v>
      </c>
      <c r="DD29" s="13">
        <v>5394.38</v>
      </c>
      <c r="DE29" s="13">
        <v>5397.05</v>
      </c>
      <c r="DF29" s="13">
        <v>5395.01</v>
      </c>
      <c r="DG29" s="13">
        <v>5399.76</v>
      </c>
      <c r="DH29" s="13">
        <v>5393.66</v>
      </c>
      <c r="DI29" s="13">
        <v>5382.02</v>
      </c>
      <c r="DJ29" s="13">
        <v>5389.15</v>
      </c>
      <c r="DK29" s="13">
        <v>5391.95</v>
      </c>
      <c r="DM29" s="20"/>
    </row>
    <row r="30" spans="1:117" ht="15.75" x14ac:dyDescent="0.25">
      <c r="A30" s="14" t="s">
        <v>12</v>
      </c>
      <c r="B30" s="12" t="s">
        <v>7</v>
      </c>
      <c r="C30" s="13">
        <v>5384</v>
      </c>
      <c r="D30" s="13">
        <v>5428.26</v>
      </c>
      <c r="E30" s="13">
        <v>5431.26</v>
      </c>
      <c r="F30" s="13">
        <v>5433.26</v>
      </c>
      <c r="G30" s="13">
        <v>5428.48</v>
      </c>
      <c r="H30" s="13">
        <v>5425.33</v>
      </c>
      <c r="I30" s="13">
        <v>5437.2</v>
      </c>
      <c r="J30" s="13">
        <v>5438.97</v>
      </c>
      <c r="K30" s="13">
        <v>5440.57</v>
      </c>
      <c r="L30" s="13">
        <v>5439.69</v>
      </c>
      <c r="M30" s="13">
        <v>5401.42</v>
      </c>
      <c r="N30" s="13">
        <v>5393</v>
      </c>
      <c r="O30" s="13">
        <v>5416.3</v>
      </c>
      <c r="P30" s="13">
        <v>5418.46</v>
      </c>
      <c r="Q30" s="13">
        <v>5417.57</v>
      </c>
      <c r="R30" s="13">
        <v>5396.25</v>
      </c>
      <c r="S30" s="13">
        <v>5414</v>
      </c>
      <c r="T30" s="13">
        <v>5422.2</v>
      </c>
      <c r="U30" s="13">
        <v>5435.6</v>
      </c>
      <c r="V30" s="13">
        <v>5431.48</v>
      </c>
      <c r="W30" s="13">
        <v>5425.9</v>
      </c>
      <c r="X30" s="13">
        <v>5409.11</v>
      </c>
      <c r="Y30" s="13">
        <v>5382.09</v>
      </c>
      <c r="Z30" s="13">
        <v>5402.55</v>
      </c>
      <c r="AA30" s="13">
        <v>5392.04</v>
      </c>
      <c r="AB30" s="13">
        <v>5396.55</v>
      </c>
      <c r="AC30" s="13">
        <v>5387.41</v>
      </c>
      <c r="AD30" s="13">
        <v>5388.49</v>
      </c>
      <c r="AE30" s="13">
        <v>5386.82</v>
      </c>
      <c r="AF30" s="13">
        <v>5376.9</v>
      </c>
      <c r="AG30" s="13">
        <v>5381.84</v>
      </c>
      <c r="AH30" s="13">
        <v>5359.79</v>
      </c>
      <c r="AI30" s="13">
        <v>5363.74</v>
      </c>
      <c r="AJ30" s="13">
        <v>5387.88</v>
      </c>
      <c r="AK30" s="13">
        <v>5381.26</v>
      </c>
      <c r="AL30" s="13">
        <v>5377.04</v>
      </c>
      <c r="AM30" s="13">
        <v>5389.88</v>
      </c>
      <c r="AN30" s="13">
        <v>5388.52</v>
      </c>
      <c r="AO30" s="13">
        <v>5388.91</v>
      </c>
      <c r="AP30" s="13">
        <v>5366.7</v>
      </c>
      <c r="AQ30" s="13">
        <v>5380.98</v>
      </c>
      <c r="AR30" s="13">
        <v>5375.55</v>
      </c>
      <c r="AS30" s="13">
        <v>5386</v>
      </c>
      <c r="AT30" s="13">
        <v>5378.08</v>
      </c>
      <c r="AU30" s="13">
        <v>5391.85</v>
      </c>
      <c r="AV30" s="13">
        <v>5391.3</v>
      </c>
      <c r="AW30" s="13">
        <v>5362.89</v>
      </c>
      <c r="AX30" s="13">
        <v>5388.4</v>
      </c>
      <c r="AY30" s="13">
        <v>5382.8</v>
      </c>
      <c r="AZ30" s="13">
        <v>5377.69</v>
      </c>
      <c r="BA30" s="13">
        <v>5375.36</v>
      </c>
      <c r="BB30" s="13">
        <v>5371.88</v>
      </c>
      <c r="BC30" s="13">
        <v>5377.12</v>
      </c>
      <c r="BD30" s="13">
        <v>5372.17</v>
      </c>
      <c r="BE30" s="13">
        <v>5367.61</v>
      </c>
      <c r="BF30" s="13">
        <v>5378.22</v>
      </c>
      <c r="BG30" s="13">
        <v>5387.77</v>
      </c>
      <c r="BH30" s="13">
        <v>5385.61</v>
      </c>
      <c r="BI30" s="13">
        <v>5372.91</v>
      </c>
      <c r="BJ30" s="13">
        <v>5381.35</v>
      </c>
      <c r="BK30" s="13">
        <v>5387.68</v>
      </c>
      <c r="BL30" s="13">
        <v>5376.36</v>
      </c>
      <c r="BM30" s="13">
        <v>5402.23</v>
      </c>
      <c r="BN30" s="13">
        <v>5396.71</v>
      </c>
      <c r="BO30" s="13">
        <v>5398.32</v>
      </c>
      <c r="BP30" s="13">
        <v>5387.86</v>
      </c>
      <c r="BQ30" s="13">
        <v>5381.72</v>
      </c>
      <c r="BR30" s="13">
        <v>5385.05</v>
      </c>
      <c r="BS30" s="13">
        <v>5364.04</v>
      </c>
      <c r="BT30" s="13">
        <v>5393.55</v>
      </c>
      <c r="BU30" s="13">
        <v>5388.11</v>
      </c>
      <c r="BV30" s="13">
        <v>5395.18</v>
      </c>
      <c r="BW30" s="13">
        <v>5383.4</v>
      </c>
      <c r="BX30" s="13">
        <v>5393.7</v>
      </c>
      <c r="BY30" s="13">
        <v>5393.64</v>
      </c>
      <c r="BZ30" s="13">
        <v>5388.65</v>
      </c>
      <c r="CA30" s="13">
        <v>5391.38</v>
      </c>
      <c r="CB30" s="13">
        <v>5386.55</v>
      </c>
      <c r="CC30" s="13">
        <v>5388.54</v>
      </c>
      <c r="CD30" s="13">
        <v>5405.42</v>
      </c>
      <c r="CE30" s="13">
        <v>5400.41</v>
      </c>
      <c r="CF30" s="13">
        <v>5396.18</v>
      </c>
      <c r="CG30" s="13">
        <v>5398.62</v>
      </c>
      <c r="CH30" s="13">
        <v>5380.16</v>
      </c>
      <c r="CI30" s="13">
        <v>5376.53</v>
      </c>
      <c r="CJ30" s="13">
        <v>5391.78</v>
      </c>
      <c r="CK30" s="13">
        <v>5401.87</v>
      </c>
      <c r="CL30" s="13">
        <v>5366.29</v>
      </c>
      <c r="CM30" s="13">
        <v>5389.26</v>
      </c>
      <c r="CN30" s="13">
        <v>5399.95</v>
      </c>
      <c r="CO30" s="13">
        <v>5401.77</v>
      </c>
      <c r="CP30" s="13">
        <v>5396.03</v>
      </c>
      <c r="CQ30" s="13">
        <v>5391.98</v>
      </c>
      <c r="CR30" s="13">
        <v>5396.07</v>
      </c>
      <c r="CS30" s="13">
        <v>5398.04</v>
      </c>
      <c r="CT30" s="13">
        <v>5396.98</v>
      </c>
      <c r="CU30" s="13">
        <v>5368.87</v>
      </c>
      <c r="CV30" s="13">
        <v>5374.96</v>
      </c>
      <c r="CW30" s="13">
        <v>5390.39</v>
      </c>
      <c r="CX30" s="13">
        <v>5397.06</v>
      </c>
      <c r="CY30" s="13">
        <v>5392.75</v>
      </c>
      <c r="CZ30" s="13">
        <v>5394.54</v>
      </c>
      <c r="DA30" s="13">
        <v>5398.91</v>
      </c>
      <c r="DB30" s="13">
        <v>5403.01</v>
      </c>
      <c r="DC30" s="13">
        <v>5393.71</v>
      </c>
      <c r="DD30" s="13">
        <v>5383.18</v>
      </c>
      <c r="DE30" s="13">
        <v>5380.69</v>
      </c>
      <c r="DF30" s="13">
        <v>5389.51</v>
      </c>
      <c r="DG30" s="13">
        <v>5391.16</v>
      </c>
      <c r="DH30" s="13">
        <v>5386.76</v>
      </c>
      <c r="DI30" s="13">
        <v>5370.51</v>
      </c>
      <c r="DJ30" s="13">
        <v>5371.35</v>
      </c>
      <c r="DK30" s="13">
        <v>5386.25</v>
      </c>
      <c r="DM30" s="20"/>
    </row>
    <row r="31" spans="1:117" ht="15.75" x14ac:dyDescent="0.25">
      <c r="A31" s="11" t="s">
        <v>5</v>
      </c>
      <c r="B31" s="11" t="s">
        <v>11</v>
      </c>
      <c r="C31" s="15">
        <v>0.37847222222222227</v>
      </c>
      <c r="D31" s="15">
        <v>0.38194444444444442</v>
      </c>
      <c r="E31" s="15">
        <v>0.38541666666666669</v>
      </c>
      <c r="F31" s="15">
        <v>0.3888888888888889</v>
      </c>
      <c r="G31" s="15">
        <v>0.3923611111111111</v>
      </c>
      <c r="H31" s="15">
        <v>0.39583333333333331</v>
      </c>
      <c r="I31" s="15">
        <v>0.39930555555555558</v>
      </c>
      <c r="J31" s="15">
        <v>0.40277777777777773</v>
      </c>
      <c r="K31" s="15">
        <v>0.40625</v>
      </c>
      <c r="L31" s="15">
        <v>0.40972222222222227</v>
      </c>
      <c r="M31" s="15">
        <v>0.41319444444444442</v>
      </c>
      <c r="N31" s="15">
        <v>0.41666666666666669</v>
      </c>
      <c r="O31" s="15">
        <v>0.4201388888888889</v>
      </c>
      <c r="P31" s="15">
        <v>0.4236111111111111</v>
      </c>
      <c r="Q31" s="15">
        <v>0.42708333333333331</v>
      </c>
      <c r="R31" s="15">
        <v>0.43055555555555558</v>
      </c>
      <c r="S31" s="15">
        <v>0.43402777777777773</v>
      </c>
      <c r="T31" s="15">
        <v>0.4375</v>
      </c>
      <c r="U31" s="15">
        <v>0.44097222222222227</v>
      </c>
      <c r="V31" s="15">
        <v>0.44444444444444442</v>
      </c>
      <c r="W31" s="15">
        <v>0.44791666666666669</v>
      </c>
      <c r="X31" s="15">
        <v>0.4513888888888889</v>
      </c>
      <c r="Y31" s="15">
        <v>0.4548611111111111</v>
      </c>
      <c r="Z31" s="15">
        <v>0.45833333333333331</v>
      </c>
      <c r="AA31" s="15">
        <v>0.46180555555555558</v>
      </c>
      <c r="AB31" s="15">
        <v>0.46527777777777773</v>
      </c>
      <c r="AC31" s="15">
        <v>0.46875</v>
      </c>
      <c r="AD31" s="15">
        <v>0.47222222222222227</v>
      </c>
      <c r="AE31" s="15">
        <v>0.47569444444444442</v>
      </c>
      <c r="AF31" s="15">
        <v>0.47916666666666669</v>
      </c>
      <c r="AG31" s="15">
        <v>0.4826388888888889</v>
      </c>
      <c r="AH31" s="15">
        <v>0.4861111111111111</v>
      </c>
      <c r="AI31" s="15">
        <v>0.48958333333333331</v>
      </c>
      <c r="AJ31" s="15">
        <v>0.49305555555555558</v>
      </c>
      <c r="AK31" s="15">
        <v>0.49652777777777773</v>
      </c>
      <c r="AL31" s="15">
        <v>0.5</v>
      </c>
      <c r="AM31" s="15">
        <v>0.50347222222222221</v>
      </c>
      <c r="AN31" s="15">
        <v>0.50694444444444442</v>
      </c>
      <c r="AO31" s="15">
        <v>0.51041666666666663</v>
      </c>
      <c r="AP31" s="15">
        <v>0.51388888888888895</v>
      </c>
      <c r="AQ31" s="15">
        <v>0.51736111111111105</v>
      </c>
      <c r="AR31" s="15">
        <v>0.52083333333333337</v>
      </c>
      <c r="AS31" s="15">
        <v>0.52430555555555558</v>
      </c>
      <c r="AT31" s="15">
        <v>0.52777777777777779</v>
      </c>
      <c r="AU31" s="15">
        <v>0.53125</v>
      </c>
      <c r="AV31" s="15">
        <v>0.53472222222222221</v>
      </c>
      <c r="AW31" s="15">
        <v>0.53819444444444442</v>
      </c>
      <c r="AX31" s="15">
        <v>0.54166666666666663</v>
      </c>
      <c r="AY31" s="15">
        <v>0.54513888888888895</v>
      </c>
      <c r="AZ31" s="15">
        <v>0.54861111111111105</v>
      </c>
      <c r="BA31" s="15">
        <v>0.55208333333333337</v>
      </c>
      <c r="BB31" s="15">
        <v>0.55555555555555558</v>
      </c>
      <c r="BC31" s="15">
        <v>0.55902777777777779</v>
      </c>
      <c r="BD31" s="15">
        <v>0.5625</v>
      </c>
      <c r="BE31" s="15">
        <v>0.56597222222222221</v>
      </c>
      <c r="BF31" s="15">
        <v>0.56944444444444442</v>
      </c>
      <c r="BG31" s="15">
        <v>0.57291666666666663</v>
      </c>
      <c r="BH31" s="15">
        <v>0.57638888888888895</v>
      </c>
      <c r="BI31" s="15">
        <v>0.57986111111111105</v>
      </c>
      <c r="BJ31" s="15">
        <v>0.58333333333333337</v>
      </c>
      <c r="BK31" s="15">
        <v>0.58680555555555558</v>
      </c>
      <c r="BL31" s="15">
        <v>0.59027777777777779</v>
      </c>
      <c r="BM31" s="15">
        <v>0.59375</v>
      </c>
      <c r="BN31" s="15">
        <v>0.59722222222222221</v>
      </c>
      <c r="BO31" s="15">
        <v>0.60069444444444442</v>
      </c>
      <c r="BP31" s="15">
        <v>0.60416666666666663</v>
      </c>
      <c r="BQ31" s="15">
        <v>0.60763888888888895</v>
      </c>
      <c r="BR31" s="15">
        <v>0.61111111111111105</v>
      </c>
      <c r="BS31" s="15">
        <v>0.61458333333333337</v>
      </c>
      <c r="BT31" s="15">
        <v>0.61805555555555558</v>
      </c>
      <c r="BU31" s="15">
        <v>0.62152777777777779</v>
      </c>
      <c r="BV31" s="15">
        <v>0.625</v>
      </c>
      <c r="BW31" s="15">
        <v>0.62847222222222221</v>
      </c>
      <c r="BX31" s="15">
        <v>0.63194444444444442</v>
      </c>
      <c r="BY31" s="15">
        <v>0.63541666666666663</v>
      </c>
      <c r="BZ31" s="15">
        <v>0.63888888888888895</v>
      </c>
      <c r="CA31" s="15">
        <v>0.64236111111111105</v>
      </c>
      <c r="CB31" s="15">
        <v>0.64583333333333337</v>
      </c>
      <c r="CC31" s="15">
        <v>0.64930555555555558</v>
      </c>
      <c r="CD31" s="15">
        <v>0.65277777777777779</v>
      </c>
      <c r="CE31" s="15">
        <v>0.65625</v>
      </c>
      <c r="CF31" s="15">
        <v>0.65972222222222221</v>
      </c>
      <c r="CG31" s="15">
        <v>0.66319444444444442</v>
      </c>
      <c r="CH31" s="15">
        <v>0.66666666666666663</v>
      </c>
      <c r="CI31" s="15">
        <v>0.67013888888888884</v>
      </c>
      <c r="CJ31" s="15">
        <v>0.67361111111111116</v>
      </c>
      <c r="CK31" s="15">
        <v>0.67708333333333337</v>
      </c>
      <c r="CL31" s="15">
        <v>0.68055555555555547</v>
      </c>
      <c r="CM31" s="15">
        <v>0.68402777777777779</v>
      </c>
      <c r="CN31" s="15">
        <v>0.6875</v>
      </c>
      <c r="CO31" s="15">
        <v>0.69097222222222221</v>
      </c>
      <c r="CP31" s="15">
        <v>0.69444444444444453</v>
      </c>
      <c r="CQ31" s="15">
        <v>0.69791666666666663</v>
      </c>
      <c r="CR31" s="15">
        <v>0.70138888888888884</v>
      </c>
      <c r="CS31" s="15">
        <v>0.70486111111111116</v>
      </c>
      <c r="CT31" s="15">
        <v>0.70833333333333337</v>
      </c>
      <c r="CU31" s="15">
        <v>0.71180555555555547</v>
      </c>
      <c r="CV31" s="15">
        <v>0.71527777777777779</v>
      </c>
      <c r="CW31" s="15">
        <v>0.71875</v>
      </c>
      <c r="CX31" s="15">
        <v>0.72222222222222221</v>
      </c>
      <c r="CY31" s="15">
        <v>0.72569444444444453</v>
      </c>
      <c r="CZ31" s="15">
        <v>0.72916666666666663</v>
      </c>
      <c r="DA31" s="15">
        <v>0.73263888888888884</v>
      </c>
      <c r="DB31" s="15">
        <v>0.73611111111111116</v>
      </c>
      <c r="DC31" s="15">
        <v>0.73958333333333337</v>
      </c>
      <c r="DD31" s="15">
        <v>0.74305555555555547</v>
      </c>
      <c r="DE31" s="15">
        <v>0.74652777777777779</v>
      </c>
      <c r="DF31" s="15">
        <v>0.75</v>
      </c>
      <c r="DG31" s="15">
        <v>0.75347222222222221</v>
      </c>
      <c r="DH31" s="15">
        <v>0.75694444444444453</v>
      </c>
      <c r="DI31" s="15">
        <v>0.76041666666666663</v>
      </c>
      <c r="DJ31" s="15">
        <v>0.76388888888888884</v>
      </c>
      <c r="DK31" s="15">
        <v>0.76736111111111116</v>
      </c>
      <c r="DM31" s="20"/>
    </row>
    <row r="32" spans="1:117" ht="15.75" x14ac:dyDescent="0.25">
      <c r="A32" s="14">
        <v>44147</v>
      </c>
      <c r="B32" s="12" t="s">
        <v>6</v>
      </c>
      <c r="C32" s="13">
        <v>5410</v>
      </c>
      <c r="D32" s="13">
        <v>5403.95</v>
      </c>
      <c r="E32" s="13">
        <v>5401.41</v>
      </c>
      <c r="F32" s="13">
        <v>5396.17</v>
      </c>
      <c r="G32" s="13">
        <v>5388.55</v>
      </c>
      <c r="H32" s="13">
        <v>5375.49</v>
      </c>
      <c r="I32" s="13">
        <v>5373.04</v>
      </c>
      <c r="J32" s="13">
        <v>5379.82</v>
      </c>
      <c r="K32" s="13">
        <v>5384.16</v>
      </c>
      <c r="L32" s="13">
        <v>5397.69</v>
      </c>
      <c r="M32" s="13">
        <v>5403.68</v>
      </c>
      <c r="N32" s="13">
        <v>5405.16</v>
      </c>
      <c r="O32" s="13">
        <v>5414.92</v>
      </c>
      <c r="P32" s="13">
        <v>5414.09</v>
      </c>
      <c r="Q32" s="13">
        <v>5414.76</v>
      </c>
      <c r="R32" s="13">
        <v>5413.8</v>
      </c>
      <c r="S32" s="13">
        <v>5411.62</v>
      </c>
      <c r="T32" s="13">
        <v>5414.06</v>
      </c>
      <c r="U32" s="13">
        <v>5418.83</v>
      </c>
      <c r="V32" s="13">
        <v>5417.13</v>
      </c>
      <c r="W32" s="13">
        <v>5408.46</v>
      </c>
      <c r="X32" s="13">
        <v>5402.4</v>
      </c>
      <c r="Y32" s="13">
        <v>5407.67</v>
      </c>
      <c r="Z32" s="13">
        <v>5412.08</v>
      </c>
      <c r="AA32" s="13">
        <v>5419.82</v>
      </c>
      <c r="AB32" s="13">
        <v>5423.08</v>
      </c>
      <c r="AC32" s="13">
        <v>5424.88</v>
      </c>
      <c r="AD32" s="13">
        <v>5423.77</v>
      </c>
      <c r="AE32" s="13">
        <v>5431.74</v>
      </c>
      <c r="AF32" s="13">
        <v>5428.86</v>
      </c>
      <c r="AG32" s="13">
        <v>5430.57</v>
      </c>
      <c r="AH32" s="13">
        <v>5431.42</v>
      </c>
      <c r="AI32" s="13">
        <v>5436.11</v>
      </c>
      <c r="AJ32" s="13">
        <v>5433.61</v>
      </c>
      <c r="AK32" s="13">
        <v>5443.3</v>
      </c>
      <c r="AL32" s="13">
        <v>5445.29</v>
      </c>
      <c r="AM32" s="13">
        <v>5443.55</v>
      </c>
      <c r="AN32" s="13">
        <v>5434.83</v>
      </c>
      <c r="AO32" s="13">
        <v>5432.93</v>
      </c>
      <c r="AP32" s="13">
        <v>5426.2</v>
      </c>
      <c r="AQ32" s="13">
        <v>5430.65</v>
      </c>
      <c r="AR32" s="13">
        <v>5434</v>
      </c>
      <c r="AS32" s="13">
        <v>5431.96</v>
      </c>
      <c r="AT32" s="13">
        <v>5433.36</v>
      </c>
      <c r="AU32" s="13">
        <v>5432.46</v>
      </c>
      <c r="AV32" s="13">
        <v>5433.32</v>
      </c>
      <c r="AW32" s="13">
        <v>5430.65</v>
      </c>
      <c r="AX32" s="13">
        <v>5430.42</v>
      </c>
      <c r="AY32" s="13">
        <v>5427.67</v>
      </c>
      <c r="AZ32" s="13">
        <v>5428.14</v>
      </c>
      <c r="BA32" s="13">
        <v>5425.25</v>
      </c>
      <c r="BB32" s="13">
        <v>5425.12</v>
      </c>
      <c r="BC32" s="13">
        <v>5423.54</v>
      </c>
      <c r="BD32" s="13">
        <v>5422.52</v>
      </c>
      <c r="BE32" s="13">
        <v>5423.54</v>
      </c>
      <c r="BF32" s="13">
        <v>5426.9</v>
      </c>
      <c r="BG32" s="13">
        <v>5430.87</v>
      </c>
      <c r="BH32" s="13">
        <v>5428.77</v>
      </c>
      <c r="BI32" s="13">
        <v>5428.11</v>
      </c>
      <c r="BJ32" s="13">
        <v>5428.95</v>
      </c>
      <c r="BK32" s="13">
        <v>5431.36</v>
      </c>
      <c r="BL32" s="13">
        <v>5431.44</v>
      </c>
      <c r="BM32" s="13">
        <v>5432.41</v>
      </c>
      <c r="BN32" s="13">
        <v>5434.35</v>
      </c>
      <c r="BO32" s="13">
        <v>5436.95</v>
      </c>
      <c r="BP32" s="13">
        <v>5436.07</v>
      </c>
      <c r="BQ32" s="13">
        <v>5434.87</v>
      </c>
      <c r="BR32" s="13">
        <v>5431.61</v>
      </c>
      <c r="BS32" s="13">
        <v>5435.98</v>
      </c>
      <c r="BT32" s="13">
        <v>5441.7</v>
      </c>
      <c r="BU32" s="13">
        <v>5440.48</v>
      </c>
      <c r="BV32" s="13">
        <v>5440.93</v>
      </c>
      <c r="BW32" s="13">
        <v>5445.22</v>
      </c>
      <c r="BX32" s="13">
        <v>5447.1</v>
      </c>
      <c r="BY32" s="13">
        <v>5451.67</v>
      </c>
      <c r="BZ32" s="13">
        <v>5454.39</v>
      </c>
      <c r="CA32" s="13">
        <v>5453.6</v>
      </c>
      <c r="CB32" s="13">
        <v>5467.02</v>
      </c>
      <c r="CC32" s="13">
        <v>5476.11</v>
      </c>
      <c r="CD32" s="13">
        <v>5475.34</v>
      </c>
      <c r="CE32" s="13">
        <v>5471.89</v>
      </c>
      <c r="CF32" s="13">
        <v>5471.51</v>
      </c>
      <c r="CG32" s="13">
        <v>5471.72</v>
      </c>
      <c r="CH32" s="13">
        <v>5470.99</v>
      </c>
      <c r="CI32" s="13">
        <v>5473.99</v>
      </c>
      <c r="CJ32" s="13">
        <v>5478.64</v>
      </c>
      <c r="CK32" s="13">
        <v>5476.02</v>
      </c>
      <c r="CL32" s="13">
        <v>5480.31</v>
      </c>
      <c r="CM32" s="13">
        <v>5482.2</v>
      </c>
      <c r="CN32" s="13">
        <v>5478.2</v>
      </c>
      <c r="CO32" s="13">
        <v>5482.57</v>
      </c>
      <c r="CP32" s="13">
        <v>5487.57</v>
      </c>
      <c r="CQ32" s="13">
        <v>5487.33</v>
      </c>
      <c r="CR32" s="13">
        <v>5487.02</v>
      </c>
      <c r="CS32" s="13">
        <v>5489.1</v>
      </c>
      <c r="CT32" s="13">
        <v>5490.81</v>
      </c>
      <c r="CU32" s="13">
        <v>5497.49</v>
      </c>
      <c r="CV32" s="13">
        <v>5501.72</v>
      </c>
      <c r="CW32" s="13">
        <v>5493.48</v>
      </c>
      <c r="CX32" s="13">
        <v>5490.14</v>
      </c>
      <c r="CY32" s="13">
        <v>5490.91</v>
      </c>
      <c r="CZ32" s="13">
        <v>5491.08</v>
      </c>
      <c r="DA32" s="13">
        <v>5484.72</v>
      </c>
      <c r="DB32" s="13">
        <v>5480.89</v>
      </c>
      <c r="DC32" s="13">
        <v>5483.52</v>
      </c>
      <c r="DD32" s="13">
        <v>5485.66</v>
      </c>
      <c r="DE32" s="13">
        <v>5485.66</v>
      </c>
      <c r="DF32" s="13">
        <v>5471.16</v>
      </c>
      <c r="DG32" s="13">
        <v>5472.11</v>
      </c>
      <c r="DH32" s="13">
        <v>5471.92</v>
      </c>
      <c r="DI32" s="13">
        <v>5469.72</v>
      </c>
      <c r="DJ32" s="13">
        <v>5471.1</v>
      </c>
      <c r="DK32" s="13">
        <v>5467.32</v>
      </c>
      <c r="DM32" s="20"/>
    </row>
    <row r="33" spans="1:117" ht="15.75" x14ac:dyDescent="0.25">
      <c r="A33" s="14" t="s">
        <v>12</v>
      </c>
      <c r="B33" s="12" t="s">
        <v>10</v>
      </c>
      <c r="C33" s="13">
        <v>5392.81</v>
      </c>
      <c r="D33" s="13">
        <v>5397.26</v>
      </c>
      <c r="E33" s="13">
        <v>5399.74</v>
      </c>
      <c r="F33" s="13">
        <v>5386.77</v>
      </c>
      <c r="G33" s="13">
        <v>5375.67</v>
      </c>
      <c r="H33" s="13">
        <v>5367.93</v>
      </c>
      <c r="I33" s="13">
        <v>5370.16</v>
      </c>
      <c r="J33" s="13">
        <v>5378.88</v>
      </c>
      <c r="K33" s="13">
        <v>5383.75</v>
      </c>
      <c r="L33" s="13">
        <v>5397.69</v>
      </c>
      <c r="M33" s="13">
        <v>5398.79</v>
      </c>
      <c r="N33" s="13">
        <v>5403.5</v>
      </c>
      <c r="O33" s="13">
        <v>5414.09</v>
      </c>
      <c r="P33" s="13">
        <v>5409.19</v>
      </c>
      <c r="Q33" s="13">
        <v>5410.28</v>
      </c>
      <c r="R33" s="13">
        <v>5404.77</v>
      </c>
      <c r="S33" s="13">
        <v>5401.63</v>
      </c>
      <c r="T33" s="13">
        <v>5409.61</v>
      </c>
      <c r="U33" s="13">
        <v>5413.18</v>
      </c>
      <c r="V33" s="13">
        <v>5412.47</v>
      </c>
      <c r="W33" s="13">
        <v>5402.74</v>
      </c>
      <c r="X33" s="13">
        <v>5401.21</v>
      </c>
      <c r="Y33" s="13">
        <v>5406.13</v>
      </c>
      <c r="Z33" s="13">
        <v>5410.65</v>
      </c>
      <c r="AA33" s="13">
        <v>5417.97</v>
      </c>
      <c r="AB33" s="13">
        <v>5420.26</v>
      </c>
      <c r="AC33" s="13">
        <v>5422.66</v>
      </c>
      <c r="AD33" s="13">
        <v>5422.66</v>
      </c>
      <c r="AE33" s="13">
        <v>5427.95</v>
      </c>
      <c r="AF33" s="13">
        <v>5426.2</v>
      </c>
      <c r="AG33" s="13">
        <v>5427.61</v>
      </c>
      <c r="AH33" s="13">
        <v>5430.42</v>
      </c>
      <c r="AI33" s="13">
        <v>5434.83</v>
      </c>
      <c r="AJ33" s="13">
        <v>5433</v>
      </c>
      <c r="AK33" s="13">
        <v>5442.83</v>
      </c>
      <c r="AL33" s="13">
        <v>5444.57</v>
      </c>
      <c r="AM33" s="13">
        <v>5437.79</v>
      </c>
      <c r="AN33" s="13">
        <v>5434.05</v>
      </c>
      <c r="AO33" s="13">
        <v>5428.57</v>
      </c>
      <c r="AP33" s="13">
        <v>5426.08</v>
      </c>
      <c r="AQ33" s="13">
        <v>5428.18</v>
      </c>
      <c r="AR33" s="13">
        <v>5428.75</v>
      </c>
      <c r="AS33" s="13">
        <v>5431.96</v>
      </c>
      <c r="AT33" s="13">
        <v>5431.03</v>
      </c>
      <c r="AU33" s="13">
        <v>5430.38</v>
      </c>
      <c r="AV33" s="13">
        <v>5425.23</v>
      </c>
      <c r="AW33" s="13">
        <v>5430.65</v>
      </c>
      <c r="AX33" s="13">
        <v>5423.46</v>
      </c>
      <c r="AY33" s="13">
        <v>5422.95</v>
      </c>
      <c r="AZ33" s="13">
        <v>5424.21</v>
      </c>
      <c r="BA33" s="13">
        <v>5422.3</v>
      </c>
      <c r="BB33" s="13">
        <v>5422.76</v>
      </c>
      <c r="BC33" s="13">
        <v>5421.67</v>
      </c>
      <c r="BD33" s="13">
        <v>5416.84</v>
      </c>
      <c r="BE33" s="13">
        <v>5423.54</v>
      </c>
      <c r="BF33" s="13">
        <v>5426.2</v>
      </c>
      <c r="BG33" s="13">
        <v>5426.12</v>
      </c>
      <c r="BH33" s="13">
        <v>5427.07</v>
      </c>
      <c r="BI33" s="13">
        <v>5427.15</v>
      </c>
      <c r="BJ33" s="13">
        <v>5427.16</v>
      </c>
      <c r="BK33" s="13">
        <v>5427.58</v>
      </c>
      <c r="BL33" s="13">
        <v>5429.12</v>
      </c>
      <c r="BM33" s="13">
        <v>5428.94</v>
      </c>
      <c r="BN33" s="13">
        <v>5433.36</v>
      </c>
      <c r="BO33" s="13">
        <v>5435.56</v>
      </c>
      <c r="BP33" s="13">
        <v>5434.97</v>
      </c>
      <c r="BQ33" s="13">
        <v>5430.77</v>
      </c>
      <c r="BR33" s="13">
        <v>5431.24</v>
      </c>
      <c r="BS33" s="13">
        <v>5435.48</v>
      </c>
      <c r="BT33" s="13">
        <v>5439.58</v>
      </c>
      <c r="BU33" s="13">
        <v>5438.2</v>
      </c>
      <c r="BV33" s="13">
        <v>5438.52</v>
      </c>
      <c r="BW33" s="13">
        <v>5442.99</v>
      </c>
      <c r="BX33" s="13">
        <v>5443.86</v>
      </c>
      <c r="BY33" s="13">
        <v>5451.14</v>
      </c>
      <c r="BZ33" s="13">
        <v>5451.59</v>
      </c>
      <c r="CA33" s="13">
        <v>5453.55</v>
      </c>
      <c r="CB33" s="13">
        <v>5466.56</v>
      </c>
      <c r="CC33" s="13">
        <v>5475.29</v>
      </c>
      <c r="CD33" s="13">
        <v>5471.06</v>
      </c>
      <c r="CE33" s="13">
        <v>5470.67</v>
      </c>
      <c r="CF33" s="13">
        <v>5466.68</v>
      </c>
      <c r="CG33" s="13">
        <v>5465.71</v>
      </c>
      <c r="CH33" s="13">
        <v>5467.05</v>
      </c>
      <c r="CI33" s="13">
        <v>5473.02</v>
      </c>
      <c r="CJ33" s="13">
        <v>5477.26</v>
      </c>
      <c r="CK33" s="13">
        <v>5473.44</v>
      </c>
      <c r="CL33" s="13">
        <v>5478.97</v>
      </c>
      <c r="CM33" s="13">
        <v>5482.2</v>
      </c>
      <c r="CN33" s="13">
        <v>5477.92</v>
      </c>
      <c r="CO33" s="13">
        <v>5482.39</v>
      </c>
      <c r="CP33" s="13">
        <v>5485.02</v>
      </c>
      <c r="CQ33" s="13">
        <v>5484.74</v>
      </c>
      <c r="CR33" s="13">
        <v>5483.63</v>
      </c>
      <c r="CS33" s="13">
        <v>5486.24</v>
      </c>
      <c r="CT33" s="13">
        <v>5490.81</v>
      </c>
      <c r="CU33" s="13">
        <v>5497.49</v>
      </c>
      <c r="CV33" s="13">
        <v>5499.15</v>
      </c>
      <c r="CW33" s="13">
        <v>5489.8</v>
      </c>
      <c r="CX33" s="13">
        <v>5489.68</v>
      </c>
      <c r="CY33" s="13">
        <v>5489.7</v>
      </c>
      <c r="CZ33" s="13">
        <v>5485.84</v>
      </c>
      <c r="DA33" s="13">
        <v>5481.7</v>
      </c>
      <c r="DB33" s="13">
        <v>5478.14</v>
      </c>
      <c r="DC33" s="13">
        <v>5481.65</v>
      </c>
      <c r="DD33" s="13">
        <v>5482.1</v>
      </c>
      <c r="DE33" s="13">
        <v>5469.06</v>
      </c>
      <c r="DF33" s="13">
        <v>5470.28</v>
      </c>
      <c r="DG33" s="13">
        <v>5471.63</v>
      </c>
      <c r="DH33" s="13">
        <v>5469.15</v>
      </c>
      <c r="DI33" s="13">
        <v>5469.1</v>
      </c>
      <c r="DJ33" s="13">
        <v>5468.72</v>
      </c>
      <c r="DK33" s="13">
        <v>5464.53</v>
      </c>
      <c r="DM33" s="20"/>
    </row>
    <row r="34" spans="1:117" ht="15.75" x14ac:dyDescent="0.25">
      <c r="A34" s="14" t="s">
        <v>12</v>
      </c>
      <c r="B34" s="12" t="s">
        <v>9</v>
      </c>
      <c r="C34" s="13">
        <v>5383.77</v>
      </c>
      <c r="D34" s="13">
        <v>5388.8</v>
      </c>
      <c r="E34" s="13">
        <v>5390.69</v>
      </c>
      <c r="F34" s="13">
        <v>5378.2</v>
      </c>
      <c r="G34" s="13">
        <v>5366.85</v>
      </c>
      <c r="H34" s="13">
        <v>5360.29</v>
      </c>
      <c r="I34" s="13">
        <v>5361.27</v>
      </c>
      <c r="J34" s="13">
        <v>5370.04</v>
      </c>
      <c r="K34" s="13">
        <v>5373.53</v>
      </c>
      <c r="L34" s="13">
        <v>5385.11</v>
      </c>
      <c r="M34" s="13">
        <v>5388.34</v>
      </c>
      <c r="N34" s="13">
        <v>5393.16</v>
      </c>
      <c r="O34" s="13">
        <v>5403.76</v>
      </c>
      <c r="P34" s="13">
        <v>5394.97</v>
      </c>
      <c r="Q34" s="13">
        <v>5398.03</v>
      </c>
      <c r="R34" s="13">
        <v>5392.97</v>
      </c>
      <c r="S34" s="13">
        <v>5390.84</v>
      </c>
      <c r="T34" s="13">
        <v>5400.47</v>
      </c>
      <c r="U34" s="13">
        <v>5403.9</v>
      </c>
      <c r="V34" s="13">
        <v>5403.49</v>
      </c>
      <c r="W34" s="13">
        <v>5393.47</v>
      </c>
      <c r="X34" s="13">
        <v>5391.29</v>
      </c>
      <c r="Y34" s="13">
        <v>5397.25</v>
      </c>
      <c r="Z34" s="13">
        <v>5401.47</v>
      </c>
      <c r="AA34" s="13">
        <v>5409.19</v>
      </c>
      <c r="AB34" s="13">
        <v>5411.21</v>
      </c>
      <c r="AC34" s="13">
        <v>5414.73</v>
      </c>
      <c r="AD34" s="13">
        <v>5414.07</v>
      </c>
      <c r="AE34" s="13">
        <v>5423.68</v>
      </c>
      <c r="AF34" s="13">
        <v>5416.86</v>
      </c>
      <c r="AG34" s="13">
        <v>5418.74</v>
      </c>
      <c r="AH34" s="13">
        <v>5420.79</v>
      </c>
      <c r="AI34" s="13">
        <v>5426.41</v>
      </c>
      <c r="AJ34" s="13">
        <v>5424.03</v>
      </c>
      <c r="AK34" s="13">
        <v>5433.76</v>
      </c>
      <c r="AL34" s="13">
        <v>5435.76</v>
      </c>
      <c r="AM34" s="13">
        <v>5429.09</v>
      </c>
      <c r="AN34" s="13">
        <v>5424.58</v>
      </c>
      <c r="AO34" s="13">
        <v>5419.85</v>
      </c>
      <c r="AP34" s="13">
        <v>5415.1</v>
      </c>
      <c r="AQ34" s="13">
        <v>5419.14</v>
      </c>
      <c r="AR34" s="13">
        <v>5419.83</v>
      </c>
      <c r="AS34" s="13">
        <v>5423.14</v>
      </c>
      <c r="AT34" s="13">
        <v>5422.38</v>
      </c>
      <c r="AU34" s="13">
        <v>5421.79</v>
      </c>
      <c r="AV34" s="13">
        <v>5416.38</v>
      </c>
      <c r="AW34" s="13">
        <v>5420.79</v>
      </c>
      <c r="AX34" s="13">
        <v>5414.18</v>
      </c>
      <c r="AY34" s="13">
        <v>5413.14</v>
      </c>
      <c r="AZ34" s="13">
        <v>5415.14</v>
      </c>
      <c r="BA34" s="13">
        <v>5413.86</v>
      </c>
      <c r="BB34" s="13">
        <v>5413.77</v>
      </c>
      <c r="BC34" s="13">
        <v>5412.42</v>
      </c>
      <c r="BD34" s="13">
        <v>5408.03</v>
      </c>
      <c r="BE34" s="13">
        <v>5413.3</v>
      </c>
      <c r="BF34" s="13">
        <v>5417.22</v>
      </c>
      <c r="BG34" s="13">
        <v>5417.17</v>
      </c>
      <c r="BH34" s="13">
        <v>5418.03</v>
      </c>
      <c r="BI34" s="13">
        <v>5418.23</v>
      </c>
      <c r="BJ34" s="13">
        <v>5418.23</v>
      </c>
      <c r="BK34" s="13">
        <v>5418.98</v>
      </c>
      <c r="BL34" s="13">
        <v>5420.03</v>
      </c>
      <c r="BM34" s="13">
        <v>5419.86</v>
      </c>
      <c r="BN34" s="13">
        <v>5424.18</v>
      </c>
      <c r="BO34" s="13">
        <v>5425.94</v>
      </c>
      <c r="BP34" s="13">
        <v>5425.74</v>
      </c>
      <c r="BQ34" s="13">
        <v>5421.65</v>
      </c>
      <c r="BR34" s="13">
        <v>5421.03</v>
      </c>
      <c r="BS34" s="13">
        <v>5426.17</v>
      </c>
      <c r="BT34" s="13">
        <v>5430.86</v>
      </c>
      <c r="BU34" s="13">
        <v>5428.85</v>
      </c>
      <c r="BV34" s="13">
        <v>5429.18</v>
      </c>
      <c r="BW34" s="13">
        <v>5434.49</v>
      </c>
      <c r="BX34" s="13">
        <v>5434.75</v>
      </c>
      <c r="BY34" s="13">
        <v>5442.26</v>
      </c>
      <c r="BZ34" s="13">
        <v>5443.19</v>
      </c>
      <c r="CA34" s="13">
        <v>5444.8</v>
      </c>
      <c r="CB34" s="13">
        <v>5458.18</v>
      </c>
      <c r="CC34" s="13">
        <v>5467.65</v>
      </c>
      <c r="CD34" s="13">
        <v>5462.75</v>
      </c>
      <c r="CE34" s="13">
        <v>5462.23</v>
      </c>
      <c r="CF34" s="13">
        <v>5458.18</v>
      </c>
      <c r="CG34" s="13">
        <v>5457.52</v>
      </c>
      <c r="CH34" s="13">
        <v>5458.53</v>
      </c>
      <c r="CI34" s="13">
        <v>5464.81</v>
      </c>
      <c r="CJ34" s="13">
        <v>5468.85</v>
      </c>
      <c r="CK34" s="13">
        <v>5464.75</v>
      </c>
      <c r="CL34" s="13">
        <v>5470.81</v>
      </c>
      <c r="CM34" s="13">
        <v>5473.98</v>
      </c>
      <c r="CN34" s="13">
        <v>5469.69</v>
      </c>
      <c r="CO34" s="13">
        <v>5473.86</v>
      </c>
      <c r="CP34" s="13">
        <v>5476.82</v>
      </c>
      <c r="CQ34" s="13">
        <v>5476.2</v>
      </c>
      <c r="CR34" s="13">
        <v>5475.3</v>
      </c>
      <c r="CS34" s="13">
        <v>5477.82</v>
      </c>
      <c r="CT34" s="13">
        <v>5481.69</v>
      </c>
      <c r="CU34" s="13">
        <v>5489.15</v>
      </c>
      <c r="CV34" s="13">
        <v>5490.45</v>
      </c>
      <c r="CW34" s="13">
        <v>5481.19</v>
      </c>
      <c r="CX34" s="13">
        <v>5480.74</v>
      </c>
      <c r="CY34" s="13">
        <v>5481.14</v>
      </c>
      <c r="CZ34" s="13">
        <v>5477.36</v>
      </c>
      <c r="DA34" s="13">
        <v>5473.21</v>
      </c>
      <c r="DB34" s="13">
        <v>5469.3</v>
      </c>
      <c r="DC34" s="13">
        <v>5473.23</v>
      </c>
      <c r="DD34" s="13">
        <v>5473.75</v>
      </c>
      <c r="DE34" s="13">
        <v>5460.85</v>
      </c>
      <c r="DF34" s="13">
        <v>5461.32</v>
      </c>
      <c r="DG34" s="13">
        <v>5462.32</v>
      </c>
      <c r="DH34" s="13">
        <v>5459.85</v>
      </c>
      <c r="DI34" s="13">
        <v>5459.38</v>
      </c>
      <c r="DJ34" s="13">
        <v>5458.99</v>
      </c>
      <c r="DK34" s="13">
        <v>5455.44</v>
      </c>
      <c r="DM34" s="20"/>
    </row>
    <row r="35" spans="1:117" ht="15.75" x14ac:dyDescent="0.25">
      <c r="A35" s="14" t="s">
        <v>12</v>
      </c>
      <c r="B35" s="12" t="s">
        <v>7</v>
      </c>
      <c r="C35" s="13">
        <v>5377.5</v>
      </c>
      <c r="D35" s="13">
        <v>5381.8</v>
      </c>
      <c r="E35" s="13">
        <v>5386.17</v>
      </c>
      <c r="F35" s="13">
        <v>5377.2</v>
      </c>
      <c r="G35" s="13">
        <v>5366.85</v>
      </c>
      <c r="H35" s="13">
        <v>5360.29</v>
      </c>
      <c r="I35" s="13">
        <v>5357.85</v>
      </c>
      <c r="J35" s="13">
        <v>5361.55</v>
      </c>
      <c r="K35" s="13">
        <v>5369.02</v>
      </c>
      <c r="L35" s="13">
        <v>5379.19</v>
      </c>
      <c r="M35" s="13">
        <v>5382.09</v>
      </c>
      <c r="N35" s="13">
        <v>5389.74</v>
      </c>
      <c r="O35" s="13">
        <v>5391.1</v>
      </c>
      <c r="P35" s="13">
        <v>5393.1</v>
      </c>
      <c r="Q35" s="13">
        <v>5397.08</v>
      </c>
      <c r="R35" s="13">
        <v>5382.05</v>
      </c>
      <c r="S35" s="13">
        <v>5385.61</v>
      </c>
      <c r="T35" s="13">
        <v>5372.96</v>
      </c>
      <c r="U35" s="13">
        <v>5399.47</v>
      </c>
      <c r="V35" s="13">
        <v>5402.28</v>
      </c>
      <c r="W35" s="13">
        <v>5392.58</v>
      </c>
      <c r="X35" s="13">
        <v>5387.56</v>
      </c>
      <c r="Y35" s="13">
        <v>5388.78</v>
      </c>
      <c r="Z35" s="13">
        <v>5395.06</v>
      </c>
      <c r="AA35" s="13">
        <v>5402.22</v>
      </c>
      <c r="AB35" s="13">
        <v>5409.69</v>
      </c>
      <c r="AC35" s="13">
        <v>5411.34</v>
      </c>
      <c r="AD35" s="13">
        <v>5410.27</v>
      </c>
      <c r="AE35" s="13">
        <v>5412.67</v>
      </c>
      <c r="AF35" s="13">
        <v>5416.81</v>
      </c>
      <c r="AG35" s="13">
        <v>5415.69</v>
      </c>
      <c r="AH35" s="13">
        <v>5418.19</v>
      </c>
      <c r="AI35" s="13">
        <v>5423.52</v>
      </c>
      <c r="AJ35" s="13">
        <v>5420.64</v>
      </c>
      <c r="AK35" s="13">
        <v>5426.72</v>
      </c>
      <c r="AL35" s="13">
        <v>5431.85</v>
      </c>
      <c r="AM35" s="13">
        <v>5429.09</v>
      </c>
      <c r="AN35" s="13">
        <v>5421.66</v>
      </c>
      <c r="AO35" s="13">
        <v>5418.89</v>
      </c>
      <c r="AP35" s="13">
        <v>5413.72</v>
      </c>
      <c r="AQ35" s="13">
        <v>5414.88</v>
      </c>
      <c r="AR35" s="13">
        <v>5418.53</v>
      </c>
      <c r="AS35" s="13">
        <v>5419.22</v>
      </c>
      <c r="AT35" s="13">
        <v>5421.03</v>
      </c>
      <c r="AU35" s="13">
        <v>5419.7</v>
      </c>
      <c r="AV35" s="13">
        <v>5416.38</v>
      </c>
      <c r="AW35" s="13">
        <v>5415.75</v>
      </c>
      <c r="AX35" s="13">
        <v>5412.72</v>
      </c>
      <c r="AY35" s="13">
        <v>5410.86</v>
      </c>
      <c r="AZ35" s="13">
        <v>5413.32</v>
      </c>
      <c r="BA35" s="13">
        <v>5413.25</v>
      </c>
      <c r="BB35" s="13">
        <v>5409.72</v>
      </c>
      <c r="BC35" s="13">
        <v>5411.48</v>
      </c>
      <c r="BD35" s="13">
        <v>5408.03</v>
      </c>
      <c r="BE35" s="13">
        <v>5408.13</v>
      </c>
      <c r="BF35" s="13">
        <v>5413.3</v>
      </c>
      <c r="BG35" s="13">
        <v>5415.89</v>
      </c>
      <c r="BH35" s="13">
        <v>5412.67</v>
      </c>
      <c r="BI35" s="13">
        <v>5415.75</v>
      </c>
      <c r="BJ35" s="13">
        <v>5417.49</v>
      </c>
      <c r="BK35" s="13">
        <v>5418.92</v>
      </c>
      <c r="BL35" s="13">
        <v>5419.57</v>
      </c>
      <c r="BM35" s="13">
        <v>5419.72</v>
      </c>
      <c r="BN35" s="13">
        <v>5422.72</v>
      </c>
      <c r="BO35" s="13">
        <v>5423.92</v>
      </c>
      <c r="BP35" s="13">
        <v>5422.63</v>
      </c>
      <c r="BQ35" s="13">
        <v>5421.34</v>
      </c>
      <c r="BR35" s="13">
        <v>5418.2</v>
      </c>
      <c r="BS35" s="13">
        <v>5421.94</v>
      </c>
      <c r="BT35" s="13">
        <v>5425.92</v>
      </c>
      <c r="BU35" s="13">
        <v>5427.39</v>
      </c>
      <c r="BV35" s="13">
        <v>5428.06</v>
      </c>
      <c r="BW35" s="13">
        <v>5429.8</v>
      </c>
      <c r="BX35" s="13">
        <v>5434.68</v>
      </c>
      <c r="BY35" s="13">
        <v>5434.86</v>
      </c>
      <c r="BZ35" s="13">
        <v>5441.86</v>
      </c>
      <c r="CA35" s="13">
        <v>5441.86</v>
      </c>
      <c r="CB35" s="13">
        <v>5446.02</v>
      </c>
      <c r="CC35" s="13">
        <v>5462.82</v>
      </c>
      <c r="CD35" s="13">
        <v>5461.31</v>
      </c>
      <c r="CE35" s="13">
        <v>5459.38</v>
      </c>
      <c r="CF35" s="13">
        <v>5457.27</v>
      </c>
      <c r="CG35" s="13">
        <v>5457.45</v>
      </c>
      <c r="CH35" s="13">
        <v>5458.23</v>
      </c>
      <c r="CI35" s="13">
        <v>5455.8</v>
      </c>
      <c r="CJ35" s="13">
        <v>5465.79</v>
      </c>
      <c r="CK35" s="13">
        <v>5462.04</v>
      </c>
      <c r="CL35" s="13">
        <v>5465.87</v>
      </c>
      <c r="CM35" s="13">
        <v>5471.86</v>
      </c>
      <c r="CN35" s="13">
        <v>5467.2</v>
      </c>
      <c r="CO35" s="13">
        <v>5467.31</v>
      </c>
      <c r="CP35" s="13">
        <v>5471.64</v>
      </c>
      <c r="CQ35" s="13">
        <v>5475.45</v>
      </c>
      <c r="CR35" s="13">
        <v>5474.22</v>
      </c>
      <c r="CS35" s="13">
        <v>5477.44</v>
      </c>
      <c r="CT35" s="13">
        <v>5477.63</v>
      </c>
      <c r="CU35" s="13">
        <v>5481.75</v>
      </c>
      <c r="CV35" s="13">
        <v>5489.92</v>
      </c>
      <c r="CW35" s="13">
        <v>5478</v>
      </c>
      <c r="CX35" s="13">
        <v>5476.58</v>
      </c>
      <c r="CY35" s="13">
        <v>5480.2</v>
      </c>
      <c r="CZ35" s="13">
        <v>5477.36</v>
      </c>
      <c r="DA35" s="13">
        <v>5470.47</v>
      </c>
      <c r="DB35" s="13">
        <v>5467.86</v>
      </c>
      <c r="DC35" s="13">
        <v>5469.26</v>
      </c>
      <c r="DD35" s="13">
        <v>5473.04</v>
      </c>
      <c r="DE35" s="13">
        <v>5460.26</v>
      </c>
      <c r="DF35" s="13">
        <v>5455.81</v>
      </c>
      <c r="DG35" s="13">
        <v>5458.63</v>
      </c>
      <c r="DH35" s="13">
        <v>5458.89</v>
      </c>
      <c r="DI35" s="13">
        <v>5458.39</v>
      </c>
      <c r="DJ35" s="13">
        <v>5458.99</v>
      </c>
      <c r="DK35" s="13">
        <v>5453.42</v>
      </c>
      <c r="DM35" s="20"/>
    </row>
    <row r="36" spans="1:117" ht="15.75" x14ac:dyDescent="0.25">
      <c r="A36" s="11" t="s">
        <v>5</v>
      </c>
      <c r="B36" s="11" t="s">
        <v>11</v>
      </c>
      <c r="C36" s="15">
        <v>0.37847222222222227</v>
      </c>
      <c r="D36" s="15">
        <v>0.38194444444444442</v>
      </c>
      <c r="E36" s="15">
        <v>0.38541666666666669</v>
      </c>
      <c r="F36" s="15">
        <v>0.3888888888888889</v>
      </c>
      <c r="G36" s="15">
        <v>0.3923611111111111</v>
      </c>
      <c r="H36" s="15">
        <v>0.39583333333333331</v>
      </c>
      <c r="I36" s="15">
        <v>0.39930555555555558</v>
      </c>
      <c r="J36" s="15">
        <v>0.40277777777777773</v>
      </c>
      <c r="K36" s="15">
        <v>0.40625</v>
      </c>
      <c r="L36" s="15">
        <v>0.40972222222222227</v>
      </c>
      <c r="M36" s="15">
        <v>0.41319444444444442</v>
      </c>
      <c r="N36" s="15">
        <v>0.41666666666666669</v>
      </c>
      <c r="O36" s="15">
        <v>0.4201388888888889</v>
      </c>
      <c r="P36" s="15">
        <v>0.4236111111111111</v>
      </c>
      <c r="Q36" s="15">
        <v>0.42708333333333331</v>
      </c>
      <c r="R36" s="15">
        <v>0.43055555555555558</v>
      </c>
      <c r="S36" s="15">
        <v>0.43402777777777773</v>
      </c>
      <c r="T36" s="15">
        <v>0.4375</v>
      </c>
      <c r="U36" s="15">
        <v>0.44097222222222227</v>
      </c>
      <c r="V36" s="15">
        <v>0.44444444444444442</v>
      </c>
      <c r="W36" s="15">
        <v>0.44791666666666669</v>
      </c>
      <c r="X36" s="15">
        <v>0.4513888888888889</v>
      </c>
      <c r="Y36" s="15">
        <v>0.4548611111111111</v>
      </c>
      <c r="Z36" s="15">
        <v>0.45833333333333331</v>
      </c>
      <c r="AA36" s="15">
        <v>0.46180555555555558</v>
      </c>
      <c r="AB36" s="15">
        <v>0.46527777777777773</v>
      </c>
      <c r="AC36" s="15">
        <v>0.46875</v>
      </c>
      <c r="AD36" s="15">
        <v>0.47222222222222227</v>
      </c>
      <c r="AE36" s="15">
        <v>0.47569444444444442</v>
      </c>
      <c r="AF36" s="15">
        <v>0.47916666666666669</v>
      </c>
      <c r="AG36" s="15">
        <v>0.4826388888888889</v>
      </c>
      <c r="AH36" s="15">
        <v>0.4861111111111111</v>
      </c>
      <c r="AI36" s="15">
        <v>0.48958333333333331</v>
      </c>
      <c r="AJ36" s="15">
        <v>0.49305555555555558</v>
      </c>
      <c r="AK36" s="15">
        <v>0.49652777777777773</v>
      </c>
      <c r="AL36" s="15">
        <v>0.5</v>
      </c>
      <c r="AM36" s="15">
        <v>0.50347222222222221</v>
      </c>
      <c r="AN36" s="15">
        <v>0.50694444444444442</v>
      </c>
      <c r="AO36" s="15">
        <v>0.51041666666666663</v>
      </c>
      <c r="AP36" s="15">
        <v>0.51388888888888895</v>
      </c>
      <c r="AQ36" s="15">
        <v>0.51736111111111105</v>
      </c>
      <c r="AR36" s="15">
        <v>0.52083333333333337</v>
      </c>
      <c r="AS36" s="15">
        <v>0.52430555555555558</v>
      </c>
      <c r="AT36" s="15">
        <v>0.52777777777777779</v>
      </c>
      <c r="AU36" s="15">
        <v>0.53125</v>
      </c>
      <c r="AV36" s="15">
        <v>0.53472222222222221</v>
      </c>
      <c r="AW36" s="15">
        <v>0.53819444444444442</v>
      </c>
      <c r="AX36" s="15">
        <v>0.54166666666666663</v>
      </c>
      <c r="AY36" s="15">
        <v>0.54513888888888895</v>
      </c>
      <c r="AZ36" s="15">
        <v>0.54861111111111105</v>
      </c>
      <c r="BA36" s="15">
        <v>0.55208333333333337</v>
      </c>
      <c r="BB36" s="15">
        <v>0.55555555555555558</v>
      </c>
      <c r="BC36" s="15">
        <v>0.55902777777777779</v>
      </c>
      <c r="BD36" s="15">
        <v>0.5625</v>
      </c>
      <c r="BE36" s="15">
        <v>0.56597222222222221</v>
      </c>
      <c r="BF36" s="15">
        <v>0.56944444444444442</v>
      </c>
      <c r="BG36" s="15">
        <v>0.57291666666666663</v>
      </c>
      <c r="BH36" s="15">
        <v>0.57638888888888895</v>
      </c>
      <c r="BI36" s="15">
        <v>0.57986111111111105</v>
      </c>
      <c r="BJ36" s="15">
        <v>0.58333333333333337</v>
      </c>
      <c r="BK36" s="15">
        <v>0.58680555555555558</v>
      </c>
      <c r="BL36" s="15">
        <v>0.59027777777777779</v>
      </c>
      <c r="BM36" s="15">
        <v>0.59375</v>
      </c>
      <c r="BN36" s="15">
        <v>0.59722222222222221</v>
      </c>
      <c r="BO36" s="15">
        <v>0.60069444444444442</v>
      </c>
      <c r="BP36" s="15">
        <v>0.60416666666666663</v>
      </c>
      <c r="BQ36" s="15">
        <v>0.60763888888888895</v>
      </c>
      <c r="BR36" s="15">
        <v>0.61111111111111105</v>
      </c>
      <c r="BS36" s="15">
        <v>0.61458333333333337</v>
      </c>
      <c r="BT36" s="15">
        <v>0.61805555555555558</v>
      </c>
      <c r="BU36" s="15">
        <v>0.62152777777777779</v>
      </c>
      <c r="BV36" s="15">
        <v>0.625</v>
      </c>
      <c r="BW36" s="15">
        <v>0.62847222222222221</v>
      </c>
      <c r="BX36" s="15">
        <v>0.63194444444444442</v>
      </c>
      <c r="BY36" s="15">
        <v>0.63541666666666663</v>
      </c>
      <c r="BZ36" s="15">
        <v>0.63888888888888895</v>
      </c>
      <c r="CA36" s="15">
        <v>0.64236111111111105</v>
      </c>
      <c r="CB36" s="15">
        <v>0.64583333333333337</v>
      </c>
      <c r="CC36" s="15">
        <v>0.64930555555555558</v>
      </c>
      <c r="CD36" s="15">
        <v>0.64930555555555558</v>
      </c>
      <c r="CE36" s="15">
        <v>0.65625</v>
      </c>
      <c r="CF36" s="15">
        <v>0.65972222222222221</v>
      </c>
      <c r="CG36" s="15">
        <v>0.66319444444444442</v>
      </c>
      <c r="CH36" s="15">
        <v>0.66666666666666663</v>
      </c>
      <c r="CI36" s="15">
        <v>0.67013888888888884</v>
      </c>
      <c r="CJ36" s="15">
        <v>0.67361111111111116</v>
      </c>
      <c r="CK36" s="15">
        <v>0.67708333333333337</v>
      </c>
      <c r="CL36" s="15">
        <v>0.68055555555555547</v>
      </c>
      <c r="CM36" s="15">
        <v>0.75694444444444453</v>
      </c>
      <c r="CN36" s="15">
        <v>0.6875</v>
      </c>
      <c r="CO36" s="15">
        <v>0.69097222222222221</v>
      </c>
      <c r="CP36" s="15">
        <v>0.69444444444444453</v>
      </c>
      <c r="CQ36" s="15">
        <v>0.69791666666666663</v>
      </c>
      <c r="CR36" s="15">
        <v>0.70138888888888884</v>
      </c>
      <c r="CS36" s="15">
        <v>0.70486111111111116</v>
      </c>
      <c r="CT36" s="15">
        <v>0.70833333333333337</v>
      </c>
      <c r="CU36" s="15">
        <v>0.71180555555555547</v>
      </c>
      <c r="CV36" s="15">
        <v>0.71527777777777779</v>
      </c>
      <c r="CW36" s="15">
        <v>0.71875</v>
      </c>
      <c r="CX36" s="15">
        <v>0.72222222222222221</v>
      </c>
      <c r="CY36" s="15">
        <v>0.72569444444444453</v>
      </c>
      <c r="CZ36" s="15">
        <v>0.72916666666666663</v>
      </c>
      <c r="DA36" s="15">
        <v>0.73263888888888884</v>
      </c>
      <c r="DB36" s="15">
        <v>0.73611111111111116</v>
      </c>
      <c r="DC36" s="15">
        <v>0.73958333333333337</v>
      </c>
      <c r="DD36" s="15">
        <v>0.74305555555555547</v>
      </c>
      <c r="DE36" s="15">
        <v>0.74652777777777779</v>
      </c>
      <c r="DF36" s="15">
        <v>0.75</v>
      </c>
      <c r="DG36" s="15">
        <v>0.75347222222222221</v>
      </c>
      <c r="DH36" s="15">
        <v>0.75694444444444453</v>
      </c>
      <c r="DI36" s="15">
        <v>0.76041666666666663</v>
      </c>
      <c r="DJ36" s="15">
        <v>0.76388888888888884</v>
      </c>
      <c r="DK36" s="15">
        <v>0.76736111111111116</v>
      </c>
      <c r="DM36" s="20"/>
    </row>
    <row r="37" spans="1:117" ht="15.75" x14ac:dyDescent="0.25">
      <c r="A37" s="14">
        <v>44148</v>
      </c>
      <c r="B37" s="12" t="s">
        <v>6</v>
      </c>
      <c r="C37" s="13">
        <v>5479.5</v>
      </c>
      <c r="D37" s="13">
        <v>5477.64</v>
      </c>
      <c r="E37" s="13">
        <v>5478.12</v>
      </c>
      <c r="F37" s="13">
        <v>5476.62</v>
      </c>
      <c r="G37" s="13">
        <v>5480.74</v>
      </c>
      <c r="H37" s="13">
        <v>5490.94</v>
      </c>
      <c r="I37" s="13">
        <v>5493.44</v>
      </c>
      <c r="J37" s="13">
        <v>5495.71</v>
      </c>
      <c r="K37" s="13">
        <v>5491.62</v>
      </c>
      <c r="L37" s="13">
        <v>5495.4</v>
      </c>
      <c r="M37" s="13">
        <v>5489.74</v>
      </c>
      <c r="N37" s="13">
        <v>5491.62</v>
      </c>
      <c r="O37" s="13">
        <v>5492.21</v>
      </c>
      <c r="P37" s="13">
        <v>5482.58</v>
      </c>
      <c r="Q37" s="13">
        <v>5478.6</v>
      </c>
      <c r="R37" s="13">
        <v>5477.39</v>
      </c>
      <c r="S37" s="13">
        <v>5481.08</v>
      </c>
      <c r="T37" s="13">
        <v>5479.82</v>
      </c>
      <c r="U37" s="13">
        <v>5483.72</v>
      </c>
      <c r="V37" s="13">
        <v>5482.88</v>
      </c>
      <c r="W37" s="13">
        <v>5483.71</v>
      </c>
      <c r="X37" s="13">
        <v>5485.61</v>
      </c>
      <c r="Y37" s="13">
        <v>5478.19</v>
      </c>
      <c r="Z37" s="13">
        <v>5478.39</v>
      </c>
      <c r="AA37" s="13">
        <v>5475.19</v>
      </c>
      <c r="AB37" s="13">
        <v>5477.88</v>
      </c>
      <c r="AC37" s="13">
        <v>5493.64</v>
      </c>
      <c r="AD37" s="13">
        <v>5496.54</v>
      </c>
      <c r="AE37" s="13">
        <v>5500.49</v>
      </c>
      <c r="AF37" s="13">
        <v>5502.96</v>
      </c>
      <c r="AG37" s="13">
        <v>5506.76</v>
      </c>
      <c r="AH37" s="13">
        <v>5502.65</v>
      </c>
      <c r="AI37" s="13">
        <v>5501.52</v>
      </c>
      <c r="AJ37" s="13">
        <v>5500.68</v>
      </c>
      <c r="AK37" s="13">
        <v>5506.65</v>
      </c>
      <c r="AL37" s="13">
        <v>5519.4</v>
      </c>
      <c r="AM37" s="13">
        <v>5519.59</v>
      </c>
      <c r="AN37" s="13">
        <v>5523.61</v>
      </c>
      <c r="AO37" s="13">
        <v>5518.99</v>
      </c>
      <c r="AP37" s="13">
        <v>5521.26</v>
      </c>
      <c r="AQ37" s="13">
        <v>5526.89</v>
      </c>
      <c r="AR37" s="13">
        <v>5523.05</v>
      </c>
      <c r="AS37" s="13">
        <v>5529.7</v>
      </c>
      <c r="AT37" s="13">
        <v>5529.07</v>
      </c>
      <c r="AU37" s="13">
        <v>5527.34</v>
      </c>
      <c r="AV37" s="13">
        <v>5527.98</v>
      </c>
      <c r="AW37" s="13">
        <v>5532.71</v>
      </c>
      <c r="AX37" s="13">
        <v>5532.77</v>
      </c>
      <c r="AY37" s="13">
        <v>5533.11</v>
      </c>
      <c r="AZ37" s="13">
        <v>5538.14</v>
      </c>
      <c r="BA37" s="13">
        <v>5537.01</v>
      </c>
      <c r="BB37" s="13">
        <v>5530.81</v>
      </c>
      <c r="BC37" s="13">
        <v>5526.8</v>
      </c>
      <c r="BD37" s="13">
        <v>5523.3</v>
      </c>
      <c r="BE37" s="13">
        <v>5521.5</v>
      </c>
      <c r="BF37" s="13">
        <v>5527.69</v>
      </c>
      <c r="BG37" s="13">
        <v>5530.85</v>
      </c>
      <c r="BH37" s="13">
        <v>5531.38</v>
      </c>
      <c r="BI37" s="13">
        <v>5530.7</v>
      </c>
      <c r="BJ37" s="13">
        <v>5529.57</v>
      </c>
      <c r="BK37" s="13">
        <v>5521.34</v>
      </c>
      <c r="BL37" s="13">
        <v>5518.89</v>
      </c>
      <c r="BM37" s="13">
        <v>5517.81</v>
      </c>
      <c r="BN37" s="13">
        <v>5515.62</v>
      </c>
      <c r="BO37" s="13">
        <v>5519.02</v>
      </c>
      <c r="BP37" s="13">
        <v>5516.01</v>
      </c>
      <c r="BQ37" s="13">
        <v>5516.97</v>
      </c>
      <c r="BR37" s="13">
        <v>5518.44</v>
      </c>
      <c r="BS37" s="13">
        <v>5515.47</v>
      </c>
      <c r="BT37" s="13">
        <v>5518.73</v>
      </c>
      <c r="BU37" s="13">
        <v>5509.82</v>
      </c>
      <c r="BV37" s="13">
        <v>5513.07</v>
      </c>
      <c r="BW37" s="13">
        <v>5508.31</v>
      </c>
      <c r="BX37" s="13">
        <v>5504.32</v>
      </c>
      <c r="BY37" s="13">
        <v>5498.46</v>
      </c>
      <c r="BZ37" s="13">
        <v>5499.03</v>
      </c>
      <c r="CA37" s="13">
        <v>5492.2</v>
      </c>
      <c r="CB37" s="13">
        <v>5498.2</v>
      </c>
      <c r="CC37" s="13">
        <v>5497.36</v>
      </c>
      <c r="CD37" s="13">
        <v>5497.36</v>
      </c>
      <c r="CE37" s="13">
        <v>5483.21</v>
      </c>
      <c r="CF37" s="13">
        <v>5490.6</v>
      </c>
      <c r="CG37" s="13">
        <v>5494.3</v>
      </c>
      <c r="CH37" s="13">
        <v>5492.94</v>
      </c>
      <c r="CI37" s="13">
        <v>5492.5</v>
      </c>
      <c r="CJ37" s="13">
        <v>5492.61</v>
      </c>
      <c r="CK37" s="13">
        <v>5491.04</v>
      </c>
      <c r="CL37" s="13">
        <v>5496.44</v>
      </c>
      <c r="CM37" s="13">
        <v>5479.04</v>
      </c>
      <c r="CN37" s="13">
        <v>5500.09</v>
      </c>
      <c r="CO37" s="13">
        <v>5491.83</v>
      </c>
      <c r="CP37" s="13">
        <v>5490.56</v>
      </c>
      <c r="CQ37" s="13">
        <v>5489.44</v>
      </c>
      <c r="CR37" s="13">
        <v>5492.96</v>
      </c>
      <c r="CS37" s="13">
        <v>5496.62</v>
      </c>
      <c r="CT37" s="13">
        <v>5493.46</v>
      </c>
      <c r="CU37" s="13">
        <v>5494.28</v>
      </c>
      <c r="CV37" s="13">
        <v>5492.19</v>
      </c>
      <c r="CW37" s="13">
        <v>5488.1</v>
      </c>
      <c r="CX37" s="13">
        <v>5488.57</v>
      </c>
      <c r="CY37" s="13">
        <v>5486.61</v>
      </c>
      <c r="CZ37" s="13">
        <v>5483.61</v>
      </c>
      <c r="DA37" s="13">
        <v>5483.6</v>
      </c>
      <c r="DB37" s="13">
        <v>5480.41</v>
      </c>
      <c r="DC37" s="13">
        <v>5481.37</v>
      </c>
      <c r="DD37" s="13">
        <v>5479.91</v>
      </c>
      <c r="DE37" s="13">
        <v>5476.32</v>
      </c>
      <c r="DF37" s="13">
        <v>5483.15</v>
      </c>
      <c r="DG37" s="13">
        <v>5478.22</v>
      </c>
      <c r="DH37" s="13">
        <v>5476.51</v>
      </c>
      <c r="DI37" s="13">
        <v>5478.54</v>
      </c>
      <c r="DJ37" s="13">
        <v>5478.27</v>
      </c>
      <c r="DK37" s="13">
        <v>5478.96</v>
      </c>
      <c r="DM37" s="20"/>
    </row>
    <row r="38" spans="1:117" ht="15.75" x14ac:dyDescent="0.25">
      <c r="A38" s="14" t="s">
        <v>12</v>
      </c>
      <c r="B38" s="12" t="s">
        <v>10</v>
      </c>
      <c r="C38" s="13">
        <v>5472</v>
      </c>
      <c r="D38" s="13">
        <v>5475.67</v>
      </c>
      <c r="E38" s="13">
        <v>5473.22</v>
      </c>
      <c r="F38" s="13">
        <v>5476.62</v>
      </c>
      <c r="G38" s="13">
        <v>5479.41</v>
      </c>
      <c r="H38" s="13">
        <v>5490.07</v>
      </c>
      <c r="I38" s="13">
        <v>5492.71</v>
      </c>
      <c r="J38" s="13">
        <v>5492.04</v>
      </c>
      <c r="K38" s="13">
        <v>5491.62</v>
      </c>
      <c r="L38" s="13">
        <v>5494.21</v>
      </c>
      <c r="M38" s="13">
        <v>5487.21</v>
      </c>
      <c r="N38" s="13">
        <v>5485.07</v>
      </c>
      <c r="O38" s="13">
        <v>5481.6</v>
      </c>
      <c r="P38" s="13">
        <v>5474.42</v>
      </c>
      <c r="Q38" s="13">
        <v>5472.06</v>
      </c>
      <c r="R38" s="13">
        <v>5473.99</v>
      </c>
      <c r="S38" s="13">
        <v>5476.32</v>
      </c>
      <c r="T38" s="13">
        <v>5479.11</v>
      </c>
      <c r="U38" s="13">
        <v>5481.07</v>
      </c>
      <c r="V38" s="13">
        <v>5477</v>
      </c>
      <c r="W38" s="13">
        <v>5483.12</v>
      </c>
      <c r="X38" s="13">
        <v>5471.37</v>
      </c>
      <c r="Y38" s="13">
        <v>5476.37</v>
      </c>
      <c r="Z38" s="13">
        <v>5475.63</v>
      </c>
      <c r="AA38" s="13">
        <v>5472.93</v>
      </c>
      <c r="AB38" s="13">
        <v>5476.74</v>
      </c>
      <c r="AC38" s="13">
        <v>5493.64</v>
      </c>
      <c r="AD38" s="13">
        <v>5494.64</v>
      </c>
      <c r="AE38" s="13">
        <v>5499</v>
      </c>
      <c r="AF38" s="13">
        <v>5502.96</v>
      </c>
      <c r="AG38" s="13">
        <v>5500.61</v>
      </c>
      <c r="AH38" s="13">
        <v>5492.19</v>
      </c>
      <c r="AI38" s="13">
        <v>5496.25</v>
      </c>
      <c r="AJ38" s="13">
        <v>5498.63</v>
      </c>
      <c r="AK38" s="13">
        <v>5506.34</v>
      </c>
      <c r="AL38" s="13">
        <v>5513.98</v>
      </c>
      <c r="AM38" s="13">
        <v>5514.49</v>
      </c>
      <c r="AN38" s="13">
        <v>5514.33</v>
      </c>
      <c r="AO38" s="13">
        <v>5514.76</v>
      </c>
      <c r="AP38" s="13">
        <v>5519.67</v>
      </c>
      <c r="AQ38" s="13">
        <v>5521.98</v>
      </c>
      <c r="AR38" s="13">
        <v>5520.15</v>
      </c>
      <c r="AS38" s="13">
        <v>5528.18</v>
      </c>
      <c r="AT38" s="13">
        <v>5525.39</v>
      </c>
      <c r="AU38" s="13">
        <v>5524.35</v>
      </c>
      <c r="AV38" s="13">
        <v>5524.67</v>
      </c>
      <c r="AW38" s="13">
        <v>5529.41</v>
      </c>
      <c r="AX38" s="13">
        <v>5530.45</v>
      </c>
      <c r="AY38" s="13">
        <v>5532.84</v>
      </c>
      <c r="AZ38" s="13">
        <v>5534.9</v>
      </c>
      <c r="BA38" s="13">
        <v>5530.81</v>
      </c>
      <c r="BB38" s="13">
        <v>5524.73</v>
      </c>
      <c r="BC38" s="13">
        <v>5523.53</v>
      </c>
      <c r="BD38" s="13">
        <v>5519.26</v>
      </c>
      <c r="BE38" s="13">
        <v>5519.08</v>
      </c>
      <c r="BF38" s="13">
        <v>5527.33</v>
      </c>
      <c r="BG38" s="13">
        <v>5530.25</v>
      </c>
      <c r="BH38" s="13">
        <v>5527.28</v>
      </c>
      <c r="BI38" s="13">
        <v>5529.82</v>
      </c>
      <c r="BJ38" s="13">
        <v>5513.23</v>
      </c>
      <c r="BK38" s="13">
        <v>5518.01</v>
      </c>
      <c r="BL38" s="13">
        <v>5512.54</v>
      </c>
      <c r="BM38" s="13">
        <v>5513.2</v>
      </c>
      <c r="BN38" s="13">
        <v>5515.23</v>
      </c>
      <c r="BO38" s="13">
        <v>5519.02</v>
      </c>
      <c r="BP38" s="13">
        <v>5514.54</v>
      </c>
      <c r="BQ38" s="13">
        <v>5513.58</v>
      </c>
      <c r="BR38" s="13">
        <v>5515.89</v>
      </c>
      <c r="BS38" s="13">
        <v>5505.69</v>
      </c>
      <c r="BT38" s="13">
        <v>5507.32</v>
      </c>
      <c r="BU38" s="13">
        <v>5508.27</v>
      </c>
      <c r="BV38" s="13">
        <v>5509.58</v>
      </c>
      <c r="BW38" s="13">
        <v>5499.83</v>
      </c>
      <c r="BX38" s="13">
        <v>5490.64</v>
      </c>
      <c r="BY38" s="13">
        <v>5494.88</v>
      </c>
      <c r="BZ38" s="13">
        <v>5489.85</v>
      </c>
      <c r="CA38" s="13">
        <v>5484.63</v>
      </c>
      <c r="CB38" s="13">
        <v>5481.69</v>
      </c>
      <c r="CC38" s="13">
        <v>5487.04</v>
      </c>
      <c r="CD38" s="13">
        <v>5487.04</v>
      </c>
      <c r="CE38" s="13">
        <v>5478.74</v>
      </c>
      <c r="CF38" s="13">
        <v>5487.61</v>
      </c>
      <c r="CG38" s="13">
        <v>5489.9</v>
      </c>
      <c r="CH38" s="13">
        <v>5490.85</v>
      </c>
      <c r="CI38" s="13">
        <v>5490.73</v>
      </c>
      <c r="CJ38" s="13">
        <v>5487.93</v>
      </c>
      <c r="CK38" s="13">
        <v>5487.48</v>
      </c>
      <c r="CL38" s="13">
        <v>5489.49</v>
      </c>
      <c r="CM38" s="13">
        <v>5472.34</v>
      </c>
      <c r="CN38" s="13">
        <v>5490.92</v>
      </c>
      <c r="CO38" s="13">
        <v>5486.11</v>
      </c>
      <c r="CP38" s="13">
        <v>5490.56</v>
      </c>
      <c r="CQ38" s="13">
        <v>5483.5</v>
      </c>
      <c r="CR38" s="13">
        <v>5491.29</v>
      </c>
      <c r="CS38" s="13">
        <v>5493.16</v>
      </c>
      <c r="CT38" s="13">
        <v>5487.84</v>
      </c>
      <c r="CU38" s="13">
        <v>5489.9</v>
      </c>
      <c r="CV38" s="13">
        <v>5484.97</v>
      </c>
      <c r="CW38" s="13">
        <v>5486.85</v>
      </c>
      <c r="CX38" s="13">
        <v>5483.95</v>
      </c>
      <c r="CY38" s="13">
        <v>5482.94</v>
      </c>
      <c r="CZ38" s="13">
        <v>5477.21</v>
      </c>
      <c r="DA38" s="13">
        <v>5478.23</v>
      </c>
      <c r="DB38" s="13">
        <v>5476.87</v>
      </c>
      <c r="DC38" s="13">
        <v>5475.27</v>
      </c>
      <c r="DD38" s="13">
        <v>5473.24</v>
      </c>
      <c r="DE38" s="13">
        <v>5476.32</v>
      </c>
      <c r="DF38" s="13">
        <v>5480.35</v>
      </c>
      <c r="DG38" s="13">
        <v>5474.19</v>
      </c>
      <c r="DH38" s="13">
        <v>5472.9</v>
      </c>
      <c r="DI38" s="13">
        <v>5472.34</v>
      </c>
      <c r="DJ38" s="13">
        <v>5474.76</v>
      </c>
      <c r="DK38" s="13">
        <v>5471.85</v>
      </c>
      <c r="DM38" s="20"/>
    </row>
    <row r="39" spans="1:117" ht="15.75" x14ac:dyDescent="0.25">
      <c r="A39" s="14" t="s">
        <v>12</v>
      </c>
      <c r="B39" s="12" t="s">
        <v>9</v>
      </c>
      <c r="C39" s="13">
        <v>5462.5</v>
      </c>
      <c r="D39" s="13">
        <v>5467.22</v>
      </c>
      <c r="E39" s="13">
        <v>5462.46</v>
      </c>
      <c r="F39" s="13">
        <v>5467.67</v>
      </c>
      <c r="G39" s="13">
        <v>5470.18</v>
      </c>
      <c r="H39" s="13">
        <v>5480.24</v>
      </c>
      <c r="I39" s="13">
        <v>5483.26</v>
      </c>
      <c r="J39" s="13">
        <v>5481.51</v>
      </c>
      <c r="K39" s="13">
        <v>5481.47</v>
      </c>
      <c r="L39" s="13">
        <v>5483.66</v>
      </c>
      <c r="M39" s="13">
        <v>5477.65</v>
      </c>
      <c r="N39" s="13">
        <v>5474.99</v>
      </c>
      <c r="O39" s="13">
        <v>5472.23</v>
      </c>
      <c r="P39" s="13">
        <v>5464.98</v>
      </c>
      <c r="Q39" s="13">
        <v>5462.4</v>
      </c>
      <c r="R39" s="13">
        <v>5461.2</v>
      </c>
      <c r="S39" s="13">
        <v>5466.53</v>
      </c>
      <c r="T39" s="13">
        <v>5469.26</v>
      </c>
      <c r="U39" s="13">
        <v>5471.28</v>
      </c>
      <c r="V39" s="13">
        <v>5467.33</v>
      </c>
      <c r="W39" s="13">
        <v>5472.32</v>
      </c>
      <c r="X39" s="13">
        <v>5461.58</v>
      </c>
      <c r="Y39" s="13">
        <v>5467.01</v>
      </c>
      <c r="Z39" s="13">
        <v>5466.65</v>
      </c>
      <c r="AA39" s="13">
        <v>5463.9</v>
      </c>
      <c r="AB39" s="13">
        <v>5468.22</v>
      </c>
      <c r="AC39" s="13">
        <v>5484.31</v>
      </c>
      <c r="AD39" s="13">
        <v>5485.88</v>
      </c>
      <c r="AE39" s="13">
        <v>5489.23</v>
      </c>
      <c r="AF39" s="13">
        <v>5493.72</v>
      </c>
      <c r="AG39" s="13">
        <v>5491.11</v>
      </c>
      <c r="AH39" s="13">
        <v>5482.45</v>
      </c>
      <c r="AI39" s="13">
        <v>5487.85</v>
      </c>
      <c r="AJ39" s="13">
        <v>5488.84</v>
      </c>
      <c r="AK39" s="13">
        <v>5497.01</v>
      </c>
      <c r="AL39" s="13">
        <v>5502.52</v>
      </c>
      <c r="AM39" s="13">
        <v>5504.07</v>
      </c>
      <c r="AN39" s="13">
        <v>5504.13</v>
      </c>
      <c r="AO39" s="13">
        <v>5504.16</v>
      </c>
      <c r="AP39" s="13">
        <v>5509.53</v>
      </c>
      <c r="AQ39" s="13">
        <v>5511.48</v>
      </c>
      <c r="AR39" s="13">
        <v>5509.4</v>
      </c>
      <c r="AS39" s="13">
        <v>5517.23</v>
      </c>
      <c r="AT39" s="13">
        <v>5514.93</v>
      </c>
      <c r="AU39" s="13">
        <v>5513.46</v>
      </c>
      <c r="AV39" s="13">
        <v>5513.42</v>
      </c>
      <c r="AW39" s="13">
        <v>5518.28</v>
      </c>
      <c r="AX39" s="13">
        <v>5519.83</v>
      </c>
      <c r="AY39" s="13">
        <v>5521.8</v>
      </c>
      <c r="AZ39" s="13">
        <v>5524.07</v>
      </c>
      <c r="BA39" s="13">
        <v>5520.28</v>
      </c>
      <c r="BB39" s="13">
        <v>5513.54</v>
      </c>
      <c r="BC39" s="13">
        <v>5513.01</v>
      </c>
      <c r="BD39" s="13">
        <v>5508.17</v>
      </c>
      <c r="BE39" s="13">
        <v>5508.51</v>
      </c>
      <c r="BF39" s="13">
        <v>5516.1</v>
      </c>
      <c r="BG39" s="13">
        <v>5519.35</v>
      </c>
      <c r="BH39" s="13">
        <v>5516.29</v>
      </c>
      <c r="BI39" s="13">
        <v>5518.08</v>
      </c>
      <c r="BJ39" s="13">
        <v>5500.77</v>
      </c>
      <c r="BK39" s="13">
        <v>5506.84</v>
      </c>
      <c r="BL39" s="13">
        <v>5501.79</v>
      </c>
      <c r="BM39" s="13">
        <v>5502.84</v>
      </c>
      <c r="BN39" s="13">
        <v>5503.78</v>
      </c>
      <c r="BO39" s="13">
        <v>5504.74</v>
      </c>
      <c r="BP39" s="13">
        <v>5502.93</v>
      </c>
      <c r="BQ39" s="13">
        <v>5501.28</v>
      </c>
      <c r="BR39" s="13">
        <v>5504.82</v>
      </c>
      <c r="BS39" s="13">
        <v>5494.52</v>
      </c>
      <c r="BT39" s="13">
        <v>5496.94</v>
      </c>
      <c r="BU39" s="13">
        <v>5497.89</v>
      </c>
      <c r="BV39" s="13">
        <v>5499.5</v>
      </c>
      <c r="BW39" s="13">
        <v>5489.73</v>
      </c>
      <c r="BX39" s="13">
        <v>5479.55</v>
      </c>
      <c r="BY39" s="13">
        <v>5484.73</v>
      </c>
      <c r="BZ39" s="13">
        <v>5478.52</v>
      </c>
      <c r="CA39" s="13">
        <v>5473.51</v>
      </c>
      <c r="CB39" s="13">
        <v>5471.64</v>
      </c>
      <c r="CC39" s="13">
        <v>5476.91</v>
      </c>
      <c r="CD39" s="13">
        <v>5476.91</v>
      </c>
      <c r="CE39" s="13">
        <v>5468.55</v>
      </c>
      <c r="CF39" s="13">
        <v>5477.45</v>
      </c>
      <c r="CG39" s="13">
        <v>5479.35</v>
      </c>
      <c r="CH39" s="13">
        <v>5477.12</v>
      </c>
      <c r="CI39" s="13">
        <v>5478.36</v>
      </c>
      <c r="CJ39" s="13">
        <v>5477.41</v>
      </c>
      <c r="CK39" s="13">
        <v>5475.52</v>
      </c>
      <c r="CL39" s="13">
        <v>5477.99</v>
      </c>
      <c r="CM39" s="13">
        <v>5461.73</v>
      </c>
      <c r="CN39" s="13">
        <v>5479.89</v>
      </c>
      <c r="CO39" s="13">
        <v>5474.99</v>
      </c>
      <c r="CP39" s="13">
        <v>5477.38</v>
      </c>
      <c r="CQ39" s="13">
        <v>5473.22</v>
      </c>
      <c r="CR39" s="13">
        <v>5478.95</v>
      </c>
      <c r="CS39" s="13">
        <v>5478.01</v>
      </c>
      <c r="CT39" s="13">
        <v>5476.07</v>
      </c>
      <c r="CU39" s="13">
        <v>5475.21</v>
      </c>
      <c r="CV39" s="13">
        <v>5474.66</v>
      </c>
      <c r="CW39" s="13">
        <v>5474.66</v>
      </c>
      <c r="CX39" s="13">
        <v>5473.18</v>
      </c>
      <c r="CY39" s="13">
        <v>5471.4</v>
      </c>
      <c r="CZ39" s="13">
        <v>5465.95</v>
      </c>
      <c r="DA39" s="13">
        <v>5465.57</v>
      </c>
      <c r="DB39" s="13">
        <v>5464.58</v>
      </c>
      <c r="DC39" s="13">
        <v>5464.11</v>
      </c>
      <c r="DD39" s="13">
        <v>5456.64</v>
      </c>
      <c r="DE39" s="13">
        <v>5463.33</v>
      </c>
      <c r="DF39" s="13">
        <v>5466.21</v>
      </c>
      <c r="DG39" s="13">
        <v>5464.11</v>
      </c>
      <c r="DH39" s="13">
        <v>5462.18</v>
      </c>
      <c r="DI39" s="13">
        <v>5461.73</v>
      </c>
      <c r="DJ39" s="13">
        <v>5463.2</v>
      </c>
      <c r="DK39" s="13">
        <v>5461.23</v>
      </c>
      <c r="DM39" s="20"/>
    </row>
    <row r="40" spans="1:117" ht="15.75" x14ac:dyDescent="0.25">
      <c r="A40" s="14" t="s">
        <v>12</v>
      </c>
      <c r="B40" s="12" t="s">
        <v>7</v>
      </c>
      <c r="C40" s="13">
        <v>5415</v>
      </c>
      <c r="D40" s="13">
        <v>5461.55</v>
      </c>
      <c r="E40" s="13">
        <v>5462.46</v>
      </c>
      <c r="F40" s="13">
        <v>5458.89</v>
      </c>
      <c r="G40" s="13">
        <v>5462.82</v>
      </c>
      <c r="H40" s="13">
        <v>5471.18</v>
      </c>
      <c r="I40" s="13">
        <v>5466.65</v>
      </c>
      <c r="J40" s="13">
        <v>5481.05</v>
      </c>
      <c r="K40" s="13">
        <v>5450.21</v>
      </c>
      <c r="L40" s="13">
        <v>5475.13</v>
      </c>
      <c r="M40" s="13">
        <v>5462.76</v>
      </c>
      <c r="N40" s="13">
        <v>5453.85</v>
      </c>
      <c r="O40" s="13">
        <v>5472.23</v>
      </c>
      <c r="P40" s="13">
        <v>5463.52</v>
      </c>
      <c r="Q40" s="13">
        <v>5443.2</v>
      </c>
      <c r="R40" s="13">
        <v>5460.81</v>
      </c>
      <c r="S40" s="13">
        <v>5457.5</v>
      </c>
      <c r="T40" s="13">
        <v>5465.37</v>
      </c>
      <c r="U40" s="13">
        <v>5466.97</v>
      </c>
      <c r="V40" s="13">
        <v>5465.99</v>
      </c>
      <c r="W40" s="13">
        <v>5461.02</v>
      </c>
      <c r="X40" s="13">
        <v>5460.72</v>
      </c>
      <c r="Y40" s="13">
        <v>5461.58</v>
      </c>
      <c r="Z40" s="13">
        <v>5464.02</v>
      </c>
      <c r="AA40" s="13">
        <v>5462.38</v>
      </c>
      <c r="AB40" s="13">
        <v>5464.41</v>
      </c>
      <c r="AC40" s="13">
        <v>5468.69</v>
      </c>
      <c r="AD40" s="13">
        <v>5452.95</v>
      </c>
      <c r="AE40" s="13">
        <v>5485.32</v>
      </c>
      <c r="AF40" s="13">
        <v>5488.8</v>
      </c>
      <c r="AG40" s="13">
        <v>5474.28</v>
      </c>
      <c r="AH40" s="13">
        <v>5451.21</v>
      </c>
      <c r="AI40" s="13">
        <v>5478.86</v>
      </c>
      <c r="AJ40" s="13">
        <v>5485.28</v>
      </c>
      <c r="AK40" s="13">
        <v>5488.28</v>
      </c>
      <c r="AL40" s="13">
        <v>5491.15</v>
      </c>
      <c r="AM40" s="13">
        <v>5497.53</v>
      </c>
      <c r="AN40" s="13">
        <v>5488.07</v>
      </c>
      <c r="AO40" s="13">
        <v>5493.2</v>
      </c>
      <c r="AP40" s="13">
        <v>5500.94</v>
      </c>
      <c r="AQ40" s="13">
        <v>5508.02</v>
      </c>
      <c r="AR40" s="13">
        <v>5508.47</v>
      </c>
      <c r="AS40" s="13">
        <v>5510.42</v>
      </c>
      <c r="AT40" s="13">
        <v>5507.06</v>
      </c>
      <c r="AU40" s="13">
        <v>5505.11</v>
      </c>
      <c r="AV40" s="13">
        <v>5511.46</v>
      </c>
      <c r="AW40" s="13">
        <v>5508.98</v>
      </c>
      <c r="AX40" s="13">
        <v>5516.63</v>
      </c>
      <c r="AY40" s="13">
        <v>5516.24</v>
      </c>
      <c r="AZ40" s="13">
        <v>5520.84</v>
      </c>
      <c r="BA40" s="13">
        <v>5518.62</v>
      </c>
      <c r="BB40" s="13">
        <v>5509.5</v>
      </c>
      <c r="BC40" s="13">
        <v>5512.8</v>
      </c>
      <c r="BD40" s="13">
        <v>5492.14</v>
      </c>
      <c r="BE40" s="13">
        <v>5507.69</v>
      </c>
      <c r="BF40" s="13">
        <v>5511.23</v>
      </c>
      <c r="BG40" s="13">
        <v>5502</v>
      </c>
      <c r="BH40" s="13">
        <v>5511.22</v>
      </c>
      <c r="BI40" s="13">
        <v>5513.4</v>
      </c>
      <c r="BJ40" s="13">
        <v>5497.93</v>
      </c>
      <c r="BK40" s="13">
        <v>5497.69</v>
      </c>
      <c r="BL40" s="13">
        <v>5497.83</v>
      </c>
      <c r="BM40" s="13">
        <v>5501.75</v>
      </c>
      <c r="BN40" s="13">
        <v>5492.73</v>
      </c>
      <c r="BO40" s="13">
        <v>5502.84</v>
      </c>
      <c r="BP40" s="13">
        <v>5500.07</v>
      </c>
      <c r="BQ40" s="13">
        <v>5500.18</v>
      </c>
      <c r="BR40" s="13">
        <v>5503.26</v>
      </c>
      <c r="BS40" s="13">
        <v>5467.54</v>
      </c>
      <c r="BT40" s="13">
        <v>5493.06</v>
      </c>
      <c r="BU40" s="13">
        <v>5490.91</v>
      </c>
      <c r="BV40" s="13">
        <v>5496.94</v>
      </c>
      <c r="BW40" s="13">
        <v>5485.37</v>
      </c>
      <c r="BX40" s="13">
        <v>5478.36</v>
      </c>
      <c r="BY40" s="13">
        <v>5476.63</v>
      </c>
      <c r="BZ40" s="13">
        <v>5474.6</v>
      </c>
      <c r="CA40" s="13">
        <v>5472.4</v>
      </c>
      <c r="CB40" s="13">
        <v>5467.11</v>
      </c>
      <c r="CC40" s="13">
        <v>5458.65</v>
      </c>
      <c r="CD40" s="13">
        <v>5458.65</v>
      </c>
      <c r="CE40" s="13">
        <v>5467.08</v>
      </c>
      <c r="CF40" s="13">
        <v>5468.2</v>
      </c>
      <c r="CG40" s="13">
        <v>5473.63</v>
      </c>
      <c r="CH40" s="13">
        <v>5474.58</v>
      </c>
      <c r="CI40" s="13">
        <v>5470.72</v>
      </c>
      <c r="CJ40" s="13">
        <v>5474.47</v>
      </c>
      <c r="CK40" s="13">
        <v>5473.67</v>
      </c>
      <c r="CL40" s="13">
        <v>5475.38</v>
      </c>
      <c r="CM40" s="13">
        <v>5461.73</v>
      </c>
      <c r="CN40" s="13">
        <v>5474.77</v>
      </c>
      <c r="CO40" s="13">
        <v>5472.19</v>
      </c>
      <c r="CP40" s="13">
        <v>5474.04</v>
      </c>
      <c r="CQ40" s="13">
        <v>5471.18</v>
      </c>
      <c r="CR40" s="13">
        <v>5473.22</v>
      </c>
      <c r="CS40" s="13">
        <v>5477.56</v>
      </c>
      <c r="CT40" s="13">
        <v>5474.52</v>
      </c>
      <c r="CU40" s="13">
        <v>5466.76</v>
      </c>
      <c r="CV40" s="13">
        <v>5473.05</v>
      </c>
      <c r="CW40" s="13">
        <v>5471.09</v>
      </c>
      <c r="CX40" s="13">
        <v>5472.64</v>
      </c>
      <c r="CY40" s="13">
        <v>5469.02</v>
      </c>
      <c r="CZ40" s="13">
        <v>5462.93</v>
      </c>
      <c r="DA40" s="13">
        <v>5463.23</v>
      </c>
      <c r="DB40" s="13">
        <v>5462.56</v>
      </c>
      <c r="DC40" s="13">
        <v>5462.21</v>
      </c>
      <c r="DD40" s="13">
        <v>5456.64</v>
      </c>
      <c r="DE40" s="13">
        <v>5460.7</v>
      </c>
      <c r="DF40" s="13">
        <v>5463.61</v>
      </c>
      <c r="DG40" s="13">
        <v>5463.19</v>
      </c>
      <c r="DH40" s="13">
        <v>5461.6</v>
      </c>
      <c r="DI40" s="13">
        <v>5460.84</v>
      </c>
      <c r="DJ40" s="13">
        <v>5462.15</v>
      </c>
      <c r="DK40" s="13">
        <v>5460.95</v>
      </c>
      <c r="DM40" s="20"/>
    </row>
    <row r="41" spans="1:117" ht="15.75" x14ac:dyDescent="0.25">
      <c r="A41" s="11" t="s">
        <v>5</v>
      </c>
      <c r="B41" s="11" t="s">
        <v>11</v>
      </c>
      <c r="C41" s="15">
        <v>0.37847222222222227</v>
      </c>
      <c r="D41" s="15">
        <v>0.38194444444444442</v>
      </c>
      <c r="E41" s="15">
        <v>0.38541666666666669</v>
      </c>
      <c r="F41" s="15">
        <v>0.3888888888888889</v>
      </c>
      <c r="G41" s="15">
        <v>0.3923611111111111</v>
      </c>
      <c r="H41" s="15">
        <v>0.39583333333333331</v>
      </c>
      <c r="I41" s="15">
        <v>0.39930555555555558</v>
      </c>
      <c r="J41" s="15">
        <v>0.40277777777777773</v>
      </c>
      <c r="K41" s="15">
        <v>0.40625</v>
      </c>
      <c r="L41" s="15">
        <v>0.40972222222222227</v>
      </c>
      <c r="M41" s="15">
        <v>0.41319444444444442</v>
      </c>
      <c r="N41" s="15">
        <v>0.41666666666666669</v>
      </c>
      <c r="O41" s="15">
        <v>0.4201388888888889</v>
      </c>
      <c r="P41" s="15">
        <v>0.4236111111111111</v>
      </c>
      <c r="Q41" s="15">
        <v>0.42708333333333331</v>
      </c>
      <c r="R41" s="15">
        <v>0.43055555555555558</v>
      </c>
      <c r="S41" s="15">
        <v>0.43402777777777773</v>
      </c>
      <c r="T41" s="15">
        <v>0.4375</v>
      </c>
      <c r="U41" s="15">
        <v>0.44097222222222227</v>
      </c>
      <c r="V41" s="15">
        <v>0.44444444444444442</v>
      </c>
      <c r="W41" s="15">
        <v>0.44791666666666669</v>
      </c>
      <c r="X41" s="15">
        <v>0.4513888888888889</v>
      </c>
      <c r="Y41" s="15">
        <v>0.4548611111111111</v>
      </c>
      <c r="Z41" s="15">
        <v>0.45833333333333331</v>
      </c>
      <c r="AA41" s="15">
        <v>0.46180555555555558</v>
      </c>
      <c r="AB41" s="15">
        <v>0.46527777777777773</v>
      </c>
      <c r="AC41" s="15">
        <v>0.46875</v>
      </c>
      <c r="AD41" s="15">
        <v>0.47222222222222227</v>
      </c>
      <c r="AE41" s="15">
        <v>0.47569444444444442</v>
      </c>
      <c r="AF41" s="15">
        <v>0.47916666666666669</v>
      </c>
      <c r="AG41" s="15">
        <v>0.4826388888888889</v>
      </c>
      <c r="AH41" s="15">
        <v>0.4861111111111111</v>
      </c>
      <c r="AI41" s="15">
        <v>0.48958333333333331</v>
      </c>
      <c r="AJ41" s="15">
        <v>0.49305555555555558</v>
      </c>
      <c r="AK41" s="15">
        <v>0.49652777777777773</v>
      </c>
      <c r="AL41" s="15">
        <v>0.5</v>
      </c>
      <c r="AM41" s="15">
        <v>0.50347222222222221</v>
      </c>
      <c r="AN41" s="15">
        <v>0.50694444444444442</v>
      </c>
      <c r="AO41" s="15">
        <v>0.51041666666666663</v>
      </c>
      <c r="AP41" s="15">
        <v>0.51388888888888895</v>
      </c>
      <c r="AQ41" s="15">
        <v>0.51736111111111105</v>
      </c>
      <c r="AR41" s="15">
        <v>0.52083333333333337</v>
      </c>
      <c r="AS41" s="15">
        <v>0.52430555555555558</v>
      </c>
      <c r="AT41" s="15">
        <v>0.52777777777777779</v>
      </c>
      <c r="AU41" s="15">
        <v>0.53125</v>
      </c>
      <c r="AV41" s="15">
        <v>0.53472222222222221</v>
      </c>
      <c r="AW41" s="15">
        <v>0.53819444444444442</v>
      </c>
      <c r="AX41" s="15">
        <v>0.54166666666666663</v>
      </c>
      <c r="AY41" s="15">
        <v>0.54513888888888895</v>
      </c>
      <c r="AZ41" s="15">
        <v>0.54861111111111105</v>
      </c>
      <c r="BA41" s="15">
        <v>0.55208333333333337</v>
      </c>
      <c r="BB41" s="15">
        <v>0.55555555555555558</v>
      </c>
      <c r="BC41" s="15">
        <v>0.55902777777777779</v>
      </c>
      <c r="BD41" s="15">
        <v>0.5625</v>
      </c>
      <c r="BE41" s="15">
        <v>0.56597222222222221</v>
      </c>
      <c r="BF41" s="15">
        <v>0.56944444444444442</v>
      </c>
      <c r="BG41" s="15">
        <v>0.57291666666666663</v>
      </c>
      <c r="BH41" s="15">
        <v>0.57638888888888895</v>
      </c>
      <c r="BI41" s="15">
        <v>0.57986111111111105</v>
      </c>
      <c r="BJ41" s="15">
        <v>0.58333333333333337</v>
      </c>
      <c r="BK41" s="15">
        <v>0.58680555555555558</v>
      </c>
      <c r="BL41" s="15">
        <v>0.59027777777777779</v>
      </c>
      <c r="BM41" s="15">
        <v>0.59375</v>
      </c>
      <c r="BN41" s="15">
        <v>0.59722222222222221</v>
      </c>
      <c r="BO41" s="15">
        <v>0.60069444444444442</v>
      </c>
      <c r="BP41" s="15">
        <v>0.60416666666666663</v>
      </c>
      <c r="BQ41" s="15">
        <v>0.60763888888888895</v>
      </c>
      <c r="BR41" s="15">
        <v>0.61111111111111105</v>
      </c>
      <c r="BS41" s="15">
        <v>0.61458333333333337</v>
      </c>
      <c r="BT41" s="15">
        <v>0.61805555555555558</v>
      </c>
      <c r="BU41" s="15">
        <v>0.62152777777777779</v>
      </c>
      <c r="BV41" s="15">
        <v>0.625</v>
      </c>
      <c r="BW41" s="15">
        <v>0.62847222222222221</v>
      </c>
      <c r="BX41" s="15">
        <v>0.63194444444444442</v>
      </c>
      <c r="BY41" s="15">
        <v>0.63541666666666663</v>
      </c>
      <c r="BZ41" s="15">
        <v>0.63888888888888895</v>
      </c>
      <c r="CA41" s="15">
        <v>0.64236111111111105</v>
      </c>
      <c r="CB41" s="15">
        <v>0.64583333333333337</v>
      </c>
      <c r="CC41" s="15">
        <v>0.64930555555555558</v>
      </c>
      <c r="CD41" s="15">
        <v>0.65277777777777779</v>
      </c>
      <c r="CE41" s="15">
        <v>0.65625</v>
      </c>
      <c r="CF41" s="15">
        <v>0.65972222222222221</v>
      </c>
      <c r="CG41" s="15">
        <v>0.66319444444444442</v>
      </c>
      <c r="CH41" s="15">
        <v>0.66666666666666663</v>
      </c>
      <c r="CI41" s="15">
        <v>0.67013888888888884</v>
      </c>
      <c r="CJ41" s="15">
        <v>0.67361111111111116</v>
      </c>
      <c r="CK41" s="15">
        <v>0.67708333333333337</v>
      </c>
      <c r="CL41" s="15">
        <v>0.68055555555555547</v>
      </c>
      <c r="CM41" s="15">
        <v>0.68402777777777779</v>
      </c>
      <c r="CN41" s="15">
        <v>0.6875</v>
      </c>
      <c r="CO41" s="15">
        <v>0.69097222222222221</v>
      </c>
      <c r="CP41" s="15">
        <v>0.69444444444444453</v>
      </c>
      <c r="CQ41" s="15">
        <v>0.69791666666666663</v>
      </c>
      <c r="CR41" s="15">
        <v>0.70138888888888884</v>
      </c>
      <c r="CS41" s="15">
        <v>0.70486111111111116</v>
      </c>
      <c r="CT41" s="15">
        <v>0.70833333333333337</v>
      </c>
      <c r="CU41" s="15">
        <v>0.71180555555555547</v>
      </c>
      <c r="CV41" s="15">
        <v>0.71527777777777779</v>
      </c>
      <c r="CW41" s="15">
        <v>0.71875</v>
      </c>
      <c r="CX41" s="15">
        <v>0.72222222222222221</v>
      </c>
      <c r="CY41" s="15">
        <v>0.72569444444444453</v>
      </c>
      <c r="CZ41" s="15">
        <v>0.72916666666666663</v>
      </c>
      <c r="DA41" s="15">
        <v>0.73263888888888884</v>
      </c>
      <c r="DB41" s="15">
        <v>0.73611111111111116</v>
      </c>
      <c r="DC41" s="15">
        <v>0.73958333333333337</v>
      </c>
      <c r="DD41" s="15">
        <v>0.74305555555555547</v>
      </c>
      <c r="DE41" s="15">
        <v>0.74652777777777779</v>
      </c>
      <c r="DF41" s="15">
        <v>0.75</v>
      </c>
      <c r="DG41" s="15">
        <v>0.75347222222222221</v>
      </c>
      <c r="DH41" s="15">
        <v>0.75694444444444453</v>
      </c>
      <c r="DI41" s="15">
        <v>0.76041666666666663</v>
      </c>
      <c r="DJ41" s="15">
        <v>0.76388888888888884</v>
      </c>
      <c r="DK41" s="15">
        <v>0.76736111111111116</v>
      </c>
      <c r="DM41" s="20"/>
    </row>
    <row r="42" spans="1:117" ht="15.75" x14ac:dyDescent="0.25">
      <c r="A42" s="14">
        <v>44151</v>
      </c>
      <c r="B42" s="12" t="s">
        <v>6</v>
      </c>
      <c r="C42" s="13">
        <v>5453</v>
      </c>
      <c r="D42" s="13">
        <v>5431</v>
      </c>
      <c r="E42" s="13">
        <v>5404</v>
      </c>
      <c r="F42" s="13">
        <v>5389.15</v>
      </c>
      <c r="G42" s="13">
        <v>5423.9</v>
      </c>
      <c r="H42" s="13">
        <v>5417.53</v>
      </c>
      <c r="I42" s="13">
        <v>5440</v>
      </c>
      <c r="J42" s="13">
        <v>5425.2</v>
      </c>
      <c r="K42" s="13">
        <v>5431.88</v>
      </c>
      <c r="L42" s="13">
        <v>5428.65</v>
      </c>
      <c r="M42" s="13">
        <v>5443.42</v>
      </c>
      <c r="N42" s="13">
        <v>5422.59</v>
      </c>
      <c r="O42" s="13">
        <v>5458.78</v>
      </c>
      <c r="P42" s="13">
        <v>5445.76</v>
      </c>
      <c r="Q42" s="13">
        <v>5434</v>
      </c>
      <c r="R42" s="13">
        <v>5440.24</v>
      </c>
      <c r="S42" s="13">
        <v>5438.1</v>
      </c>
      <c r="T42" s="13">
        <v>5435.24</v>
      </c>
      <c r="U42" s="13">
        <v>5430.71</v>
      </c>
      <c r="V42" s="13">
        <v>5474.5</v>
      </c>
      <c r="W42" s="13">
        <v>5453.25</v>
      </c>
      <c r="X42" s="13">
        <v>5440.26</v>
      </c>
      <c r="Y42" s="13">
        <v>5438.63</v>
      </c>
      <c r="Z42" s="13">
        <v>5458.84</v>
      </c>
      <c r="AA42" s="13">
        <v>5439.64</v>
      </c>
      <c r="AB42" s="13">
        <v>5448.7</v>
      </c>
      <c r="AC42" s="13">
        <v>5441.22</v>
      </c>
      <c r="AD42" s="13">
        <v>5449.65</v>
      </c>
      <c r="AE42" s="13">
        <v>5442.26</v>
      </c>
      <c r="AF42" s="13">
        <v>5442.89</v>
      </c>
      <c r="AG42" s="13">
        <v>5432.29</v>
      </c>
      <c r="AH42" s="13">
        <v>5440.12</v>
      </c>
      <c r="AI42" s="13">
        <v>5445.76</v>
      </c>
      <c r="AJ42" s="13">
        <v>5456.22</v>
      </c>
      <c r="AK42" s="13">
        <v>5467.42</v>
      </c>
      <c r="AL42" s="13">
        <v>5462.71</v>
      </c>
      <c r="AM42" s="13">
        <v>5458.38</v>
      </c>
      <c r="AN42" s="13">
        <v>5468.45</v>
      </c>
      <c r="AO42" s="13">
        <v>5472.12</v>
      </c>
      <c r="AP42" s="13">
        <v>5463.11</v>
      </c>
      <c r="AQ42" s="13">
        <v>5465.53</v>
      </c>
      <c r="AR42" s="13">
        <v>5456.59</v>
      </c>
      <c r="AS42" s="13">
        <v>5460.38</v>
      </c>
      <c r="AT42" s="13">
        <v>5465.22</v>
      </c>
      <c r="AU42" s="13">
        <v>5464.68</v>
      </c>
      <c r="AV42" s="13">
        <v>5461.77</v>
      </c>
      <c r="AW42" s="13">
        <v>5450.87</v>
      </c>
      <c r="AX42" s="13">
        <v>5456.03</v>
      </c>
      <c r="AY42" s="13">
        <v>5445.31</v>
      </c>
      <c r="AZ42" s="13">
        <v>5448.01</v>
      </c>
      <c r="BA42" s="13">
        <v>5455.79</v>
      </c>
      <c r="BB42" s="13">
        <v>5442.13</v>
      </c>
      <c r="BC42" s="13">
        <v>5450.28</v>
      </c>
      <c r="BD42" s="13">
        <v>5444.85</v>
      </c>
      <c r="BE42" s="13">
        <v>5446.06</v>
      </c>
      <c r="BF42" s="13">
        <v>5469.19</v>
      </c>
      <c r="BG42" s="13">
        <v>5447.6</v>
      </c>
      <c r="BH42" s="13">
        <v>5448.58</v>
      </c>
      <c r="BI42" s="13">
        <v>5433.34</v>
      </c>
      <c r="BJ42" s="13">
        <v>5429.74</v>
      </c>
      <c r="BK42" s="13">
        <v>5434.34</v>
      </c>
      <c r="BL42" s="13">
        <v>5431.59</v>
      </c>
      <c r="BM42" s="13">
        <v>5434.31</v>
      </c>
      <c r="BN42" s="13">
        <v>5443.85</v>
      </c>
      <c r="BO42" s="13">
        <v>5446.5</v>
      </c>
      <c r="BP42" s="13">
        <v>5449.18</v>
      </c>
      <c r="BQ42" s="13">
        <v>5444.39</v>
      </c>
      <c r="BR42" s="13">
        <v>5449.18</v>
      </c>
      <c r="BS42" s="13">
        <v>5448.39</v>
      </c>
      <c r="BT42" s="13">
        <v>5449.52</v>
      </c>
      <c r="BU42" s="13">
        <v>5459.77</v>
      </c>
      <c r="BV42" s="13">
        <v>5454.19</v>
      </c>
      <c r="BW42" s="13">
        <v>5450.41</v>
      </c>
      <c r="BX42" s="13">
        <v>5464.12</v>
      </c>
      <c r="BY42" s="13">
        <v>5448.95</v>
      </c>
      <c r="BZ42" s="13">
        <v>5444.81</v>
      </c>
      <c r="CA42" s="13">
        <v>5450.21</v>
      </c>
      <c r="CB42" s="13">
        <v>5453.51</v>
      </c>
      <c r="CC42" s="13">
        <v>5446.41</v>
      </c>
      <c r="CD42" s="13">
        <v>5481.11</v>
      </c>
      <c r="CE42" s="13">
        <v>5458.78</v>
      </c>
      <c r="CF42" s="13">
        <v>5479.14</v>
      </c>
      <c r="CG42" s="13">
        <v>5461.84</v>
      </c>
      <c r="CH42" s="13">
        <v>5465.57</v>
      </c>
      <c r="CI42" s="13">
        <v>5458.63</v>
      </c>
      <c r="CJ42" s="13">
        <v>5455.44</v>
      </c>
      <c r="CK42" s="13">
        <v>5459.09</v>
      </c>
      <c r="CL42" s="13">
        <v>5459.26</v>
      </c>
      <c r="CM42" s="13">
        <v>5458.1</v>
      </c>
      <c r="CN42" s="13">
        <v>5449.67</v>
      </c>
      <c r="CO42" s="13">
        <v>5450.94</v>
      </c>
      <c r="CP42" s="13">
        <v>5457.41</v>
      </c>
      <c r="CQ42" s="13">
        <v>5459.32</v>
      </c>
      <c r="CR42" s="13">
        <v>5454.85</v>
      </c>
      <c r="CS42" s="13">
        <v>5447.82</v>
      </c>
      <c r="CT42" s="13">
        <v>5461.18</v>
      </c>
      <c r="CU42" s="13">
        <v>5460.62</v>
      </c>
      <c r="CV42" s="13">
        <v>5457.6</v>
      </c>
      <c r="CW42" s="13">
        <v>5456.46</v>
      </c>
      <c r="CX42" s="13">
        <v>5456.49</v>
      </c>
      <c r="CY42" s="13">
        <v>5454.88</v>
      </c>
      <c r="CZ42" s="13">
        <v>5456.15</v>
      </c>
      <c r="DA42" s="13">
        <v>5453.96</v>
      </c>
      <c r="DB42" s="13">
        <v>5452.15</v>
      </c>
      <c r="DC42" s="13">
        <v>5459.92</v>
      </c>
      <c r="DD42" s="13">
        <v>5463.4</v>
      </c>
      <c r="DE42" s="13">
        <v>5449.64</v>
      </c>
      <c r="DF42" s="13">
        <v>5453.61</v>
      </c>
      <c r="DG42" s="13">
        <v>5454.95</v>
      </c>
      <c r="DH42" s="13">
        <v>5446.7</v>
      </c>
      <c r="DI42" s="13">
        <v>5449.44</v>
      </c>
      <c r="DJ42" s="13">
        <v>5446.75</v>
      </c>
      <c r="DK42" s="13">
        <v>5444.36</v>
      </c>
      <c r="DM42" s="20"/>
    </row>
    <row r="43" spans="1:117" ht="15.75" x14ac:dyDescent="0.25">
      <c r="A43" s="14" t="s">
        <v>12</v>
      </c>
      <c r="B43" s="12" t="s">
        <v>10</v>
      </c>
      <c r="C43" s="13">
        <v>5427.56</v>
      </c>
      <c r="D43" s="13">
        <v>5404</v>
      </c>
      <c r="E43" s="13">
        <v>5388.1</v>
      </c>
      <c r="F43" s="13">
        <v>5381.78</v>
      </c>
      <c r="G43" s="13">
        <v>5395.69</v>
      </c>
      <c r="H43" s="13">
        <v>5397.79</v>
      </c>
      <c r="I43" s="13">
        <v>5408.61</v>
      </c>
      <c r="J43" s="13">
        <v>5409.46</v>
      </c>
      <c r="K43" s="13">
        <v>5411.33</v>
      </c>
      <c r="L43" s="13">
        <v>5404.82</v>
      </c>
      <c r="M43" s="13">
        <v>5402.72</v>
      </c>
      <c r="N43" s="13">
        <v>5411.92</v>
      </c>
      <c r="O43" s="13">
        <v>5413.28</v>
      </c>
      <c r="P43" s="13">
        <v>5429.9</v>
      </c>
      <c r="Q43" s="13">
        <v>5419.23</v>
      </c>
      <c r="R43" s="13">
        <v>5432.2</v>
      </c>
      <c r="S43" s="13">
        <v>5433.08</v>
      </c>
      <c r="T43" s="13">
        <v>5427.7</v>
      </c>
      <c r="U43" s="13">
        <v>5418.55</v>
      </c>
      <c r="V43" s="13">
        <v>5432.19</v>
      </c>
      <c r="W43" s="13">
        <v>5432.52</v>
      </c>
      <c r="X43" s="13">
        <v>5428.94</v>
      </c>
      <c r="Y43" s="13">
        <v>5421.5</v>
      </c>
      <c r="Z43" s="13">
        <v>5422.16</v>
      </c>
      <c r="AA43" s="13">
        <v>5427.31</v>
      </c>
      <c r="AB43" s="13">
        <v>5428.9</v>
      </c>
      <c r="AC43" s="13">
        <v>5429.55</v>
      </c>
      <c r="AD43" s="13">
        <v>5429.57</v>
      </c>
      <c r="AE43" s="13">
        <v>5436.88</v>
      </c>
      <c r="AF43" s="13">
        <v>5427.46</v>
      </c>
      <c r="AG43" s="13">
        <v>5422.77</v>
      </c>
      <c r="AH43" s="13">
        <v>5429.69</v>
      </c>
      <c r="AI43" s="13">
        <v>5434.94</v>
      </c>
      <c r="AJ43" s="13">
        <v>5452.12</v>
      </c>
      <c r="AK43" s="13">
        <v>5460.58</v>
      </c>
      <c r="AL43" s="13">
        <v>5452.07</v>
      </c>
      <c r="AM43" s="13">
        <v>5450.97</v>
      </c>
      <c r="AN43" s="13">
        <v>5464.59</v>
      </c>
      <c r="AO43" s="13">
        <v>5461.84</v>
      </c>
      <c r="AP43" s="13">
        <v>5455.7</v>
      </c>
      <c r="AQ43" s="13">
        <v>5453.33</v>
      </c>
      <c r="AR43" s="13">
        <v>5451</v>
      </c>
      <c r="AS43" s="13">
        <v>5446.32</v>
      </c>
      <c r="AT43" s="13">
        <v>5457.65</v>
      </c>
      <c r="AU43" s="13">
        <v>5456.65</v>
      </c>
      <c r="AV43" s="13">
        <v>5461.77</v>
      </c>
      <c r="AW43" s="13">
        <v>5444.62</v>
      </c>
      <c r="AX43" s="13">
        <v>5441.61</v>
      </c>
      <c r="AY43" s="13">
        <v>5436.38</v>
      </c>
      <c r="AZ43" s="13">
        <v>5438.1</v>
      </c>
      <c r="BA43" s="13">
        <v>5440.15</v>
      </c>
      <c r="BB43" s="13">
        <v>5431.83</v>
      </c>
      <c r="BC43" s="13">
        <v>5433.44</v>
      </c>
      <c r="BD43" s="13">
        <v>5436.45</v>
      </c>
      <c r="BE43" s="13">
        <v>5439.07</v>
      </c>
      <c r="BF43" s="13">
        <v>5438.93</v>
      </c>
      <c r="BG43" s="13">
        <v>5434.18</v>
      </c>
      <c r="BH43" s="13">
        <v>5433.34</v>
      </c>
      <c r="BI43" s="13">
        <v>5417.29</v>
      </c>
      <c r="BJ43" s="13">
        <v>5415.79</v>
      </c>
      <c r="BK43" s="13">
        <v>5426.35</v>
      </c>
      <c r="BL43" s="13">
        <v>5419.61</v>
      </c>
      <c r="BM43" s="13">
        <v>5419.61</v>
      </c>
      <c r="BN43" s="13">
        <v>5430.43</v>
      </c>
      <c r="BO43" s="13">
        <v>5434.03</v>
      </c>
      <c r="BP43" s="13">
        <v>5438.4</v>
      </c>
      <c r="BQ43" s="13">
        <v>5435.57</v>
      </c>
      <c r="BR43" s="13">
        <v>5438.48</v>
      </c>
      <c r="BS43" s="13">
        <v>5437.93</v>
      </c>
      <c r="BT43" s="13">
        <v>5448.29</v>
      </c>
      <c r="BU43" s="13">
        <v>5452.32</v>
      </c>
      <c r="BV43" s="13">
        <v>5441.14</v>
      </c>
      <c r="BW43" s="13">
        <v>5437.26</v>
      </c>
      <c r="BX43" s="13">
        <v>5440.3</v>
      </c>
      <c r="BY43" s="13">
        <v>5440.24</v>
      </c>
      <c r="BZ43" s="13">
        <v>5440.94</v>
      </c>
      <c r="CA43" s="13">
        <v>5441.17</v>
      </c>
      <c r="CB43" s="13">
        <v>5446.41</v>
      </c>
      <c r="CC43" s="13">
        <v>5431.72</v>
      </c>
      <c r="CD43" s="13">
        <v>5427.23</v>
      </c>
      <c r="CE43" s="13">
        <v>5441.82</v>
      </c>
      <c r="CF43" s="13">
        <v>5451.09</v>
      </c>
      <c r="CG43" s="13">
        <v>5449.31</v>
      </c>
      <c r="CH43" s="13">
        <v>5449.68</v>
      </c>
      <c r="CI43" s="13">
        <v>5447.57</v>
      </c>
      <c r="CJ43" s="13">
        <v>5447.96</v>
      </c>
      <c r="CK43" s="13">
        <v>5450.74</v>
      </c>
      <c r="CL43" s="13">
        <v>5447.85</v>
      </c>
      <c r="CM43" s="13">
        <v>5444.62</v>
      </c>
      <c r="CN43" s="13">
        <v>5449.15</v>
      </c>
      <c r="CO43" s="13">
        <v>5446.92</v>
      </c>
      <c r="CP43" s="13">
        <v>5451.66</v>
      </c>
      <c r="CQ43" s="13">
        <v>5445.96</v>
      </c>
      <c r="CR43" s="13">
        <v>5445.03</v>
      </c>
      <c r="CS43" s="13">
        <v>5447.82</v>
      </c>
      <c r="CT43" s="13">
        <v>5451.57</v>
      </c>
      <c r="CU43" s="13">
        <v>5447.72</v>
      </c>
      <c r="CV43" s="13">
        <v>5449.41</v>
      </c>
      <c r="CW43" s="13">
        <v>5451.39</v>
      </c>
      <c r="CX43" s="13">
        <v>5448.63</v>
      </c>
      <c r="CY43" s="13">
        <v>5449.3</v>
      </c>
      <c r="CZ43" s="13">
        <v>5447.11</v>
      </c>
      <c r="DA43" s="13">
        <v>5444.93</v>
      </c>
      <c r="DB43" s="13">
        <v>5445.82</v>
      </c>
      <c r="DC43" s="13">
        <v>5450.09</v>
      </c>
      <c r="DD43" s="13">
        <v>5449.84</v>
      </c>
      <c r="DE43" s="13">
        <v>5445.95</v>
      </c>
      <c r="DF43" s="13">
        <v>5442.97</v>
      </c>
      <c r="DG43" s="13">
        <v>5440.78</v>
      </c>
      <c r="DH43" s="13">
        <v>5437.59</v>
      </c>
      <c r="DI43" s="13">
        <v>5433.53</v>
      </c>
      <c r="DJ43" s="13">
        <v>5434.67</v>
      </c>
      <c r="DK43" s="13">
        <v>5427.69</v>
      </c>
      <c r="DM43" s="20"/>
    </row>
    <row r="44" spans="1:117" ht="15.75" x14ac:dyDescent="0.25">
      <c r="A44" s="14" t="s">
        <v>12</v>
      </c>
      <c r="B44" s="12" t="s">
        <v>9</v>
      </c>
      <c r="C44" s="13">
        <v>5416.19</v>
      </c>
      <c r="D44" s="13">
        <v>5383.33</v>
      </c>
      <c r="E44" s="13">
        <v>5378.66</v>
      </c>
      <c r="F44" s="13">
        <v>5372.76</v>
      </c>
      <c r="G44" s="13">
        <v>5379.46</v>
      </c>
      <c r="H44" s="13">
        <v>5382.25</v>
      </c>
      <c r="I44" s="13">
        <v>5391.94</v>
      </c>
      <c r="J44" s="13">
        <v>5392.78</v>
      </c>
      <c r="K44" s="13">
        <v>5392.91</v>
      </c>
      <c r="L44" s="13">
        <v>5388.85</v>
      </c>
      <c r="M44" s="13">
        <v>5387.09</v>
      </c>
      <c r="N44" s="13">
        <v>5389.24</v>
      </c>
      <c r="O44" s="13">
        <v>5397.11</v>
      </c>
      <c r="P44" s="13">
        <v>5407.21</v>
      </c>
      <c r="Q44" s="13">
        <v>5404.83</v>
      </c>
      <c r="R44" s="13">
        <v>5405.46</v>
      </c>
      <c r="S44" s="13">
        <v>5414.96</v>
      </c>
      <c r="T44" s="13">
        <v>5412.74</v>
      </c>
      <c r="U44" s="13">
        <v>5404.55</v>
      </c>
      <c r="V44" s="13">
        <v>5412.58</v>
      </c>
      <c r="W44" s="13">
        <v>5416.07</v>
      </c>
      <c r="X44" s="13">
        <v>5404.8</v>
      </c>
      <c r="Y44" s="13">
        <v>5405.41</v>
      </c>
      <c r="Z44" s="13">
        <v>5407.4</v>
      </c>
      <c r="AA44" s="13">
        <v>5412.47</v>
      </c>
      <c r="AB44" s="13">
        <v>5414.28</v>
      </c>
      <c r="AC44" s="13">
        <v>5413.35</v>
      </c>
      <c r="AD44" s="13">
        <v>5414.9</v>
      </c>
      <c r="AE44" s="13">
        <v>5417.71</v>
      </c>
      <c r="AF44" s="13">
        <v>5408.71</v>
      </c>
      <c r="AG44" s="13">
        <v>5408.77</v>
      </c>
      <c r="AH44" s="13">
        <v>5414.77</v>
      </c>
      <c r="AI44" s="13">
        <v>5417.1</v>
      </c>
      <c r="AJ44" s="13">
        <v>5434.38</v>
      </c>
      <c r="AK44" s="13">
        <v>5445.9</v>
      </c>
      <c r="AL44" s="13">
        <v>5438.34</v>
      </c>
      <c r="AM44" s="13">
        <v>5438.86</v>
      </c>
      <c r="AN44" s="13">
        <v>5445.69</v>
      </c>
      <c r="AO44" s="13">
        <v>5448.66</v>
      </c>
      <c r="AP44" s="13">
        <v>5438</v>
      </c>
      <c r="AQ44" s="13">
        <v>5440.87</v>
      </c>
      <c r="AR44" s="13">
        <v>5438.38</v>
      </c>
      <c r="AS44" s="13">
        <v>5426.68</v>
      </c>
      <c r="AT44" s="13">
        <v>5442.77</v>
      </c>
      <c r="AU44" s="13">
        <v>5440.28</v>
      </c>
      <c r="AV44" s="13">
        <v>5437.5</v>
      </c>
      <c r="AW44" s="13">
        <v>5420.33</v>
      </c>
      <c r="AX44" s="13">
        <v>5426.11</v>
      </c>
      <c r="AY44" s="13">
        <v>5417.86</v>
      </c>
      <c r="AZ44" s="13">
        <v>5424.68</v>
      </c>
      <c r="BA44" s="13">
        <v>5424.42</v>
      </c>
      <c r="BB44" s="13">
        <v>5418.86</v>
      </c>
      <c r="BC44" s="13">
        <v>5420.72</v>
      </c>
      <c r="BD44" s="13">
        <v>5423.3</v>
      </c>
      <c r="BE44" s="13">
        <v>5422.26</v>
      </c>
      <c r="BF44" s="13">
        <v>5426.27</v>
      </c>
      <c r="BG44" s="13">
        <v>5421.69</v>
      </c>
      <c r="BH44" s="13">
        <v>5418.4</v>
      </c>
      <c r="BI44" s="13">
        <v>5404.93</v>
      </c>
      <c r="BJ44" s="13">
        <v>5402.97</v>
      </c>
      <c r="BK44" s="13">
        <v>5407.61</v>
      </c>
      <c r="BL44" s="13">
        <v>5405.26</v>
      </c>
      <c r="BM44" s="13">
        <v>5404.86</v>
      </c>
      <c r="BN44" s="13">
        <v>5412.14</v>
      </c>
      <c r="BO44" s="13">
        <v>5418.61</v>
      </c>
      <c r="BP44" s="13">
        <v>5425.95</v>
      </c>
      <c r="BQ44" s="13">
        <v>5423.11</v>
      </c>
      <c r="BR44" s="13">
        <v>5425.93</v>
      </c>
      <c r="BS44" s="13">
        <v>5425.37</v>
      </c>
      <c r="BT44" s="13">
        <v>5431.94</v>
      </c>
      <c r="BU44" s="13">
        <v>5434.93</v>
      </c>
      <c r="BV44" s="13">
        <v>5427.13</v>
      </c>
      <c r="BW44" s="13">
        <v>5415.23</v>
      </c>
      <c r="BX44" s="13">
        <v>5427.83</v>
      </c>
      <c r="BY44" s="13">
        <v>5424.54</v>
      </c>
      <c r="BZ44" s="13">
        <v>5428.14</v>
      </c>
      <c r="CA44" s="13">
        <v>5428.66</v>
      </c>
      <c r="CB44" s="13">
        <v>5433.8</v>
      </c>
      <c r="CC44" s="13">
        <v>5417.31</v>
      </c>
      <c r="CD44" s="13">
        <v>5414.79</v>
      </c>
      <c r="CE44" s="13">
        <v>5429.21</v>
      </c>
      <c r="CF44" s="13">
        <v>5427.79</v>
      </c>
      <c r="CG44" s="13">
        <v>5416.58</v>
      </c>
      <c r="CH44" s="13">
        <v>5432.29</v>
      </c>
      <c r="CI44" s="13">
        <v>5434.71</v>
      </c>
      <c r="CJ44" s="13">
        <v>5434.23</v>
      </c>
      <c r="CK44" s="13">
        <v>5437.5</v>
      </c>
      <c r="CL44" s="13">
        <v>5435.23</v>
      </c>
      <c r="CM44" s="13">
        <v>5413.07</v>
      </c>
      <c r="CN44" s="13">
        <v>5432.78</v>
      </c>
      <c r="CO44" s="13">
        <v>5433.83</v>
      </c>
      <c r="CP44" s="13">
        <v>5435.21</v>
      </c>
      <c r="CQ44" s="13">
        <v>5428.89</v>
      </c>
      <c r="CR44" s="13">
        <v>5432.42</v>
      </c>
      <c r="CS44" s="13">
        <v>5434.71</v>
      </c>
      <c r="CT44" s="13">
        <v>5436.81</v>
      </c>
      <c r="CU44" s="13">
        <v>5434.02</v>
      </c>
      <c r="CV44" s="13">
        <v>5433.44</v>
      </c>
      <c r="CW44" s="13">
        <v>5438.43</v>
      </c>
      <c r="CX44" s="13">
        <v>5433.04</v>
      </c>
      <c r="CY44" s="13">
        <v>5436.37</v>
      </c>
      <c r="CZ44" s="13">
        <v>5432.98</v>
      </c>
      <c r="DA44" s="13">
        <v>5432.66</v>
      </c>
      <c r="DB44" s="13">
        <v>5429.89</v>
      </c>
      <c r="DC44" s="13">
        <v>5437.18</v>
      </c>
      <c r="DD44" s="13">
        <v>5436.32</v>
      </c>
      <c r="DE44" s="13">
        <v>5433.45</v>
      </c>
      <c r="DF44" s="13">
        <v>5424.48</v>
      </c>
      <c r="DG44" s="13">
        <v>5427.26</v>
      </c>
      <c r="DH44" s="13">
        <v>5412.36</v>
      </c>
      <c r="DI44" s="13">
        <v>5416.58</v>
      </c>
      <c r="DJ44" s="13">
        <v>5416.27</v>
      </c>
      <c r="DK44" s="13">
        <v>5412.82</v>
      </c>
      <c r="DM44" s="20"/>
    </row>
    <row r="45" spans="1:117" ht="15.75" x14ac:dyDescent="0.25">
      <c r="A45" s="14" t="s">
        <v>12</v>
      </c>
      <c r="B45" s="12" t="s">
        <v>7</v>
      </c>
      <c r="C45" s="13">
        <v>5380</v>
      </c>
      <c r="D45" s="13">
        <v>5380</v>
      </c>
      <c r="E45" s="13">
        <v>5376.59</v>
      </c>
      <c r="F45" s="13">
        <v>5369.03</v>
      </c>
      <c r="G45" s="13">
        <v>5370.23</v>
      </c>
      <c r="H45" s="13">
        <v>5375.43</v>
      </c>
      <c r="I45" s="13">
        <v>5375.53</v>
      </c>
      <c r="J45" s="13">
        <v>5390.46</v>
      </c>
      <c r="K45" s="13">
        <v>5387.99</v>
      </c>
      <c r="L45" s="13">
        <v>5385.37</v>
      </c>
      <c r="M45" s="13">
        <v>5382.99</v>
      </c>
      <c r="N45" s="13">
        <v>5384.9</v>
      </c>
      <c r="O45" s="13">
        <v>5382.42</v>
      </c>
      <c r="P45" s="13">
        <v>5397.18</v>
      </c>
      <c r="Q45" s="13">
        <v>5393.75</v>
      </c>
      <c r="R45" s="13">
        <v>5403.5</v>
      </c>
      <c r="S45" s="13">
        <v>5407.52</v>
      </c>
      <c r="T45" s="13">
        <v>5407.46</v>
      </c>
      <c r="U45" s="13">
        <v>5401.65</v>
      </c>
      <c r="V45" s="13">
        <v>5397.96</v>
      </c>
      <c r="W45" s="13">
        <v>5406.5</v>
      </c>
      <c r="X45" s="13">
        <v>5400.95</v>
      </c>
      <c r="Y45" s="13">
        <v>5401.43</v>
      </c>
      <c r="Z45" s="13">
        <v>5397.05</v>
      </c>
      <c r="AA45" s="13">
        <v>5402.43</v>
      </c>
      <c r="AB45" s="13">
        <v>5410.25</v>
      </c>
      <c r="AC45" s="13">
        <v>5409.04</v>
      </c>
      <c r="AD45" s="13">
        <v>5406</v>
      </c>
      <c r="AE45" s="13">
        <v>5407.57</v>
      </c>
      <c r="AF45" s="13">
        <v>5408.45</v>
      </c>
      <c r="AG45" s="13">
        <v>5403.83</v>
      </c>
      <c r="AH45" s="13">
        <v>5406.74</v>
      </c>
      <c r="AI45" s="13">
        <v>5399</v>
      </c>
      <c r="AJ45" s="13">
        <v>5417.1</v>
      </c>
      <c r="AK45" s="13">
        <v>5410.29</v>
      </c>
      <c r="AL45" s="13">
        <v>5424.6</v>
      </c>
      <c r="AM45" s="13">
        <v>5416.33</v>
      </c>
      <c r="AN45" s="13">
        <v>5438.48</v>
      </c>
      <c r="AO45" s="13">
        <v>5438</v>
      </c>
      <c r="AP45" s="13">
        <v>5419.23</v>
      </c>
      <c r="AQ45" s="13">
        <v>5417.05</v>
      </c>
      <c r="AR45" s="13">
        <v>5425.2</v>
      </c>
      <c r="AS45" s="13">
        <v>5422.86</v>
      </c>
      <c r="AT45" s="13">
        <v>5428.33</v>
      </c>
      <c r="AU45" s="13">
        <v>5421.1</v>
      </c>
      <c r="AV45" s="13">
        <v>5421.09</v>
      </c>
      <c r="AW45" s="13">
        <v>5417.98</v>
      </c>
      <c r="AX45" s="13">
        <v>5415.14</v>
      </c>
      <c r="AY45" s="13">
        <v>5412.79</v>
      </c>
      <c r="AZ45" s="13">
        <v>5416.64</v>
      </c>
      <c r="BA45" s="13">
        <v>5410.06</v>
      </c>
      <c r="BB45" s="13">
        <v>5411.03</v>
      </c>
      <c r="BC45" s="13">
        <v>5413.18</v>
      </c>
      <c r="BD45" s="13">
        <v>5414.01</v>
      </c>
      <c r="BE45" s="13">
        <v>5401.02</v>
      </c>
      <c r="BF45" s="13">
        <v>5413.94</v>
      </c>
      <c r="BG45" s="13">
        <v>5411.78</v>
      </c>
      <c r="BH45" s="13">
        <v>5413.12</v>
      </c>
      <c r="BI45" s="13">
        <v>5398.5</v>
      </c>
      <c r="BJ45" s="13">
        <v>5396.19</v>
      </c>
      <c r="BK45" s="13">
        <v>5400.26</v>
      </c>
      <c r="BL45" s="13">
        <v>5388.72</v>
      </c>
      <c r="BM45" s="13">
        <v>5403.11</v>
      </c>
      <c r="BN45" s="13">
        <v>5403.58</v>
      </c>
      <c r="BO45" s="13">
        <v>5410.52</v>
      </c>
      <c r="BP45" s="13">
        <v>5414.92</v>
      </c>
      <c r="BQ45" s="13">
        <v>5415</v>
      </c>
      <c r="BR45" s="13">
        <v>5414.64</v>
      </c>
      <c r="BS45" s="13">
        <v>5410.82</v>
      </c>
      <c r="BT45" s="13">
        <v>5415.65</v>
      </c>
      <c r="BU45" s="13">
        <v>5424.51</v>
      </c>
      <c r="BV45" s="13">
        <v>5411.55</v>
      </c>
      <c r="BW45" s="13">
        <v>5415.23</v>
      </c>
      <c r="BX45" s="13">
        <v>5415.42</v>
      </c>
      <c r="BY45" s="13">
        <v>5415.67</v>
      </c>
      <c r="BZ45" s="13">
        <v>5416.74</v>
      </c>
      <c r="CA45" s="13">
        <v>5421.29</v>
      </c>
      <c r="CB45" s="13">
        <v>5423.85</v>
      </c>
      <c r="CC45" s="13">
        <v>5396.45</v>
      </c>
      <c r="CD45" s="13">
        <v>5409.46</v>
      </c>
      <c r="CE45" s="13">
        <v>5418.28</v>
      </c>
      <c r="CF45" s="13">
        <v>5415.53</v>
      </c>
      <c r="CG45" s="13">
        <v>5416.58</v>
      </c>
      <c r="CH45" s="13">
        <v>5415.51</v>
      </c>
      <c r="CI45" s="13">
        <v>5412.57</v>
      </c>
      <c r="CJ45" s="13">
        <v>5430.22</v>
      </c>
      <c r="CK45" s="13">
        <v>5431.84</v>
      </c>
      <c r="CL45" s="13">
        <v>5411.71</v>
      </c>
      <c r="CM45" s="13">
        <v>5413.07</v>
      </c>
      <c r="CN45" s="13">
        <v>5426.17</v>
      </c>
      <c r="CO45" s="13">
        <v>5422.83</v>
      </c>
      <c r="CP45" s="13">
        <v>5418.26</v>
      </c>
      <c r="CQ45" s="13">
        <v>5424.53</v>
      </c>
      <c r="CR45" s="13">
        <v>5423.05</v>
      </c>
      <c r="CS45" s="13">
        <v>5434.71</v>
      </c>
      <c r="CT45" s="13">
        <v>5427.73</v>
      </c>
      <c r="CU45" s="13">
        <v>5417.24</v>
      </c>
      <c r="CV45" s="13">
        <v>5423.81</v>
      </c>
      <c r="CW45" s="13">
        <v>5433.43</v>
      </c>
      <c r="CX45" s="13">
        <v>5415.96</v>
      </c>
      <c r="CY45" s="13">
        <v>5427.13</v>
      </c>
      <c r="CZ45" s="13">
        <v>5415.88</v>
      </c>
      <c r="DA45" s="13">
        <v>5427.68</v>
      </c>
      <c r="DB45" s="13">
        <v>5424.24</v>
      </c>
      <c r="DC45" s="13">
        <v>5428.91</v>
      </c>
      <c r="DD45" s="13">
        <v>5423.58</v>
      </c>
      <c r="DE45" s="13">
        <v>5422.77</v>
      </c>
      <c r="DF45" s="13">
        <v>5424.41</v>
      </c>
      <c r="DG45" s="13">
        <v>5421.2</v>
      </c>
      <c r="DH45" s="13">
        <v>5412.36</v>
      </c>
      <c r="DI45" s="13">
        <v>5404.12</v>
      </c>
      <c r="DJ45" s="13">
        <v>5415.58</v>
      </c>
      <c r="DK45" s="13">
        <v>5407.15</v>
      </c>
      <c r="DM45" s="20"/>
    </row>
    <row r="46" spans="1:117" ht="15.75" x14ac:dyDescent="0.25">
      <c r="A46" s="11" t="s">
        <v>5</v>
      </c>
      <c r="B46" s="11" t="s">
        <v>11</v>
      </c>
      <c r="C46" s="15">
        <v>0.37847222222222227</v>
      </c>
      <c r="D46" s="15">
        <v>0.38194444444444442</v>
      </c>
      <c r="E46" s="15">
        <v>0.38541666666666669</v>
      </c>
      <c r="F46" s="15">
        <v>0.3888888888888889</v>
      </c>
      <c r="G46" s="15">
        <v>0.3923611111111111</v>
      </c>
      <c r="H46" s="15">
        <v>0.39583333333333331</v>
      </c>
      <c r="I46" s="15">
        <v>0.39930555555555558</v>
      </c>
      <c r="J46" s="15">
        <v>0.40277777777777773</v>
      </c>
      <c r="K46" s="15">
        <v>0.40625</v>
      </c>
      <c r="L46" s="15">
        <v>0.40972222222222227</v>
      </c>
      <c r="M46" s="15">
        <v>0.41319444444444442</v>
      </c>
      <c r="N46" s="15">
        <v>0.41666666666666669</v>
      </c>
      <c r="O46" s="15">
        <v>0.4201388888888889</v>
      </c>
      <c r="P46" s="15">
        <v>0.4236111111111111</v>
      </c>
      <c r="Q46" s="15">
        <v>0.42708333333333331</v>
      </c>
      <c r="R46" s="15">
        <v>0.43055555555555558</v>
      </c>
      <c r="S46" s="15">
        <v>0.43402777777777773</v>
      </c>
      <c r="T46" s="15">
        <v>0.4375</v>
      </c>
      <c r="U46" s="15">
        <v>0.44097222222222227</v>
      </c>
      <c r="V46" s="15">
        <v>0.44444444444444442</v>
      </c>
      <c r="W46" s="15">
        <v>0.44791666666666669</v>
      </c>
      <c r="X46" s="15">
        <v>0.4513888888888889</v>
      </c>
      <c r="Y46" s="15">
        <v>0.4548611111111111</v>
      </c>
      <c r="Z46" s="15">
        <v>0.45833333333333331</v>
      </c>
      <c r="AA46" s="15">
        <v>0.46180555555555558</v>
      </c>
      <c r="AB46" s="15">
        <v>0.46527777777777773</v>
      </c>
      <c r="AC46" s="15">
        <v>0.46875</v>
      </c>
      <c r="AD46" s="15">
        <v>0.47222222222222227</v>
      </c>
      <c r="AE46" s="15">
        <v>0.47569444444444442</v>
      </c>
      <c r="AF46" s="15">
        <v>0.47916666666666669</v>
      </c>
      <c r="AG46" s="15">
        <v>0.4826388888888889</v>
      </c>
      <c r="AH46" s="15">
        <v>0.4861111111111111</v>
      </c>
      <c r="AI46" s="15">
        <v>0.48958333333333331</v>
      </c>
      <c r="AJ46" s="15">
        <v>0.49305555555555558</v>
      </c>
      <c r="AK46" s="15">
        <v>0.49652777777777773</v>
      </c>
      <c r="AL46" s="15">
        <v>0.5</v>
      </c>
      <c r="AM46" s="15">
        <v>0.50347222222222221</v>
      </c>
      <c r="AN46" s="15">
        <v>0.50694444444444442</v>
      </c>
      <c r="AO46" s="15">
        <v>0.51041666666666663</v>
      </c>
      <c r="AP46" s="15">
        <v>0.51388888888888895</v>
      </c>
      <c r="AQ46" s="15">
        <v>0.51736111111111105</v>
      </c>
      <c r="AR46" s="15">
        <v>0.52083333333333337</v>
      </c>
      <c r="AS46" s="15">
        <v>0.52430555555555558</v>
      </c>
      <c r="AT46" s="15">
        <v>0.52777777777777779</v>
      </c>
      <c r="AU46" s="15">
        <v>0.53125</v>
      </c>
      <c r="AV46" s="15">
        <v>0.53472222222222221</v>
      </c>
      <c r="AW46" s="15">
        <v>0.53819444444444442</v>
      </c>
      <c r="AX46" s="15">
        <v>0.54166666666666663</v>
      </c>
      <c r="AY46" s="15">
        <v>0.54513888888888895</v>
      </c>
      <c r="AZ46" s="15">
        <v>0.54861111111111105</v>
      </c>
      <c r="BA46" s="15">
        <v>0.55208333333333337</v>
      </c>
      <c r="BB46" s="15">
        <v>0.55555555555555558</v>
      </c>
      <c r="BC46" s="15">
        <v>0.55902777777777779</v>
      </c>
      <c r="BD46" s="15">
        <v>0.5625</v>
      </c>
      <c r="BE46" s="15">
        <v>0.56597222222222221</v>
      </c>
      <c r="BF46" s="15">
        <v>0.56944444444444442</v>
      </c>
      <c r="BG46" s="15">
        <v>0.57291666666666663</v>
      </c>
      <c r="BH46" s="15">
        <v>0.57638888888888895</v>
      </c>
      <c r="BI46" s="15">
        <v>0.57986111111111105</v>
      </c>
      <c r="BJ46" s="15">
        <v>0.58333333333333337</v>
      </c>
      <c r="BK46" s="15">
        <v>0.58680555555555558</v>
      </c>
      <c r="BL46" s="15">
        <v>0.59027777777777779</v>
      </c>
      <c r="BM46" s="15">
        <v>0.59375</v>
      </c>
      <c r="BN46" s="15">
        <v>0.59722222222222221</v>
      </c>
      <c r="BO46" s="15">
        <v>0.60069444444444442</v>
      </c>
      <c r="BP46" s="15">
        <v>0.60416666666666663</v>
      </c>
      <c r="BQ46" s="15">
        <v>0.60763888888888895</v>
      </c>
      <c r="BR46" s="15">
        <v>0.61111111111111105</v>
      </c>
      <c r="BS46" s="15">
        <v>0.61458333333333337</v>
      </c>
      <c r="BT46" s="15">
        <v>0.61805555555555558</v>
      </c>
      <c r="BU46" s="15">
        <v>0.62152777777777779</v>
      </c>
      <c r="BV46" s="15">
        <v>0.625</v>
      </c>
      <c r="BW46" s="15">
        <v>0.62847222222222221</v>
      </c>
      <c r="BX46" s="15">
        <v>0.63194444444444442</v>
      </c>
      <c r="BY46" s="15">
        <v>0.63541666666666663</v>
      </c>
      <c r="BZ46" s="15">
        <v>0.63888888888888895</v>
      </c>
      <c r="CA46" s="15">
        <v>0.64236111111111105</v>
      </c>
      <c r="CB46" s="15">
        <v>0.64583333333333337</v>
      </c>
      <c r="CC46" s="15">
        <v>0.64930555555555558</v>
      </c>
      <c r="CD46" s="15">
        <v>0.65277777777777779</v>
      </c>
      <c r="CE46" s="15">
        <v>0.65625</v>
      </c>
      <c r="CF46" s="15">
        <v>0.65972222222222221</v>
      </c>
      <c r="CG46" s="15">
        <v>0.66319444444444442</v>
      </c>
      <c r="CH46" s="15">
        <v>0.66666666666666663</v>
      </c>
      <c r="CI46" s="15">
        <v>0.67013888888888884</v>
      </c>
      <c r="CJ46" s="15">
        <v>0.67361111111111116</v>
      </c>
      <c r="CK46" s="15">
        <v>0.67708333333333337</v>
      </c>
      <c r="CL46" s="15">
        <v>0.68055555555555547</v>
      </c>
      <c r="CM46" s="15">
        <v>0.68402777777777779</v>
      </c>
      <c r="CN46" s="15">
        <v>0.6875</v>
      </c>
      <c r="CO46" s="15">
        <v>0.69097222222222221</v>
      </c>
      <c r="CP46" s="15">
        <v>0.69444444444444453</v>
      </c>
      <c r="CQ46" s="15">
        <v>0.69791666666666663</v>
      </c>
      <c r="CR46" s="15">
        <v>0.70138888888888884</v>
      </c>
      <c r="CS46" s="15">
        <v>0.70486111111111116</v>
      </c>
      <c r="CT46" s="15">
        <v>0.70833333333333337</v>
      </c>
      <c r="CU46" s="15">
        <v>0.71180555555555547</v>
      </c>
      <c r="CV46" s="15">
        <v>0.71527777777777779</v>
      </c>
      <c r="CW46" s="15">
        <v>0.71875</v>
      </c>
      <c r="CX46" s="15">
        <v>0.72222222222222221</v>
      </c>
      <c r="CY46" s="15">
        <v>0.72569444444444453</v>
      </c>
      <c r="CZ46" s="15">
        <v>0.72916666666666663</v>
      </c>
      <c r="DA46" s="15">
        <v>0.73263888888888884</v>
      </c>
      <c r="DB46" s="15">
        <v>0.73611111111111116</v>
      </c>
      <c r="DC46" s="15">
        <v>0.73958333333333337</v>
      </c>
      <c r="DD46" s="15">
        <v>0.74305555555555547</v>
      </c>
      <c r="DE46" s="15">
        <v>0.74652777777777779</v>
      </c>
      <c r="DF46" s="15">
        <v>0.75</v>
      </c>
      <c r="DG46" s="15">
        <v>0.75347222222222221</v>
      </c>
      <c r="DH46" s="15">
        <v>0.75694444444444453</v>
      </c>
      <c r="DI46" s="15">
        <v>0.76041666666666663</v>
      </c>
      <c r="DJ46" s="15">
        <v>0.76388888888888884</v>
      </c>
      <c r="DK46" s="15">
        <v>0.76736111111111116</v>
      </c>
      <c r="DM46" s="20"/>
    </row>
    <row r="47" spans="1:117" ht="15.75" x14ac:dyDescent="0.25">
      <c r="A47" s="14">
        <v>44152</v>
      </c>
      <c r="B47" s="12" t="s">
        <v>6</v>
      </c>
      <c r="C47" s="13">
        <v>5416</v>
      </c>
      <c r="D47" s="13">
        <v>5414.91</v>
      </c>
      <c r="E47" s="13">
        <v>5420.34</v>
      </c>
      <c r="F47" s="13">
        <v>5414.83</v>
      </c>
      <c r="G47" s="13">
        <v>5414.84</v>
      </c>
      <c r="H47" s="13">
        <v>5439.1</v>
      </c>
      <c r="I47" s="13">
        <v>5420.25</v>
      </c>
      <c r="J47" s="13">
        <v>5439.04</v>
      </c>
      <c r="K47" s="13">
        <v>5426.89</v>
      </c>
      <c r="L47" s="13">
        <v>5438.56</v>
      </c>
      <c r="M47" s="13">
        <v>5422.71</v>
      </c>
      <c r="N47" s="13">
        <v>5419.71</v>
      </c>
      <c r="O47" s="13">
        <v>5426.14</v>
      </c>
      <c r="P47" s="13">
        <v>5438.76</v>
      </c>
      <c r="Q47" s="13">
        <v>5432.65</v>
      </c>
      <c r="R47" s="13">
        <v>5430.78</v>
      </c>
      <c r="S47" s="13">
        <v>5431.11</v>
      </c>
      <c r="T47" s="13">
        <v>5428.71</v>
      </c>
      <c r="U47" s="13">
        <v>5432.72</v>
      </c>
      <c r="V47" s="13">
        <v>5431.63</v>
      </c>
      <c r="W47" s="13">
        <v>5424.73</v>
      </c>
      <c r="X47" s="13">
        <v>5417.59</v>
      </c>
      <c r="Y47" s="13">
        <v>5441.09</v>
      </c>
      <c r="Z47" s="13">
        <v>5421.46</v>
      </c>
      <c r="AA47" s="13">
        <v>5423.7</v>
      </c>
      <c r="AB47" s="13">
        <v>5423.94</v>
      </c>
      <c r="AC47" s="13">
        <v>5420.1</v>
      </c>
      <c r="AD47" s="13">
        <v>5420.21</v>
      </c>
      <c r="AE47" s="13">
        <v>5421.48</v>
      </c>
      <c r="AF47" s="13">
        <v>5427.9</v>
      </c>
      <c r="AG47" s="13">
        <v>5426.65</v>
      </c>
      <c r="AH47" s="13">
        <v>5422.1</v>
      </c>
      <c r="AI47" s="13">
        <v>5417.36</v>
      </c>
      <c r="AJ47" s="13">
        <v>5418.56</v>
      </c>
      <c r="AK47" s="13">
        <v>5411.63</v>
      </c>
      <c r="AL47" s="13">
        <v>5416.84</v>
      </c>
      <c r="AM47" s="13">
        <v>5416.31</v>
      </c>
      <c r="AN47" s="13">
        <v>5433.76</v>
      </c>
      <c r="AO47" s="13">
        <v>5406.4</v>
      </c>
      <c r="AP47" s="13">
        <v>5423.63</v>
      </c>
      <c r="AQ47" s="13">
        <v>5395.08</v>
      </c>
      <c r="AR47" s="13">
        <v>5401.62</v>
      </c>
      <c r="AS47" s="13">
        <v>5400.27</v>
      </c>
      <c r="AT47" s="13">
        <v>5407.05</v>
      </c>
      <c r="AU47" s="13">
        <v>5377.68</v>
      </c>
      <c r="AV47" s="13">
        <v>5379.81</v>
      </c>
      <c r="AW47" s="13">
        <v>5376.01</v>
      </c>
      <c r="AX47" s="13">
        <v>5389.9</v>
      </c>
      <c r="AY47" s="13">
        <v>5378.35</v>
      </c>
      <c r="AZ47" s="13">
        <v>5377.13</v>
      </c>
      <c r="BA47" s="13">
        <v>5372.21</v>
      </c>
      <c r="BB47" s="13">
        <v>5389.63</v>
      </c>
      <c r="BC47" s="13">
        <v>5375.7</v>
      </c>
      <c r="BD47" s="13">
        <v>5378.4</v>
      </c>
      <c r="BE47" s="13">
        <v>5375.16</v>
      </c>
      <c r="BF47" s="13">
        <v>5373.66</v>
      </c>
      <c r="BG47" s="13">
        <v>5371.99</v>
      </c>
      <c r="BH47" s="13">
        <v>5382.67</v>
      </c>
      <c r="BI47" s="13">
        <v>5367.76</v>
      </c>
      <c r="BJ47" s="13">
        <v>5367.79</v>
      </c>
      <c r="BK47" s="13">
        <v>5369.5</v>
      </c>
      <c r="BL47" s="13">
        <v>5366.36</v>
      </c>
      <c r="BM47" s="13">
        <v>5367.07</v>
      </c>
      <c r="BN47" s="13">
        <v>5355.04</v>
      </c>
      <c r="BO47" s="13">
        <v>5371.09</v>
      </c>
      <c r="BP47" s="13">
        <v>5352.93</v>
      </c>
      <c r="BQ47" s="13">
        <v>5349.02</v>
      </c>
      <c r="BR47" s="13">
        <v>5353.21</v>
      </c>
      <c r="BS47" s="13">
        <v>5421.6</v>
      </c>
      <c r="BT47" s="13">
        <v>5368.09</v>
      </c>
      <c r="BU47" s="13">
        <v>5365.95</v>
      </c>
      <c r="BV47" s="13">
        <v>5385.6</v>
      </c>
      <c r="BW47" s="13">
        <v>5364.4</v>
      </c>
      <c r="BX47" s="13">
        <v>5404.17</v>
      </c>
      <c r="BY47" s="13">
        <v>5415.33</v>
      </c>
      <c r="BZ47" s="13">
        <v>5417.3</v>
      </c>
      <c r="CA47" s="13">
        <v>5373.63</v>
      </c>
      <c r="CB47" s="13">
        <v>5372.04</v>
      </c>
      <c r="CC47" s="13">
        <v>5382.86</v>
      </c>
      <c r="CD47" s="13">
        <v>5375.52</v>
      </c>
      <c r="CE47" s="13">
        <v>5377.64</v>
      </c>
      <c r="CF47" s="13">
        <v>5384.88</v>
      </c>
      <c r="CG47" s="13">
        <v>5382.08</v>
      </c>
      <c r="CH47" s="13">
        <v>5380.89</v>
      </c>
      <c r="CI47" s="13">
        <v>5374.68</v>
      </c>
      <c r="CJ47" s="13">
        <v>5366.69</v>
      </c>
      <c r="CK47" s="13">
        <v>5365.33</v>
      </c>
      <c r="CL47" s="13">
        <v>5424.96</v>
      </c>
      <c r="CM47" s="13">
        <v>5365.38</v>
      </c>
      <c r="CN47" s="13">
        <v>5371.18</v>
      </c>
      <c r="CO47" s="13">
        <v>5359.85</v>
      </c>
      <c r="CP47" s="13">
        <v>5355.74</v>
      </c>
      <c r="CQ47" s="13">
        <v>5393.79</v>
      </c>
      <c r="CR47" s="13">
        <v>5358.53</v>
      </c>
      <c r="CS47" s="13">
        <v>5353.13</v>
      </c>
      <c r="CT47" s="13">
        <v>5352.19</v>
      </c>
      <c r="CU47" s="13">
        <v>5349.48</v>
      </c>
      <c r="CV47" s="13">
        <v>5352.21</v>
      </c>
      <c r="CW47" s="13">
        <v>5350.67</v>
      </c>
      <c r="CX47" s="13">
        <v>5357.49</v>
      </c>
      <c r="CY47" s="13">
        <v>5369.73</v>
      </c>
      <c r="CZ47" s="13">
        <v>5365.23</v>
      </c>
      <c r="DA47" s="13">
        <v>5357.01</v>
      </c>
      <c r="DB47" s="13">
        <v>5362.29</v>
      </c>
      <c r="DC47" s="13">
        <v>5356.2</v>
      </c>
      <c r="DD47" s="13">
        <v>5357.15</v>
      </c>
      <c r="DE47" s="13">
        <v>5358.89</v>
      </c>
      <c r="DF47" s="13">
        <v>5350.89</v>
      </c>
      <c r="DG47" s="13">
        <v>5379.81</v>
      </c>
      <c r="DH47" s="13">
        <v>5351.45</v>
      </c>
      <c r="DI47" s="13">
        <v>5355.3</v>
      </c>
      <c r="DJ47" s="13">
        <v>5352.09</v>
      </c>
      <c r="DK47" s="13">
        <v>5410.53</v>
      </c>
      <c r="DM47" s="20"/>
    </row>
    <row r="48" spans="1:117" ht="15.75" x14ac:dyDescent="0.25">
      <c r="A48" s="14" t="s">
        <v>12</v>
      </c>
      <c r="B48" s="12" t="s">
        <v>10</v>
      </c>
      <c r="C48" s="13">
        <v>5403.33</v>
      </c>
      <c r="D48" s="13">
        <v>5414.54</v>
      </c>
      <c r="E48" s="13">
        <v>5413.88</v>
      </c>
      <c r="F48" s="13">
        <v>5412.97</v>
      </c>
      <c r="G48" s="13">
        <v>5405.56</v>
      </c>
      <c r="H48" s="13">
        <v>5415.61</v>
      </c>
      <c r="I48" s="13">
        <v>5419.47</v>
      </c>
      <c r="J48" s="13">
        <v>5420.5</v>
      </c>
      <c r="K48" s="13">
        <v>5418.6</v>
      </c>
      <c r="L48" s="13">
        <v>5422.84</v>
      </c>
      <c r="M48" s="13">
        <v>5420.46</v>
      </c>
      <c r="N48" s="13">
        <v>5415.57</v>
      </c>
      <c r="O48" s="13">
        <v>5425.54</v>
      </c>
      <c r="P48" s="13">
        <v>5429.4</v>
      </c>
      <c r="Q48" s="13">
        <v>5429.4</v>
      </c>
      <c r="R48" s="13">
        <v>5421.62</v>
      </c>
      <c r="S48" s="13">
        <v>5425.2</v>
      </c>
      <c r="T48" s="13">
        <v>5423.98</v>
      </c>
      <c r="U48" s="13">
        <v>5428.83</v>
      </c>
      <c r="V48" s="13">
        <v>5419.12</v>
      </c>
      <c r="W48" s="13">
        <v>5413.47</v>
      </c>
      <c r="X48" s="13">
        <v>5410.13</v>
      </c>
      <c r="Y48" s="13">
        <v>5419.49</v>
      </c>
      <c r="Z48" s="13">
        <v>5418.61</v>
      </c>
      <c r="AA48" s="13">
        <v>5415.13</v>
      </c>
      <c r="AB48" s="13">
        <v>5421.14</v>
      </c>
      <c r="AC48" s="13">
        <v>5413.46</v>
      </c>
      <c r="AD48" s="13">
        <v>5416.75</v>
      </c>
      <c r="AE48" s="13">
        <v>5418.56</v>
      </c>
      <c r="AF48" s="13">
        <v>5414.25</v>
      </c>
      <c r="AG48" s="13">
        <v>5410.44</v>
      </c>
      <c r="AH48" s="13">
        <v>5415.98</v>
      </c>
      <c r="AI48" s="13">
        <v>5416.26</v>
      </c>
      <c r="AJ48" s="13">
        <v>5409.25</v>
      </c>
      <c r="AK48" s="13">
        <v>5409.56</v>
      </c>
      <c r="AL48" s="13">
        <v>5405.53</v>
      </c>
      <c r="AM48" s="13">
        <v>5411.95</v>
      </c>
      <c r="AN48" s="13">
        <v>5405.5</v>
      </c>
      <c r="AO48" s="13">
        <v>5389.66</v>
      </c>
      <c r="AP48" s="13">
        <v>5387.19</v>
      </c>
      <c r="AQ48" s="13">
        <v>5395.08</v>
      </c>
      <c r="AR48" s="13">
        <v>5389.66</v>
      </c>
      <c r="AS48" s="13">
        <v>5382.25</v>
      </c>
      <c r="AT48" s="13">
        <v>5374.89</v>
      </c>
      <c r="AU48" s="13">
        <v>5370.97</v>
      </c>
      <c r="AV48" s="13">
        <v>5375.68</v>
      </c>
      <c r="AW48" s="13">
        <v>5371.73</v>
      </c>
      <c r="AX48" s="13">
        <v>5373.76</v>
      </c>
      <c r="AY48" s="13">
        <v>5375.08</v>
      </c>
      <c r="AZ48" s="13">
        <v>5366.34</v>
      </c>
      <c r="BA48" s="13">
        <v>5366.73</v>
      </c>
      <c r="BB48" s="13">
        <v>5375.74</v>
      </c>
      <c r="BC48" s="13">
        <v>5368.59</v>
      </c>
      <c r="BD48" s="13">
        <v>5373.94</v>
      </c>
      <c r="BE48" s="13">
        <v>5370.62</v>
      </c>
      <c r="BF48" s="13">
        <v>5371.14</v>
      </c>
      <c r="BG48" s="13">
        <v>5364.31</v>
      </c>
      <c r="BH48" s="13">
        <v>5365.96</v>
      </c>
      <c r="BI48" s="13">
        <v>5366.06</v>
      </c>
      <c r="BJ48" s="13">
        <v>5358.73</v>
      </c>
      <c r="BK48" s="13">
        <v>5360.44</v>
      </c>
      <c r="BL48" s="13">
        <v>5362.57</v>
      </c>
      <c r="BM48" s="13">
        <v>5353.83</v>
      </c>
      <c r="BN48" s="13">
        <v>5349.53</v>
      </c>
      <c r="BO48" s="13">
        <v>5348.54</v>
      </c>
      <c r="BP48" s="13">
        <v>5347.83</v>
      </c>
      <c r="BQ48" s="13">
        <v>5343.05</v>
      </c>
      <c r="BR48" s="13">
        <v>5347.58</v>
      </c>
      <c r="BS48" s="13">
        <v>5364.8</v>
      </c>
      <c r="BT48" s="13">
        <v>5362.39</v>
      </c>
      <c r="BU48" s="13">
        <v>5354.61</v>
      </c>
      <c r="BV48" s="13">
        <v>5357.05</v>
      </c>
      <c r="BW48" s="13">
        <v>5358.37</v>
      </c>
      <c r="BX48" s="13">
        <v>5399.75</v>
      </c>
      <c r="BY48" s="13">
        <v>5400.25</v>
      </c>
      <c r="BZ48" s="13">
        <v>5368.79</v>
      </c>
      <c r="CA48" s="13">
        <v>5370.31</v>
      </c>
      <c r="CB48" s="13">
        <v>5365.66</v>
      </c>
      <c r="CC48" s="13">
        <v>5372.23</v>
      </c>
      <c r="CD48" s="13">
        <v>5373.53</v>
      </c>
      <c r="CE48" s="13">
        <v>5377.34</v>
      </c>
      <c r="CF48" s="13">
        <v>5380.79</v>
      </c>
      <c r="CG48" s="13">
        <v>5379.87</v>
      </c>
      <c r="CH48" s="13">
        <v>5375.79</v>
      </c>
      <c r="CI48" s="13">
        <v>5361.29</v>
      </c>
      <c r="CJ48" s="13">
        <v>5364.86</v>
      </c>
      <c r="CK48" s="13">
        <v>5359.4</v>
      </c>
      <c r="CL48" s="13">
        <v>5359.01</v>
      </c>
      <c r="CM48" s="13">
        <v>5358.86</v>
      </c>
      <c r="CN48" s="13">
        <v>5355.93</v>
      </c>
      <c r="CO48" s="13">
        <v>5352.88</v>
      </c>
      <c r="CP48" s="13">
        <v>5353.75</v>
      </c>
      <c r="CQ48" s="13">
        <v>5357.49</v>
      </c>
      <c r="CR48" s="13">
        <v>5355.97</v>
      </c>
      <c r="CS48" s="13">
        <v>5348.28</v>
      </c>
      <c r="CT48" s="13">
        <v>5349</v>
      </c>
      <c r="CU48" s="13">
        <v>5347.88</v>
      </c>
      <c r="CV48" s="13">
        <v>5343.06</v>
      </c>
      <c r="CW48" s="13">
        <v>5345.49</v>
      </c>
      <c r="CX48" s="13">
        <v>5353.21</v>
      </c>
      <c r="CY48" s="13">
        <v>5352.69</v>
      </c>
      <c r="CZ48" s="13">
        <v>5355.6</v>
      </c>
      <c r="DA48" s="13">
        <v>5352.25</v>
      </c>
      <c r="DB48" s="13">
        <v>5354.45</v>
      </c>
      <c r="DC48" s="13">
        <v>5354.19</v>
      </c>
      <c r="DD48" s="13">
        <v>5355.98</v>
      </c>
      <c r="DE48" s="13">
        <v>5349.2</v>
      </c>
      <c r="DF48" s="13">
        <v>5345.83</v>
      </c>
      <c r="DG48" s="13">
        <v>5342.99</v>
      </c>
      <c r="DH48" s="13">
        <v>5345.45</v>
      </c>
      <c r="DI48" s="13">
        <v>5345.58</v>
      </c>
      <c r="DJ48" s="13">
        <v>5350.24</v>
      </c>
      <c r="DK48" s="13">
        <v>5398.14</v>
      </c>
      <c r="DM48" s="20"/>
    </row>
    <row r="49" spans="1:117" ht="15.75" x14ac:dyDescent="0.25">
      <c r="A49" s="14" t="s">
        <v>12</v>
      </c>
      <c r="B49" s="12" t="s">
        <v>9</v>
      </c>
      <c r="C49" s="13">
        <v>5396.22</v>
      </c>
      <c r="D49" s="13">
        <v>5407.45</v>
      </c>
      <c r="E49" s="13">
        <v>5406.39</v>
      </c>
      <c r="F49" s="13">
        <v>5406.01</v>
      </c>
      <c r="G49" s="13">
        <v>5391.56</v>
      </c>
      <c r="H49" s="13">
        <v>5405.79</v>
      </c>
      <c r="I49" s="13">
        <v>5408.56</v>
      </c>
      <c r="J49" s="13">
        <v>5409.82</v>
      </c>
      <c r="K49" s="13">
        <v>5408.27</v>
      </c>
      <c r="L49" s="13">
        <v>5412.67</v>
      </c>
      <c r="M49" s="13">
        <v>5411.05</v>
      </c>
      <c r="N49" s="13">
        <v>5404.43</v>
      </c>
      <c r="O49" s="13">
        <v>5415.4</v>
      </c>
      <c r="P49" s="13">
        <v>5420.23</v>
      </c>
      <c r="Q49" s="13">
        <v>5421.12</v>
      </c>
      <c r="R49" s="13">
        <v>5412.93</v>
      </c>
      <c r="S49" s="13">
        <v>5417.04</v>
      </c>
      <c r="T49" s="13">
        <v>5415.43</v>
      </c>
      <c r="U49" s="13">
        <v>5420.72</v>
      </c>
      <c r="V49" s="13">
        <v>5411.77</v>
      </c>
      <c r="W49" s="13">
        <v>5405.7</v>
      </c>
      <c r="X49" s="13">
        <v>5399.74</v>
      </c>
      <c r="Y49" s="13">
        <v>5410.38</v>
      </c>
      <c r="Z49" s="13">
        <v>5408.52</v>
      </c>
      <c r="AA49" s="13">
        <v>5406.73</v>
      </c>
      <c r="AB49" s="13">
        <v>5411.2</v>
      </c>
      <c r="AC49" s="13">
        <v>5404.14</v>
      </c>
      <c r="AD49" s="13">
        <v>5407.59</v>
      </c>
      <c r="AE49" s="13">
        <v>5409.19</v>
      </c>
      <c r="AF49" s="13">
        <v>5405.71</v>
      </c>
      <c r="AG49" s="13">
        <v>5401.5</v>
      </c>
      <c r="AH49" s="13">
        <v>5406.61</v>
      </c>
      <c r="AI49" s="13">
        <v>5407.58</v>
      </c>
      <c r="AJ49" s="13">
        <v>5400.18</v>
      </c>
      <c r="AK49" s="13">
        <v>5400.64</v>
      </c>
      <c r="AL49" s="13">
        <v>5394.21</v>
      </c>
      <c r="AM49" s="13">
        <v>5402.55</v>
      </c>
      <c r="AN49" s="13">
        <v>5398</v>
      </c>
      <c r="AO49" s="13">
        <v>5379.05</v>
      </c>
      <c r="AP49" s="13">
        <v>5376.21</v>
      </c>
      <c r="AQ49" s="13">
        <v>5382.11</v>
      </c>
      <c r="AR49" s="13">
        <v>5378.16</v>
      </c>
      <c r="AS49" s="13">
        <v>5370.15</v>
      </c>
      <c r="AT49" s="13">
        <v>5362.84</v>
      </c>
      <c r="AU49" s="13">
        <v>5358.2</v>
      </c>
      <c r="AV49" s="13">
        <v>5364.01</v>
      </c>
      <c r="AW49" s="13">
        <v>5359.91</v>
      </c>
      <c r="AX49" s="13">
        <v>5361.65</v>
      </c>
      <c r="AY49" s="13">
        <v>5363.31</v>
      </c>
      <c r="AZ49" s="13">
        <v>5354.09</v>
      </c>
      <c r="BA49" s="13">
        <v>5354.71</v>
      </c>
      <c r="BB49" s="13">
        <v>5362</v>
      </c>
      <c r="BC49" s="13">
        <v>5356.16</v>
      </c>
      <c r="BD49" s="13">
        <v>5362</v>
      </c>
      <c r="BE49" s="13">
        <v>5358.04</v>
      </c>
      <c r="BF49" s="13">
        <v>5358.59</v>
      </c>
      <c r="BG49" s="13">
        <v>5351.11</v>
      </c>
      <c r="BH49" s="13">
        <v>5353.73</v>
      </c>
      <c r="BI49" s="13">
        <v>5352.19</v>
      </c>
      <c r="BJ49" s="13">
        <v>5344.11</v>
      </c>
      <c r="BK49" s="13">
        <v>5346.02</v>
      </c>
      <c r="BL49" s="13">
        <v>5348.83</v>
      </c>
      <c r="BM49" s="13">
        <v>5340.32</v>
      </c>
      <c r="BN49" s="13">
        <v>5334.14</v>
      </c>
      <c r="BO49" s="13">
        <v>5335.1</v>
      </c>
      <c r="BP49" s="13">
        <v>5333.99</v>
      </c>
      <c r="BQ49" s="13">
        <v>5329.12</v>
      </c>
      <c r="BR49" s="13">
        <v>5333</v>
      </c>
      <c r="BS49" s="13">
        <v>5344.63</v>
      </c>
      <c r="BT49" s="13">
        <v>5348.04</v>
      </c>
      <c r="BU49" s="13">
        <v>5341.57</v>
      </c>
      <c r="BV49" s="13">
        <v>5340.79</v>
      </c>
      <c r="BW49" s="13">
        <v>5345.79</v>
      </c>
      <c r="BX49" s="13">
        <v>5347.18</v>
      </c>
      <c r="BY49" s="13">
        <v>5347.53</v>
      </c>
      <c r="BZ49" s="13">
        <v>5355.59</v>
      </c>
      <c r="CA49" s="13">
        <v>5357.4</v>
      </c>
      <c r="CB49" s="13">
        <v>5352.69</v>
      </c>
      <c r="CC49" s="13">
        <v>5359.74</v>
      </c>
      <c r="CD49" s="13">
        <v>5361.74</v>
      </c>
      <c r="CE49" s="13">
        <v>5364.71</v>
      </c>
      <c r="CF49" s="13">
        <v>5368.02</v>
      </c>
      <c r="CG49" s="13">
        <v>5368.78</v>
      </c>
      <c r="CH49" s="13">
        <v>5364.23</v>
      </c>
      <c r="CI49" s="13">
        <v>5347.52</v>
      </c>
      <c r="CJ49" s="13">
        <v>5350.35</v>
      </c>
      <c r="CK49" s="13">
        <v>5346.12</v>
      </c>
      <c r="CL49" s="13">
        <v>5345.52</v>
      </c>
      <c r="CM49" s="13">
        <v>5343.82</v>
      </c>
      <c r="CN49" s="13">
        <v>5342.59</v>
      </c>
      <c r="CO49" s="13">
        <v>5338.87</v>
      </c>
      <c r="CP49" s="13">
        <v>5338.4</v>
      </c>
      <c r="CQ49" s="13">
        <v>5344.26</v>
      </c>
      <c r="CR49" s="13">
        <v>5338.18</v>
      </c>
      <c r="CS49" s="13">
        <v>5333.85</v>
      </c>
      <c r="CT49" s="13">
        <v>5335.32</v>
      </c>
      <c r="CU49" s="13">
        <v>5333.82</v>
      </c>
      <c r="CV49" s="13">
        <v>5328.97</v>
      </c>
      <c r="CW49" s="13">
        <v>5331.62</v>
      </c>
      <c r="CX49" s="13">
        <v>5333.85</v>
      </c>
      <c r="CY49" s="13">
        <v>5338.66</v>
      </c>
      <c r="CZ49" s="13">
        <v>5342.85</v>
      </c>
      <c r="DA49" s="13">
        <v>5339.04</v>
      </c>
      <c r="DB49" s="13">
        <v>5342.85</v>
      </c>
      <c r="DC49" s="13">
        <v>5340.65</v>
      </c>
      <c r="DD49" s="13">
        <v>5340.75</v>
      </c>
      <c r="DE49" s="13">
        <v>5335.02</v>
      </c>
      <c r="DF49" s="13">
        <v>5328.28</v>
      </c>
      <c r="DG49" s="13">
        <v>5328.63</v>
      </c>
      <c r="DH49" s="13">
        <v>5331.44</v>
      </c>
      <c r="DI49" s="13">
        <v>5331.42</v>
      </c>
      <c r="DJ49" s="13">
        <v>5333.69</v>
      </c>
      <c r="DK49" s="13">
        <v>5319.5</v>
      </c>
      <c r="DM49" s="20"/>
    </row>
    <row r="50" spans="1:117" ht="15.75" x14ac:dyDescent="0.25">
      <c r="A50" s="14" t="s">
        <v>12</v>
      </c>
      <c r="B50" s="12" t="s">
        <v>7</v>
      </c>
      <c r="C50" s="13">
        <v>5380</v>
      </c>
      <c r="D50" s="13">
        <v>5396.2</v>
      </c>
      <c r="E50" s="13">
        <v>5402.85</v>
      </c>
      <c r="F50" s="13">
        <v>5402.17</v>
      </c>
      <c r="G50" s="13">
        <v>5391.25</v>
      </c>
      <c r="H50" s="13">
        <v>5391.22</v>
      </c>
      <c r="I50" s="13">
        <v>5402.33</v>
      </c>
      <c r="J50" s="13">
        <v>5406.79</v>
      </c>
      <c r="K50" s="13">
        <v>5406.91</v>
      </c>
      <c r="L50" s="13">
        <v>5406.83</v>
      </c>
      <c r="M50" s="13">
        <v>5408.09</v>
      </c>
      <c r="N50" s="13">
        <v>5404.15</v>
      </c>
      <c r="O50" s="13">
        <v>5409.1</v>
      </c>
      <c r="P50" s="13">
        <v>5414.05</v>
      </c>
      <c r="Q50" s="13">
        <v>5417.72</v>
      </c>
      <c r="R50" s="13">
        <v>5412.76</v>
      </c>
      <c r="S50" s="13">
        <v>5413.18</v>
      </c>
      <c r="T50" s="13">
        <v>5415.43</v>
      </c>
      <c r="U50" s="13">
        <v>5412.8</v>
      </c>
      <c r="V50" s="13">
        <v>5411.77</v>
      </c>
      <c r="W50" s="13">
        <v>5402.86</v>
      </c>
      <c r="X50" s="13">
        <v>5399.74</v>
      </c>
      <c r="Y50" s="13">
        <v>5400.1</v>
      </c>
      <c r="Z50" s="13">
        <v>5407.18</v>
      </c>
      <c r="AA50" s="13">
        <v>5406.17</v>
      </c>
      <c r="AB50" s="13">
        <v>5405.8</v>
      </c>
      <c r="AC50" s="13">
        <v>5402.2</v>
      </c>
      <c r="AD50" s="13">
        <v>5403.32</v>
      </c>
      <c r="AE50" s="13">
        <v>5407.06</v>
      </c>
      <c r="AF50" s="13">
        <v>5403.75</v>
      </c>
      <c r="AG50" s="13">
        <v>5398.24</v>
      </c>
      <c r="AH50" s="13">
        <v>5400.7</v>
      </c>
      <c r="AI50" s="13">
        <v>5403.45</v>
      </c>
      <c r="AJ50" s="13">
        <v>5400.18</v>
      </c>
      <c r="AK50" s="13">
        <v>5398.18</v>
      </c>
      <c r="AL50" s="13">
        <v>5393.83</v>
      </c>
      <c r="AM50" s="13">
        <v>5392.28</v>
      </c>
      <c r="AN50" s="13">
        <v>5398</v>
      </c>
      <c r="AO50" s="13">
        <v>5379.05</v>
      </c>
      <c r="AP50" s="13">
        <v>5374.86</v>
      </c>
      <c r="AQ50" s="13">
        <v>5376.68</v>
      </c>
      <c r="AR50" s="13">
        <v>5377.49</v>
      </c>
      <c r="AS50" s="13">
        <v>5368.27</v>
      </c>
      <c r="AT50" s="13">
        <v>5360.18</v>
      </c>
      <c r="AU50" s="13">
        <v>5358.2</v>
      </c>
      <c r="AV50" s="13">
        <v>5360.9</v>
      </c>
      <c r="AW50" s="13">
        <v>5358.46</v>
      </c>
      <c r="AX50" s="13">
        <v>5359.74</v>
      </c>
      <c r="AY50" s="13">
        <v>5361.54</v>
      </c>
      <c r="AZ50" s="13">
        <v>5353.18</v>
      </c>
      <c r="BA50" s="13">
        <v>5353.37</v>
      </c>
      <c r="BB50" s="13">
        <v>5353.75</v>
      </c>
      <c r="BC50" s="13">
        <v>5356.16</v>
      </c>
      <c r="BD50" s="13">
        <v>5356.16</v>
      </c>
      <c r="BE50" s="13">
        <v>5355.24</v>
      </c>
      <c r="BF50" s="13">
        <v>5357.25</v>
      </c>
      <c r="BG50" s="13">
        <v>5350</v>
      </c>
      <c r="BH50" s="13">
        <v>5350.74</v>
      </c>
      <c r="BI50" s="13">
        <v>5351.2</v>
      </c>
      <c r="BJ50" s="13">
        <v>5344.05</v>
      </c>
      <c r="BK50" s="13">
        <v>5341.84</v>
      </c>
      <c r="BL50" s="13">
        <v>5347.63</v>
      </c>
      <c r="BM50" s="13">
        <v>5339.58</v>
      </c>
      <c r="BN50" s="13">
        <v>5333.33</v>
      </c>
      <c r="BO50" s="13">
        <v>5328.44</v>
      </c>
      <c r="BP50" s="13">
        <v>5332.18</v>
      </c>
      <c r="BQ50" s="13">
        <v>5329.12</v>
      </c>
      <c r="BR50" s="13">
        <v>5328.81</v>
      </c>
      <c r="BS50" s="13">
        <v>5333.99</v>
      </c>
      <c r="BT50" s="13">
        <v>5345.68</v>
      </c>
      <c r="BU50" s="13">
        <v>5338.77</v>
      </c>
      <c r="BV50" s="13">
        <v>5337.73</v>
      </c>
      <c r="BW50" s="13">
        <v>5340.18</v>
      </c>
      <c r="BX50" s="13">
        <v>5344.96</v>
      </c>
      <c r="BY50" s="13">
        <v>5346.39</v>
      </c>
      <c r="BZ50" s="13">
        <v>5347.15</v>
      </c>
      <c r="CA50" s="13">
        <v>5354.68</v>
      </c>
      <c r="CB50" s="13">
        <v>5350.55</v>
      </c>
      <c r="CC50" s="13">
        <v>5349.4</v>
      </c>
      <c r="CD50" s="13">
        <v>5359.79</v>
      </c>
      <c r="CE50" s="13">
        <v>5360.53</v>
      </c>
      <c r="CF50" s="13">
        <v>5363.68</v>
      </c>
      <c r="CG50" s="13">
        <v>5367.06</v>
      </c>
      <c r="CH50" s="13">
        <v>5364.02</v>
      </c>
      <c r="CI50" s="13">
        <v>5347.02</v>
      </c>
      <c r="CJ50" s="13">
        <v>5347.02</v>
      </c>
      <c r="CK50" s="13">
        <v>5341.78</v>
      </c>
      <c r="CL50" s="13">
        <v>5339.87</v>
      </c>
      <c r="CM50" s="13">
        <v>5341.45</v>
      </c>
      <c r="CN50" s="13">
        <v>5342.48</v>
      </c>
      <c r="CO50" s="13">
        <v>5331.78</v>
      </c>
      <c r="CP50" s="13">
        <v>5337.26</v>
      </c>
      <c r="CQ50" s="13">
        <v>5338.43</v>
      </c>
      <c r="CR50" s="13">
        <v>5338.18</v>
      </c>
      <c r="CS50" s="13">
        <v>5332.39</v>
      </c>
      <c r="CT50" s="13">
        <v>5332.94</v>
      </c>
      <c r="CU50" s="13">
        <v>5332.05</v>
      </c>
      <c r="CV50" s="13">
        <v>5328.95</v>
      </c>
      <c r="CW50" s="13">
        <v>5328.39</v>
      </c>
      <c r="CX50" s="13">
        <v>5329.99</v>
      </c>
      <c r="CY50" s="13">
        <v>5333.15</v>
      </c>
      <c r="CZ50" s="13">
        <v>5334.53</v>
      </c>
      <c r="DA50" s="13">
        <v>5337.32</v>
      </c>
      <c r="DB50" s="13">
        <v>5339.09</v>
      </c>
      <c r="DC50" s="13">
        <v>5340.57</v>
      </c>
      <c r="DD50" s="13">
        <v>5338.76</v>
      </c>
      <c r="DE50" s="13">
        <v>5334.12</v>
      </c>
      <c r="DF50" s="13">
        <v>5328.27</v>
      </c>
      <c r="DG50" s="13">
        <v>5325.66</v>
      </c>
      <c r="DH50" s="13">
        <v>5328.09</v>
      </c>
      <c r="DI50" s="13">
        <v>5330.88</v>
      </c>
      <c r="DJ50" s="13">
        <v>5330.43</v>
      </c>
      <c r="DK50" s="13">
        <v>5319</v>
      </c>
      <c r="DM50" s="20"/>
    </row>
    <row r="51" spans="1:117" ht="15.75" x14ac:dyDescent="0.25">
      <c r="A51" s="11" t="s">
        <v>5</v>
      </c>
      <c r="B51" s="11" t="s">
        <v>11</v>
      </c>
      <c r="C51" s="15">
        <v>0.37847222222222227</v>
      </c>
      <c r="D51" s="15">
        <v>0.38194444444444442</v>
      </c>
      <c r="E51" s="15">
        <v>0.38541666666666669</v>
      </c>
      <c r="F51" s="15">
        <v>0.3888888888888889</v>
      </c>
      <c r="G51" s="15">
        <v>0.3923611111111111</v>
      </c>
      <c r="H51" s="15">
        <v>0.39583333333333331</v>
      </c>
      <c r="I51" s="15">
        <v>0.39930555555555558</v>
      </c>
      <c r="J51" s="15">
        <v>0.40277777777777773</v>
      </c>
      <c r="K51" s="15">
        <v>0.40625</v>
      </c>
      <c r="L51" s="15">
        <v>0.40972222222222227</v>
      </c>
      <c r="M51" s="15">
        <v>0.41319444444444442</v>
      </c>
      <c r="N51" s="15">
        <v>0.41666666666666669</v>
      </c>
      <c r="O51" s="15">
        <v>0.4201388888888889</v>
      </c>
      <c r="P51" s="15">
        <v>0.4236111111111111</v>
      </c>
      <c r="Q51" s="15">
        <v>0.42708333333333331</v>
      </c>
      <c r="R51" s="15">
        <v>0.43055555555555558</v>
      </c>
      <c r="S51" s="15">
        <v>0.43402777777777773</v>
      </c>
      <c r="T51" s="15">
        <v>0.4375</v>
      </c>
      <c r="U51" s="15">
        <v>0.44097222222222227</v>
      </c>
      <c r="V51" s="15">
        <v>0.44444444444444442</v>
      </c>
      <c r="W51" s="15">
        <v>0.44791666666666669</v>
      </c>
      <c r="X51" s="15">
        <v>0.4513888888888889</v>
      </c>
      <c r="Y51" s="15">
        <v>0.4548611111111111</v>
      </c>
      <c r="Z51" s="15">
        <v>0.45833333333333331</v>
      </c>
      <c r="AA51" s="15">
        <v>0.46180555555555558</v>
      </c>
      <c r="AB51" s="15">
        <v>0.46527777777777773</v>
      </c>
      <c r="AC51" s="15">
        <v>0.46875</v>
      </c>
      <c r="AD51" s="15">
        <v>0.47222222222222227</v>
      </c>
      <c r="AE51" s="15">
        <v>0.47569444444444442</v>
      </c>
      <c r="AF51" s="15">
        <v>0.47916666666666669</v>
      </c>
      <c r="AG51" s="15">
        <v>0.4826388888888889</v>
      </c>
      <c r="AH51" s="15">
        <v>0.4861111111111111</v>
      </c>
      <c r="AI51" s="15">
        <v>0.48958333333333331</v>
      </c>
      <c r="AJ51" s="15">
        <v>0.49305555555555558</v>
      </c>
      <c r="AK51" s="15">
        <v>0.49652777777777773</v>
      </c>
      <c r="AL51" s="15">
        <v>0.5</v>
      </c>
      <c r="AM51" s="15">
        <v>0.50347222222222221</v>
      </c>
      <c r="AN51" s="15">
        <v>0.50694444444444442</v>
      </c>
      <c r="AO51" s="15">
        <v>0.51041666666666663</v>
      </c>
      <c r="AP51" s="15">
        <v>0.51388888888888895</v>
      </c>
      <c r="AQ51" s="15">
        <v>0.51736111111111105</v>
      </c>
      <c r="AR51" s="15">
        <v>0.52083333333333337</v>
      </c>
      <c r="AS51" s="15">
        <v>0.52430555555555558</v>
      </c>
      <c r="AT51" s="15">
        <v>0.52777777777777779</v>
      </c>
      <c r="AU51" s="15">
        <v>0.53125</v>
      </c>
      <c r="AV51" s="15">
        <v>0.53472222222222221</v>
      </c>
      <c r="AW51" s="15">
        <v>0.53819444444444442</v>
      </c>
      <c r="AX51" s="15">
        <v>0.54166666666666663</v>
      </c>
      <c r="AY51" s="15">
        <v>0.54513888888888895</v>
      </c>
      <c r="AZ51" s="15">
        <v>0.54861111111111105</v>
      </c>
      <c r="BA51" s="15">
        <v>0.55208333333333337</v>
      </c>
      <c r="BB51" s="15">
        <v>0.55555555555555558</v>
      </c>
      <c r="BC51" s="15">
        <v>0.55902777777777779</v>
      </c>
      <c r="BD51" s="15">
        <v>0.5625</v>
      </c>
      <c r="BE51" s="15">
        <v>0.56597222222222221</v>
      </c>
      <c r="BF51" s="15">
        <v>0.56944444444444442</v>
      </c>
      <c r="BG51" s="15">
        <v>0.57291666666666663</v>
      </c>
      <c r="BH51" s="15">
        <v>0.57638888888888895</v>
      </c>
      <c r="BI51" s="15">
        <v>0.57986111111111105</v>
      </c>
      <c r="BJ51" s="15">
        <v>0.58333333333333337</v>
      </c>
      <c r="BK51" s="15">
        <v>0.58680555555555558</v>
      </c>
      <c r="BL51" s="15">
        <v>0.59027777777777779</v>
      </c>
      <c r="BM51" s="15">
        <v>0.59375</v>
      </c>
      <c r="BN51" s="15">
        <v>0.59722222222222221</v>
      </c>
      <c r="BO51" s="15">
        <v>0.60069444444444442</v>
      </c>
      <c r="BP51" s="15">
        <v>0.60416666666666663</v>
      </c>
      <c r="BQ51" s="15">
        <v>0.60763888888888895</v>
      </c>
      <c r="BR51" s="15">
        <v>0.61111111111111105</v>
      </c>
      <c r="BS51" s="15">
        <v>0.61458333333333337</v>
      </c>
      <c r="BT51" s="15">
        <v>0.61805555555555558</v>
      </c>
      <c r="BU51" s="15">
        <v>0.62152777777777779</v>
      </c>
      <c r="BV51" s="15">
        <v>0.625</v>
      </c>
      <c r="BW51" s="15">
        <v>0.62847222222222221</v>
      </c>
      <c r="BX51" s="15">
        <v>0.63194444444444442</v>
      </c>
      <c r="BY51" s="15">
        <v>0.63541666666666663</v>
      </c>
      <c r="BZ51" s="15">
        <v>0.63888888888888895</v>
      </c>
      <c r="CA51" s="15">
        <v>0.64236111111111105</v>
      </c>
      <c r="CB51" s="15">
        <v>0.64583333333333337</v>
      </c>
      <c r="CC51" s="15">
        <v>0.64930555555555558</v>
      </c>
      <c r="CD51" s="15">
        <v>0.65277777777777779</v>
      </c>
      <c r="CE51" s="15">
        <v>0.65625</v>
      </c>
      <c r="CF51" s="15">
        <v>0.65972222222222221</v>
      </c>
      <c r="CG51" s="15">
        <v>0.66319444444444442</v>
      </c>
      <c r="CH51" s="15">
        <v>0.66666666666666663</v>
      </c>
      <c r="CI51" s="15">
        <v>0.67013888888888884</v>
      </c>
      <c r="CJ51" s="15">
        <v>0.67361111111111116</v>
      </c>
      <c r="CK51" s="15">
        <v>0.67708333333333337</v>
      </c>
      <c r="CL51" s="15">
        <v>0.68055555555555547</v>
      </c>
      <c r="CM51" s="15">
        <v>0.68402777777777779</v>
      </c>
      <c r="CN51" s="15">
        <v>0.6875</v>
      </c>
      <c r="CO51" s="15">
        <v>0.69097222222222221</v>
      </c>
      <c r="CP51" s="15">
        <v>0.69444444444444453</v>
      </c>
      <c r="CQ51" s="15">
        <v>0.69791666666666663</v>
      </c>
      <c r="CR51" s="15">
        <v>0.70138888888888884</v>
      </c>
      <c r="CS51" s="15">
        <v>0.70486111111111116</v>
      </c>
      <c r="CT51" s="15">
        <v>0.70833333333333337</v>
      </c>
      <c r="CU51" s="15">
        <v>0.71180555555555547</v>
      </c>
      <c r="CV51" s="15">
        <v>0.71527777777777779</v>
      </c>
      <c r="CW51" s="15">
        <v>0.71875</v>
      </c>
      <c r="CX51" s="15">
        <v>0.72222222222222221</v>
      </c>
      <c r="CY51" s="15">
        <v>0.72569444444444453</v>
      </c>
      <c r="CZ51" s="15">
        <v>0.72916666666666663</v>
      </c>
      <c r="DA51" s="15">
        <v>0.73263888888888884</v>
      </c>
      <c r="DB51" s="15">
        <v>0.73611111111111116</v>
      </c>
      <c r="DC51" s="15">
        <v>0.73958333333333337</v>
      </c>
      <c r="DD51" s="15">
        <v>0.74305555555555547</v>
      </c>
      <c r="DE51" s="15">
        <v>0.74652777777777779</v>
      </c>
      <c r="DF51" s="15">
        <v>0.75</v>
      </c>
      <c r="DG51" s="15">
        <v>0.75347222222222221</v>
      </c>
      <c r="DH51" s="15">
        <v>0.75694444444444453</v>
      </c>
      <c r="DI51" s="15">
        <v>0.76041666666666663</v>
      </c>
      <c r="DJ51" s="15">
        <v>0.76388888888888884</v>
      </c>
      <c r="DK51" s="15">
        <v>0.76736111111111116</v>
      </c>
      <c r="DM51" s="20"/>
    </row>
    <row r="52" spans="1:117" ht="15.75" x14ac:dyDescent="0.25">
      <c r="A52" s="14">
        <v>44153</v>
      </c>
      <c r="B52" s="12" t="s">
        <v>6</v>
      </c>
      <c r="C52" s="13">
        <v>5370</v>
      </c>
      <c r="D52" s="13">
        <v>5350.97</v>
      </c>
      <c r="E52" s="13">
        <v>5350.32</v>
      </c>
      <c r="F52" s="13">
        <v>5347.65</v>
      </c>
      <c r="G52" s="13">
        <v>5331.8</v>
      </c>
      <c r="H52" s="13">
        <v>5325.48</v>
      </c>
      <c r="I52" s="13">
        <v>5309.54</v>
      </c>
      <c r="J52" s="13">
        <v>5317.38</v>
      </c>
      <c r="K52" s="13">
        <v>5313.05</v>
      </c>
      <c r="L52" s="13">
        <v>5317.44</v>
      </c>
      <c r="M52" s="13">
        <v>5325.78</v>
      </c>
      <c r="N52" s="13">
        <v>5326.36</v>
      </c>
      <c r="O52" s="13">
        <v>5318.23</v>
      </c>
      <c r="P52" s="13">
        <v>5317.49</v>
      </c>
      <c r="Q52" s="13">
        <v>5318.33</v>
      </c>
      <c r="R52" s="13">
        <v>5319.92</v>
      </c>
      <c r="S52" s="13">
        <v>5321.78</v>
      </c>
      <c r="T52" s="13">
        <v>5330.35</v>
      </c>
      <c r="U52" s="13">
        <v>5334.4</v>
      </c>
      <c r="V52" s="13">
        <v>5330.63</v>
      </c>
      <c r="W52" s="13">
        <v>5319.77</v>
      </c>
      <c r="X52" s="13">
        <v>5315.48</v>
      </c>
      <c r="Y52" s="13">
        <v>5320.63</v>
      </c>
      <c r="Z52" s="13">
        <v>5314</v>
      </c>
      <c r="AA52" s="13">
        <v>5323.55</v>
      </c>
      <c r="AB52" s="13">
        <v>5326.24</v>
      </c>
      <c r="AC52" s="13">
        <v>5338.8</v>
      </c>
      <c r="AD52" s="13">
        <v>5316.46</v>
      </c>
      <c r="AE52" s="13">
        <v>5317.9</v>
      </c>
      <c r="AF52" s="13">
        <v>5316.47</v>
      </c>
      <c r="AG52" s="13">
        <v>5315.5</v>
      </c>
      <c r="AH52" s="13">
        <v>5316.47</v>
      </c>
      <c r="AI52" s="13">
        <v>5316.27</v>
      </c>
      <c r="AJ52" s="13">
        <v>5311.23</v>
      </c>
      <c r="AK52" s="13">
        <v>5308.09</v>
      </c>
      <c r="AL52" s="13">
        <v>5297.3</v>
      </c>
      <c r="AM52" s="13">
        <v>5294.92</v>
      </c>
      <c r="AN52" s="13">
        <v>5318.21</v>
      </c>
      <c r="AO52" s="13">
        <v>5302.62</v>
      </c>
      <c r="AP52" s="13">
        <v>5310.53</v>
      </c>
      <c r="AQ52" s="13">
        <v>5311.56</v>
      </c>
      <c r="AR52" s="13">
        <v>5303.1</v>
      </c>
      <c r="AS52" s="13">
        <v>5314.6</v>
      </c>
      <c r="AT52" s="13">
        <v>5311.56</v>
      </c>
      <c r="AU52" s="13">
        <v>5315.46</v>
      </c>
      <c r="AV52" s="13">
        <v>5312.12</v>
      </c>
      <c r="AW52" s="13">
        <v>5311.51</v>
      </c>
      <c r="AX52" s="13">
        <v>5308.87</v>
      </c>
      <c r="AY52" s="13">
        <v>5307.06</v>
      </c>
      <c r="AZ52" s="13">
        <v>5318.26</v>
      </c>
      <c r="BA52" s="13">
        <v>5324.05</v>
      </c>
      <c r="BB52" s="13">
        <v>5333.11</v>
      </c>
      <c r="BC52" s="13">
        <v>5331.58</v>
      </c>
      <c r="BD52" s="13">
        <v>5334.33</v>
      </c>
      <c r="BE52" s="13">
        <v>5335.83</v>
      </c>
      <c r="BF52" s="13">
        <v>5329.06</v>
      </c>
      <c r="BG52" s="13">
        <v>5322.62</v>
      </c>
      <c r="BH52" s="13">
        <v>5321.31</v>
      </c>
      <c r="BI52" s="13">
        <v>5319.44</v>
      </c>
      <c r="BJ52" s="13">
        <v>5318.38</v>
      </c>
      <c r="BK52" s="13">
        <v>5317.32</v>
      </c>
      <c r="BL52" s="13">
        <v>5321.87</v>
      </c>
      <c r="BM52" s="13">
        <v>5320.41</v>
      </c>
      <c r="BN52" s="13">
        <v>5322.39</v>
      </c>
      <c r="BO52" s="13">
        <v>5335.15</v>
      </c>
      <c r="BP52" s="13">
        <v>5318.87</v>
      </c>
      <c r="BQ52" s="13">
        <v>5319.07</v>
      </c>
      <c r="BR52" s="13">
        <v>5322.68</v>
      </c>
      <c r="BS52" s="13">
        <v>5324.12</v>
      </c>
      <c r="BT52" s="13">
        <v>5321.46</v>
      </c>
      <c r="BU52" s="13">
        <v>5323.86</v>
      </c>
      <c r="BV52" s="13">
        <v>5321.25</v>
      </c>
      <c r="BW52" s="13">
        <v>5321.31</v>
      </c>
      <c r="BX52" s="13">
        <v>5320.04</v>
      </c>
      <c r="BY52" s="13">
        <v>5321.43</v>
      </c>
      <c r="BZ52" s="13">
        <v>5324.68</v>
      </c>
      <c r="CA52" s="13">
        <v>5322.69</v>
      </c>
      <c r="CB52" s="13">
        <v>5331.57</v>
      </c>
      <c r="CC52" s="13">
        <v>5334.5</v>
      </c>
      <c r="CD52" s="13">
        <v>5332.3</v>
      </c>
      <c r="CE52" s="13">
        <v>5332.87</v>
      </c>
      <c r="CF52" s="13">
        <v>5332.87</v>
      </c>
      <c r="CG52" s="13">
        <v>5331.01</v>
      </c>
      <c r="CH52" s="13">
        <v>5328.5</v>
      </c>
      <c r="CI52" s="13">
        <v>5330.76</v>
      </c>
      <c r="CJ52" s="13">
        <v>5325.09</v>
      </c>
      <c r="CK52" s="13">
        <v>5331</v>
      </c>
      <c r="CL52" s="13">
        <v>5333.53</v>
      </c>
      <c r="CM52" s="13">
        <v>5340.71</v>
      </c>
      <c r="CN52" s="13">
        <v>5355.98</v>
      </c>
      <c r="CO52" s="13">
        <v>5353.82</v>
      </c>
      <c r="CP52" s="13">
        <v>5349.93</v>
      </c>
      <c r="CQ52" s="13">
        <v>5345.66</v>
      </c>
      <c r="CR52" s="13">
        <v>5352.63</v>
      </c>
      <c r="CS52" s="13">
        <v>5353.4</v>
      </c>
      <c r="CT52" s="13">
        <v>5346.37</v>
      </c>
      <c r="CU52" s="13">
        <v>5352.6</v>
      </c>
      <c r="CV52" s="13">
        <v>5351.88</v>
      </c>
      <c r="CW52" s="13">
        <v>5352.94</v>
      </c>
      <c r="CX52" s="13">
        <v>5348.85</v>
      </c>
      <c r="CY52" s="13">
        <v>5348.35</v>
      </c>
      <c r="CZ52" s="13">
        <v>5350</v>
      </c>
      <c r="DA52" s="13">
        <v>5364.25</v>
      </c>
      <c r="DB52" s="13">
        <v>5364.84</v>
      </c>
      <c r="DC52" s="13">
        <v>5366.84</v>
      </c>
      <c r="DD52" s="13">
        <v>5368.75</v>
      </c>
      <c r="DE52" s="13">
        <v>5369.65</v>
      </c>
      <c r="DF52" s="13">
        <v>5373.2</v>
      </c>
      <c r="DG52" s="13">
        <v>5380.8</v>
      </c>
      <c r="DH52" s="13">
        <v>5381.14</v>
      </c>
      <c r="DI52" s="13">
        <v>5380.3</v>
      </c>
      <c r="DJ52" s="13">
        <v>5379.96</v>
      </c>
      <c r="DK52" s="13">
        <v>5380.18</v>
      </c>
      <c r="DM52" s="20"/>
    </row>
    <row r="53" spans="1:117" ht="15.75" x14ac:dyDescent="0.25">
      <c r="A53" s="14" t="s">
        <v>12</v>
      </c>
      <c r="B53" s="12" t="s">
        <v>10</v>
      </c>
      <c r="C53" s="13">
        <v>5342.21</v>
      </c>
      <c r="D53" s="13">
        <v>5350.64</v>
      </c>
      <c r="E53" s="13">
        <v>5344.83</v>
      </c>
      <c r="F53" s="13">
        <v>5327.33</v>
      </c>
      <c r="G53" s="13">
        <v>5322.25</v>
      </c>
      <c r="H53" s="13">
        <v>5308.64</v>
      </c>
      <c r="I53" s="13">
        <v>5304.44</v>
      </c>
      <c r="J53" s="13">
        <v>5303.29</v>
      </c>
      <c r="K53" s="13">
        <v>5305.81</v>
      </c>
      <c r="L53" s="13">
        <v>5316.49</v>
      </c>
      <c r="M53" s="13">
        <v>5325.78</v>
      </c>
      <c r="N53" s="13">
        <v>5318.29</v>
      </c>
      <c r="O53" s="13">
        <v>5314.51</v>
      </c>
      <c r="P53" s="13">
        <v>5311.74</v>
      </c>
      <c r="Q53" s="13">
        <v>5316.35</v>
      </c>
      <c r="R53" s="13">
        <v>5316.02</v>
      </c>
      <c r="S53" s="13">
        <v>5320.41</v>
      </c>
      <c r="T53" s="13">
        <v>5329.09</v>
      </c>
      <c r="U53" s="13">
        <v>5327.34</v>
      </c>
      <c r="V53" s="13">
        <v>5319.16</v>
      </c>
      <c r="W53" s="13">
        <v>5318.55</v>
      </c>
      <c r="X53" s="13">
        <v>5302.72</v>
      </c>
      <c r="Y53" s="13">
        <v>5311.62</v>
      </c>
      <c r="Z53" s="13">
        <v>5312.19</v>
      </c>
      <c r="AA53" s="13">
        <v>5321.98</v>
      </c>
      <c r="AB53" s="13">
        <v>5310.53</v>
      </c>
      <c r="AC53" s="13">
        <v>5309.89</v>
      </c>
      <c r="AD53" s="13">
        <v>5316.08</v>
      </c>
      <c r="AE53" s="13">
        <v>5316.08</v>
      </c>
      <c r="AF53" s="13">
        <v>5310.13</v>
      </c>
      <c r="AG53" s="13">
        <v>5312.06</v>
      </c>
      <c r="AH53" s="13">
        <v>5309.44</v>
      </c>
      <c r="AI53" s="13">
        <v>5306.48</v>
      </c>
      <c r="AJ53" s="13">
        <v>5308.54</v>
      </c>
      <c r="AK53" s="13">
        <v>5291.69</v>
      </c>
      <c r="AL53" s="13">
        <v>5292.16</v>
      </c>
      <c r="AM53" s="13">
        <v>5290.42</v>
      </c>
      <c r="AN53" s="13">
        <v>5299.15</v>
      </c>
      <c r="AO53" s="13">
        <v>5301.63</v>
      </c>
      <c r="AP53" s="13">
        <v>5310.08</v>
      </c>
      <c r="AQ53" s="13">
        <v>5301.07</v>
      </c>
      <c r="AR53" s="13">
        <v>5301.26</v>
      </c>
      <c r="AS53" s="13">
        <v>5309.08</v>
      </c>
      <c r="AT53" s="13">
        <v>5308.1</v>
      </c>
      <c r="AU53" s="13">
        <v>5310.6</v>
      </c>
      <c r="AV53" s="13">
        <v>5310.17</v>
      </c>
      <c r="AW53" s="13">
        <v>5308.16</v>
      </c>
      <c r="AX53" s="13">
        <v>5298.98</v>
      </c>
      <c r="AY53" s="13">
        <v>5303.91</v>
      </c>
      <c r="AZ53" s="13">
        <v>5318.26</v>
      </c>
      <c r="BA53" s="13">
        <v>5322.42</v>
      </c>
      <c r="BB53" s="13">
        <v>5329.05</v>
      </c>
      <c r="BC53" s="13">
        <v>5330.12</v>
      </c>
      <c r="BD53" s="13">
        <v>5334.33</v>
      </c>
      <c r="BE53" s="13">
        <v>5329.5</v>
      </c>
      <c r="BF53" s="13">
        <v>5321.53</v>
      </c>
      <c r="BG53" s="13">
        <v>5314.46</v>
      </c>
      <c r="BH53" s="13">
        <v>5315.95</v>
      </c>
      <c r="BI53" s="13">
        <v>5316.55</v>
      </c>
      <c r="BJ53" s="13">
        <v>5315.55</v>
      </c>
      <c r="BK53" s="13">
        <v>5317.09</v>
      </c>
      <c r="BL53" s="13">
        <v>5317.11</v>
      </c>
      <c r="BM53" s="13">
        <v>5317.05</v>
      </c>
      <c r="BN53" s="13">
        <v>5320.37</v>
      </c>
      <c r="BO53" s="13">
        <v>5319.07</v>
      </c>
      <c r="BP53" s="13">
        <v>5318.87</v>
      </c>
      <c r="BQ53" s="13">
        <v>5313.91</v>
      </c>
      <c r="BR53" s="13">
        <v>5321.77</v>
      </c>
      <c r="BS53" s="13">
        <v>5315.51</v>
      </c>
      <c r="BT53" s="13">
        <v>5321.09</v>
      </c>
      <c r="BU53" s="13">
        <v>5321.01</v>
      </c>
      <c r="BV53" s="13">
        <v>5318.08</v>
      </c>
      <c r="BW53" s="13">
        <v>5321.04</v>
      </c>
      <c r="BX53" s="13">
        <v>5318.51</v>
      </c>
      <c r="BY53" s="13">
        <v>5321.43</v>
      </c>
      <c r="BZ53" s="13">
        <v>5318.12</v>
      </c>
      <c r="CA53" s="13">
        <v>5321.06</v>
      </c>
      <c r="CB53" s="13">
        <v>5331.27</v>
      </c>
      <c r="CC53" s="13">
        <v>5328.11</v>
      </c>
      <c r="CD53" s="13">
        <v>5327.06</v>
      </c>
      <c r="CE53" s="13">
        <v>5330.23</v>
      </c>
      <c r="CF53" s="13">
        <v>5331.01</v>
      </c>
      <c r="CG53" s="13">
        <v>5326.05</v>
      </c>
      <c r="CH53" s="13">
        <v>5328.07</v>
      </c>
      <c r="CI53" s="13">
        <v>5324.15</v>
      </c>
      <c r="CJ53" s="13">
        <v>5323.49</v>
      </c>
      <c r="CK53" s="13">
        <v>5331</v>
      </c>
      <c r="CL53" s="13">
        <v>5330.9</v>
      </c>
      <c r="CM53" s="13">
        <v>5340.71</v>
      </c>
      <c r="CN53" s="13">
        <v>5353.31</v>
      </c>
      <c r="CO53" s="13">
        <v>5345.38</v>
      </c>
      <c r="CP53" s="13">
        <v>5344.37</v>
      </c>
      <c r="CQ53" s="13">
        <v>5341.46</v>
      </c>
      <c r="CR53" s="13">
        <v>5352.44</v>
      </c>
      <c r="CS53" s="13">
        <v>5347.38</v>
      </c>
      <c r="CT53" s="13">
        <v>5343.98</v>
      </c>
      <c r="CU53" s="13">
        <v>5351.33</v>
      </c>
      <c r="CV53" s="13">
        <v>5345.1</v>
      </c>
      <c r="CW53" s="13">
        <v>5345.67</v>
      </c>
      <c r="CX53" s="13">
        <v>5348.35</v>
      </c>
      <c r="CY53" s="13">
        <v>5346.36</v>
      </c>
      <c r="CZ53" s="13">
        <v>5347.23</v>
      </c>
      <c r="DA53" s="13">
        <v>5361.82</v>
      </c>
      <c r="DB53" s="13">
        <v>5361.25</v>
      </c>
      <c r="DC53" s="13">
        <v>5364.82</v>
      </c>
      <c r="DD53" s="13">
        <v>5366.87</v>
      </c>
      <c r="DE53" s="13">
        <v>5367.01</v>
      </c>
      <c r="DF53" s="13">
        <v>5371.19</v>
      </c>
      <c r="DG53" s="13">
        <v>5378.8</v>
      </c>
      <c r="DH53" s="13">
        <v>5376.32</v>
      </c>
      <c r="DI53" s="13">
        <v>5379.14</v>
      </c>
      <c r="DJ53" s="13">
        <v>5378.16</v>
      </c>
      <c r="DK53" s="13">
        <v>5378</v>
      </c>
      <c r="DM53" s="20"/>
    </row>
    <row r="54" spans="1:117" ht="15.75" x14ac:dyDescent="0.25">
      <c r="A54" s="14" t="s">
        <v>12</v>
      </c>
      <c r="B54" s="12" t="s">
        <v>9</v>
      </c>
      <c r="C54" s="13">
        <v>5334.17</v>
      </c>
      <c r="D54" s="13">
        <v>5344.21</v>
      </c>
      <c r="E54" s="13">
        <v>5338.21</v>
      </c>
      <c r="F54" s="13">
        <v>5320.22</v>
      </c>
      <c r="G54" s="13">
        <v>5314.43</v>
      </c>
      <c r="H54" s="13">
        <v>5302</v>
      </c>
      <c r="I54" s="13">
        <v>5296.03</v>
      </c>
      <c r="J54" s="13">
        <v>5299.59</v>
      </c>
      <c r="K54" s="13">
        <v>5298.82</v>
      </c>
      <c r="L54" s="13">
        <v>5308.82</v>
      </c>
      <c r="M54" s="13">
        <v>5318.79</v>
      </c>
      <c r="N54" s="13">
        <v>5309.61</v>
      </c>
      <c r="O54" s="13">
        <v>5307.19</v>
      </c>
      <c r="P54" s="13">
        <v>5302.45</v>
      </c>
      <c r="Q54" s="13">
        <v>5310.22</v>
      </c>
      <c r="R54" s="13">
        <v>5306.87</v>
      </c>
      <c r="S54" s="13">
        <v>5313.22</v>
      </c>
      <c r="T54" s="13">
        <v>5322.04</v>
      </c>
      <c r="U54" s="13">
        <v>5320.25</v>
      </c>
      <c r="V54" s="13">
        <v>5311.84</v>
      </c>
      <c r="W54" s="13">
        <v>5311.22</v>
      </c>
      <c r="X54" s="13">
        <v>5295.82</v>
      </c>
      <c r="Y54" s="13">
        <v>5304.45</v>
      </c>
      <c r="Z54" s="13">
        <v>5304.84</v>
      </c>
      <c r="AA54" s="13">
        <v>5314.99</v>
      </c>
      <c r="AB54" s="13">
        <v>5304.47</v>
      </c>
      <c r="AC54" s="13">
        <v>5302.58</v>
      </c>
      <c r="AD54" s="13">
        <v>5307.69</v>
      </c>
      <c r="AE54" s="13">
        <v>5308.73</v>
      </c>
      <c r="AF54" s="13">
        <v>5302.84</v>
      </c>
      <c r="AG54" s="13">
        <v>5305.23</v>
      </c>
      <c r="AH54" s="13">
        <v>5302.19</v>
      </c>
      <c r="AI54" s="13">
        <v>5298.93</v>
      </c>
      <c r="AJ54" s="13">
        <v>5301.45</v>
      </c>
      <c r="AK54" s="13">
        <v>5283.91</v>
      </c>
      <c r="AL54" s="13">
        <v>5284.33</v>
      </c>
      <c r="AM54" s="13">
        <v>5283.25</v>
      </c>
      <c r="AN54" s="13">
        <v>5293.22</v>
      </c>
      <c r="AO54" s="13">
        <v>5294.81</v>
      </c>
      <c r="AP54" s="13">
        <v>5304.81</v>
      </c>
      <c r="AQ54" s="13">
        <v>5294.18</v>
      </c>
      <c r="AR54" s="13">
        <v>5294.18</v>
      </c>
      <c r="AS54" s="13">
        <v>5303.19</v>
      </c>
      <c r="AT54" s="13">
        <v>5300.89</v>
      </c>
      <c r="AU54" s="13">
        <v>5303.25</v>
      </c>
      <c r="AV54" s="13">
        <v>5303.22</v>
      </c>
      <c r="AW54" s="13">
        <v>5300.92</v>
      </c>
      <c r="AX54" s="13">
        <v>5291.72</v>
      </c>
      <c r="AY54" s="13">
        <v>5296.29</v>
      </c>
      <c r="AZ54" s="13">
        <v>5311.44</v>
      </c>
      <c r="BA54" s="13">
        <v>5315.31</v>
      </c>
      <c r="BB54" s="13">
        <v>5321.13</v>
      </c>
      <c r="BC54" s="13">
        <v>5321.67</v>
      </c>
      <c r="BD54" s="13">
        <v>5326.6</v>
      </c>
      <c r="BE54" s="13">
        <v>5320.47</v>
      </c>
      <c r="BF54" s="13">
        <v>5314.01</v>
      </c>
      <c r="BG54" s="13">
        <v>5306.74</v>
      </c>
      <c r="BH54" s="13">
        <v>5307.85</v>
      </c>
      <c r="BI54" s="13">
        <v>5309.27</v>
      </c>
      <c r="BJ54" s="13">
        <v>5306.77</v>
      </c>
      <c r="BK54" s="13">
        <v>5309.65</v>
      </c>
      <c r="BL54" s="13">
        <v>5309.71</v>
      </c>
      <c r="BM54" s="13">
        <v>5309.02</v>
      </c>
      <c r="BN54" s="13">
        <v>5312.21</v>
      </c>
      <c r="BO54" s="13">
        <v>5311.6</v>
      </c>
      <c r="BP54" s="13">
        <v>5310.62</v>
      </c>
      <c r="BQ54" s="13">
        <v>5306.49</v>
      </c>
      <c r="BR54" s="13">
        <v>5314.29</v>
      </c>
      <c r="BS54" s="13">
        <v>5307.85</v>
      </c>
      <c r="BT54" s="13">
        <v>5313.23</v>
      </c>
      <c r="BU54" s="13">
        <v>5313.74</v>
      </c>
      <c r="BV54" s="13">
        <v>5310.83</v>
      </c>
      <c r="BW54" s="13">
        <v>5313.71</v>
      </c>
      <c r="BX54" s="13">
        <v>5311.43</v>
      </c>
      <c r="BY54" s="13">
        <v>5314.3</v>
      </c>
      <c r="BZ54" s="13">
        <v>5310.69</v>
      </c>
      <c r="CA54" s="13">
        <v>5312.93</v>
      </c>
      <c r="CB54" s="13">
        <v>5323.12</v>
      </c>
      <c r="CC54" s="13">
        <v>5320.12</v>
      </c>
      <c r="CD54" s="13">
        <v>5317.72</v>
      </c>
      <c r="CE54" s="13">
        <v>5323.43</v>
      </c>
      <c r="CF54" s="13">
        <v>5324.31</v>
      </c>
      <c r="CG54" s="13">
        <v>5319.66</v>
      </c>
      <c r="CH54" s="13">
        <v>5321.63</v>
      </c>
      <c r="CI54" s="13">
        <v>5317.21</v>
      </c>
      <c r="CJ54" s="13">
        <v>5317.23</v>
      </c>
      <c r="CK54" s="13">
        <v>5324.23</v>
      </c>
      <c r="CL54" s="13">
        <v>5324.36</v>
      </c>
      <c r="CM54" s="13">
        <v>5332.91</v>
      </c>
      <c r="CN54" s="13">
        <v>5344.7</v>
      </c>
      <c r="CO54" s="13">
        <v>5337.92</v>
      </c>
      <c r="CP54" s="13">
        <v>5337.76</v>
      </c>
      <c r="CQ54" s="13">
        <v>5334.38</v>
      </c>
      <c r="CR54" s="13">
        <v>5345.27</v>
      </c>
      <c r="CS54" s="13">
        <v>5340.91</v>
      </c>
      <c r="CT54" s="13">
        <v>5336.64</v>
      </c>
      <c r="CU54" s="13">
        <v>5344.75</v>
      </c>
      <c r="CV54" s="13">
        <v>5337.09</v>
      </c>
      <c r="CW54" s="13">
        <v>5338.86</v>
      </c>
      <c r="CX54" s="13">
        <v>5341.78</v>
      </c>
      <c r="CY54" s="13">
        <v>5339.94</v>
      </c>
      <c r="CZ54" s="13">
        <v>5340.38</v>
      </c>
      <c r="DA54" s="13">
        <v>5354.79</v>
      </c>
      <c r="DB54" s="13">
        <v>5354.17</v>
      </c>
      <c r="DC54" s="13">
        <v>5358.11</v>
      </c>
      <c r="DD54" s="13">
        <v>5360.1</v>
      </c>
      <c r="DE54" s="13">
        <v>5359.7</v>
      </c>
      <c r="DF54" s="13">
        <v>5364.01</v>
      </c>
      <c r="DG54" s="13">
        <v>5371.88</v>
      </c>
      <c r="DH54" s="13">
        <v>5369.53</v>
      </c>
      <c r="DI54" s="13">
        <v>5371.74</v>
      </c>
      <c r="DJ54" s="13">
        <v>5370.5</v>
      </c>
      <c r="DK54" s="13">
        <v>5341.33</v>
      </c>
      <c r="DM54" s="20"/>
    </row>
    <row r="55" spans="1:117" ht="15.75" x14ac:dyDescent="0.25">
      <c r="A55" s="14" t="s">
        <v>12</v>
      </c>
      <c r="B55" s="12" t="s">
        <v>7</v>
      </c>
      <c r="C55" s="13">
        <v>5310</v>
      </c>
      <c r="D55" s="13">
        <v>5327.9</v>
      </c>
      <c r="E55" s="13">
        <v>5330.51</v>
      </c>
      <c r="F55" s="13">
        <v>5320.22</v>
      </c>
      <c r="G55" s="13">
        <v>5314.43</v>
      </c>
      <c r="H55" s="13">
        <v>5302</v>
      </c>
      <c r="I55" s="13">
        <v>5292.81</v>
      </c>
      <c r="J55" s="13">
        <v>5296.08</v>
      </c>
      <c r="K55" s="13">
        <v>5295.21</v>
      </c>
      <c r="L55" s="13">
        <v>5297.82</v>
      </c>
      <c r="M55" s="13">
        <v>5308.79</v>
      </c>
      <c r="N55" s="13">
        <v>5307.45</v>
      </c>
      <c r="O55" s="13">
        <v>5305.22</v>
      </c>
      <c r="P55" s="13">
        <v>5302.45</v>
      </c>
      <c r="Q55" s="13">
        <v>5303.81</v>
      </c>
      <c r="R55" s="13">
        <v>5306.25</v>
      </c>
      <c r="S55" s="13">
        <v>5305.03</v>
      </c>
      <c r="T55" s="13">
        <v>5310.8</v>
      </c>
      <c r="U55" s="13">
        <v>5318.67</v>
      </c>
      <c r="V55" s="13">
        <v>5311.84</v>
      </c>
      <c r="W55" s="13">
        <v>5309.83</v>
      </c>
      <c r="X55" s="13">
        <v>5295.43</v>
      </c>
      <c r="Y55" s="13">
        <v>5294.82</v>
      </c>
      <c r="Z55" s="13">
        <v>5303.25</v>
      </c>
      <c r="AA55" s="13">
        <v>5298.6</v>
      </c>
      <c r="AB55" s="13">
        <v>5303.97</v>
      </c>
      <c r="AC55" s="13">
        <v>5295.68</v>
      </c>
      <c r="AD55" s="13">
        <v>5298.88</v>
      </c>
      <c r="AE55" s="13">
        <v>5300.08</v>
      </c>
      <c r="AF55" s="13">
        <v>5301.35</v>
      </c>
      <c r="AG55" s="13">
        <v>5301.33</v>
      </c>
      <c r="AH55" s="13">
        <v>5301.68</v>
      </c>
      <c r="AI55" s="13">
        <v>5297.96</v>
      </c>
      <c r="AJ55" s="13">
        <v>5284.44</v>
      </c>
      <c r="AK55" s="13">
        <v>5283.68</v>
      </c>
      <c r="AL55" s="13">
        <v>5284.28</v>
      </c>
      <c r="AM55" s="13">
        <v>5281.08</v>
      </c>
      <c r="AN55" s="13">
        <v>5278.28</v>
      </c>
      <c r="AO55" s="13">
        <v>5291.43</v>
      </c>
      <c r="AP55" s="13">
        <v>5297.84</v>
      </c>
      <c r="AQ55" s="13">
        <v>5292.22</v>
      </c>
      <c r="AR55" s="13">
        <v>5290.45</v>
      </c>
      <c r="AS55" s="13">
        <v>5293.81</v>
      </c>
      <c r="AT55" s="13">
        <v>5300.47</v>
      </c>
      <c r="AU55" s="13">
        <v>5300.41</v>
      </c>
      <c r="AV55" s="13">
        <v>5298.03</v>
      </c>
      <c r="AW55" s="13">
        <v>5299.81</v>
      </c>
      <c r="AX55" s="13">
        <v>5291</v>
      </c>
      <c r="AY55" s="13">
        <v>5292.47</v>
      </c>
      <c r="AZ55" s="13">
        <v>5296.95</v>
      </c>
      <c r="BA55" s="13">
        <v>5309.57</v>
      </c>
      <c r="BB55" s="13">
        <v>5313.48</v>
      </c>
      <c r="BC55" s="13">
        <v>5319.04</v>
      </c>
      <c r="BD55" s="13">
        <v>5318.78</v>
      </c>
      <c r="BE55" s="13">
        <v>5320.47</v>
      </c>
      <c r="BF55" s="13">
        <v>5309.1</v>
      </c>
      <c r="BG55" s="13">
        <v>5302.68</v>
      </c>
      <c r="BH55" s="13">
        <v>5303.8</v>
      </c>
      <c r="BI55" s="13">
        <v>5301.02</v>
      </c>
      <c r="BJ55" s="13">
        <v>5303.35</v>
      </c>
      <c r="BK55" s="13">
        <v>5305.28</v>
      </c>
      <c r="BL55" s="13">
        <v>5308.78</v>
      </c>
      <c r="BM55" s="13">
        <v>5308.49</v>
      </c>
      <c r="BN55" s="13">
        <v>5308.77</v>
      </c>
      <c r="BO55" s="13">
        <v>5308.79</v>
      </c>
      <c r="BP55" s="13">
        <v>5303.96</v>
      </c>
      <c r="BQ55" s="13">
        <v>5304.98</v>
      </c>
      <c r="BR55" s="13">
        <v>5303.49</v>
      </c>
      <c r="BS55" s="13">
        <v>5306.09</v>
      </c>
      <c r="BT55" s="13">
        <v>5308.14</v>
      </c>
      <c r="BU55" s="13">
        <v>5310.15</v>
      </c>
      <c r="BV55" s="13">
        <v>5306.24</v>
      </c>
      <c r="BW55" s="13">
        <v>5309.09</v>
      </c>
      <c r="BX55" s="13">
        <v>5308.92</v>
      </c>
      <c r="BY55" s="13">
        <v>5309.62</v>
      </c>
      <c r="BZ55" s="13">
        <v>5309.06</v>
      </c>
      <c r="CA55" s="13">
        <v>5310</v>
      </c>
      <c r="CB55" s="13">
        <v>5313.37</v>
      </c>
      <c r="CC55" s="13">
        <v>5315.84</v>
      </c>
      <c r="CD55" s="13">
        <v>5317.72</v>
      </c>
      <c r="CE55" s="13">
        <v>5314.8</v>
      </c>
      <c r="CF55" s="13">
        <v>5318.54</v>
      </c>
      <c r="CG55" s="13">
        <v>5314.15</v>
      </c>
      <c r="CH55" s="13">
        <v>5316.78</v>
      </c>
      <c r="CI55" s="13">
        <v>5316.78</v>
      </c>
      <c r="CJ55" s="13">
        <v>5313.36</v>
      </c>
      <c r="CK55" s="13">
        <v>5316.68</v>
      </c>
      <c r="CL55" s="13">
        <v>5322.07</v>
      </c>
      <c r="CM55" s="13">
        <v>5323.35</v>
      </c>
      <c r="CN55" s="13">
        <v>5324.89</v>
      </c>
      <c r="CO55" s="13">
        <v>5316.76</v>
      </c>
      <c r="CP55" s="13">
        <v>5333.67</v>
      </c>
      <c r="CQ55" s="13">
        <v>5332.7</v>
      </c>
      <c r="CR55" s="13">
        <v>5332.19</v>
      </c>
      <c r="CS55" s="13">
        <v>5336.67</v>
      </c>
      <c r="CT55" s="13">
        <v>5334.2</v>
      </c>
      <c r="CU55" s="13">
        <v>5338.98</v>
      </c>
      <c r="CV55" s="13">
        <v>5333.94</v>
      </c>
      <c r="CW55" s="13">
        <v>5334.19</v>
      </c>
      <c r="CX55" s="13">
        <v>5331.7</v>
      </c>
      <c r="CY55" s="13">
        <v>5338.58</v>
      </c>
      <c r="CZ55" s="13">
        <v>5339.04</v>
      </c>
      <c r="DA55" s="13">
        <v>5340.93</v>
      </c>
      <c r="DB55" s="13">
        <v>5349.16</v>
      </c>
      <c r="DC55" s="13">
        <v>5349.38</v>
      </c>
      <c r="DD55" s="13">
        <v>5356.11</v>
      </c>
      <c r="DE55" s="13">
        <v>5350.32</v>
      </c>
      <c r="DF55" s="13">
        <v>5359.39</v>
      </c>
      <c r="DG55" s="13">
        <v>5355.33</v>
      </c>
      <c r="DH55" s="13">
        <v>5359.4</v>
      </c>
      <c r="DI55" s="13">
        <v>5366.95</v>
      </c>
      <c r="DJ55" s="13">
        <v>5367.53</v>
      </c>
      <c r="DK55" s="13">
        <v>5341.33</v>
      </c>
      <c r="DM55" s="20"/>
    </row>
    <row r="56" spans="1:117" ht="15.75" x14ac:dyDescent="0.25">
      <c r="A56" s="11" t="s">
        <v>5</v>
      </c>
      <c r="B56" s="11" t="s">
        <v>11</v>
      </c>
      <c r="C56" s="15">
        <v>0.37847222222222227</v>
      </c>
      <c r="D56" s="15">
        <v>0.38194444444444442</v>
      </c>
      <c r="E56" s="15">
        <v>0.38541666666666669</v>
      </c>
      <c r="F56" s="15">
        <v>0.3888888888888889</v>
      </c>
      <c r="G56" s="15">
        <v>0.3923611111111111</v>
      </c>
      <c r="H56" s="15">
        <v>0.39583333333333331</v>
      </c>
      <c r="I56" s="15">
        <v>0.39930555555555558</v>
      </c>
      <c r="J56" s="15">
        <v>0.40277777777777773</v>
      </c>
      <c r="K56" s="15">
        <v>0.40625</v>
      </c>
      <c r="L56" s="15">
        <v>0.40972222222222227</v>
      </c>
      <c r="M56" s="15">
        <v>0.41319444444444442</v>
      </c>
      <c r="N56" s="15">
        <v>0.41666666666666669</v>
      </c>
      <c r="O56" s="15">
        <v>0.4201388888888889</v>
      </c>
      <c r="P56" s="15">
        <v>0.4236111111111111</v>
      </c>
      <c r="Q56" s="15">
        <v>0.42708333333333331</v>
      </c>
      <c r="R56" s="15">
        <v>0.43055555555555558</v>
      </c>
      <c r="S56" s="15">
        <v>0.43402777777777773</v>
      </c>
      <c r="T56" s="15">
        <v>0.4375</v>
      </c>
      <c r="U56" s="15">
        <v>0.44097222222222227</v>
      </c>
      <c r="V56" s="15">
        <v>0.44444444444444442</v>
      </c>
      <c r="W56" s="15">
        <v>0.44791666666666669</v>
      </c>
      <c r="X56" s="15">
        <v>0.4513888888888889</v>
      </c>
      <c r="Y56" s="15">
        <v>0.4548611111111111</v>
      </c>
      <c r="Z56" s="15">
        <v>0.45833333333333331</v>
      </c>
      <c r="AA56" s="15">
        <v>0.46180555555555558</v>
      </c>
      <c r="AB56" s="15">
        <v>0.46527777777777773</v>
      </c>
      <c r="AC56" s="15">
        <v>0.46875</v>
      </c>
      <c r="AD56" s="15">
        <v>0.47222222222222227</v>
      </c>
      <c r="AE56" s="15">
        <v>0.47569444444444442</v>
      </c>
      <c r="AF56" s="15">
        <v>0.47916666666666669</v>
      </c>
      <c r="AG56" s="15">
        <v>0.4826388888888889</v>
      </c>
      <c r="AH56" s="15">
        <v>0.4861111111111111</v>
      </c>
      <c r="AI56" s="15">
        <v>0.48958333333333331</v>
      </c>
      <c r="AJ56" s="15">
        <v>0.49305555555555558</v>
      </c>
      <c r="AK56" s="15">
        <v>0.49652777777777773</v>
      </c>
      <c r="AL56" s="15">
        <v>0.5</v>
      </c>
      <c r="AM56" s="15">
        <v>0.50347222222222221</v>
      </c>
      <c r="AN56" s="15">
        <v>0.50694444444444442</v>
      </c>
      <c r="AO56" s="15">
        <v>0.51041666666666663</v>
      </c>
      <c r="AP56" s="15">
        <v>0.51388888888888895</v>
      </c>
      <c r="AQ56" s="15">
        <v>0.51736111111111105</v>
      </c>
      <c r="AR56" s="15">
        <v>0.52083333333333337</v>
      </c>
      <c r="AS56" s="15">
        <v>0.52430555555555558</v>
      </c>
      <c r="AT56" s="15">
        <v>0.52777777777777779</v>
      </c>
      <c r="AU56" s="15">
        <v>0.53125</v>
      </c>
      <c r="AV56" s="15">
        <v>0.53472222222222221</v>
      </c>
      <c r="AW56" s="15">
        <v>0.53819444444444442</v>
      </c>
      <c r="AX56" s="15">
        <v>0.54166666666666663</v>
      </c>
      <c r="AY56" s="15">
        <v>0.54513888888888895</v>
      </c>
      <c r="AZ56" s="15">
        <v>0.54861111111111105</v>
      </c>
      <c r="BA56" s="15">
        <v>0.55208333333333337</v>
      </c>
      <c r="BB56" s="15">
        <v>0.55555555555555558</v>
      </c>
      <c r="BC56" s="15">
        <v>0.55902777777777779</v>
      </c>
      <c r="BD56" s="15">
        <v>0.5625</v>
      </c>
      <c r="BE56" s="15">
        <v>0.56597222222222221</v>
      </c>
      <c r="BF56" s="15">
        <v>0.56944444444444442</v>
      </c>
      <c r="BG56" s="15">
        <v>0.57291666666666663</v>
      </c>
      <c r="BH56" s="15">
        <v>0.57638888888888895</v>
      </c>
      <c r="BI56" s="15">
        <v>0.57986111111111105</v>
      </c>
      <c r="BJ56" s="15">
        <v>0.58333333333333337</v>
      </c>
      <c r="BK56" s="15">
        <v>0.58680555555555558</v>
      </c>
      <c r="BL56" s="15">
        <v>0.59027777777777779</v>
      </c>
      <c r="BM56" s="15">
        <v>0.59375</v>
      </c>
      <c r="BN56" s="15">
        <v>0.59722222222222221</v>
      </c>
      <c r="BO56" s="15">
        <v>0.60069444444444442</v>
      </c>
      <c r="BP56" s="15">
        <v>0.60416666666666663</v>
      </c>
      <c r="BQ56" s="15">
        <v>0.60763888888888895</v>
      </c>
      <c r="BR56" s="15">
        <v>0.61111111111111105</v>
      </c>
      <c r="BS56" s="15">
        <v>0.61458333333333337</v>
      </c>
      <c r="BT56" s="15">
        <v>0.61805555555555558</v>
      </c>
      <c r="BU56" s="15">
        <v>0.62152777777777779</v>
      </c>
      <c r="BV56" s="15">
        <v>0.625</v>
      </c>
      <c r="BW56" s="15">
        <v>0.62847222222222221</v>
      </c>
      <c r="BX56" s="15">
        <v>0.63194444444444442</v>
      </c>
      <c r="BY56" s="15">
        <v>0.63541666666666663</v>
      </c>
      <c r="BZ56" s="15">
        <v>0.63888888888888895</v>
      </c>
      <c r="CA56" s="15">
        <v>0.64236111111111105</v>
      </c>
      <c r="CB56" s="15">
        <v>0.64583333333333337</v>
      </c>
      <c r="CC56" s="15">
        <v>0.64930555555555558</v>
      </c>
      <c r="CD56" s="15">
        <v>0.65277777777777779</v>
      </c>
      <c r="CE56" s="15">
        <v>0.65625</v>
      </c>
      <c r="CF56" s="15">
        <v>0.65972222222222221</v>
      </c>
      <c r="CG56" s="15">
        <v>0.66319444444444442</v>
      </c>
      <c r="CH56" s="15">
        <v>0.66666666666666663</v>
      </c>
      <c r="CI56" s="15">
        <v>0.67013888888888884</v>
      </c>
      <c r="CJ56" s="15">
        <v>0.67361111111111116</v>
      </c>
      <c r="CK56" s="15">
        <v>0.67708333333333337</v>
      </c>
      <c r="CL56" s="15">
        <v>0.68055555555555547</v>
      </c>
      <c r="CM56" s="15">
        <v>0.68402777777777779</v>
      </c>
      <c r="CN56" s="15">
        <v>0.6875</v>
      </c>
      <c r="CO56" s="15">
        <v>0.69097222222222221</v>
      </c>
      <c r="CP56" s="15">
        <v>0.69444444444444453</v>
      </c>
      <c r="CQ56" s="15">
        <v>0.69791666666666663</v>
      </c>
      <c r="CR56" s="15">
        <v>0.70138888888888884</v>
      </c>
      <c r="CS56" s="15">
        <v>0.70486111111111116</v>
      </c>
      <c r="CT56" s="15">
        <v>0.70833333333333337</v>
      </c>
      <c r="CU56" s="15">
        <v>0.71180555555555547</v>
      </c>
      <c r="CV56" s="15">
        <v>0.71527777777777779</v>
      </c>
      <c r="CW56" s="15">
        <v>0.71875</v>
      </c>
      <c r="CX56" s="15">
        <v>0.72222222222222221</v>
      </c>
      <c r="CY56" s="15">
        <v>0.72569444444444453</v>
      </c>
      <c r="CZ56" s="15">
        <v>0.72916666666666663</v>
      </c>
      <c r="DA56" s="15">
        <v>0.73263888888888884</v>
      </c>
      <c r="DB56" s="15">
        <v>0.73611111111111116</v>
      </c>
      <c r="DC56" s="15">
        <v>0.73958333333333337</v>
      </c>
      <c r="DD56" s="15">
        <v>0.74305555555555547</v>
      </c>
      <c r="DE56" s="15">
        <v>0.74652777777777779</v>
      </c>
      <c r="DF56" s="15">
        <v>0.75</v>
      </c>
      <c r="DG56" s="15">
        <v>0.75347222222222221</v>
      </c>
      <c r="DH56" s="15">
        <v>0.75694444444444453</v>
      </c>
      <c r="DI56" s="15">
        <v>0.76041666666666663</v>
      </c>
      <c r="DJ56" s="15">
        <v>0.76388888888888884</v>
      </c>
      <c r="DK56" s="15">
        <v>0.76736111111111116</v>
      </c>
      <c r="DM56" s="20"/>
    </row>
    <row r="57" spans="1:117" ht="15.75" x14ac:dyDescent="0.25">
      <c r="A57" s="14">
        <v>44154</v>
      </c>
      <c r="B57" s="12" t="s">
        <v>6</v>
      </c>
      <c r="C57" s="13">
        <v>5389.67</v>
      </c>
      <c r="D57" s="13">
        <v>5373.71</v>
      </c>
      <c r="E57" s="13">
        <v>5377.43</v>
      </c>
      <c r="F57" s="13">
        <v>5373.96</v>
      </c>
      <c r="G57" s="13">
        <v>5367.78</v>
      </c>
      <c r="H57" s="13">
        <v>5373.33</v>
      </c>
      <c r="I57" s="13">
        <v>5365.07</v>
      </c>
      <c r="J57" s="13">
        <v>5368</v>
      </c>
      <c r="K57" s="13">
        <v>5368.02</v>
      </c>
      <c r="L57" s="13">
        <v>5365.51</v>
      </c>
      <c r="M57" s="13">
        <v>5367.88</v>
      </c>
      <c r="N57" s="13">
        <v>5375.8</v>
      </c>
      <c r="O57" s="13">
        <v>5382.5</v>
      </c>
      <c r="P57" s="13">
        <v>5384.1</v>
      </c>
      <c r="Q57" s="13">
        <v>5371.86</v>
      </c>
      <c r="R57" s="13">
        <v>5366.09</v>
      </c>
      <c r="S57" s="13">
        <v>5369.51</v>
      </c>
      <c r="T57" s="13">
        <v>5370.21</v>
      </c>
      <c r="U57" s="13">
        <v>5375.69</v>
      </c>
      <c r="V57" s="13">
        <v>5377.29</v>
      </c>
      <c r="W57" s="13">
        <v>5371.02</v>
      </c>
      <c r="X57" s="13">
        <v>5370.84</v>
      </c>
      <c r="Y57" s="13">
        <v>5357.04</v>
      </c>
      <c r="Z57" s="13">
        <v>5354.39</v>
      </c>
      <c r="AA57" s="13">
        <v>5350.78</v>
      </c>
      <c r="AB57" s="13">
        <v>5348.53</v>
      </c>
      <c r="AC57" s="13">
        <v>5349.83</v>
      </c>
      <c r="AD57" s="13">
        <v>5350.1</v>
      </c>
      <c r="AE57" s="13">
        <v>5355.69</v>
      </c>
      <c r="AF57" s="13">
        <v>5356.89</v>
      </c>
      <c r="AG57" s="13">
        <v>5359.93</v>
      </c>
      <c r="AH57" s="13">
        <v>5352.81</v>
      </c>
      <c r="AI57" s="13">
        <v>5352.2</v>
      </c>
      <c r="AJ57" s="13">
        <v>5368.08</v>
      </c>
      <c r="AK57" s="13">
        <v>5346.19</v>
      </c>
      <c r="AL57" s="13">
        <v>5340.42</v>
      </c>
      <c r="AM57" s="13">
        <v>5330.48</v>
      </c>
      <c r="AN57" s="13">
        <v>5326.61</v>
      </c>
      <c r="AO57" s="13">
        <v>5332.74</v>
      </c>
      <c r="AP57" s="13">
        <v>5328.22</v>
      </c>
      <c r="AQ57" s="13">
        <v>5324.22</v>
      </c>
      <c r="AR57" s="13">
        <v>5328.19</v>
      </c>
      <c r="AS57" s="13">
        <v>5329.7</v>
      </c>
      <c r="AT57" s="13">
        <v>5322.7</v>
      </c>
      <c r="AU57" s="13">
        <v>5316.72</v>
      </c>
      <c r="AV57" s="13">
        <v>5318.3</v>
      </c>
      <c r="AW57" s="13">
        <v>5322.13</v>
      </c>
      <c r="AX57" s="13">
        <v>5322.23</v>
      </c>
      <c r="AY57" s="13">
        <v>5324.39</v>
      </c>
      <c r="AZ57" s="13">
        <v>5323.85</v>
      </c>
      <c r="BA57" s="13">
        <v>5324.04</v>
      </c>
      <c r="BB57" s="13">
        <v>5319.48</v>
      </c>
      <c r="BC57" s="13">
        <v>5314.85</v>
      </c>
      <c r="BD57" s="13">
        <v>5316.29</v>
      </c>
      <c r="BE57" s="13">
        <v>5344.53</v>
      </c>
      <c r="BF57" s="13">
        <v>5326.87</v>
      </c>
      <c r="BG57" s="13">
        <v>5333.17</v>
      </c>
      <c r="BH57" s="13">
        <v>5327.54</v>
      </c>
      <c r="BI57" s="13">
        <v>5330.58</v>
      </c>
      <c r="BJ57" s="13">
        <v>5329.53</v>
      </c>
      <c r="BK57" s="13">
        <v>5326.68</v>
      </c>
      <c r="BL57" s="13">
        <v>5325.75</v>
      </c>
      <c r="BM57" s="13">
        <v>5324.43</v>
      </c>
      <c r="BN57" s="13">
        <v>5325</v>
      </c>
      <c r="BO57" s="13">
        <v>5329.12</v>
      </c>
      <c r="BP57" s="13">
        <v>5333.04</v>
      </c>
      <c r="BQ57" s="13">
        <v>5329.24</v>
      </c>
      <c r="BR57" s="13">
        <v>5331.83</v>
      </c>
      <c r="BS57" s="13">
        <v>5339.19</v>
      </c>
      <c r="BT57" s="13">
        <v>5337.14</v>
      </c>
      <c r="BU57" s="13">
        <v>5340.43</v>
      </c>
      <c r="BV57" s="13">
        <v>5338.85</v>
      </c>
      <c r="BW57" s="13">
        <v>5332.6</v>
      </c>
      <c r="BX57" s="13">
        <v>5325.35</v>
      </c>
      <c r="BY57" s="13">
        <v>5324.02</v>
      </c>
      <c r="BZ57" s="13">
        <v>5321.29</v>
      </c>
      <c r="CA57" s="13">
        <v>5321.38</v>
      </c>
      <c r="CB57" s="13">
        <v>5321.42</v>
      </c>
      <c r="CC57" s="13">
        <v>5323.49</v>
      </c>
      <c r="CD57" s="13">
        <v>5321.07</v>
      </c>
      <c r="CE57" s="13">
        <v>5323.85</v>
      </c>
      <c r="CF57" s="13">
        <v>5320.85</v>
      </c>
      <c r="CG57" s="13">
        <v>5319.12</v>
      </c>
      <c r="CH57" s="13">
        <v>5325.69</v>
      </c>
      <c r="CI57" s="13">
        <v>5330.57</v>
      </c>
      <c r="CJ57" s="13">
        <v>5321.41</v>
      </c>
      <c r="CK57" s="13">
        <v>5316.34</v>
      </c>
      <c r="CL57" s="13">
        <v>5317.52</v>
      </c>
      <c r="CM57" s="13">
        <v>5321.86</v>
      </c>
      <c r="CN57" s="13">
        <v>5322.79</v>
      </c>
      <c r="CO57" s="13">
        <v>5324.4</v>
      </c>
      <c r="CP57" s="13">
        <v>5327.31</v>
      </c>
      <c r="CQ57" s="13">
        <v>5323.31</v>
      </c>
      <c r="CR57" s="13">
        <v>5317.75</v>
      </c>
      <c r="CS57" s="13">
        <v>5321.89</v>
      </c>
      <c r="CT57" s="13">
        <v>5323.31</v>
      </c>
      <c r="CU57" s="13">
        <v>5324.23</v>
      </c>
      <c r="CV57" s="13">
        <v>5327.12</v>
      </c>
      <c r="CW57" s="13">
        <v>5325.17</v>
      </c>
      <c r="CX57" s="13">
        <v>5324.33</v>
      </c>
      <c r="CY57" s="13">
        <v>5325.35</v>
      </c>
      <c r="CZ57" s="13">
        <v>5330.21</v>
      </c>
      <c r="DA57" s="13">
        <v>5326.84</v>
      </c>
      <c r="DB57" s="13">
        <v>5324.73</v>
      </c>
      <c r="DC57" s="13">
        <v>5322.75</v>
      </c>
      <c r="DD57" s="13">
        <v>5324.72</v>
      </c>
      <c r="DE57" s="13">
        <v>5323.1</v>
      </c>
      <c r="DF57" s="13">
        <v>5320.66</v>
      </c>
      <c r="DG57" s="13">
        <v>5317.37</v>
      </c>
      <c r="DH57" s="13">
        <v>5315.3</v>
      </c>
      <c r="DI57" s="13">
        <v>5314.44</v>
      </c>
      <c r="DJ57" s="13">
        <v>5313.13</v>
      </c>
      <c r="DK57" s="13">
        <v>5319.84</v>
      </c>
      <c r="DM57" s="20"/>
    </row>
    <row r="58" spans="1:117" ht="15.75" x14ac:dyDescent="0.25">
      <c r="A58" s="14" t="s">
        <v>12</v>
      </c>
      <c r="B58" s="12" t="s">
        <v>10</v>
      </c>
      <c r="C58" s="13">
        <v>5375.22</v>
      </c>
      <c r="D58" s="13">
        <v>5364.42</v>
      </c>
      <c r="E58" s="13">
        <v>5371.4</v>
      </c>
      <c r="F58" s="13">
        <v>5362.18</v>
      </c>
      <c r="G58" s="13">
        <v>5356.27</v>
      </c>
      <c r="H58" s="13">
        <v>5363.51</v>
      </c>
      <c r="I58" s="13">
        <v>5361.6</v>
      </c>
      <c r="J58" s="13">
        <v>5366.34</v>
      </c>
      <c r="K58" s="13">
        <v>5363.91</v>
      </c>
      <c r="L58" s="13">
        <v>5360.21</v>
      </c>
      <c r="M58" s="13">
        <v>5363.03</v>
      </c>
      <c r="N58" s="13">
        <v>5375.8</v>
      </c>
      <c r="O58" s="13">
        <v>5379.9</v>
      </c>
      <c r="P58" s="13">
        <v>5371.86</v>
      </c>
      <c r="Q58" s="13">
        <v>5364.31</v>
      </c>
      <c r="R58" s="13">
        <v>5365.6</v>
      </c>
      <c r="S58" s="13">
        <v>5365.93</v>
      </c>
      <c r="T58" s="13">
        <v>5369.84</v>
      </c>
      <c r="U58" s="13">
        <v>5372.49</v>
      </c>
      <c r="V58" s="13">
        <v>5370.6</v>
      </c>
      <c r="W58" s="13">
        <v>5368.86</v>
      </c>
      <c r="X58" s="13">
        <v>5356.37</v>
      </c>
      <c r="Y58" s="13">
        <v>5349.29</v>
      </c>
      <c r="Z58" s="13">
        <v>5348.37</v>
      </c>
      <c r="AA58" s="13">
        <v>5349.22</v>
      </c>
      <c r="AB58" s="13">
        <v>5340.75</v>
      </c>
      <c r="AC58" s="13">
        <v>5348.18</v>
      </c>
      <c r="AD58" s="13">
        <v>5348.73</v>
      </c>
      <c r="AE58" s="13">
        <v>5353.44</v>
      </c>
      <c r="AF58" s="13">
        <v>5355.02</v>
      </c>
      <c r="AG58" s="13">
        <v>5356.45</v>
      </c>
      <c r="AH58" s="13">
        <v>5349.82</v>
      </c>
      <c r="AI58" s="13">
        <v>5342.17</v>
      </c>
      <c r="AJ58" s="13">
        <v>5340.15</v>
      </c>
      <c r="AK58" s="13">
        <v>5334.72</v>
      </c>
      <c r="AL58" s="13">
        <v>5329.78</v>
      </c>
      <c r="AM58" s="13">
        <v>5322.27</v>
      </c>
      <c r="AN58" s="13">
        <v>5326.61</v>
      </c>
      <c r="AO58" s="13">
        <v>5329.62</v>
      </c>
      <c r="AP58" s="13">
        <v>5322.22</v>
      </c>
      <c r="AQ58" s="13">
        <v>5323.38</v>
      </c>
      <c r="AR58" s="13">
        <v>5326.36</v>
      </c>
      <c r="AS58" s="13">
        <v>5325.06</v>
      </c>
      <c r="AT58" s="13">
        <v>5316.76</v>
      </c>
      <c r="AU58" s="13">
        <v>5312.68</v>
      </c>
      <c r="AV58" s="13">
        <v>5314.54</v>
      </c>
      <c r="AW58" s="13">
        <v>5319.02</v>
      </c>
      <c r="AX58" s="13">
        <v>5319.31</v>
      </c>
      <c r="AY58" s="13">
        <v>5321.15</v>
      </c>
      <c r="AZ58" s="13">
        <v>5323.26</v>
      </c>
      <c r="BA58" s="13">
        <v>5318.65</v>
      </c>
      <c r="BB58" s="13">
        <v>5313.21</v>
      </c>
      <c r="BC58" s="13">
        <v>5314.85</v>
      </c>
      <c r="BD58" s="13">
        <v>5314.37</v>
      </c>
      <c r="BE58" s="13">
        <v>5318.29</v>
      </c>
      <c r="BF58" s="13">
        <v>5325.21</v>
      </c>
      <c r="BG58" s="13">
        <v>5327.03</v>
      </c>
      <c r="BH58" s="13">
        <v>5324.45</v>
      </c>
      <c r="BI58" s="13">
        <v>5328.6</v>
      </c>
      <c r="BJ58" s="13">
        <v>5324.99</v>
      </c>
      <c r="BK58" s="13">
        <v>5325.61</v>
      </c>
      <c r="BL58" s="13">
        <v>5320.7</v>
      </c>
      <c r="BM58" s="13">
        <v>5320.7</v>
      </c>
      <c r="BN58" s="13">
        <v>5323.67</v>
      </c>
      <c r="BO58" s="13">
        <v>5329.08</v>
      </c>
      <c r="BP58" s="13">
        <v>5331.08</v>
      </c>
      <c r="BQ58" s="13">
        <v>5328.59</v>
      </c>
      <c r="BR58" s="13">
        <v>5329.59</v>
      </c>
      <c r="BS58" s="13">
        <v>5335.19</v>
      </c>
      <c r="BT58" s="13">
        <v>5335.46</v>
      </c>
      <c r="BU58" s="13">
        <v>5337.6</v>
      </c>
      <c r="BV58" s="13">
        <v>5331.18</v>
      </c>
      <c r="BW58" s="13">
        <v>5321.07</v>
      </c>
      <c r="BX58" s="13">
        <v>5322.6</v>
      </c>
      <c r="BY58" s="13">
        <v>5320.24</v>
      </c>
      <c r="BZ58" s="13">
        <v>5317.7</v>
      </c>
      <c r="CA58" s="13">
        <v>5314.55</v>
      </c>
      <c r="CB58" s="13">
        <v>5319.78</v>
      </c>
      <c r="CC58" s="13">
        <v>5319.33</v>
      </c>
      <c r="CD58" s="13">
        <v>5318.88</v>
      </c>
      <c r="CE58" s="13">
        <v>5320.16</v>
      </c>
      <c r="CF58" s="13">
        <v>5316.3</v>
      </c>
      <c r="CG58" s="13">
        <v>5318.66</v>
      </c>
      <c r="CH58" s="13">
        <v>5325.69</v>
      </c>
      <c r="CI58" s="13">
        <v>5318.78</v>
      </c>
      <c r="CJ58" s="13">
        <v>5315.43</v>
      </c>
      <c r="CK58" s="13">
        <v>5313.42</v>
      </c>
      <c r="CL58" s="13">
        <v>5316.35</v>
      </c>
      <c r="CM58" s="13">
        <v>5318.75</v>
      </c>
      <c r="CN58" s="13">
        <v>5319.72</v>
      </c>
      <c r="CO58" s="13">
        <v>5320.37</v>
      </c>
      <c r="CP58" s="13">
        <v>5321.21</v>
      </c>
      <c r="CQ58" s="13">
        <v>5318.76</v>
      </c>
      <c r="CR58" s="13">
        <v>5312.36</v>
      </c>
      <c r="CS58" s="13">
        <v>5321.78</v>
      </c>
      <c r="CT58" s="13">
        <v>5322.4</v>
      </c>
      <c r="CU58" s="13">
        <v>5323.7</v>
      </c>
      <c r="CV58" s="13">
        <v>5325.64</v>
      </c>
      <c r="CW58" s="13">
        <v>5318.31</v>
      </c>
      <c r="CX58" s="13">
        <v>5322.66</v>
      </c>
      <c r="CY58" s="13">
        <v>5325.17</v>
      </c>
      <c r="CZ58" s="13">
        <v>5326.33</v>
      </c>
      <c r="DA58" s="13">
        <v>5323.72</v>
      </c>
      <c r="DB58" s="13">
        <v>5320.3</v>
      </c>
      <c r="DC58" s="13">
        <v>5321.66</v>
      </c>
      <c r="DD58" s="13">
        <v>5324.12</v>
      </c>
      <c r="DE58" s="13">
        <v>5320.22</v>
      </c>
      <c r="DF58" s="13">
        <v>5316.08</v>
      </c>
      <c r="DG58" s="13">
        <v>5314.73</v>
      </c>
      <c r="DH58" s="13">
        <v>5312.38</v>
      </c>
      <c r="DI58" s="13">
        <v>5309.35</v>
      </c>
      <c r="DJ58" s="13">
        <v>5312.32</v>
      </c>
      <c r="DK58" s="13">
        <v>5319.84</v>
      </c>
      <c r="DM58" s="20"/>
    </row>
    <row r="59" spans="1:117" ht="15.75" x14ac:dyDescent="0.25">
      <c r="A59" s="14" t="s">
        <v>12</v>
      </c>
      <c r="B59" s="12" t="s">
        <v>9</v>
      </c>
      <c r="C59" s="13">
        <v>5367.91</v>
      </c>
      <c r="D59" s="13">
        <v>5358.8</v>
      </c>
      <c r="E59" s="13">
        <v>5365.79</v>
      </c>
      <c r="F59" s="13">
        <v>5355.81</v>
      </c>
      <c r="G59" s="13">
        <v>5351.8</v>
      </c>
      <c r="H59" s="13">
        <v>5357.8</v>
      </c>
      <c r="I59" s="13">
        <v>5355.57</v>
      </c>
      <c r="J59" s="13">
        <v>5360.77</v>
      </c>
      <c r="K59" s="13">
        <v>5357.96</v>
      </c>
      <c r="L59" s="13">
        <v>5354.2</v>
      </c>
      <c r="M59" s="13">
        <v>5357.22</v>
      </c>
      <c r="N59" s="13">
        <v>5370.18</v>
      </c>
      <c r="O59" s="13">
        <v>5373.77</v>
      </c>
      <c r="P59" s="13">
        <v>5366.29</v>
      </c>
      <c r="Q59" s="13">
        <v>5358.49</v>
      </c>
      <c r="R59" s="13">
        <v>5358.91</v>
      </c>
      <c r="S59" s="13">
        <v>5359.48</v>
      </c>
      <c r="T59" s="13">
        <v>5362.84</v>
      </c>
      <c r="U59" s="13">
        <v>5366.39</v>
      </c>
      <c r="V59" s="13">
        <v>5364.34</v>
      </c>
      <c r="W59" s="13">
        <v>5361.38</v>
      </c>
      <c r="X59" s="13">
        <v>5349.48</v>
      </c>
      <c r="Y59" s="13">
        <v>5341.31</v>
      </c>
      <c r="Z59" s="13">
        <v>5339.95</v>
      </c>
      <c r="AA59" s="13">
        <v>5341.84</v>
      </c>
      <c r="AB59" s="13">
        <v>5332.84</v>
      </c>
      <c r="AC59" s="13">
        <v>5340.25</v>
      </c>
      <c r="AD59" s="13">
        <v>5342.3</v>
      </c>
      <c r="AE59" s="13">
        <v>5346.87</v>
      </c>
      <c r="AF59" s="13">
        <v>5348.32</v>
      </c>
      <c r="AG59" s="13">
        <v>5349.23</v>
      </c>
      <c r="AH59" s="13">
        <v>5342.81</v>
      </c>
      <c r="AI59" s="13">
        <v>5334.25</v>
      </c>
      <c r="AJ59" s="13">
        <v>5332.81</v>
      </c>
      <c r="AK59" s="13">
        <v>5326.25</v>
      </c>
      <c r="AL59" s="13">
        <v>5321.86</v>
      </c>
      <c r="AM59" s="13">
        <v>5315.5</v>
      </c>
      <c r="AN59" s="13">
        <v>5319.87</v>
      </c>
      <c r="AO59" s="13">
        <v>5322.3</v>
      </c>
      <c r="AP59" s="13">
        <v>5316.07</v>
      </c>
      <c r="AQ59" s="13">
        <v>5316.68</v>
      </c>
      <c r="AR59" s="13">
        <v>5317.67</v>
      </c>
      <c r="AS59" s="13">
        <v>5316.78</v>
      </c>
      <c r="AT59" s="13">
        <v>5309.59</v>
      </c>
      <c r="AU59" s="13">
        <v>5306.48</v>
      </c>
      <c r="AV59" s="13">
        <v>5308.75</v>
      </c>
      <c r="AW59" s="13">
        <v>5312.67</v>
      </c>
      <c r="AX59" s="13">
        <v>5312.7</v>
      </c>
      <c r="AY59" s="13">
        <v>5314.59</v>
      </c>
      <c r="AZ59" s="13">
        <v>5316.17</v>
      </c>
      <c r="BA59" s="13">
        <v>5312.62</v>
      </c>
      <c r="BB59" s="13">
        <v>5306.83</v>
      </c>
      <c r="BC59" s="13">
        <v>5307.61</v>
      </c>
      <c r="BD59" s="13">
        <v>5306.59</v>
      </c>
      <c r="BE59" s="13">
        <v>5310.98</v>
      </c>
      <c r="BF59" s="13">
        <v>5317.94</v>
      </c>
      <c r="BG59" s="13">
        <v>5318.37</v>
      </c>
      <c r="BH59" s="13">
        <v>5317.02</v>
      </c>
      <c r="BI59" s="13">
        <v>5321.72</v>
      </c>
      <c r="BJ59" s="13">
        <v>5317.61</v>
      </c>
      <c r="BK59" s="13">
        <v>5317.9</v>
      </c>
      <c r="BL59" s="13">
        <v>5313.79</v>
      </c>
      <c r="BM59" s="13">
        <v>5312.81</v>
      </c>
      <c r="BN59" s="13">
        <v>5315.74</v>
      </c>
      <c r="BO59" s="13">
        <v>5321.25</v>
      </c>
      <c r="BP59" s="13">
        <v>5322.21</v>
      </c>
      <c r="BQ59" s="13">
        <v>5321.4</v>
      </c>
      <c r="BR59" s="13">
        <v>5321.36</v>
      </c>
      <c r="BS59" s="13">
        <v>5326.55</v>
      </c>
      <c r="BT59" s="13">
        <v>5326.61</v>
      </c>
      <c r="BU59" s="13">
        <v>5329.4</v>
      </c>
      <c r="BV59" s="13">
        <v>5323.7</v>
      </c>
      <c r="BW59" s="13">
        <v>5313.83</v>
      </c>
      <c r="BX59" s="13">
        <v>5315.16</v>
      </c>
      <c r="BY59" s="13">
        <v>5313.29</v>
      </c>
      <c r="BZ59" s="13">
        <v>5309.75</v>
      </c>
      <c r="CA59" s="13">
        <v>5306.63</v>
      </c>
      <c r="CB59" s="13">
        <v>5311.42</v>
      </c>
      <c r="CC59" s="13">
        <v>5312.69</v>
      </c>
      <c r="CD59" s="13">
        <v>5311.28</v>
      </c>
      <c r="CE59" s="13">
        <v>5312.69</v>
      </c>
      <c r="CF59" s="13">
        <v>5309.06</v>
      </c>
      <c r="CG59" s="13">
        <v>5310.44</v>
      </c>
      <c r="CH59" s="13">
        <v>5317.57</v>
      </c>
      <c r="CI59" s="13">
        <v>5311.95</v>
      </c>
      <c r="CJ59" s="13">
        <v>5308.53</v>
      </c>
      <c r="CK59" s="13">
        <v>5306.63</v>
      </c>
      <c r="CL59" s="13">
        <v>5309</v>
      </c>
      <c r="CM59" s="13">
        <v>5311.89</v>
      </c>
      <c r="CN59" s="13">
        <v>5312.02</v>
      </c>
      <c r="CO59" s="13">
        <v>5313.29</v>
      </c>
      <c r="CP59" s="13">
        <v>5314.22</v>
      </c>
      <c r="CQ59" s="13">
        <v>5311.93</v>
      </c>
      <c r="CR59" s="13">
        <v>5305.29</v>
      </c>
      <c r="CS59" s="13">
        <v>5313.53</v>
      </c>
      <c r="CT59" s="13">
        <v>5313.79</v>
      </c>
      <c r="CU59" s="13">
        <v>5316.67</v>
      </c>
      <c r="CV59" s="13">
        <v>5317.57</v>
      </c>
      <c r="CW59" s="13">
        <v>5310.96</v>
      </c>
      <c r="CX59" s="13">
        <v>5315.65</v>
      </c>
      <c r="CY59" s="13">
        <v>5317.61</v>
      </c>
      <c r="CZ59" s="13">
        <v>5318.99</v>
      </c>
      <c r="DA59" s="13">
        <v>5316.15</v>
      </c>
      <c r="DB59" s="13">
        <v>5313.31</v>
      </c>
      <c r="DC59" s="13">
        <v>5314.77</v>
      </c>
      <c r="DD59" s="13">
        <v>5316.06</v>
      </c>
      <c r="DE59" s="13">
        <v>5312.39</v>
      </c>
      <c r="DF59" s="13">
        <v>5308.95</v>
      </c>
      <c r="DG59" s="13">
        <v>5308.2</v>
      </c>
      <c r="DH59" s="13">
        <v>5305.35</v>
      </c>
      <c r="DI59" s="13">
        <v>5302.53</v>
      </c>
      <c r="DJ59" s="13">
        <v>5304.7</v>
      </c>
      <c r="DK59" s="13">
        <v>5310.96</v>
      </c>
      <c r="DM59" s="20"/>
    </row>
    <row r="60" spans="1:117" ht="15.75" x14ac:dyDescent="0.25">
      <c r="A60" s="14" t="s">
        <v>12</v>
      </c>
      <c r="B60" s="12" t="s">
        <v>7</v>
      </c>
      <c r="C60" s="13">
        <v>5361.51</v>
      </c>
      <c r="D60" s="13">
        <v>5354.21</v>
      </c>
      <c r="E60" s="13">
        <v>5357.6</v>
      </c>
      <c r="F60" s="13">
        <v>5355.81</v>
      </c>
      <c r="G60" s="13">
        <v>5349.99</v>
      </c>
      <c r="H60" s="13">
        <v>5344.93</v>
      </c>
      <c r="I60" s="13">
        <v>5352.79</v>
      </c>
      <c r="J60" s="13">
        <v>5351.79</v>
      </c>
      <c r="K60" s="13">
        <v>5351.74</v>
      </c>
      <c r="L60" s="13">
        <v>5354.2</v>
      </c>
      <c r="M60" s="13">
        <v>5353.79</v>
      </c>
      <c r="N60" s="13">
        <v>5358.5</v>
      </c>
      <c r="O60" s="13">
        <v>5368.14</v>
      </c>
      <c r="P60" s="13">
        <v>5366.29</v>
      </c>
      <c r="Q60" s="13">
        <v>5357.46</v>
      </c>
      <c r="R60" s="13">
        <v>5355.65</v>
      </c>
      <c r="S60" s="13">
        <v>5358.67</v>
      </c>
      <c r="T60" s="13">
        <v>5359.01</v>
      </c>
      <c r="U60" s="13">
        <v>5351.74</v>
      </c>
      <c r="V60" s="13">
        <v>5359.38</v>
      </c>
      <c r="W60" s="13">
        <v>5358.33</v>
      </c>
      <c r="X60" s="13">
        <v>5349.48</v>
      </c>
      <c r="Y60" s="13">
        <v>5340.15</v>
      </c>
      <c r="Z60" s="13">
        <v>5338.02</v>
      </c>
      <c r="AA60" s="13">
        <v>5338.5</v>
      </c>
      <c r="AB60" s="13">
        <v>5332.24</v>
      </c>
      <c r="AC60" s="13">
        <v>5330.24</v>
      </c>
      <c r="AD60" s="13">
        <v>5337.87</v>
      </c>
      <c r="AE60" s="13">
        <v>5341.27</v>
      </c>
      <c r="AF60" s="13">
        <v>5344.04</v>
      </c>
      <c r="AG60" s="13">
        <v>5348.23</v>
      </c>
      <c r="AH60" s="13">
        <v>5340.81</v>
      </c>
      <c r="AI60" s="13">
        <v>5334.04</v>
      </c>
      <c r="AJ60" s="13">
        <v>5327.83</v>
      </c>
      <c r="AK60" s="13">
        <v>5325.57</v>
      </c>
      <c r="AL60" s="13">
        <v>5321.68</v>
      </c>
      <c r="AM60" s="13">
        <v>5309.87</v>
      </c>
      <c r="AN60" s="13">
        <v>5314.26</v>
      </c>
      <c r="AO60" s="13">
        <v>5317.51</v>
      </c>
      <c r="AP60" s="13">
        <v>5312.27</v>
      </c>
      <c r="AQ60" s="13">
        <v>5310.66</v>
      </c>
      <c r="AR60" s="13">
        <v>5313.76</v>
      </c>
      <c r="AS60" s="13">
        <v>5313.27</v>
      </c>
      <c r="AT60" s="13">
        <v>5307.32</v>
      </c>
      <c r="AU60" s="13">
        <v>5306.48</v>
      </c>
      <c r="AV60" s="13">
        <v>5304.25</v>
      </c>
      <c r="AW60" s="13">
        <v>5308.19</v>
      </c>
      <c r="AX60" s="13">
        <v>5310.18</v>
      </c>
      <c r="AY60" s="13">
        <v>5308.79</v>
      </c>
      <c r="AZ60" s="13">
        <v>5308.94</v>
      </c>
      <c r="BA60" s="13">
        <v>5312.62</v>
      </c>
      <c r="BB60" s="13">
        <v>5306.83</v>
      </c>
      <c r="BC60" s="13">
        <v>5305.17</v>
      </c>
      <c r="BD60" s="13">
        <v>5301.64</v>
      </c>
      <c r="BE60" s="13">
        <v>5303.15</v>
      </c>
      <c r="BF60" s="13">
        <v>5311.32</v>
      </c>
      <c r="BG60" s="13">
        <v>5310.08</v>
      </c>
      <c r="BH60" s="13">
        <v>5313.33</v>
      </c>
      <c r="BI60" s="13">
        <v>5315.54</v>
      </c>
      <c r="BJ60" s="13">
        <v>5316.33</v>
      </c>
      <c r="BK60" s="13">
        <v>5313.62</v>
      </c>
      <c r="BL60" s="13">
        <v>5310.29</v>
      </c>
      <c r="BM60" s="13">
        <v>5312</v>
      </c>
      <c r="BN60" s="13">
        <v>5312.81</v>
      </c>
      <c r="BO60" s="13">
        <v>5314.22</v>
      </c>
      <c r="BP60" s="13">
        <v>5320.35</v>
      </c>
      <c r="BQ60" s="13">
        <v>5313.73</v>
      </c>
      <c r="BR60" s="13">
        <v>5319.89</v>
      </c>
      <c r="BS60" s="13">
        <v>5321.71</v>
      </c>
      <c r="BT60" s="13">
        <v>5318</v>
      </c>
      <c r="BU60" s="13">
        <v>5326.61</v>
      </c>
      <c r="BV60" s="13">
        <v>5318.46</v>
      </c>
      <c r="BW60" s="13">
        <v>5297.56</v>
      </c>
      <c r="BX60" s="13">
        <v>5312.74</v>
      </c>
      <c r="BY60" s="13">
        <v>5311.99</v>
      </c>
      <c r="BZ60" s="13">
        <v>5305.13</v>
      </c>
      <c r="CA60" s="13">
        <v>5304.36</v>
      </c>
      <c r="CB60" s="13">
        <v>5304.97</v>
      </c>
      <c r="CC60" s="13">
        <v>5310.96</v>
      </c>
      <c r="CD60" s="13">
        <v>5308.05</v>
      </c>
      <c r="CE60" s="13">
        <v>5309.98</v>
      </c>
      <c r="CF60" s="13">
        <v>5308.53</v>
      </c>
      <c r="CG60" s="13">
        <v>5305.03</v>
      </c>
      <c r="CH60" s="13">
        <v>5310.09</v>
      </c>
      <c r="CI60" s="13">
        <v>5309.63</v>
      </c>
      <c r="CJ60" s="13">
        <v>5307.36</v>
      </c>
      <c r="CK60" s="13">
        <v>5305.96</v>
      </c>
      <c r="CL60" s="13">
        <v>5302.45</v>
      </c>
      <c r="CM60" s="13">
        <v>5308.49</v>
      </c>
      <c r="CN60" s="13">
        <v>5311.87</v>
      </c>
      <c r="CO60" s="13">
        <v>5311.52</v>
      </c>
      <c r="CP60" s="13">
        <v>5311.86</v>
      </c>
      <c r="CQ60" s="13">
        <v>5302.19</v>
      </c>
      <c r="CR60" s="13">
        <v>5302.56</v>
      </c>
      <c r="CS60" s="13">
        <v>5306.23</v>
      </c>
      <c r="CT60" s="13">
        <v>5311.91</v>
      </c>
      <c r="CU60" s="13">
        <v>5313.33</v>
      </c>
      <c r="CV60" s="13">
        <v>5316.11</v>
      </c>
      <c r="CW60" s="13">
        <v>5305.16</v>
      </c>
      <c r="CX60" s="13">
        <v>5311.5</v>
      </c>
      <c r="CY60" s="13">
        <v>5314.27</v>
      </c>
      <c r="CZ60" s="13">
        <v>5317.65</v>
      </c>
      <c r="DA60" s="13">
        <v>5315.21</v>
      </c>
      <c r="DB60" s="13">
        <v>5309.73</v>
      </c>
      <c r="DC60" s="13">
        <v>5310.34</v>
      </c>
      <c r="DD60" s="13">
        <v>5313.3</v>
      </c>
      <c r="DE60" s="13">
        <v>5307.41</v>
      </c>
      <c r="DF60" s="13">
        <v>5308.95</v>
      </c>
      <c r="DG60" s="13">
        <v>5306.44</v>
      </c>
      <c r="DH60" s="13">
        <v>5304.14</v>
      </c>
      <c r="DI60" s="13">
        <v>5302.32</v>
      </c>
      <c r="DJ60" s="13">
        <v>5302.83</v>
      </c>
      <c r="DK60" s="13">
        <v>5302.58</v>
      </c>
      <c r="DM60" s="20"/>
    </row>
    <row r="61" spans="1:117" ht="15.75" x14ac:dyDescent="0.25">
      <c r="A61" s="11" t="s">
        <v>5</v>
      </c>
      <c r="B61" s="11" t="s">
        <v>11</v>
      </c>
      <c r="C61" s="15">
        <v>0.37847222222222227</v>
      </c>
      <c r="D61" s="15">
        <v>0.38194444444444442</v>
      </c>
      <c r="E61" s="15">
        <v>0.38541666666666669</v>
      </c>
      <c r="F61" s="15">
        <v>0.3888888888888889</v>
      </c>
      <c r="G61" s="15">
        <v>0.3923611111111111</v>
      </c>
      <c r="H61" s="15">
        <v>0.39583333333333331</v>
      </c>
      <c r="I61" s="15">
        <v>0.39930555555555558</v>
      </c>
      <c r="J61" s="15">
        <v>0.40277777777777773</v>
      </c>
      <c r="K61" s="15">
        <v>0.40625</v>
      </c>
      <c r="L61" s="15">
        <v>0.40972222222222227</v>
      </c>
      <c r="M61" s="15">
        <v>0.41319444444444442</v>
      </c>
      <c r="N61" s="15">
        <v>0.41666666666666669</v>
      </c>
      <c r="O61" s="15">
        <v>0.4201388888888889</v>
      </c>
      <c r="P61" s="15">
        <v>0.4236111111111111</v>
      </c>
      <c r="Q61" s="15">
        <v>0.42708333333333331</v>
      </c>
      <c r="R61" s="15">
        <v>0.43055555555555558</v>
      </c>
      <c r="S61" s="15">
        <v>0.43402777777777773</v>
      </c>
      <c r="T61" s="15">
        <v>0.4375</v>
      </c>
      <c r="U61" s="15">
        <v>0.44097222222222227</v>
      </c>
      <c r="V61" s="15">
        <v>0.44444444444444442</v>
      </c>
      <c r="W61" s="15">
        <v>0.44791666666666669</v>
      </c>
      <c r="X61" s="15">
        <v>0.4513888888888889</v>
      </c>
      <c r="Y61" s="15">
        <v>0.4548611111111111</v>
      </c>
      <c r="Z61" s="15">
        <v>0.45833333333333331</v>
      </c>
      <c r="AA61" s="15">
        <v>0.46180555555555558</v>
      </c>
      <c r="AB61" s="15">
        <v>0.46527777777777773</v>
      </c>
      <c r="AC61" s="15">
        <v>0.46875</v>
      </c>
      <c r="AD61" s="15">
        <v>0.47222222222222227</v>
      </c>
      <c r="AE61" s="15">
        <v>0.47569444444444442</v>
      </c>
      <c r="AF61" s="15">
        <v>0.47916666666666669</v>
      </c>
      <c r="AG61" s="15">
        <v>0.4826388888888889</v>
      </c>
      <c r="AH61" s="15">
        <v>0.4861111111111111</v>
      </c>
      <c r="AI61" s="15">
        <v>0.48958333333333331</v>
      </c>
      <c r="AJ61" s="15">
        <v>0.49305555555555558</v>
      </c>
      <c r="AK61" s="15">
        <v>0.49652777777777773</v>
      </c>
      <c r="AL61" s="15">
        <v>0.5</v>
      </c>
      <c r="AM61" s="15">
        <v>0.50347222222222221</v>
      </c>
      <c r="AN61" s="15">
        <v>0.50694444444444442</v>
      </c>
      <c r="AO61" s="15">
        <v>0.51041666666666663</v>
      </c>
      <c r="AP61" s="15">
        <v>0.51388888888888895</v>
      </c>
      <c r="AQ61" s="15">
        <v>0.51736111111111105</v>
      </c>
      <c r="AR61" s="15">
        <v>0.52083333333333337</v>
      </c>
      <c r="AS61" s="15">
        <v>0.52430555555555558</v>
      </c>
      <c r="AT61" s="15">
        <v>0.52777777777777779</v>
      </c>
      <c r="AU61" s="15">
        <v>0.53125</v>
      </c>
      <c r="AV61" s="15">
        <v>0.53472222222222221</v>
      </c>
      <c r="AW61" s="15">
        <v>0.53819444444444442</v>
      </c>
      <c r="AX61" s="15">
        <v>0.54166666666666663</v>
      </c>
      <c r="AY61" s="15">
        <v>0.54513888888888895</v>
      </c>
      <c r="AZ61" s="15">
        <v>0.54861111111111105</v>
      </c>
      <c r="BA61" s="15">
        <v>0.55208333333333337</v>
      </c>
      <c r="BB61" s="15">
        <v>0.55555555555555558</v>
      </c>
      <c r="BC61" s="15">
        <v>0.55902777777777779</v>
      </c>
      <c r="BD61" s="15">
        <v>0.5625</v>
      </c>
      <c r="BE61" s="15">
        <v>0.56597222222222221</v>
      </c>
      <c r="BF61" s="15">
        <v>0.56944444444444442</v>
      </c>
      <c r="BG61" s="15">
        <v>0.57291666666666663</v>
      </c>
      <c r="BH61" s="15">
        <v>0.57638888888888895</v>
      </c>
      <c r="BI61" s="15">
        <v>0.57986111111111105</v>
      </c>
      <c r="BJ61" s="15">
        <v>0.58333333333333337</v>
      </c>
      <c r="BK61" s="15">
        <v>0.58680555555555558</v>
      </c>
      <c r="BL61" s="15">
        <v>0.59027777777777779</v>
      </c>
      <c r="BM61" s="15">
        <v>0.59375</v>
      </c>
      <c r="BN61" s="15">
        <v>0.59722222222222221</v>
      </c>
      <c r="BO61" s="15">
        <v>0.60069444444444442</v>
      </c>
      <c r="BP61" s="15">
        <v>0.60416666666666663</v>
      </c>
      <c r="BQ61" s="15">
        <v>0.60763888888888895</v>
      </c>
      <c r="BR61" s="15">
        <v>0.61111111111111105</v>
      </c>
      <c r="BS61" s="15">
        <v>0.61458333333333337</v>
      </c>
      <c r="BT61" s="15">
        <v>0.61805555555555558</v>
      </c>
      <c r="BU61" s="15">
        <v>0.62152777777777779</v>
      </c>
      <c r="BV61" s="15">
        <v>0.625</v>
      </c>
      <c r="BW61" s="15">
        <v>0.62847222222222221</v>
      </c>
      <c r="BX61" s="15">
        <v>0.63194444444444442</v>
      </c>
      <c r="BY61" s="15">
        <v>0.63541666666666663</v>
      </c>
      <c r="BZ61" s="15">
        <v>0.63888888888888895</v>
      </c>
      <c r="CA61" s="15">
        <v>0.64236111111111105</v>
      </c>
      <c r="CB61" s="15">
        <v>0.64583333333333337</v>
      </c>
      <c r="CC61" s="15">
        <v>0.64930555555555558</v>
      </c>
      <c r="CD61" s="15">
        <v>0.65277777777777779</v>
      </c>
      <c r="CE61" s="15">
        <v>0.65625</v>
      </c>
      <c r="CF61" s="15">
        <v>0.65972222222222221</v>
      </c>
      <c r="CG61" s="15">
        <v>0.66319444444444442</v>
      </c>
      <c r="CH61" s="15">
        <v>0.66666666666666663</v>
      </c>
      <c r="CI61" s="15">
        <v>0.67013888888888884</v>
      </c>
      <c r="CJ61" s="15">
        <v>0.67361111111111116</v>
      </c>
      <c r="CK61" s="15">
        <v>0.67708333333333337</v>
      </c>
      <c r="CL61" s="15">
        <v>0.68055555555555547</v>
      </c>
      <c r="CM61" s="15">
        <v>0.68402777777777779</v>
      </c>
      <c r="CN61" s="15">
        <v>0.6875</v>
      </c>
      <c r="CO61" s="15">
        <v>0.69097222222222221</v>
      </c>
      <c r="CP61" s="15">
        <v>0.69444444444444453</v>
      </c>
      <c r="CQ61" s="15">
        <v>0.69791666666666663</v>
      </c>
      <c r="CR61" s="15">
        <v>0.70138888888888884</v>
      </c>
      <c r="CS61" s="15">
        <v>0.70486111111111116</v>
      </c>
      <c r="CT61" s="15">
        <v>0.70833333333333337</v>
      </c>
      <c r="CU61" s="15">
        <v>0.71180555555555547</v>
      </c>
      <c r="CV61" s="15">
        <v>0.71527777777777779</v>
      </c>
      <c r="CW61" s="15">
        <v>0.71875</v>
      </c>
      <c r="CX61" s="15">
        <v>0.72222222222222221</v>
      </c>
      <c r="CY61" s="15">
        <v>0.72569444444444453</v>
      </c>
      <c r="CZ61" s="15">
        <v>0.72916666666666663</v>
      </c>
      <c r="DA61" s="15">
        <v>0.73263888888888884</v>
      </c>
      <c r="DB61" s="15">
        <v>0.73611111111111116</v>
      </c>
      <c r="DC61" s="15">
        <v>0.73958333333333337</v>
      </c>
      <c r="DD61" s="15">
        <v>0.74305555555555547</v>
      </c>
      <c r="DE61" s="15">
        <v>0.74652777777777779</v>
      </c>
      <c r="DF61" s="15">
        <v>0.75</v>
      </c>
      <c r="DG61" s="15">
        <v>0.75347222222222221</v>
      </c>
      <c r="DH61" s="15">
        <v>0.75694444444444453</v>
      </c>
      <c r="DI61" s="15">
        <v>0.76041666666666663</v>
      </c>
      <c r="DJ61" s="15">
        <v>0.76388888888888884</v>
      </c>
      <c r="DK61" s="15">
        <v>0.76736111111111116</v>
      </c>
      <c r="DM61" s="20"/>
    </row>
    <row r="62" spans="1:117" ht="15.75" x14ac:dyDescent="0.25">
      <c r="A62" s="14">
        <v>44155</v>
      </c>
      <c r="B62" s="12" t="s">
        <v>6</v>
      </c>
      <c r="C62" s="13">
        <v>5309</v>
      </c>
      <c r="D62" s="13">
        <v>5314</v>
      </c>
      <c r="E62" s="13">
        <v>5314.81</v>
      </c>
      <c r="F62" s="13">
        <v>5322.88</v>
      </c>
      <c r="G62" s="13">
        <v>5324.2</v>
      </c>
      <c r="H62" s="13">
        <v>5322.69</v>
      </c>
      <c r="I62" s="13">
        <v>5328.23</v>
      </c>
      <c r="J62" s="13">
        <v>5322.79</v>
      </c>
      <c r="K62" s="13">
        <v>5333.78</v>
      </c>
      <c r="L62" s="13">
        <v>5339.54</v>
      </c>
      <c r="M62" s="13">
        <v>5343.61</v>
      </c>
      <c r="N62" s="13">
        <v>5343.25</v>
      </c>
      <c r="O62" s="13">
        <v>5345.1</v>
      </c>
      <c r="P62" s="13">
        <v>5337.88</v>
      </c>
      <c r="Q62" s="13">
        <v>5348.11</v>
      </c>
      <c r="R62" s="13">
        <v>5347.32</v>
      </c>
      <c r="S62" s="13">
        <v>5346.68</v>
      </c>
      <c r="T62" s="13">
        <v>5351.27</v>
      </c>
      <c r="U62" s="13">
        <v>5343.97</v>
      </c>
      <c r="V62" s="13">
        <v>5340.38</v>
      </c>
      <c r="W62" s="13">
        <v>5344.1</v>
      </c>
      <c r="X62" s="13">
        <v>5354.64</v>
      </c>
      <c r="Y62" s="13">
        <v>5356.25</v>
      </c>
      <c r="Z62" s="13">
        <v>5355.27</v>
      </c>
      <c r="AA62" s="13">
        <v>5351.91</v>
      </c>
      <c r="AB62" s="13">
        <v>5350.74</v>
      </c>
      <c r="AC62" s="13">
        <v>5352.82</v>
      </c>
      <c r="AD62" s="13">
        <v>5352.13</v>
      </c>
      <c r="AE62" s="13">
        <v>5353.58</v>
      </c>
      <c r="AF62" s="13">
        <v>5354.74</v>
      </c>
      <c r="AG62" s="13">
        <v>5359.38</v>
      </c>
      <c r="AH62" s="13">
        <v>5356.78</v>
      </c>
      <c r="AI62" s="13">
        <v>5361.21</v>
      </c>
      <c r="AJ62" s="13">
        <v>5359.82</v>
      </c>
      <c r="AK62" s="13">
        <v>5366.99</v>
      </c>
      <c r="AL62" s="13">
        <v>5368.18</v>
      </c>
      <c r="AM62" s="13">
        <v>5371.64</v>
      </c>
      <c r="AN62" s="13">
        <v>5371.15</v>
      </c>
      <c r="AO62" s="13">
        <v>5378.47</v>
      </c>
      <c r="AP62" s="13">
        <v>5382.81</v>
      </c>
      <c r="AQ62" s="13">
        <v>5381.74</v>
      </c>
      <c r="AR62" s="13">
        <v>5381.06</v>
      </c>
      <c r="AS62" s="13">
        <v>5377.91</v>
      </c>
      <c r="AT62" s="13">
        <v>5374.94</v>
      </c>
      <c r="AU62" s="13">
        <v>5380.05</v>
      </c>
      <c r="AV62" s="13">
        <v>5378.99</v>
      </c>
      <c r="AW62" s="13">
        <v>5381.63</v>
      </c>
      <c r="AX62" s="13">
        <v>5383.75</v>
      </c>
      <c r="AY62" s="13">
        <v>5396.7</v>
      </c>
      <c r="AZ62" s="13">
        <v>5395</v>
      </c>
      <c r="BA62" s="13">
        <v>5393.22</v>
      </c>
      <c r="BB62" s="13">
        <v>5391.86</v>
      </c>
      <c r="BC62" s="13">
        <v>5389.23</v>
      </c>
      <c r="BD62" s="13">
        <v>5392.31</v>
      </c>
      <c r="BE62" s="13">
        <v>5398.04</v>
      </c>
      <c r="BF62" s="13">
        <v>5396.87</v>
      </c>
      <c r="BG62" s="13">
        <v>5390.14</v>
      </c>
      <c r="BH62" s="13">
        <v>5391.12</v>
      </c>
      <c r="BI62" s="13">
        <v>5386.14</v>
      </c>
      <c r="BJ62" s="13">
        <v>5385.21</v>
      </c>
      <c r="BK62" s="13">
        <v>5377.23</v>
      </c>
      <c r="BL62" s="13">
        <v>5376.79</v>
      </c>
      <c r="BM62" s="13">
        <v>5379.66</v>
      </c>
      <c r="BN62" s="13">
        <v>5381.8</v>
      </c>
      <c r="BO62" s="13">
        <v>5384.67</v>
      </c>
      <c r="BP62" s="13">
        <v>5384.27</v>
      </c>
      <c r="BQ62" s="13">
        <v>5386.69</v>
      </c>
      <c r="BR62" s="13">
        <v>5384.79</v>
      </c>
      <c r="BS62" s="13">
        <v>5385.78</v>
      </c>
      <c r="BT62" s="13">
        <v>5393.17</v>
      </c>
      <c r="BU62" s="13">
        <v>5387.91</v>
      </c>
      <c r="BV62" s="13">
        <v>5386.94</v>
      </c>
      <c r="BW62" s="13">
        <v>5388.89</v>
      </c>
      <c r="BX62" s="13">
        <v>5386.1</v>
      </c>
      <c r="BY62" s="13">
        <v>5390</v>
      </c>
      <c r="BZ62" s="13">
        <v>5385.54</v>
      </c>
      <c r="CA62" s="13">
        <v>5384.56</v>
      </c>
      <c r="CB62" s="13">
        <v>5387.65</v>
      </c>
      <c r="CC62" s="13">
        <v>5385.47</v>
      </c>
      <c r="CD62" s="13">
        <v>5387.53</v>
      </c>
      <c r="CE62" s="13">
        <v>5391.31</v>
      </c>
      <c r="CF62" s="13">
        <v>5392.98</v>
      </c>
      <c r="CG62" s="13">
        <v>5392.37</v>
      </c>
      <c r="CH62" s="13">
        <v>5392.3</v>
      </c>
      <c r="CI62" s="13">
        <v>5390.91</v>
      </c>
      <c r="CJ62" s="13">
        <v>5390.44</v>
      </c>
      <c r="CK62" s="13">
        <v>5388.45</v>
      </c>
      <c r="CL62" s="13">
        <v>5386.38</v>
      </c>
      <c r="CM62" s="13">
        <v>5386.14</v>
      </c>
      <c r="CN62" s="13">
        <v>5384.12</v>
      </c>
      <c r="CO62" s="13">
        <v>5385.08</v>
      </c>
      <c r="CP62" s="13">
        <v>5386.79</v>
      </c>
      <c r="CQ62" s="13">
        <v>5392.28</v>
      </c>
      <c r="CR62" s="13">
        <v>5393.82</v>
      </c>
      <c r="CS62" s="13">
        <v>5394.19</v>
      </c>
      <c r="CT62" s="13">
        <v>5394.17</v>
      </c>
      <c r="CU62" s="13">
        <v>5393.26</v>
      </c>
      <c r="CV62" s="13">
        <v>5394.22</v>
      </c>
      <c r="CW62" s="13">
        <v>5392.28</v>
      </c>
      <c r="CX62" s="13">
        <v>5393.8</v>
      </c>
      <c r="CY62" s="13">
        <v>5394.45</v>
      </c>
      <c r="CZ62" s="13">
        <v>5401.9</v>
      </c>
      <c r="DA62" s="13">
        <v>5401.47</v>
      </c>
      <c r="DB62" s="13">
        <v>5399.5</v>
      </c>
      <c r="DC62" s="13">
        <v>5398.83</v>
      </c>
      <c r="DD62" s="13">
        <v>5397.68</v>
      </c>
      <c r="DE62" s="13">
        <v>5400.42</v>
      </c>
      <c r="DF62" s="13">
        <v>5401.92</v>
      </c>
      <c r="DG62" s="13">
        <v>5402.78</v>
      </c>
      <c r="DH62" s="13">
        <v>5397.17</v>
      </c>
      <c r="DI62" s="13">
        <v>5395.59</v>
      </c>
      <c r="DJ62" s="13">
        <v>5395.2</v>
      </c>
      <c r="DK62" s="13">
        <v>5398.61</v>
      </c>
      <c r="DM62" s="20"/>
    </row>
    <row r="63" spans="1:117" ht="15.75" x14ac:dyDescent="0.25">
      <c r="A63" s="14" t="s">
        <v>12</v>
      </c>
      <c r="B63" s="12" t="s">
        <v>10</v>
      </c>
      <c r="C63" s="13">
        <v>5306.64</v>
      </c>
      <c r="D63" s="13">
        <v>5311.85</v>
      </c>
      <c r="E63" s="13">
        <v>5314.81</v>
      </c>
      <c r="F63" s="13">
        <v>5322.67</v>
      </c>
      <c r="G63" s="13">
        <v>5317.05</v>
      </c>
      <c r="H63" s="13">
        <v>5320.79</v>
      </c>
      <c r="I63" s="13">
        <v>5311.39</v>
      </c>
      <c r="J63" s="13">
        <v>5322.78</v>
      </c>
      <c r="K63" s="13">
        <v>5332.78</v>
      </c>
      <c r="L63" s="13">
        <v>5338.25</v>
      </c>
      <c r="M63" s="13">
        <v>5340.29</v>
      </c>
      <c r="N63" s="13">
        <v>5339.66</v>
      </c>
      <c r="O63" s="13">
        <v>5336.91</v>
      </c>
      <c r="P63" s="13">
        <v>5337.58</v>
      </c>
      <c r="Q63" s="13">
        <v>5348.11</v>
      </c>
      <c r="R63" s="13">
        <v>5343.37</v>
      </c>
      <c r="S63" s="13">
        <v>5343.37</v>
      </c>
      <c r="T63" s="13">
        <v>5343.97</v>
      </c>
      <c r="U63" s="13">
        <v>5338.09</v>
      </c>
      <c r="V63" s="13">
        <v>5338.39</v>
      </c>
      <c r="W63" s="13">
        <v>5343.95</v>
      </c>
      <c r="X63" s="13">
        <v>5353.71</v>
      </c>
      <c r="Y63" s="13">
        <v>5352.88</v>
      </c>
      <c r="Z63" s="13">
        <v>5354.17</v>
      </c>
      <c r="AA63" s="13">
        <v>5349.21</v>
      </c>
      <c r="AB63" s="13">
        <v>5347.14</v>
      </c>
      <c r="AC63" s="13">
        <v>5349.8</v>
      </c>
      <c r="AD63" s="13">
        <v>5349.71</v>
      </c>
      <c r="AE63" s="13">
        <v>5352.35</v>
      </c>
      <c r="AF63" s="13">
        <v>5351.72</v>
      </c>
      <c r="AG63" s="13">
        <v>5348.24</v>
      </c>
      <c r="AH63" s="13">
        <v>5356.1</v>
      </c>
      <c r="AI63" s="13">
        <v>5353.13</v>
      </c>
      <c r="AJ63" s="13">
        <v>5358.19</v>
      </c>
      <c r="AK63" s="13">
        <v>5365.81</v>
      </c>
      <c r="AL63" s="13">
        <v>5367.78</v>
      </c>
      <c r="AM63" s="13">
        <v>5369.82</v>
      </c>
      <c r="AN63" s="13">
        <v>5370.74</v>
      </c>
      <c r="AO63" s="13">
        <v>5378.47</v>
      </c>
      <c r="AP63" s="13">
        <v>5381.09</v>
      </c>
      <c r="AQ63" s="13">
        <v>5378.61</v>
      </c>
      <c r="AR63" s="13">
        <v>5376.03</v>
      </c>
      <c r="AS63" s="13">
        <v>5373.99</v>
      </c>
      <c r="AT63" s="13">
        <v>5371.32</v>
      </c>
      <c r="AU63" s="13">
        <v>5375.26</v>
      </c>
      <c r="AV63" s="13">
        <v>5378.1</v>
      </c>
      <c r="AW63" s="13">
        <v>5381.4</v>
      </c>
      <c r="AX63" s="13">
        <v>5381.63</v>
      </c>
      <c r="AY63" s="13">
        <v>5394.46</v>
      </c>
      <c r="AZ63" s="13">
        <v>5390.92</v>
      </c>
      <c r="BA63" s="13">
        <v>5391.93</v>
      </c>
      <c r="BB63" s="13">
        <v>5389.1</v>
      </c>
      <c r="BC63" s="13">
        <v>5386.91</v>
      </c>
      <c r="BD63" s="13">
        <v>5391.5</v>
      </c>
      <c r="BE63" s="13">
        <v>5395.31</v>
      </c>
      <c r="BF63" s="13">
        <v>5389.38</v>
      </c>
      <c r="BG63" s="13">
        <v>5389.49</v>
      </c>
      <c r="BH63" s="13">
        <v>5385.66</v>
      </c>
      <c r="BI63" s="13">
        <v>5384.51</v>
      </c>
      <c r="BJ63" s="13">
        <v>5374.82</v>
      </c>
      <c r="BK63" s="13">
        <v>5371.54</v>
      </c>
      <c r="BL63" s="13">
        <v>5375.25</v>
      </c>
      <c r="BM63" s="13">
        <v>5379.66</v>
      </c>
      <c r="BN63" s="13">
        <v>5380.28</v>
      </c>
      <c r="BO63" s="13">
        <v>5382.12</v>
      </c>
      <c r="BP63" s="13">
        <v>5383.31</v>
      </c>
      <c r="BQ63" s="13">
        <v>5383.23</v>
      </c>
      <c r="BR63" s="13">
        <v>5381.2</v>
      </c>
      <c r="BS63" s="13">
        <v>5384.38</v>
      </c>
      <c r="BT63" s="13">
        <v>5389.18</v>
      </c>
      <c r="BU63" s="13">
        <v>5384.5</v>
      </c>
      <c r="BV63" s="13">
        <v>5385.4</v>
      </c>
      <c r="BW63" s="13">
        <v>5385.5</v>
      </c>
      <c r="BX63" s="13">
        <v>5382.33</v>
      </c>
      <c r="BY63" s="13">
        <v>5385.57</v>
      </c>
      <c r="BZ63" s="13">
        <v>5381.39</v>
      </c>
      <c r="CA63" s="13">
        <v>5384.56</v>
      </c>
      <c r="CB63" s="13">
        <v>5383.08</v>
      </c>
      <c r="CC63" s="13">
        <v>5384.22</v>
      </c>
      <c r="CD63" s="13">
        <v>5387.53</v>
      </c>
      <c r="CE63" s="13">
        <v>5388.34</v>
      </c>
      <c r="CF63" s="13">
        <v>5392.37</v>
      </c>
      <c r="CG63" s="13">
        <v>5387.51</v>
      </c>
      <c r="CH63" s="13">
        <v>5391.39</v>
      </c>
      <c r="CI63" s="13">
        <v>5390.39</v>
      </c>
      <c r="CJ63" s="13">
        <v>5386.81</v>
      </c>
      <c r="CK63" s="13">
        <v>5385.05</v>
      </c>
      <c r="CL63" s="13">
        <v>5386.36</v>
      </c>
      <c r="CM63" s="13">
        <v>5385.8</v>
      </c>
      <c r="CN63" s="13">
        <v>5382</v>
      </c>
      <c r="CO63" s="13">
        <v>5385.07</v>
      </c>
      <c r="CP63" s="13">
        <v>5385.41</v>
      </c>
      <c r="CQ63" s="13">
        <v>5392.28</v>
      </c>
      <c r="CR63" s="13">
        <v>5393.82</v>
      </c>
      <c r="CS63" s="13">
        <v>5392.88</v>
      </c>
      <c r="CT63" s="13">
        <v>5393.57</v>
      </c>
      <c r="CU63" s="13">
        <v>5391.37</v>
      </c>
      <c r="CV63" s="13">
        <v>5392.84</v>
      </c>
      <c r="CW63" s="13">
        <v>5390.35</v>
      </c>
      <c r="CX63" s="13">
        <v>5392.86</v>
      </c>
      <c r="CY63" s="13">
        <v>5394.45</v>
      </c>
      <c r="CZ63" s="13">
        <v>5401.9</v>
      </c>
      <c r="DA63" s="13">
        <v>5398.43</v>
      </c>
      <c r="DB63" s="13">
        <v>5395.86</v>
      </c>
      <c r="DC63" s="13">
        <v>5396.77</v>
      </c>
      <c r="DD63" s="13">
        <v>5397.24</v>
      </c>
      <c r="DE63" s="13">
        <v>5399.95</v>
      </c>
      <c r="DF63" s="13">
        <v>5397.17</v>
      </c>
      <c r="DG63" s="13">
        <v>5401.17</v>
      </c>
      <c r="DH63" s="13">
        <v>5395.22</v>
      </c>
      <c r="DI63" s="13">
        <v>5394.2</v>
      </c>
      <c r="DJ63" s="13">
        <v>5395.2</v>
      </c>
      <c r="DK63" s="13">
        <v>5391.78</v>
      </c>
      <c r="DM63" s="20"/>
    </row>
    <row r="64" spans="1:117" ht="15.75" x14ac:dyDescent="0.25">
      <c r="A64" s="14" t="s">
        <v>12</v>
      </c>
      <c r="B64" s="12" t="s">
        <v>9</v>
      </c>
      <c r="C64" s="13">
        <v>5298.23</v>
      </c>
      <c r="D64" s="13">
        <v>5302.83</v>
      </c>
      <c r="E64" s="13">
        <v>5306.77</v>
      </c>
      <c r="F64" s="13">
        <v>5309.29</v>
      </c>
      <c r="G64" s="13">
        <v>5309.62</v>
      </c>
      <c r="H64" s="13">
        <v>5312.79</v>
      </c>
      <c r="I64" s="13">
        <v>5305.42</v>
      </c>
      <c r="J64" s="13">
        <v>5314.82</v>
      </c>
      <c r="K64" s="13">
        <v>5325.07</v>
      </c>
      <c r="L64" s="13">
        <v>5329.9</v>
      </c>
      <c r="M64" s="13">
        <v>5331.56</v>
      </c>
      <c r="N64" s="13">
        <v>5332.37</v>
      </c>
      <c r="O64" s="13">
        <v>5328.89</v>
      </c>
      <c r="P64" s="13">
        <v>5328.33</v>
      </c>
      <c r="Q64" s="13">
        <v>5339.26</v>
      </c>
      <c r="R64" s="13">
        <v>5335.54</v>
      </c>
      <c r="S64" s="13">
        <v>5335.43</v>
      </c>
      <c r="T64" s="13">
        <v>5327.33</v>
      </c>
      <c r="U64" s="13">
        <v>5329.99</v>
      </c>
      <c r="V64" s="13">
        <v>5330.72</v>
      </c>
      <c r="W64" s="13">
        <v>5335.69</v>
      </c>
      <c r="X64" s="13">
        <v>5345.32</v>
      </c>
      <c r="Y64" s="13">
        <v>5344.45</v>
      </c>
      <c r="Z64" s="13">
        <v>5344.64</v>
      </c>
      <c r="AA64" s="13">
        <v>5340.59</v>
      </c>
      <c r="AB64" s="13">
        <v>5338.57</v>
      </c>
      <c r="AC64" s="13">
        <v>5340.85</v>
      </c>
      <c r="AD64" s="13">
        <v>5341.52</v>
      </c>
      <c r="AE64" s="13">
        <v>5343.45</v>
      </c>
      <c r="AF64" s="13">
        <v>5343.06</v>
      </c>
      <c r="AG64" s="13">
        <v>5340.14</v>
      </c>
      <c r="AH64" s="13">
        <v>5347.33</v>
      </c>
      <c r="AI64" s="13">
        <v>5345.03</v>
      </c>
      <c r="AJ64" s="13">
        <v>5349.25</v>
      </c>
      <c r="AK64" s="13">
        <v>5350.03</v>
      </c>
      <c r="AL64" s="13">
        <v>5357.96</v>
      </c>
      <c r="AM64" s="13">
        <v>5360.86</v>
      </c>
      <c r="AN64" s="13">
        <v>5361.96</v>
      </c>
      <c r="AO64" s="13">
        <v>5369.66</v>
      </c>
      <c r="AP64" s="13">
        <v>5371.41</v>
      </c>
      <c r="AQ64" s="13">
        <v>5364.07</v>
      </c>
      <c r="AR64" s="13">
        <v>5358.3</v>
      </c>
      <c r="AS64" s="13">
        <v>5358.02</v>
      </c>
      <c r="AT64" s="13">
        <v>5358.24</v>
      </c>
      <c r="AU64" s="13">
        <v>5364.88</v>
      </c>
      <c r="AV64" s="13">
        <v>5367.78</v>
      </c>
      <c r="AW64" s="13">
        <v>5370.68</v>
      </c>
      <c r="AX64" s="13">
        <v>5370.66</v>
      </c>
      <c r="AY64" s="13">
        <v>5341.93</v>
      </c>
      <c r="AZ64" s="13">
        <v>5379.91</v>
      </c>
      <c r="BA64" s="13">
        <v>5381.29</v>
      </c>
      <c r="BB64" s="13">
        <v>5378.61</v>
      </c>
      <c r="BC64" s="13">
        <v>5376.89</v>
      </c>
      <c r="BD64" s="13">
        <v>5381.04</v>
      </c>
      <c r="BE64" s="13">
        <v>5385.49</v>
      </c>
      <c r="BF64" s="13">
        <v>5379.19</v>
      </c>
      <c r="BG64" s="13">
        <v>5378.68</v>
      </c>
      <c r="BH64" s="13">
        <v>5374.69</v>
      </c>
      <c r="BI64" s="13">
        <v>5374.47</v>
      </c>
      <c r="BJ64" s="13">
        <v>5365.97</v>
      </c>
      <c r="BK64" s="13">
        <v>5362.14</v>
      </c>
      <c r="BL64" s="13">
        <v>5364.8</v>
      </c>
      <c r="BM64" s="13">
        <v>5370.13</v>
      </c>
      <c r="BN64" s="13">
        <v>5370.73</v>
      </c>
      <c r="BO64" s="13">
        <v>5371.72</v>
      </c>
      <c r="BP64" s="13">
        <v>5373.59</v>
      </c>
      <c r="BQ64" s="13">
        <v>5373.41</v>
      </c>
      <c r="BR64" s="13">
        <v>5371.53</v>
      </c>
      <c r="BS64" s="13">
        <v>5373.94</v>
      </c>
      <c r="BT64" s="13">
        <v>5379.42</v>
      </c>
      <c r="BU64" s="13">
        <v>5373.83</v>
      </c>
      <c r="BV64" s="13">
        <v>5375.29</v>
      </c>
      <c r="BW64" s="13">
        <v>5369.72</v>
      </c>
      <c r="BX64" s="13">
        <v>5372.07</v>
      </c>
      <c r="BY64" s="13">
        <v>5374.78</v>
      </c>
      <c r="BZ64" s="13">
        <v>5371.08</v>
      </c>
      <c r="CA64" s="13">
        <v>5373.21</v>
      </c>
      <c r="CB64" s="13">
        <v>5372.85</v>
      </c>
      <c r="CC64" s="13">
        <v>5373.92</v>
      </c>
      <c r="CD64" s="13">
        <v>5377.02</v>
      </c>
      <c r="CE64" s="13">
        <v>5364.66</v>
      </c>
      <c r="CF64" s="13">
        <v>5382.22</v>
      </c>
      <c r="CG64" s="13">
        <v>5377.93</v>
      </c>
      <c r="CH64" s="13">
        <v>5381.33</v>
      </c>
      <c r="CI64" s="13">
        <v>5380.01</v>
      </c>
      <c r="CJ64" s="13">
        <v>5377.57</v>
      </c>
      <c r="CK64" s="13">
        <v>5374.8</v>
      </c>
      <c r="CL64" s="13">
        <v>5367.98</v>
      </c>
      <c r="CM64" s="13">
        <v>5375.64</v>
      </c>
      <c r="CN64" s="13">
        <v>5366.61</v>
      </c>
      <c r="CO64" s="13">
        <v>5374.71</v>
      </c>
      <c r="CP64" s="13">
        <v>5374.7</v>
      </c>
      <c r="CQ64" s="13">
        <v>5380.99</v>
      </c>
      <c r="CR64" s="13">
        <v>5383.59</v>
      </c>
      <c r="CS64" s="13">
        <v>5382.61</v>
      </c>
      <c r="CT64" s="13">
        <v>5383.35</v>
      </c>
      <c r="CU64" s="13">
        <v>5381.31</v>
      </c>
      <c r="CV64" s="13">
        <v>5382.72</v>
      </c>
      <c r="CW64" s="13">
        <v>5380.11</v>
      </c>
      <c r="CX64" s="13">
        <v>5376.55</v>
      </c>
      <c r="CY64" s="13">
        <v>5381.15</v>
      </c>
      <c r="CZ64" s="13">
        <v>5391.1</v>
      </c>
      <c r="DA64" s="13">
        <v>5387.6</v>
      </c>
      <c r="DB64" s="13">
        <v>5385.29</v>
      </c>
      <c r="DC64" s="13">
        <v>5385.31</v>
      </c>
      <c r="DD64" s="13">
        <v>5384.96</v>
      </c>
      <c r="DE64" s="13">
        <v>5389.71</v>
      </c>
      <c r="DF64" s="13">
        <v>5386.07</v>
      </c>
      <c r="DG64" s="13">
        <v>5389.91</v>
      </c>
      <c r="DH64" s="13">
        <v>5384.74</v>
      </c>
      <c r="DI64" s="13">
        <v>5382.85</v>
      </c>
      <c r="DJ64" s="13">
        <v>5384.18</v>
      </c>
      <c r="DK64" s="13">
        <v>5377.89</v>
      </c>
      <c r="DM64" s="20"/>
    </row>
    <row r="65" spans="1:117" ht="15.75" x14ac:dyDescent="0.25">
      <c r="A65" s="14" t="s">
        <v>12</v>
      </c>
      <c r="B65" s="12" t="s">
        <v>7</v>
      </c>
      <c r="C65" s="13">
        <v>5273.67</v>
      </c>
      <c r="D65" s="13">
        <v>5273.33</v>
      </c>
      <c r="E65" s="13">
        <v>5286.6</v>
      </c>
      <c r="F65" s="13">
        <v>5299.57</v>
      </c>
      <c r="G65" s="13">
        <v>5304.85</v>
      </c>
      <c r="H65" s="13">
        <v>5306.11</v>
      </c>
      <c r="I65" s="13">
        <v>5280.38</v>
      </c>
      <c r="J65" s="13">
        <v>5301.04</v>
      </c>
      <c r="K65" s="13">
        <v>5279</v>
      </c>
      <c r="L65" s="13">
        <v>5278.35</v>
      </c>
      <c r="M65" s="13">
        <v>5328.81</v>
      </c>
      <c r="N65" s="13">
        <v>5323.17</v>
      </c>
      <c r="O65" s="13">
        <v>5305.58</v>
      </c>
      <c r="P65" s="13">
        <v>5313.22</v>
      </c>
      <c r="Q65" s="13">
        <v>5325.56</v>
      </c>
      <c r="R65" s="13">
        <v>5276.18</v>
      </c>
      <c r="S65" s="13">
        <v>5325.69</v>
      </c>
      <c r="T65" s="13">
        <v>5319.01</v>
      </c>
      <c r="U65" s="13">
        <v>5321.94</v>
      </c>
      <c r="V65" s="13">
        <v>5315.36</v>
      </c>
      <c r="W65" s="13">
        <v>5325.92</v>
      </c>
      <c r="X65" s="13">
        <v>5335.79</v>
      </c>
      <c r="Y65" s="13">
        <v>5322.92</v>
      </c>
      <c r="Z65" s="13">
        <v>5330.76</v>
      </c>
      <c r="AA65" s="13">
        <v>5329.9</v>
      </c>
      <c r="AB65" s="13">
        <v>5318.88</v>
      </c>
      <c r="AC65" s="13">
        <v>5331.86</v>
      </c>
      <c r="AD65" s="13">
        <v>5321.93</v>
      </c>
      <c r="AE65" s="13">
        <v>5329.85</v>
      </c>
      <c r="AF65" s="13">
        <v>5331.02</v>
      </c>
      <c r="AG65" s="13">
        <v>5323.7</v>
      </c>
      <c r="AH65" s="13">
        <v>5334.92</v>
      </c>
      <c r="AI65" s="13">
        <v>5328.68</v>
      </c>
      <c r="AJ65" s="13">
        <v>5335.73</v>
      </c>
      <c r="AK65" s="13">
        <v>5330.27</v>
      </c>
      <c r="AL65" s="13">
        <v>5339.41</v>
      </c>
      <c r="AM65" s="13">
        <v>5353.98</v>
      </c>
      <c r="AN65" s="13">
        <v>5353.66</v>
      </c>
      <c r="AO65" s="13">
        <v>5358.81</v>
      </c>
      <c r="AP65" s="13">
        <v>5365.7</v>
      </c>
      <c r="AQ65" s="13">
        <v>5359.73</v>
      </c>
      <c r="AR65" s="13">
        <v>5358.3</v>
      </c>
      <c r="AS65" s="13">
        <v>5358.02</v>
      </c>
      <c r="AT65" s="13">
        <v>5347.68</v>
      </c>
      <c r="AU65" s="13">
        <v>5356.13</v>
      </c>
      <c r="AV65" s="13">
        <v>5348.32</v>
      </c>
      <c r="AW65" s="13">
        <v>5360.78</v>
      </c>
      <c r="AX65" s="13">
        <v>5364.94</v>
      </c>
      <c r="AY65" s="13">
        <v>5341.93</v>
      </c>
      <c r="AZ65" s="13">
        <v>5379.02</v>
      </c>
      <c r="BA65" s="13">
        <v>5372.75</v>
      </c>
      <c r="BB65" s="13">
        <v>5374.15</v>
      </c>
      <c r="BC65" s="13">
        <v>5370.89</v>
      </c>
      <c r="BD65" s="13">
        <v>5374.85</v>
      </c>
      <c r="BE65" s="13">
        <v>5352.32</v>
      </c>
      <c r="BF65" s="13">
        <v>5340.6</v>
      </c>
      <c r="BG65" s="13">
        <v>5375.93</v>
      </c>
      <c r="BH65" s="13">
        <v>5367.66</v>
      </c>
      <c r="BI65" s="13">
        <v>5371.17</v>
      </c>
      <c r="BJ65" s="13">
        <v>5344.49</v>
      </c>
      <c r="BK65" s="13">
        <v>5338.43</v>
      </c>
      <c r="BL65" s="13">
        <v>5346.29</v>
      </c>
      <c r="BM65" s="13">
        <v>5352.12</v>
      </c>
      <c r="BN65" s="13">
        <v>5366.59</v>
      </c>
      <c r="BO65" s="13">
        <v>5368.09</v>
      </c>
      <c r="BP65" s="13">
        <v>5370.95</v>
      </c>
      <c r="BQ65" s="13">
        <v>5371.21</v>
      </c>
      <c r="BR65" s="13">
        <v>5369.67</v>
      </c>
      <c r="BS65" s="13">
        <v>5370.77</v>
      </c>
      <c r="BT65" s="13">
        <v>5373.94</v>
      </c>
      <c r="BU65" s="13">
        <v>5363.6</v>
      </c>
      <c r="BV65" s="13">
        <v>5361.48</v>
      </c>
      <c r="BW65" s="13">
        <v>5369.72</v>
      </c>
      <c r="BX65" s="13">
        <v>5348.01</v>
      </c>
      <c r="BY65" s="13">
        <v>5366.48</v>
      </c>
      <c r="BZ65" s="13">
        <v>5364.72</v>
      </c>
      <c r="CA65" s="13">
        <v>5370.46</v>
      </c>
      <c r="CB65" s="13">
        <v>5371.28</v>
      </c>
      <c r="CC65" s="13">
        <v>5370.82</v>
      </c>
      <c r="CD65" s="13">
        <v>5364.39</v>
      </c>
      <c r="CE65" s="13">
        <v>5358.99</v>
      </c>
      <c r="CF65" s="13">
        <v>5369.37</v>
      </c>
      <c r="CG65" s="13">
        <v>5371.89</v>
      </c>
      <c r="CH65" s="13">
        <v>5374.08</v>
      </c>
      <c r="CI65" s="13">
        <v>5372.43</v>
      </c>
      <c r="CJ65" s="13">
        <v>5372.45</v>
      </c>
      <c r="CK65" s="13">
        <v>5366.21</v>
      </c>
      <c r="CL65" s="13">
        <v>5367.98</v>
      </c>
      <c r="CM65" s="13">
        <v>5372.91</v>
      </c>
      <c r="CN65" s="13">
        <v>5362.16</v>
      </c>
      <c r="CO65" s="13">
        <v>5359.49</v>
      </c>
      <c r="CP65" s="13">
        <v>5370.54</v>
      </c>
      <c r="CQ65" s="13">
        <v>5374.82</v>
      </c>
      <c r="CR65" s="13">
        <v>5379.64</v>
      </c>
      <c r="CS65" s="13">
        <v>5381.16</v>
      </c>
      <c r="CT65" s="13">
        <v>5377.08</v>
      </c>
      <c r="CU65" s="13">
        <v>5364.71</v>
      </c>
      <c r="CV65" s="13">
        <v>5374.33</v>
      </c>
      <c r="CW65" s="13">
        <v>5369.9</v>
      </c>
      <c r="CX65" s="13">
        <v>5376.55</v>
      </c>
      <c r="CY65" s="13">
        <v>5338.56</v>
      </c>
      <c r="CZ65" s="13">
        <v>5378.36</v>
      </c>
      <c r="DA65" s="13">
        <v>5386.14</v>
      </c>
      <c r="DB65" s="13">
        <v>5384.06</v>
      </c>
      <c r="DC65" s="13">
        <v>5383.3</v>
      </c>
      <c r="DD65" s="13">
        <v>5384.06</v>
      </c>
      <c r="DE65" s="13">
        <v>5384.73</v>
      </c>
      <c r="DF65" s="13">
        <v>5382.38</v>
      </c>
      <c r="DG65" s="13">
        <v>5385.75</v>
      </c>
      <c r="DH65" s="13">
        <v>5384.22</v>
      </c>
      <c r="DI65" s="13">
        <v>5380.68</v>
      </c>
      <c r="DJ65" s="13">
        <v>5352.95</v>
      </c>
      <c r="DK65" s="13">
        <v>5377.8</v>
      </c>
      <c r="DM65" s="20"/>
    </row>
    <row r="66" spans="1:117" ht="15.75" x14ac:dyDescent="0.25">
      <c r="A66" s="11" t="s">
        <v>5</v>
      </c>
      <c r="B66" s="11" t="s">
        <v>11</v>
      </c>
      <c r="C66" s="15">
        <v>0.37847222222222227</v>
      </c>
      <c r="D66" s="15">
        <v>0.38194444444444442</v>
      </c>
      <c r="E66" s="15">
        <v>0.38541666666666669</v>
      </c>
      <c r="F66" s="15">
        <v>0.3888888888888889</v>
      </c>
      <c r="G66" s="15">
        <v>0.3923611111111111</v>
      </c>
      <c r="H66" s="15">
        <v>0.39583333333333331</v>
      </c>
      <c r="I66" s="15">
        <v>0.39930555555555558</v>
      </c>
      <c r="J66" s="15">
        <v>0.40277777777777773</v>
      </c>
      <c r="K66" s="15">
        <v>0.40625</v>
      </c>
      <c r="L66" s="15">
        <v>0.40972222222222227</v>
      </c>
      <c r="M66" s="15">
        <v>0.41319444444444442</v>
      </c>
      <c r="N66" s="15">
        <v>0.41666666666666669</v>
      </c>
      <c r="O66" s="15">
        <v>0.4201388888888889</v>
      </c>
      <c r="P66" s="15">
        <v>0.4236111111111111</v>
      </c>
      <c r="Q66" s="15">
        <v>0.42708333333333331</v>
      </c>
      <c r="R66" s="15">
        <v>0.43055555555555558</v>
      </c>
      <c r="S66" s="15">
        <v>0.43402777777777773</v>
      </c>
      <c r="T66" s="15">
        <v>0.4375</v>
      </c>
      <c r="U66" s="15">
        <v>0.44097222222222227</v>
      </c>
      <c r="V66" s="15">
        <v>0.44444444444444442</v>
      </c>
      <c r="W66" s="15">
        <v>0.44791666666666669</v>
      </c>
      <c r="X66" s="15">
        <v>0.4513888888888889</v>
      </c>
      <c r="Y66" s="15">
        <v>0.4548611111111111</v>
      </c>
      <c r="Z66" s="15">
        <v>0.45833333333333331</v>
      </c>
      <c r="AA66" s="15">
        <v>0.46180555555555558</v>
      </c>
      <c r="AB66" s="15">
        <v>0.46527777777777773</v>
      </c>
      <c r="AC66" s="15">
        <v>0.46875</v>
      </c>
      <c r="AD66" s="15">
        <v>0.47222222222222227</v>
      </c>
      <c r="AE66" s="15">
        <v>0.47569444444444442</v>
      </c>
      <c r="AF66" s="15">
        <v>0.47916666666666669</v>
      </c>
      <c r="AG66" s="15">
        <v>0.4826388888888889</v>
      </c>
      <c r="AH66" s="15">
        <v>0.4861111111111111</v>
      </c>
      <c r="AI66" s="15">
        <v>0.48958333333333331</v>
      </c>
      <c r="AJ66" s="15">
        <v>0.49305555555555558</v>
      </c>
      <c r="AK66" s="15">
        <v>0.49652777777777773</v>
      </c>
      <c r="AL66" s="15">
        <v>0.5</v>
      </c>
      <c r="AM66" s="15">
        <v>0.50347222222222221</v>
      </c>
      <c r="AN66" s="15">
        <v>0.50694444444444442</v>
      </c>
      <c r="AO66" s="15">
        <v>0.51041666666666663</v>
      </c>
      <c r="AP66" s="15">
        <v>0.51388888888888895</v>
      </c>
      <c r="AQ66" s="15">
        <v>0.51736111111111105</v>
      </c>
      <c r="AR66" s="15">
        <v>0.52083333333333337</v>
      </c>
      <c r="AS66" s="15">
        <v>0.52430555555555558</v>
      </c>
      <c r="AT66" s="15">
        <v>0.52777777777777779</v>
      </c>
      <c r="AU66" s="15">
        <v>0.53125</v>
      </c>
      <c r="AV66" s="15">
        <v>0.53472222222222221</v>
      </c>
      <c r="AW66" s="15">
        <v>0.53819444444444442</v>
      </c>
      <c r="AX66" s="15">
        <v>0.54166666666666663</v>
      </c>
      <c r="AY66" s="15">
        <v>0.54513888888888895</v>
      </c>
      <c r="AZ66" s="15">
        <v>0.54861111111111105</v>
      </c>
      <c r="BA66" s="15">
        <v>0.55208333333333337</v>
      </c>
      <c r="BB66" s="15">
        <v>0.55555555555555558</v>
      </c>
      <c r="BC66" s="15">
        <v>0.55902777777777779</v>
      </c>
      <c r="BD66" s="15">
        <v>0.5625</v>
      </c>
      <c r="BE66" s="15">
        <v>0.56597222222222221</v>
      </c>
      <c r="BF66" s="15">
        <v>0.56944444444444442</v>
      </c>
      <c r="BG66" s="15">
        <v>0.57291666666666663</v>
      </c>
      <c r="BH66" s="15">
        <v>0.57638888888888895</v>
      </c>
      <c r="BI66" s="15">
        <v>0.57986111111111105</v>
      </c>
      <c r="BJ66" s="15">
        <v>0.58333333333333337</v>
      </c>
      <c r="BK66" s="15">
        <v>0.58680555555555558</v>
      </c>
      <c r="BL66" s="15">
        <v>0.59027777777777779</v>
      </c>
      <c r="BM66" s="15">
        <v>0.59375</v>
      </c>
      <c r="BN66" s="15">
        <v>0.59722222222222221</v>
      </c>
      <c r="BO66" s="15">
        <v>0.60069444444444442</v>
      </c>
      <c r="BP66" s="15">
        <v>0.60416666666666663</v>
      </c>
      <c r="BQ66" s="15">
        <v>0.60763888888888895</v>
      </c>
      <c r="BR66" s="15">
        <v>0.61111111111111105</v>
      </c>
      <c r="BS66" s="15">
        <v>0.61458333333333337</v>
      </c>
      <c r="BT66" s="15">
        <v>0.61805555555555558</v>
      </c>
      <c r="BU66" s="15">
        <v>0.62152777777777779</v>
      </c>
      <c r="BV66" s="15">
        <v>0.625</v>
      </c>
      <c r="BW66" s="15">
        <v>0.62847222222222221</v>
      </c>
      <c r="BX66" s="15">
        <v>0.63194444444444442</v>
      </c>
      <c r="BY66" s="15">
        <v>0.63541666666666663</v>
      </c>
      <c r="BZ66" s="15">
        <v>0.63888888888888895</v>
      </c>
      <c r="CA66" s="15">
        <v>0.64236111111111105</v>
      </c>
      <c r="CB66" s="15">
        <v>0.64583333333333337</v>
      </c>
      <c r="CC66" s="15">
        <v>0.64930555555555558</v>
      </c>
      <c r="CD66" s="15">
        <v>0.65277777777777779</v>
      </c>
      <c r="CE66" s="15">
        <v>0.65625</v>
      </c>
      <c r="CF66" s="15">
        <v>0.65972222222222221</v>
      </c>
      <c r="CG66" s="15">
        <v>0.66319444444444442</v>
      </c>
      <c r="CH66" s="15">
        <v>0.66666666666666663</v>
      </c>
      <c r="CI66" s="15">
        <v>0.67013888888888884</v>
      </c>
      <c r="CJ66" s="15">
        <v>0.67361111111111116</v>
      </c>
      <c r="CK66" s="15">
        <v>0.67708333333333337</v>
      </c>
      <c r="CL66" s="15">
        <v>0.68055555555555547</v>
      </c>
      <c r="CM66" s="15">
        <v>0.68402777777777779</v>
      </c>
      <c r="CN66" s="15">
        <v>0.6875</v>
      </c>
      <c r="CO66" s="15">
        <v>0.69097222222222221</v>
      </c>
      <c r="CP66" s="15">
        <v>0.69444444444444453</v>
      </c>
      <c r="CQ66" s="15">
        <v>0.69791666666666663</v>
      </c>
      <c r="CR66" s="15">
        <v>0.70138888888888884</v>
      </c>
      <c r="CS66" s="15">
        <v>0.70486111111111116</v>
      </c>
      <c r="CT66" s="15">
        <v>0.70833333333333337</v>
      </c>
      <c r="CU66" s="15">
        <v>0.71180555555555547</v>
      </c>
      <c r="CV66" s="15">
        <v>0.71527777777777779</v>
      </c>
      <c r="CW66" s="15">
        <v>0.71875</v>
      </c>
      <c r="CX66" s="15">
        <v>0.72222222222222221</v>
      </c>
      <c r="CY66" s="15">
        <v>0.72569444444444453</v>
      </c>
      <c r="CZ66" s="15">
        <v>0.72916666666666663</v>
      </c>
      <c r="DA66" s="15">
        <v>0.73263888888888884</v>
      </c>
      <c r="DB66" s="15">
        <v>0.73611111111111116</v>
      </c>
      <c r="DC66" s="15">
        <v>0.73958333333333337</v>
      </c>
      <c r="DD66" s="15">
        <v>0.74305555555555547</v>
      </c>
      <c r="DE66" s="15">
        <v>0.74652777777777779</v>
      </c>
      <c r="DF66" s="15">
        <v>0.75</v>
      </c>
      <c r="DG66" s="15">
        <v>0.75347222222222221</v>
      </c>
      <c r="DH66" s="15">
        <v>0.75694444444444453</v>
      </c>
      <c r="DI66" s="15">
        <v>0.76041666666666663</v>
      </c>
      <c r="DJ66" s="15">
        <v>0.76388888888888884</v>
      </c>
      <c r="DK66" s="15">
        <v>0.76736111111111116</v>
      </c>
      <c r="DM66" s="20"/>
    </row>
    <row r="67" spans="1:117" ht="15.75" x14ac:dyDescent="0.25">
      <c r="A67" s="14">
        <v>44158</v>
      </c>
      <c r="B67" s="12" t="s">
        <v>6</v>
      </c>
      <c r="C67" s="13">
        <v>5376</v>
      </c>
      <c r="D67" s="13">
        <v>5377.17</v>
      </c>
      <c r="E67" s="13">
        <v>5379.39</v>
      </c>
      <c r="F67" s="13">
        <v>5364.79</v>
      </c>
      <c r="G67" s="13">
        <v>5358.91</v>
      </c>
      <c r="H67" s="13">
        <v>5364.8</v>
      </c>
      <c r="I67" s="13">
        <v>5362.83</v>
      </c>
      <c r="J67" s="13">
        <v>5368.59</v>
      </c>
      <c r="K67" s="13">
        <v>5372.78</v>
      </c>
      <c r="L67" s="13">
        <v>5377.14</v>
      </c>
      <c r="M67" s="13">
        <v>5378.76</v>
      </c>
      <c r="N67" s="13">
        <v>5376.42</v>
      </c>
      <c r="O67" s="13">
        <v>5374.23</v>
      </c>
      <c r="P67" s="13">
        <v>5377.58</v>
      </c>
      <c r="Q67" s="13">
        <v>5375.3</v>
      </c>
      <c r="R67" s="13">
        <v>5368.57</v>
      </c>
      <c r="S67" s="13">
        <v>5364.81</v>
      </c>
      <c r="T67" s="13">
        <v>5362.95</v>
      </c>
      <c r="U67" s="13">
        <v>5361.77</v>
      </c>
      <c r="V67" s="13">
        <v>5361.21</v>
      </c>
      <c r="W67" s="13">
        <v>5366.57</v>
      </c>
      <c r="X67" s="13">
        <v>5360.97</v>
      </c>
      <c r="Y67" s="13">
        <v>5364.5</v>
      </c>
      <c r="Z67" s="13">
        <v>5363.3</v>
      </c>
      <c r="AA67" s="13">
        <v>5361.55</v>
      </c>
      <c r="AB67" s="13">
        <v>5376.39</v>
      </c>
      <c r="AC67" s="13">
        <v>5379.11</v>
      </c>
      <c r="AD67" s="13">
        <v>5384.02</v>
      </c>
      <c r="AE67" s="13">
        <v>5384.35</v>
      </c>
      <c r="AF67" s="13">
        <v>5385.8</v>
      </c>
      <c r="AG67" s="13">
        <v>5394.63</v>
      </c>
      <c r="AH67" s="13">
        <v>5399.98</v>
      </c>
      <c r="AI67" s="13">
        <v>5397.71</v>
      </c>
      <c r="AJ67" s="13">
        <v>5399.74</v>
      </c>
      <c r="AK67" s="13">
        <v>5399.08</v>
      </c>
      <c r="AL67" s="13">
        <v>5401.29</v>
      </c>
      <c r="AM67" s="13">
        <v>5406.69</v>
      </c>
      <c r="AN67" s="13">
        <v>5420.39</v>
      </c>
      <c r="AO67" s="13">
        <v>5423.67</v>
      </c>
      <c r="AP67" s="13">
        <v>5432.98</v>
      </c>
      <c r="AQ67" s="13">
        <v>5433.8</v>
      </c>
      <c r="AR67" s="13">
        <v>5443.5</v>
      </c>
      <c r="AS67" s="13">
        <v>5442.8</v>
      </c>
      <c r="AT67" s="13">
        <v>5438.8</v>
      </c>
      <c r="AU67" s="13">
        <v>5435.51</v>
      </c>
      <c r="AV67" s="13">
        <v>5434.21</v>
      </c>
      <c r="AW67" s="13">
        <v>5431.81</v>
      </c>
      <c r="AX67" s="13">
        <v>5434.3</v>
      </c>
      <c r="AY67" s="13">
        <v>5435.74</v>
      </c>
      <c r="AZ67" s="13">
        <v>5444.51</v>
      </c>
      <c r="BA67" s="13">
        <v>5447.48</v>
      </c>
      <c r="BB67" s="13">
        <v>5448.52</v>
      </c>
      <c r="BC67" s="13">
        <v>5450.51</v>
      </c>
      <c r="BD67" s="13">
        <v>5449.8</v>
      </c>
      <c r="BE67" s="13">
        <v>5454.64</v>
      </c>
      <c r="BF67" s="13">
        <v>5450.78</v>
      </c>
      <c r="BG67" s="13">
        <v>5454.2</v>
      </c>
      <c r="BH67" s="13">
        <v>5452.28</v>
      </c>
      <c r="BI67" s="13">
        <v>5449.65</v>
      </c>
      <c r="BJ67" s="13">
        <v>5447.84</v>
      </c>
      <c r="BK67" s="13">
        <v>5450.08</v>
      </c>
      <c r="BL67" s="13">
        <v>5451.94</v>
      </c>
      <c r="BM67" s="13">
        <v>5449.51</v>
      </c>
      <c r="BN67" s="13">
        <v>5447.09</v>
      </c>
      <c r="BO67" s="13">
        <v>5442.65</v>
      </c>
      <c r="BP67" s="13">
        <v>5440.25</v>
      </c>
      <c r="BQ67" s="13">
        <v>5441.09</v>
      </c>
      <c r="BR67" s="13">
        <v>5440</v>
      </c>
      <c r="BS67" s="13">
        <v>5438.37</v>
      </c>
      <c r="BT67" s="13">
        <v>5440.98</v>
      </c>
      <c r="BU67" s="13">
        <v>5437.28</v>
      </c>
      <c r="BV67" s="13">
        <v>5440.54</v>
      </c>
      <c r="BW67" s="13">
        <v>5440.88</v>
      </c>
      <c r="BX67" s="13">
        <v>5439.97</v>
      </c>
      <c r="BY67" s="13">
        <v>5448.56</v>
      </c>
      <c r="BZ67" s="13">
        <v>5446.32</v>
      </c>
      <c r="CA67" s="13">
        <v>5450.69</v>
      </c>
      <c r="CB67" s="13">
        <v>5445.55</v>
      </c>
      <c r="CC67" s="13">
        <v>5450.41</v>
      </c>
      <c r="CD67" s="13">
        <v>5449.42</v>
      </c>
      <c r="CE67" s="13">
        <v>5452.19</v>
      </c>
      <c r="CF67" s="13">
        <v>5454.79</v>
      </c>
      <c r="CG67" s="13">
        <v>5453.15</v>
      </c>
      <c r="CH67" s="13">
        <v>5454.21</v>
      </c>
      <c r="CI67" s="13">
        <v>5454.19</v>
      </c>
      <c r="CJ67" s="13">
        <v>5455.75</v>
      </c>
      <c r="CK67" s="13">
        <v>5456.24</v>
      </c>
      <c r="CL67" s="13">
        <v>5454.98</v>
      </c>
      <c r="CM67" s="13">
        <v>5454.18</v>
      </c>
      <c r="CN67" s="13">
        <v>5451.78</v>
      </c>
      <c r="CO67" s="13">
        <v>5448.96</v>
      </c>
      <c r="CP67" s="13">
        <v>5453.82</v>
      </c>
      <c r="CQ67" s="13">
        <v>5455.81</v>
      </c>
      <c r="CR67" s="13">
        <v>5456.81</v>
      </c>
      <c r="CS67" s="13">
        <v>5453.55</v>
      </c>
      <c r="CT67" s="13">
        <v>5450.93</v>
      </c>
      <c r="CU67" s="13">
        <v>5444.99</v>
      </c>
      <c r="CV67" s="13">
        <v>5443.49</v>
      </c>
      <c r="CW67" s="13">
        <v>5445.3</v>
      </c>
      <c r="CX67" s="13">
        <v>5448.07</v>
      </c>
      <c r="CY67" s="13">
        <v>5448.58</v>
      </c>
      <c r="CZ67" s="13">
        <v>5447.54</v>
      </c>
      <c r="DA67" s="13">
        <v>5444.07</v>
      </c>
      <c r="DB67" s="13">
        <v>5443.09</v>
      </c>
      <c r="DC67" s="13">
        <v>5441.31</v>
      </c>
      <c r="DD67" s="13">
        <v>5440.33</v>
      </c>
      <c r="DE67" s="13">
        <v>5438.81</v>
      </c>
      <c r="DF67" s="13">
        <v>5443.5</v>
      </c>
      <c r="DG67" s="13">
        <v>5450.98</v>
      </c>
      <c r="DH67" s="13">
        <v>5450.22</v>
      </c>
      <c r="DI67" s="13">
        <v>5451.64</v>
      </c>
      <c r="DJ67" s="13">
        <v>5451.72</v>
      </c>
      <c r="DK67" s="13">
        <v>5451.41</v>
      </c>
      <c r="DM67" s="20"/>
    </row>
    <row r="68" spans="1:117" ht="15.75" x14ac:dyDescent="0.25">
      <c r="A68" s="14" t="s">
        <v>12</v>
      </c>
      <c r="B68" s="12" t="s">
        <v>10</v>
      </c>
      <c r="C68" s="13">
        <v>5364.88</v>
      </c>
      <c r="D68" s="13">
        <v>5376.59</v>
      </c>
      <c r="E68" s="13">
        <v>5361.47</v>
      </c>
      <c r="F68" s="13">
        <v>5355.41</v>
      </c>
      <c r="G68" s="13">
        <v>5355.34</v>
      </c>
      <c r="H68" s="13">
        <v>5361.89</v>
      </c>
      <c r="I68" s="13">
        <v>5362.74</v>
      </c>
      <c r="J68" s="13">
        <v>5364.2</v>
      </c>
      <c r="K68" s="13">
        <v>5369.49</v>
      </c>
      <c r="L68" s="13">
        <v>5377.14</v>
      </c>
      <c r="M68" s="13">
        <v>5375.81</v>
      </c>
      <c r="N68" s="13">
        <v>5374.53</v>
      </c>
      <c r="O68" s="13">
        <v>5371.73</v>
      </c>
      <c r="P68" s="13">
        <v>5377.58</v>
      </c>
      <c r="Q68" s="13">
        <v>5367.99</v>
      </c>
      <c r="R68" s="13">
        <v>5363.38</v>
      </c>
      <c r="S68" s="13">
        <v>5360.37</v>
      </c>
      <c r="T68" s="13">
        <v>5360.84</v>
      </c>
      <c r="U68" s="13">
        <v>5360.85</v>
      </c>
      <c r="V68" s="13">
        <v>5358.35</v>
      </c>
      <c r="W68" s="13">
        <v>5357.82</v>
      </c>
      <c r="X68" s="13">
        <v>5357.19</v>
      </c>
      <c r="Y68" s="13">
        <v>5362.54</v>
      </c>
      <c r="Z68" s="13">
        <v>5352.24</v>
      </c>
      <c r="AA68" s="13">
        <v>5359.25</v>
      </c>
      <c r="AB68" s="13">
        <v>5375.98</v>
      </c>
      <c r="AC68" s="13">
        <v>5373.77</v>
      </c>
      <c r="AD68" s="13">
        <v>5381.67</v>
      </c>
      <c r="AE68" s="13">
        <v>5383.18</v>
      </c>
      <c r="AF68" s="13">
        <v>5382.88</v>
      </c>
      <c r="AG68" s="13">
        <v>5394.63</v>
      </c>
      <c r="AH68" s="13">
        <v>5394.91</v>
      </c>
      <c r="AI68" s="13">
        <v>5395.12</v>
      </c>
      <c r="AJ68" s="13">
        <v>5396.91</v>
      </c>
      <c r="AK68" s="13">
        <v>5397.19</v>
      </c>
      <c r="AL68" s="13">
        <v>5399.35</v>
      </c>
      <c r="AM68" s="13">
        <v>5406.69</v>
      </c>
      <c r="AN68" s="13">
        <v>5420.16</v>
      </c>
      <c r="AO68" s="13">
        <v>5423.66</v>
      </c>
      <c r="AP68" s="13">
        <v>5431.01</v>
      </c>
      <c r="AQ68" s="13">
        <v>5431.8</v>
      </c>
      <c r="AR68" s="13">
        <v>5443.02</v>
      </c>
      <c r="AS68" s="13">
        <v>5437.54</v>
      </c>
      <c r="AT68" s="13">
        <v>5435.04</v>
      </c>
      <c r="AU68" s="13">
        <v>5433.24</v>
      </c>
      <c r="AV68" s="13">
        <v>5430.8</v>
      </c>
      <c r="AW68" s="13">
        <v>5428.34</v>
      </c>
      <c r="AX68" s="13">
        <v>5430.18</v>
      </c>
      <c r="AY68" s="13">
        <v>5433.78</v>
      </c>
      <c r="AZ68" s="13">
        <v>5444.42</v>
      </c>
      <c r="BA68" s="13">
        <v>5447.48</v>
      </c>
      <c r="BB68" s="13">
        <v>5445.2</v>
      </c>
      <c r="BC68" s="13">
        <v>5450.51</v>
      </c>
      <c r="BD68" s="13">
        <v>5445.8</v>
      </c>
      <c r="BE68" s="13">
        <v>5451.23</v>
      </c>
      <c r="BF68" s="13">
        <v>5449.99</v>
      </c>
      <c r="BG68" s="13">
        <v>5453.11</v>
      </c>
      <c r="BH68" s="13">
        <v>5444.61</v>
      </c>
      <c r="BI68" s="13">
        <v>5448.91</v>
      </c>
      <c r="BJ68" s="13">
        <v>5443.49</v>
      </c>
      <c r="BK68" s="13">
        <v>5444.15</v>
      </c>
      <c r="BL68" s="13">
        <v>5448.69</v>
      </c>
      <c r="BM68" s="13">
        <v>5444.01</v>
      </c>
      <c r="BN68" s="13">
        <v>5440.42</v>
      </c>
      <c r="BO68" s="13">
        <v>5437.96</v>
      </c>
      <c r="BP68" s="13">
        <v>5436.61</v>
      </c>
      <c r="BQ68" s="13">
        <v>5438.48</v>
      </c>
      <c r="BR68" s="13">
        <v>5436.09</v>
      </c>
      <c r="BS68" s="13">
        <v>5437.88</v>
      </c>
      <c r="BT68" s="13">
        <v>5435.75</v>
      </c>
      <c r="BU68" s="13">
        <v>5435.18</v>
      </c>
      <c r="BV68" s="13">
        <v>5438.12</v>
      </c>
      <c r="BW68" s="13">
        <v>5438.84</v>
      </c>
      <c r="BX68" s="13">
        <v>5438.84</v>
      </c>
      <c r="BY68" s="13">
        <v>5442.85</v>
      </c>
      <c r="BZ68" s="13">
        <v>5446.22</v>
      </c>
      <c r="CA68" s="13">
        <v>5445.76</v>
      </c>
      <c r="CB68" s="13">
        <v>5444.37</v>
      </c>
      <c r="CC68" s="13">
        <v>5447.9</v>
      </c>
      <c r="CD68" s="13">
        <v>5449.42</v>
      </c>
      <c r="CE68" s="13">
        <v>5452.19</v>
      </c>
      <c r="CF68" s="13">
        <v>5450.02</v>
      </c>
      <c r="CG68" s="13">
        <v>5453.15</v>
      </c>
      <c r="CH68" s="13">
        <v>5453.88</v>
      </c>
      <c r="CI68" s="13">
        <v>5452.93</v>
      </c>
      <c r="CJ68" s="13">
        <v>5453.36</v>
      </c>
      <c r="CK68" s="13">
        <v>5449.6</v>
      </c>
      <c r="CL68" s="13">
        <v>5452.49</v>
      </c>
      <c r="CM68" s="13">
        <v>5451.62</v>
      </c>
      <c r="CN68" s="13">
        <v>5448.6</v>
      </c>
      <c r="CO68" s="13">
        <v>5448.55</v>
      </c>
      <c r="CP68" s="13">
        <v>5453.55</v>
      </c>
      <c r="CQ68" s="13">
        <v>5453.84</v>
      </c>
      <c r="CR68" s="13">
        <v>5453.55</v>
      </c>
      <c r="CS68" s="13">
        <v>5448.05</v>
      </c>
      <c r="CT68" s="13">
        <v>5442.92</v>
      </c>
      <c r="CU68" s="13">
        <v>5440.13</v>
      </c>
      <c r="CV68" s="13">
        <v>5443.49</v>
      </c>
      <c r="CW68" s="13">
        <v>5443.99</v>
      </c>
      <c r="CX68" s="13">
        <v>5445.37</v>
      </c>
      <c r="CY68" s="13">
        <v>5445.02</v>
      </c>
      <c r="CZ68" s="13">
        <v>5440.24</v>
      </c>
      <c r="DA68" s="13">
        <v>5442.93</v>
      </c>
      <c r="DB68" s="13">
        <v>5441.53</v>
      </c>
      <c r="DC68" s="13">
        <v>5439.62</v>
      </c>
      <c r="DD68" s="13">
        <v>5434.02</v>
      </c>
      <c r="DE68" s="13">
        <v>5438.24</v>
      </c>
      <c r="DF68" s="13">
        <v>5442.06</v>
      </c>
      <c r="DG68" s="13">
        <v>5448.48</v>
      </c>
      <c r="DH68" s="13">
        <v>5447.69</v>
      </c>
      <c r="DI68" s="13">
        <v>5450.81</v>
      </c>
      <c r="DJ68" s="13">
        <v>5450.47</v>
      </c>
      <c r="DK68" s="13">
        <v>5446.82</v>
      </c>
      <c r="DM68" s="20"/>
    </row>
    <row r="69" spans="1:117" ht="15.75" x14ac:dyDescent="0.25">
      <c r="A69" s="14" t="s">
        <v>12</v>
      </c>
      <c r="B69" s="12" t="s">
        <v>9</v>
      </c>
      <c r="C69" s="13">
        <v>5359.38</v>
      </c>
      <c r="D69" s="13">
        <v>5369.72</v>
      </c>
      <c r="E69" s="13">
        <v>5351.26</v>
      </c>
      <c r="F69" s="13">
        <v>5348.64</v>
      </c>
      <c r="G69" s="13">
        <v>5348.24</v>
      </c>
      <c r="H69" s="13">
        <v>5355.5</v>
      </c>
      <c r="I69" s="13">
        <v>5355.62</v>
      </c>
      <c r="J69" s="13">
        <v>5357.44</v>
      </c>
      <c r="K69" s="13">
        <v>5363</v>
      </c>
      <c r="L69" s="13">
        <v>5369.19</v>
      </c>
      <c r="M69" s="13">
        <v>5368.87</v>
      </c>
      <c r="N69" s="13">
        <v>5367.99</v>
      </c>
      <c r="O69" s="13">
        <v>5365.08</v>
      </c>
      <c r="P69" s="13">
        <v>5369.61</v>
      </c>
      <c r="Q69" s="13">
        <v>5361.17</v>
      </c>
      <c r="R69" s="13">
        <v>5356.99</v>
      </c>
      <c r="S69" s="13">
        <v>5352.65</v>
      </c>
      <c r="T69" s="13">
        <v>5353.91</v>
      </c>
      <c r="U69" s="13">
        <v>5353.14</v>
      </c>
      <c r="V69" s="13">
        <v>5350.8</v>
      </c>
      <c r="W69" s="13">
        <v>5351.74</v>
      </c>
      <c r="X69" s="13">
        <v>5348.67</v>
      </c>
      <c r="Y69" s="13">
        <v>5355.78</v>
      </c>
      <c r="Z69" s="13">
        <v>5345.63</v>
      </c>
      <c r="AA69" s="13">
        <v>5353.05</v>
      </c>
      <c r="AB69" s="13">
        <v>5368.49</v>
      </c>
      <c r="AC69" s="13">
        <v>5366.83</v>
      </c>
      <c r="AD69" s="13">
        <v>5374.08</v>
      </c>
      <c r="AE69" s="13">
        <v>5376.11</v>
      </c>
      <c r="AF69" s="13">
        <v>5375.42</v>
      </c>
      <c r="AG69" s="13">
        <v>5386.57</v>
      </c>
      <c r="AH69" s="13">
        <v>5387.03</v>
      </c>
      <c r="AI69" s="13">
        <v>5382.25</v>
      </c>
      <c r="AJ69" s="13">
        <v>5388.52</v>
      </c>
      <c r="AK69" s="13">
        <v>5389.52</v>
      </c>
      <c r="AL69" s="13">
        <v>5390.69</v>
      </c>
      <c r="AM69" s="13">
        <v>5398.31</v>
      </c>
      <c r="AN69" s="13">
        <v>5411.7</v>
      </c>
      <c r="AO69" s="13">
        <v>5414.32</v>
      </c>
      <c r="AP69" s="13">
        <v>5420.73</v>
      </c>
      <c r="AQ69" s="13">
        <v>5422.65</v>
      </c>
      <c r="AR69" s="13">
        <v>5433.18</v>
      </c>
      <c r="AS69" s="13">
        <v>5427.85</v>
      </c>
      <c r="AT69" s="13">
        <v>5425.49</v>
      </c>
      <c r="AU69" s="13">
        <v>5424.27</v>
      </c>
      <c r="AV69" s="13">
        <v>5421.75</v>
      </c>
      <c r="AW69" s="13">
        <v>5419.06</v>
      </c>
      <c r="AX69" s="13">
        <v>5420.62</v>
      </c>
      <c r="AY69" s="13">
        <v>5424.01</v>
      </c>
      <c r="AZ69" s="13">
        <v>5432.76</v>
      </c>
      <c r="BA69" s="13">
        <v>5436.77</v>
      </c>
      <c r="BB69" s="13">
        <v>5435.31</v>
      </c>
      <c r="BC69" s="13">
        <v>5439.97</v>
      </c>
      <c r="BD69" s="13">
        <v>5434.11</v>
      </c>
      <c r="BE69" s="13">
        <v>5438.82</v>
      </c>
      <c r="BF69" s="13">
        <v>5437.67</v>
      </c>
      <c r="BG69" s="13">
        <v>5438.97</v>
      </c>
      <c r="BH69" s="13">
        <v>5432.82</v>
      </c>
      <c r="BI69" s="13">
        <v>5436.28</v>
      </c>
      <c r="BJ69" s="13">
        <v>5431.84</v>
      </c>
      <c r="BK69" s="13">
        <v>5429.55</v>
      </c>
      <c r="BL69" s="13">
        <v>5434.94</v>
      </c>
      <c r="BM69" s="13">
        <v>5431.84</v>
      </c>
      <c r="BN69" s="13">
        <v>5427.57</v>
      </c>
      <c r="BO69" s="13">
        <v>5426.41</v>
      </c>
      <c r="BP69" s="13">
        <v>5424.34</v>
      </c>
      <c r="BQ69" s="13">
        <v>5426.61</v>
      </c>
      <c r="BR69" s="13">
        <v>5424.41</v>
      </c>
      <c r="BS69" s="13">
        <v>5426.43</v>
      </c>
      <c r="BT69" s="13">
        <v>5418.05</v>
      </c>
      <c r="BU69" s="13">
        <v>5423.63</v>
      </c>
      <c r="BV69" s="13">
        <v>5425.92</v>
      </c>
      <c r="BW69" s="13">
        <v>5427.51</v>
      </c>
      <c r="BX69" s="13">
        <v>5427.37</v>
      </c>
      <c r="BY69" s="13">
        <v>5431.31</v>
      </c>
      <c r="BZ69" s="13">
        <v>5433.94</v>
      </c>
      <c r="CA69" s="13">
        <v>5433.74</v>
      </c>
      <c r="CB69" s="13">
        <v>5432.33</v>
      </c>
      <c r="CC69" s="13">
        <v>5434.44</v>
      </c>
      <c r="CD69" s="13">
        <v>5434.98</v>
      </c>
      <c r="CE69" s="13">
        <v>5439.35</v>
      </c>
      <c r="CF69" s="13">
        <v>5435.8</v>
      </c>
      <c r="CG69" s="13">
        <v>5439.32</v>
      </c>
      <c r="CH69" s="13">
        <v>5441.13</v>
      </c>
      <c r="CI69" s="13">
        <v>5440</v>
      </c>
      <c r="CJ69" s="13">
        <v>5440.52</v>
      </c>
      <c r="CK69" s="13">
        <v>5437.04</v>
      </c>
      <c r="CL69" s="13">
        <v>5439.21</v>
      </c>
      <c r="CM69" s="13">
        <v>5438.87</v>
      </c>
      <c r="CN69" s="13">
        <v>5436.27</v>
      </c>
      <c r="CO69" s="13">
        <v>5434.63</v>
      </c>
      <c r="CP69" s="13">
        <v>5439.41</v>
      </c>
      <c r="CQ69" s="13">
        <v>5441.46</v>
      </c>
      <c r="CR69" s="13">
        <v>5439.54</v>
      </c>
      <c r="CS69" s="13">
        <v>5435.81</v>
      </c>
      <c r="CT69" s="13">
        <v>5429.43</v>
      </c>
      <c r="CU69" s="13">
        <v>5428.13</v>
      </c>
      <c r="CV69" s="13">
        <v>5431.01</v>
      </c>
      <c r="CW69" s="13">
        <v>5431.19</v>
      </c>
      <c r="CX69" s="13">
        <v>5431.74</v>
      </c>
      <c r="CY69" s="13">
        <v>5432.72</v>
      </c>
      <c r="CZ69" s="13">
        <v>5427.58</v>
      </c>
      <c r="DA69" s="13">
        <v>5431.04</v>
      </c>
      <c r="DB69" s="13">
        <v>5429.7</v>
      </c>
      <c r="DC69" s="13">
        <v>5427.58</v>
      </c>
      <c r="DD69" s="13">
        <v>5421.14</v>
      </c>
      <c r="DE69" s="13">
        <v>5426.03</v>
      </c>
      <c r="DF69" s="13">
        <v>5429.47</v>
      </c>
      <c r="DG69" s="13">
        <v>5435.84</v>
      </c>
      <c r="DH69" s="13">
        <v>5435.65</v>
      </c>
      <c r="DI69" s="13">
        <v>5435.57</v>
      </c>
      <c r="DJ69" s="13">
        <v>5438.66</v>
      </c>
      <c r="DK69" s="13">
        <v>5432.58</v>
      </c>
      <c r="DM69" s="20"/>
    </row>
    <row r="70" spans="1:117" ht="15.75" x14ac:dyDescent="0.25">
      <c r="A70" s="14" t="s">
        <v>12</v>
      </c>
      <c r="B70" s="12" t="s">
        <v>7</v>
      </c>
      <c r="C70" s="13">
        <v>5346</v>
      </c>
      <c r="D70" s="13">
        <v>5357.61</v>
      </c>
      <c r="E70" s="13">
        <v>5351.24</v>
      </c>
      <c r="F70" s="13">
        <v>5346.99</v>
      </c>
      <c r="G70" s="13">
        <v>5341.03</v>
      </c>
      <c r="H70" s="13">
        <v>5350.19</v>
      </c>
      <c r="I70" s="13">
        <v>5352.26</v>
      </c>
      <c r="J70" s="13">
        <v>5335.67</v>
      </c>
      <c r="K70" s="13">
        <v>5354.12</v>
      </c>
      <c r="L70" s="13">
        <v>5363.98</v>
      </c>
      <c r="M70" s="13">
        <v>5342.23</v>
      </c>
      <c r="N70" s="13">
        <v>5365.08</v>
      </c>
      <c r="O70" s="13">
        <v>5354.15</v>
      </c>
      <c r="P70" s="13">
        <v>5362.13</v>
      </c>
      <c r="Q70" s="13">
        <v>5359.11</v>
      </c>
      <c r="R70" s="13">
        <v>5354.39</v>
      </c>
      <c r="S70" s="13">
        <v>5351.4</v>
      </c>
      <c r="T70" s="13">
        <v>5353.59</v>
      </c>
      <c r="U70" s="13">
        <v>5348.86</v>
      </c>
      <c r="V70" s="13">
        <v>5350</v>
      </c>
      <c r="W70" s="13">
        <v>5347.2</v>
      </c>
      <c r="X70" s="13">
        <v>5337.68</v>
      </c>
      <c r="Y70" s="13">
        <v>5348.87</v>
      </c>
      <c r="Z70" s="13">
        <v>5344.99</v>
      </c>
      <c r="AA70" s="13">
        <v>5341.84</v>
      </c>
      <c r="AB70" s="13">
        <v>5352.48</v>
      </c>
      <c r="AC70" s="13">
        <v>5361.63</v>
      </c>
      <c r="AD70" s="13">
        <v>5358.96</v>
      </c>
      <c r="AE70" s="13">
        <v>5372.76</v>
      </c>
      <c r="AF70" s="13">
        <v>5368.83</v>
      </c>
      <c r="AG70" s="13">
        <v>5374.45</v>
      </c>
      <c r="AH70" s="13">
        <v>5377.17</v>
      </c>
      <c r="AI70" s="13">
        <v>5382.25</v>
      </c>
      <c r="AJ70" s="13">
        <v>5383.07</v>
      </c>
      <c r="AK70" s="13">
        <v>5385.94</v>
      </c>
      <c r="AL70" s="13">
        <v>5383.51</v>
      </c>
      <c r="AM70" s="13">
        <v>5389.44</v>
      </c>
      <c r="AN70" s="13">
        <v>5397.31</v>
      </c>
      <c r="AO70" s="13">
        <v>5407.57</v>
      </c>
      <c r="AP70" s="13">
        <v>5414.92</v>
      </c>
      <c r="AQ70" s="13">
        <v>5392.19</v>
      </c>
      <c r="AR70" s="13">
        <v>5420.09</v>
      </c>
      <c r="AS70" s="13">
        <v>5421.76</v>
      </c>
      <c r="AT70" s="13">
        <v>5422.96</v>
      </c>
      <c r="AU70" s="13">
        <v>5421.93</v>
      </c>
      <c r="AV70" s="13">
        <v>5418.21</v>
      </c>
      <c r="AW70" s="13">
        <v>5418.04</v>
      </c>
      <c r="AX70" s="13">
        <v>5400.41</v>
      </c>
      <c r="AY70" s="13">
        <v>5415.15</v>
      </c>
      <c r="AZ70" s="13">
        <v>5424.69</v>
      </c>
      <c r="BA70" s="13">
        <v>5413.72</v>
      </c>
      <c r="BB70" s="13">
        <v>5429.19</v>
      </c>
      <c r="BC70" s="13">
        <v>5434.12</v>
      </c>
      <c r="BD70" s="13">
        <v>5428.75</v>
      </c>
      <c r="BE70" s="13">
        <v>5407.71</v>
      </c>
      <c r="BF70" s="13">
        <v>5434.5</v>
      </c>
      <c r="BG70" s="13">
        <v>5432.04</v>
      </c>
      <c r="BH70" s="13">
        <v>5417.93</v>
      </c>
      <c r="BI70" s="13">
        <v>5431.41</v>
      </c>
      <c r="BJ70" s="13">
        <v>5413.1</v>
      </c>
      <c r="BK70" s="13">
        <v>5406.05</v>
      </c>
      <c r="BL70" s="13">
        <v>5384.34</v>
      </c>
      <c r="BM70" s="13">
        <v>5390.54</v>
      </c>
      <c r="BN70" s="13">
        <v>5408.91</v>
      </c>
      <c r="BO70" s="13">
        <v>5407.09</v>
      </c>
      <c r="BP70" s="13">
        <v>5412.7</v>
      </c>
      <c r="BQ70" s="13">
        <v>5389.35</v>
      </c>
      <c r="BR70" s="13">
        <v>5424.36</v>
      </c>
      <c r="BS70" s="13">
        <v>5417.72</v>
      </c>
      <c r="BT70" s="13">
        <v>5414.46</v>
      </c>
      <c r="BU70" s="13">
        <v>5419.8</v>
      </c>
      <c r="BV70" s="13">
        <v>5422.66</v>
      </c>
      <c r="BW70" s="13">
        <v>5422.15</v>
      </c>
      <c r="BX70" s="13">
        <v>5423.76</v>
      </c>
      <c r="BY70" s="13">
        <v>5422.82</v>
      </c>
      <c r="BZ70" s="13">
        <v>5430.42</v>
      </c>
      <c r="CA70" s="13">
        <v>5432.16</v>
      </c>
      <c r="CB70" s="13">
        <v>5430.61</v>
      </c>
      <c r="CC70" s="13">
        <v>5431.08</v>
      </c>
      <c r="CD70" s="13">
        <v>5427.56</v>
      </c>
      <c r="CE70" s="13">
        <v>5433.66</v>
      </c>
      <c r="CF70" s="13">
        <v>5435.51</v>
      </c>
      <c r="CG70" s="13">
        <v>5432.16</v>
      </c>
      <c r="CH70" s="13">
        <v>5437.03</v>
      </c>
      <c r="CI70" s="13">
        <v>5435.58</v>
      </c>
      <c r="CJ70" s="13">
        <v>5415.03</v>
      </c>
      <c r="CK70" s="13">
        <v>5433.17</v>
      </c>
      <c r="CL70" s="13">
        <v>5432.44</v>
      </c>
      <c r="CM70" s="13">
        <v>5431.81</v>
      </c>
      <c r="CN70" s="13">
        <v>5433.95</v>
      </c>
      <c r="CO70" s="13">
        <v>5431.96</v>
      </c>
      <c r="CP70" s="13">
        <v>5431.45</v>
      </c>
      <c r="CQ70" s="13">
        <v>5438.38</v>
      </c>
      <c r="CR70" s="13">
        <v>5433.86</v>
      </c>
      <c r="CS70" s="13">
        <v>5434.37</v>
      </c>
      <c r="CT70" s="13">
        <v>5419.67</v>
      </c>
      <c r="CU70" s="13">
        <v>5420.62</v>
      </c>
      <c r="CV70" s="13">
        <v>5428.06</v>
      </c>
      <c r="CW70" s="13">
        <v>5429.03</v>
      </c>
      <c r="CX70" s="13">
        <v>5416.46</v>
      </c>
      <c r="CY70" s="13">
        <v>5420.52</v>
      </c>
      <c r="CZ70" s="13">
        <v>5422.57</v>
      </c>
      <c r="DA70" s="13">
        <v>5424.93</v>
      </c>
      <c r="DB70" s="13">
        <v>5428.13</v>
      </c>
      <c r="DC70" s="13">
        <v>5424.72</v>
      </c>
      <c r="DD70" s="13">
        <v>5415.7</v>
      </c>
      <c r="DE70" s="13">
        <v>5422.02</v>
      </c>
      <c r="DF70" s="13">
        <v>5426.85</v>
      </c>
      <c r="DG70" s="13">
        <v>5430.19</v>
      </c>
      <c r="DH70" s="13">
        <v>5432.6</v>
      </c>
      <c r="DI70" s="13">
        <v>5435.57</v>
      </c>
      <c r="DJ70" s="13">
        <v>5434.87</v>
      </c>
      <c r="DK70" s="13">
        <v>5432.58</v>
      </c>
      <c r="DM70" s="20"/>
    </row>
    <row r="71" spans="1:117" ht="15.75" x14ac:dyDescent="0.25">
      <c r="A71" s="11" t="s">
        <v>5</v>
      </c>
      <c r="B71" s="11" t="s">
        <v>11</v>
      </c>
      <c r="C71" s="15">
        <v>0.37847222222222227</v>
      </c>
      <c r="D71" s="15">
        <v>0.38194444444444442</v>
      </c>
      <c r="E71" s="15">
        <v>0.38541666666666669</v>
      </c>
      <c r="F71" s="15">
        <v>0.3888888888888889</v>
      </c>
      <c r="G71" s="15">
        <v>0.3923611111111111</v>
      </c>
      <c r="H71" s="15">
        <v>0.39583333333333331</v>
      </c>
      <c r="I71" s="15">
        <v>0.39930555555555558</v>
      </c>
      <c r="J71" s="15">
        <v>0.40277777777777773</v>
      </c>
      <c r="K71" s="15">
        <v>0.40625</v>
      </c>
      <c r="L71" s="15">
        <v>0.40972222222222227</v>
      </c>
      <c r="M71" s="15">
        <v>0.41319444444444442</v>
      </c>
      <c r="N71" s="15">
        <v>0.41666666666666669</v>
      </c>
      <c r="O71" s="15">
        <v>0.4201388888888889</v>
      </c>
      <c r="P71" s="15">
        <v>0.4236111111111111</v>
      </c>
      <c r="Q71" s="15">
        <v>0.42708333333333331</v>
      </c>
      <c r="R71" s="15">
        <v>0.43055555555555558</v>
      </c>
      <c r="S71" s="15">
        <v>0.43402777777777773</v>
      </c>
      <c r="T71" s="15">
        <v>0.4375</v>
      </c>
      <c r="U71" s="15">
        <v>0.44097222222222227</v>
      </c>
      <c r="V71" s="15">
        <v>0.44444444444444442</v>
      </c>
      <c r="W71" s="15">
        <v>0.44791666666666669</v>
      </c>
      <c r="X71" s="15">
        <v>0.4513888888888889</v>
      </c>
      <c r="Y71" s="15">
        <v>0.4548611111111111</v>
      </c>
      <c r="Z71" s="15">
        <v>0.45833333333333331</v>
      </c>
      <c r="AA71" s="15">
        <v>0.46180555555555558</v>
      </c>
      <c r="AB71" s="15">
        <v>0.46527777777777773</v>
      </c>
      <c r="AC71" s="15">
        <v>0.46875</v>
      </c>
      <c r="AD71" s="15">
        <v>0.47222222222222227</v>
      </c>
      <c r="AE71" s="15">
        <v>0.47569444444444442</v>
      </c>
      <c r="AF71" s="15">
        <v>0.47916666666666669</v>
      </c>
      <c r="AG71" s="15">
        <v>0.4826388888888889</v>
      </c>
      <c r="AH71" s="15">
        <v>0.4861111111111111</v>
      </c>
      <c r="AI71" s="15">
        <v>0.48958333333333331</v>
      </c>
      <c r="AJ71" s="15">
        <v>0.49305555555555558</v>
      </c>
      <c r="AK71" s="15">
        <v>0.49652777777777773</v>
      </c>
      <c r="AL71" s="15">
        <v>0.5</v>
      </c>
      <c r="AM71" s="15">
        <v>0.50347222222222221</v>
      </c>
      <c r="AN71" s="15">
        <v>0.50694444444444442</v>
      </c>
      <c r="AO71" s="15">
        <v>0.51041666666666663</v>
      </c>
      <c r="AP71" s="15">
        <v>0.51388888888888895</v>
      </c>
      <c r="AQ71" s="15">
        <v>0.51736111111111105</v>
      </c>
      <c r="AR71" s="15">
        <v>0.52083333333333337</v>
      </c>
      <c r="AS71" s="15">
        <v>0.52430555555555558</v>
      </c>
      <c r="AT71" s="15">
        <v>0.52777777777777779</v>
      </c>
      <c r="AU71" s="15">
        <v>0.53125</v>
      </c>
      <c r="AV71" s="15">
        <v>0.53472222222222221</v>
      </c>
      <c r="AW71" s="15">
        <v>0.53819444444444442</v>
      </c>
      <c r="AX71" s="15">
        <v>0.54166666666666663</v>
      </c>
      <c r="AY71" s="15">
        <v>0.54513888888888895</v>
      </c>
      <c r="AZ71" s="15">
        <v>0.54861111111111105</v>
      </c>
      <c r="BA71" s="15">
        <v>0.55208333333333337</v>
      </c>
      <c r="BB71" s="15">
        <v>0.55555555555555558</v>
      </c>
      <c r="BC71" s="15">
        <v>0.55902777777777779</v>
      </c>
      <c r="BD71" s="15">
        <v>0.5625</v>
      </c>
      <c r="BE71" s="15">
        <v>0.56597222222222221</v>
      </c>
      <c r="BF71" s="15">
        <v>0.56944444444444442</v>
      </c>
      <c r="BG71" s="15">
        <v>0.57291666666666663</v>
      </c>
      <c r="BH71" s="15">
        <v>0.57638888888888895</v>
      </c>
      <c r="BI71" s="15">
        <v>0.57986111111111105</v>
      </c>
      <c r="BJ71" s="15">
        <v>0.58333333333333337</v>
      </c>
      <c r="BK71" s="15">
        <v>0.58680555555555558</v>
      </c>
      <c r="BL71" s="15">
        <v>0.59027777777777779</v>
      </c>
      <c r="BM71" s="15">
        <v>0.59375</v>
      </c>
      <c r="BN71" s="15">
        <v>0.59722222222222221</v>
      </c>
      <c r="BO71" s="15">
        <v>0.60069444444444442</v>
      </c>
      <c r="BP71" s="15">
        <v>0.60416666666666663</v>
      </c>
      <c r="BQ71" s="15">
        <v>0.60763888888888895</v>
      </c>
      <c r="BR71" s="15">
        <v>0.61111111111111105</v>
      </c>
      <c r="BS71" s="15">
        <v>0.61458333333333337</v>
      </c>
      <c r="BT71" s="15">
        <v>0.61805555555555558</v>
      </c>
      <c r="BU71" s="15">
        <v>0.62152777777777779</v>
      </c>
      <c r="BV71" s="15">
        <v>0.625</v>
      </c>
      <c r="BW71" s="15">
        <v>0.62847222222222221</v>
      </c>
      <c r="BX71" s="15">
        <v>0.63194444444444442</v>
      </c>
      <c r="BY71" s="15">
        <v>0.63541666666666663</v>
      </c>
      <c r="BZ71" s="15">
        <v>0.63888888888888895</v>
      </c>
      <c r="CA71" s="15">
        <v>0.64236111111111105</v>
      </c>
      <c r="CB71" s="15">
        <v>0.64583333333333337</v>
      </c>
      <c r="CC71" s="15">
        <v>0.64930555555555558</v>
      </c>
      <c r="CD71" s="15">
        <v>0.65277777777777779</v>
      </c>
      <c r="CE71" s="15">
        <v>0.65625</v>
      </c>
      <c r="CF71" s="15">
        <v>0.65972222222222221</v>
      </c>
      <c r="CG71" s="15">
        <v>0.66319444444444442</v>
      </c>
      <c r="CH71" s="15">
        <v>0.66666666666666663</v>
      </c>
      <c r="CI71" s="15">
        <v>0.67013888888888884</v>
      </c>
      <c r="CJ71" s="15">
        <v>0.67361111111111116</v>
      </c>
      <c r="CK71" s="15">
        <v>0.67708333333333337</v>
      </c>
      <c r="CL71" s="15">
        <v>0.68055555555555547</v>
      </c>
      <c r="CM71" s="15">
        <v>0.68402777777777779</v>
      </c>
      <c r="CN71" s="15">
        <v>0.6875</v>
      </c>
      <c r="CO71" s="15">
        <v>0.69097222222222221</v>
      </c>
      <c r="CP71" s="15">
        <v>0.69444444444444453</v>
      </c>
      <c r="CQ71" s="15">
        <v>0.69791666666666663</v>
      </c>
      <c r="CR71" s="15">
        <v>0.70138888888888884</v>
      </c>
      <c r="CS71" s="15">
        <v>0.70486111111111116</v>
      </c>
      <c r="CT71" s="15">
        <v>0.70833333333333337</v>
      </c>
      <c r="CU71" s="15">
        <v>0.71180555555555547</v>
      </c>
      <c r="CV71" s="15">
        <v>0.71527777777777779</v>
      </c>
      <c r="CW71" s="15">
        <v>0.71875</v>
      </c>
      <c r="CX71" s="15">
        <v>0.72222222222222221</v>
      </c>
      <c r="CY71" s="15">
        <v>0.72569444444444453</v>
      </c>
      <c r="CZ71" s="15">
        <v>0.72916666666666663</v>
      </c>
      <c r="DA71" s="15">
        <v>0.73263888888888884</v>
      </c>
      <c r="DB71" s="15">
        <v>0.73611111111111116</v>
      </c>
      <c r="DC71" s="15">
        <v>0.73958333333333337</v>
      </c>
      <c r="DD71" s="15">
        <v>0.74305555555555547</v>
      </c>
      <c r="DE71" s="15">
        <v>0.74652777777777779</v>
      </c>
      <c r="DF71" s="15">
        <v>0.75</v>
      </c>
      <c r="DG71" s="15">
        <v>0.75347222222222221</v>
      </c>
      <c r="DH71" s="15">
        <v>0.75694444444444453</v>
      </c>
      <c r="DI71" s="15">
        <v>0.76041666666666663</v>
      </c>
      <c r="DJ71" s="15">
        <v>0.76388888888888884</v>
      </c>
      <c r="DK71" s="15">
        <v>0.76736111111111116</v>
      </c>
      <c r="DM71" s="20"/>
    </row>
    <row r="72" spans="1:117" ht="15.75" x14ac:dyDescent="0.25">
      <c r="A72" s="14">
        <v>44159</v>
      </c>
      <c r="B72" s="12" t="s">
        <v>6</v>
      </c>
      <c r="C72" s="13">
        <v>5432</v>
      </c>
      <c r="D72" s="13">
        <v>5429.21</v>
      </c>
      <c r="E72" s="13">
        <v>5424.5</v>
      </c>
      <c r="F72" s="13">
        <v>5423.77</v>
      </c>
      <c r="G72" s="13">
        <v>5422.21</v>
      </c>
      <c r="H72" s="13">
        <v>5427.19</v>
      </c>
      <c r="I72" s="13">
        <v>5432.38</v>
      </c>
      <c r="J72" s="13">
        <v>5433.84</v>
      </c>
      <c r="K72" s="13">
        <v>5432.79</v>
      </c>
      <c r="L72" s="13">
        <v>5422.85</v>
      </c>
      <c r="M72" s="13">
        <v>5433.53</v>
      </c>
      <c r="N72" s="13">
        <v>5432.01</v>
      </c>
      <c r="O72" s="13">
        <v>5425.17</v>
      </c>
      <c r="P72" s="13">
        <v>5414.63</v>
      </c>
      <c r="Q72" s="13">
        <v>5415.15</v>
      </c>
      <c r="R72" s="13">
        <v>5395.74</v>
      </c>
      <c r="S72" s="13">
        <v>5401.15</v>
      </c>
      <c r="T72" s="13">
        <v>5403.35</v>
      </c>
      <c r="U72" s="13">
        <v>5398.11</v>
      </c>
      <c r="V72" s="13">
        <v>5398.06</v>
      </c>
      <c r="W72" s="13">
        <v>5397.55</v>
      </c>
      <c r="X72" s="13">
        <v>5397.1</v>
      </c>
      <c r="Y72" s="13">
        <v>5399.25</v>
      </c>
      <c r="Z72" s="13">
        <v>5406.3</v>
      </c>
      <c r="AA72" s="13">
        <v>5412.35</v>
      </c>
      <c r="AB72" s="13">
        <v>5401.49</v>
      </c>
      <c r="AC72" s="13">
        <v>5400.91</v>
      </c>
      <c r="AD72" s="13">
        <v>5398.3</v>
      </c>
      <c r="AE72" s="13">
        <v>5398.03</v>
      </c>
      <c r="AF72" s="13">
        <v>5399.49</v>
      </c>
      <c r="AG72" s="13">
        <v>5406.5</v>
      </c>
      <c r="AH72" s="13">
        <v>5404.53</v>
      </c>
      <c r="AI72" s="13">
        <v>5408.18</v>
      </c>
      <c r="AJ72" s="13">
        <v>5407.4</v>
      </c>
      <c r="AK72" s="13">
        <v>5412.04</v>
      </c>
      <c r="AL72" s="13">
        <v>5400.16</v>
      </c>
      <c r="AM72" s="13">
        <v>5405.63</v>
      </c>
      <c r="AN72" s="13">
        <v>5410.25</v>
      </c>
      <c r="AO72" s="13">
        <v>5409.28</v>
      </c>
      <c r="AP72" s="13">
        <v>5412.22</v>
      </c>
      <c r="AQ72" s="13">
        <v>5411.86</v>
      </c>
      <c r="AR72" s="13">
        <v>5409.71</v>
      </c>
      <c r="AS72" s="13">
        <v>5408.88</v>
      </c>
      <c r="AT72" s="13">
        <v>5401.21</v>
      </c>
      <c r="AU72" s="13">
        <v>5395.71</v>
      </c>
      <c r="AV72" s="13">
        <v>5397.81</v>
      </c>
      <c r="AW72" s="13">
        <v>5394.82</v>
      </c>
      <c r="AX72" s="13">
        <v>5393.7</v>
      </c>
      <c r="AY72" s="13">
        <v>5397.46</v>
      </c>
      <c r="AZ72" s="13">
        <v>5403.56</v>
      </c>
      <c r="BA72" s="13">
        <v>5404.63</v>
      </c>
      <c r="BB72" s="13">
        <v>5400.04</v>
      </c>
      <c r="BC72" s="13">
        <v>5397.91</v>
      </c>
      <c r="BD72" s="13">
        <v>5401.83</v>
      </c>
      <c r="BE72" s="13">
        <v>5398.9</v>
      </c>
      <c r="BF72" s="13">
        <v>5398.11</v>
      </c>
      <c r="BG72" s="13">
        <v>5393.57</v>
      </c>
      <c r="BH72" s="13">
        <v>5392.63</v>
      </c>
      <c r="BI72" s="13">
        <v>5394.42</v>
      </c>
      <c r="BJ72" s="13">
        <v>5399.94</v>
      </c>
      <c r="BK72" s="13">
        <v>5400.22</v>
      </c>
      <c r="BL72" s="13">
        <v>5401.9</v>
      </c>
      <c r="BM72" s="13">
        <v>5400.41</v>
      </c>
      <c r="BN72" s="13">
        <v>5403.41</v>
      </c>
      <c r="BO72" s="13">
        <v>5400.28</v>
      </c>
      <c r="BP72" s="13">
        <v>5401.79</v>
      </c>
      <c r="BQ72" s="13">
        <v>5400.38</v>
      </c>
      <c r="BR72" s="13">
        <v>5404.84</v>
      </c>
      <c r="BS72" s="13">
        <v>5411.71</v>
      </c>
      <c r="BT72" s="13">
        <v>5405.19</v>
      </c>
      <c r="BU72" s="13">
        <v>5401.87</v>
      </c>
      <c r="BV72" s="13">
        <v>5398.82</v>
      </c>
      <c r="BW72" s="13">
        <v>5394.85</v>
      </c>
      <c r="BX72" s="13">
        <v>5394.29</v>
      </c>
      <c r="BY72" s="13">
        <v>5391.42</v>
      </c>
      <c r="BZ72" s="13">
        <v>5390.23</v>
      </c>
      <c r="CA72" s="13">
        <v>5397.73</v>
      </c>
      <c r="CB72" s="13">
        <v>5394.67</v>
      </c>
      <c r="CC72" s="13">
        <v>5388.57</v>
      </c>
      <c r="CD72" s="13">
        <v>5393.87</v>
      </c>
      <c r="CE72" s="13">
        <v>5396.8</v>
      </c>
      <c r="CF72" s="13">
        <v>5397.93</v>
      </c>
      <c r="CG72" s="13">
        <v>5393.33</v>
      </c>
      <c r="CH72" s="13">
        <v>5392.57</v>
      </c>
      <c r="CI72" s="13">
        <v>5393.06</v>
      </c>
      <c r="CJ72" s="13">
        <v>5395.14</v>
      </c>
      <c r="CK72" s="13">
        <v>5395</v>
      </c>
      <c r="CL72" s="13">
        <v>5393.6</v>
      </c>
      <c r="CM72" s="13">
        <v>5393.14</v>
      </c>
      <c r="CN72" s="13">
        <v>5394.26</v>
      </c>
      <c r="CO72" s="13">
        <v>5394.27</v>
      </c>
      <c r="CP72" s="13">
        <v>5392.53</v>
      </c>
      <c r="CQ72" s="13">
        <v>5387.79</v>
      </c>
      <c r="CR72" s="13">
        <v>5391.55</v>
      </c>
      <c r="CS72" s="13">
        <v>5390.82</v>
      </c>
      <c r="CT72" s="13">
        <v>5389.56</v>
      </c>
      <c r="CU72" s="13">
        <v>5385.07</v>
      </c>
      <c r="CV72" s="13">
        <v>5386.63</v>
      </c>
      <c r="CW72" s="13">
        <v>5386.66</v>
      </c>
      <c r="CX72" s="13">
        <v>5385.63</v>
      </c>
      <c r="CY72" s="13">
        <v>5385.1</v>
      </c>
      <c r="CZ72" s="13">
        <v>5387.63</v>
      </c>
      <c r="DA72" s="13">
        <v>5385.06</v>
      </c>
      <c r="DB72" s="13">
        <v>5385.09</v>
      </c>
      <c r="DC72" s="13">
        <v>5385.62</v>
      </c>
      <c r="DD72" s="13">
        <v>5383.07</v>
      </c>
      <c r="DE72" s="13">
        <v>5382.1</v>
      </c>
      <c r="DF72" s="13">
        <v>5382.45</v>
      </c>
      <c r="DG72" s="13">
        <v>5383.78</v>
      </c>
      <c r="DH72" s="13">
        <v>5381.45</v>
      </c>
      <c r="DI72" s="13">
        <v>5381.72</v>
      </c>
      <c r="DJ72" s="13">
        <v>5381.2</v>
      </c>
      <c r="DK72" s="13">
        <v>5382.95</v>
      </c>
      <c r="DM72" s="20"/>
    </row>
    <row r="73" spans="1:117" ht="15.75" x14ac:dyDescent="0.25">
      <c r="A73" s="14" t="s">
        <v>12</v>
      </c>
      <c r="B73" s="12" t="s">
        <v>10</v>
      </c>
      <c r="C73" s="13">
        <v>5423</v>
      </c>
      <c r="D73" s="13">
        <v>5418.35</v>
      </c>
      <c r="E73" s="13">
        <v>5420.79</v>
      </c>
      <c r="F73" s="13">
        <v>5417.38</v>
      </c>
      <c r="G73" s="13">
        <v>5420.24</v>
      </c>
      <c r="H73" s="13">
        <v>5426.03</v>
      </c>
      <c r="I73" s="13">
        <v>5429.91</v>
      </c>
      <c r="J73" s="13">
        <v>5425.78</v>
      </c>
      <c r="K73" s="13">
        <v>5426.25</v>
      </c>
      <c r="L73" s="13">
        <v>5421.2</v>
      </c>
      <c r="M73" s="13">
        <v>5431.82</v>
      </c>
      <c r="N73" s="13">
        <v>5422.17</v>
      </c>
      <c r="O73" s="13">
        <v>5412.97</v>
      </c>
      <c r="P73" s="13">
        <v>5414.18</v>
      </c>
      <c r="Q73" s="13">
        <v>5396.17</v>
      </c>
      <c r="R73" s="13">
        <v>5394.73</v>
      </c>
      <c r="S73" s="13">
        <v>5400.76</v>
      </c>
      <c r="T73" s="13">
        <v>5395.93</v>
      </c>
      <c r="U73" s="13">
        <v>5393.38</v>
      </c>
      <c r="V73" s="13">
        <v>5396.9</v>
      </c>
      <c r="W73" s="13">
        <v>5393.38</v>
      </c>
      <c r="X73" s="13">
        <v>5395.91</v>
      </c>
      <c r="Y73" s="13">
        <v>5396.84</v>
      </c>
      <c r="Z73" s="13">
        <v>5406.3</v>
      </c>
      <c r="AA73" s="13">
        <v>5400.92</v>
      </c>
      <c r="AB73" s="13">
        <v>5400.76</v>
      </c>
      <c r="AC73" s="13">
        <v>5396.82</v>
      </c>
      <c r="AD73" s="13">
        <v>5396.95</v>
      </c>
      <c r="AE73" s="13">
        <v>5397.08</v>
      </c>
      <c r="AF73" s="13">
        <v>5394.31</v>
      </c>
      <c r="AG73" s="13">
        <v>5399.6</v>
      </c>
      <c r="AH73" s="13">
        <v>5401.97</v>
      </c>
      <c r="AI73" s="13">
        <v>5407.06</v>
      </c>
      <c r="AJ73" s="13">
        <v>5406.93</v>
      </c>
      <c r="AK73" s="13">
        <v>5397.86</v>
      </c>
      <c r="AL73" s="13">
        <v>5399.75</v>
      </c>
      <c r="AM73" s="13">
        <v>5405.45</v>
      </c>
      <c r="AN73" s="13">
        <v>5407.6</v>
      </c>
      <c r="AO73" s="13">
        <v>5407.31</v>
      </c>
      <c r="AP73" s="13">
        <v>5412.12</v>
      </c>
      <c r="AQ73" s="13">
        <v>5405.23</v>
      </c>
      <c r="AR73" s="13">
        <v>5408.88</v>
      </c>
      <c r="AS73" s="13">
        <v>5401.46</v>
      </c>
      <c r="AT73" s="13">
        <v>5394.56</v>
      </c>
      <c r="AU73" s="13">
        <v>5394.31</v>
      </c>
      <c r="AV73" s="13">
        <v>5394.5</v>
      </c>
      <c r="AW73" s="13">
        <v>5392.13</v>
      </c>
      <c r="AX73" s="13">
        <v>5392.9</v>
      </c>
      <c r="AY73" s="13">
        <v>5396.58</v>
      </c>
      <c r="AZ73" s="13">
        <v>5403.56</v>
      </c>
      <c r="BA73" s="13">
        <v>5400.45</v>
      </c>
      <c r="BB73" s="13">
        <v>5396.88</v>
      </c>
      <c r="BC73" s="13">
        <v>5396.91</v>
      </c>
      <c r="BD73" s="13">
        <v>5398.33</v>
      </c>
      <c r="BE73" s="13">
        <v>5393.05</v>
      </c>
      <c r="BF73" s="13">
        <v>5393.07</v>
      </c>
      <c r="BG73" s="13">
        <v>5392.54</v>
      </c>
      <c r="BH73" s="13">
        <v>5392.5</v>
      </c>
      <c r="BI73" s="13">
        <v>5392.18</v>
      </c>
      <c r="BJ73" s="13">
        <v>5398.93</v>
      </c>
      <c r="BK73" s="13">
        <v>5399.09</v>
      </c>
      <c r="BL73" s="13">
        <v>5400.01</v>
      </c>
      <c r="BM73" s="13">
        <v>5399.97</v>
      </c>
      <c r="BN73" s="13">
        <v>5401.78</v>
      </c>
      <c r="BO73" s="13">
        <v>5398.4</v>
      </c>
      <c r="BP73" s="13">
        <v>5398.8</v>
      </c>
      <c r="BQ73" s="13">
        <v>5394.87</v>
      </c>
      <c r="BR73" s="13">
        <v>5404.84</v>
      </c>
      <c r="BS73" s="13">
        <v>5403.21</v>
      </c>
      <c r="BT73" s="13">
        <v>5402.9</v>
      </c>
      <c r="BU73" s="13">
        <v>5399.09</v>
      </c>
      <c r="BV73" s="13">
        <v>5394.82</v>
      </c>
      <c r="BW73" s="13">
        <v>5394.29</v>
      </c>
      <c r="BX73" s="13">
        <v>5389.42</v>
      </c>
      <c r="BY73" s="13">
        <v>5390.28</v>
      </c>
      <c r="BZ73" s="13">
        <v>5388.36</v>
      </c>
      <c r="CA73" s="13">
        <v>5391.11</v>
      </c>
      <c r="CB73" s="13">
        <v>5388.22</v>
      </c>
      <c r="CC73" s="13">
        <v>5388.57</v>
      </c>
      <c r="CD73" s="13">
        <v>5391.5</v>
      </c>
      <c r="CE73" s="13">
        <v>5394.68</v>
      </c>
      <c r="CF73" s="13">
        <v>5388.29</v>
      </c>
      <c r="CG73" s="13">
        <v>5393.33</v>
      </c>
      <c r="CH73" s="13">
        <v>5389.31</v>
      </c>
      <c r="CI73" s="13">
        <v>5393.06</v>
      </c>
      <c r="CJ73" s="13">
        <v>5394.73</v>
      </c>
      <c r="CK73" s="13">
        <v>5391.61</v>
      </c>
      <c r="CL73" s="13">
        <v>5390.33</v>
      </c>
      <c r="CM73" s="13">
        <v>5392.91</v>
      </c>
      <c r="CN73" s="13">
        <v>5394.26</v>
      </c>
      <c r="CO73" s="13">
        <v>5392.65</v>
      </c>
      <c r="CP73" s="13">
        <v>5386.98</v>
      </c>
      <c r="CQ73" s="13">
        <v>5386.77</v>
      </c>
      <c r="CR73" s="13">
        <v>5390.8</v>
      </c>
      <c r="CS73" s="13">
        <v>5387.57</v>
      </c>
      <c r="CT73" s="13">
        <v>5381.71</v>
      </c>
      <c r="CU73" s="13">
        <v>5384.04</v>
      </c>
      <c r="CV73" s="13">
        <v>5383.66</v>
      </c>
      <c r="CW73" s="13">
        <v>5383.7</v>
      </c>
      <c r="CX73" s="13">
        <v>5385.22</v>
      </c>
      <c r="CY73" s="13">
        <v>5384.19</v>
      </c>
      <c r="CZ73" s="13">
        <v>5382.81</v>
      </c>
      <c r="DA73" s="13">
        <v>5383.76</v>
      </c>
      <c r="DB73" s="13">
        <v>5383.21</v>
      </c>
      <c r="DC73" s="13">
        <v>5384.79</v>
      </c>
      <c r="DD73" s="13">
        <v>5379.75</v>
      </c>
      <c r="DE73" s="13">
        <v>5377.68</v>
      </c>
      <c r="DF73" s="13">
        <v>5382.45</v>
      </c>
      <c r="DG73" s="13">
        <v>5380.79</v>
      </c>
      <c r="DH73" s="13">
        <v>5379.84</v>
      </c>
      <c r="DI73" s="13">
        <v>5380.78</v>
      </c>
      <c r="DJ73" s="13">
        <v>5380.81</v>
      </c>
      <c r="DK73" s="13">
        <v>5381.31</v>
      </c>
      <c r="DM73" s="20"/>
    </row>
    <row r="74" spans="1:117" ht="15.75" x14ac:dyDescent="0.25">
      <c r="A74" s="14" t="s">
        <v>12</v>
      </c>
      <c r="B74" s="12" t="s">
        <v>9</v>
      </c>
      <c r="C74" s="13">
        <v>5413.58</v>
      </c>
      <c r="D74" s="13">
        <v>5412.23</v>
      </c>
      <c r="E74" s="13">
        <v>5414.83</v>
      </c>
      <c r="F74" s="13">
        <v>5411.24</v>
      </c>
      <c r="G74" s="13">
        <v>5414.73</v>
      </c>
      <c r="H74" s="13">
        <v>5420</v>
      </c>
      <c r="I74" s="13">
        <v>5423.94</v>
      </c>
      <c r="J74" s="13">
        <v>5419.64</v>
      </c>
      <c r="K74" s="13">
        <v>5419.77</v>
      </c>
      <c r="L74" s="13">
        <v>5414.76</v>
      </c>
      <c r="M74" s="13">
        <v>5426.17</v>
      </c>
      <c r="N74" s="13">
        <v>5416.16</v>
      </c>
      <c r="O74" s="13">
        <v>5407.15</v>
      </c>
      <c r="P74" s="13">
        <v>5408.19</v>
      </c>
      <c r="Q74" s="13">
        <v>5390.55</v>
      </c>
      <c r="R74" s="13">
        <v>5388.75</v>
      </c>
      <c r="S74" s="13">
        <v>5395.06</v>
      </c>
      <c r="T74" s="13">
        <v>5389.55</v>
      </c>
      <c r="U74" s="13">
        <v>5386.81</v>
      </c>
      <c r="V74" s="13">
        <v>5391.03</v>
      </c>
      <c r="W74" s="13">
        <v>5387.01</v>
      </c>
      <c r="X74" s="13">
        <v>5388.8</v>
      </c>
      <c r="Y74" s="13">
        <v>5390.58</v>
      </c>
      <c r="Z74" s="13">
        <v>5399.97</v>
      </c>
      <c r="AA74" s="13">
        <v>5393.9</v>
      </c>
      <c r="AB74" s="13">
        <v>5392.22</v>
      </c>
      <c r="AC74" s="13">
        <v>5389.57</v>
      </c>
      <c r="AD74" s="13">
        <v>5390.52</v>
      </c>
      <c r="AE74" s="13">
        <v>5390.22</v>
      </c>
      <c r="AF74" s="13">
        <v>5387.82</v>
      </c>
      <c r="AG74" s="13">
        <v>5392.11</v>
      </c>
      <c r="AH74" s="13">
        <v>5394.49</v>
      </c>
      <c r="AI74" s="13">
        <v>5399.77</v>
      </c>
      <c r="AJ74" s="13">
        <v>5399.33</v>
      </c>
      <c r="AK74" s="13">
        <v>5390.66</v>
      </c>
      <c r="AL74" s="13">
        <v>5391.72</v>
      </c>
      <c r="AM74" s="13">
        <v>5397.23</v>
      </c>
      <c r="AN74" s="13">
        <v>5400.08</v>
      </c>
      <c r="AO74" s="13">
        <v>5399.58</v>
      </c>
      <c r="AP74" s="13">
        <v>5403.39</v>
      </c>
      <c r="AQ74" s="13">
        <v>5397.73</v>
      </c>
      <c r="AR74" s="13">
        <v>5401.06</v>
      </c>
      <c r="AS74" s="13">
        <v>5393.47</v>
      </c>
      <c r="AT74" s="13">
        <v>5382.2</v>
      </c>
      <c r="AU74" s="13">
        <v>5387.85</v>
      </c>
      <c r="AV74" s="13">
        <v>5387.9</v>
      </c>
      <c r="AW74" s="13">
        <v>5383.69</v>
      </c>
      <c r="AX74" s="13">
        <v>5385.95</v>
      </c>
      <c r="AY74" s="13">
        <v>5388.62</v>
      </c>
      <c r="AZ74" s="13">
        <v>5395.89</v>
      </c>
      <c r="BA74" s="13">
        <v>5393.82</v>
      </c>
      <c r="BB74" s="13">
        <v>5390.1</v>
      </c>
      <c r="BC74" s="13">
        <v>5390.44</v>
      </c>
      <c r="BD74" s="13">
        <v>5391.59</v>
      </c>
      <c r="BE74" s="13">
        <v>5385.92</v>
      </c>
      <c r="BF74" s="13">
        <v>5386.6</v>
      </c>
      <c r="BG74" s="13">
        <v>5386.17</v>
      </c>
      <c r="BH74" s="13">
        <v>5386.13</v>
      </c>
      <c r="BI74" s="13">
        <v>5385.25</v>
      </c>
      <c r="BJ74" s="13">
        <v>5392.12</v>
      </c>
      <c r="BK74" s="13">
        <v>5392.09</v>
      </c>
      <c r="BL74" s="13">
        <v>5393.36</v>
      </c>
      <c r="BM74" s="13">
        <v>5392.99</v>
      </c>
      <c r="BN74" s="13">
        <v>5395.03</v>
      </c>
      <c r="BO74" s="13">
        <v>5392.08</v>
      </c>
      <c r="BP74" s="13">
        <v>5392.37</v>
      </c>
      <c r="BQ74" s="13">
        <v>5388.48</v>
      </c>
      <c r="BR74" s="13">
        <v>5398.05</v>
      </c>
      <c r="BS74" s="13">
        <v>5396.6</v>
      </c>
      <c r="BT74" s="13">
        <v>5395.36</v>
      </c>
      <c r="BU74" s="13">
        <v>5392.02</v>
      </c>
      <c r="BV74" s="13">
        <v>5388.15</v>
      </c>
      <c r="BW74" s="13">
        <v>5388.1</v>
      </c>
      <c r="BX74" s="13">
        <v>5381.28</v>
      </c>
      <c r="BY74" s="13">
        <v>5383.32</v>
      </c>
      <c r="BZ74" s="13">
        <v>5382.26</v>
      </c>
      <c r="CA74" s="13">
        <v>5379.3</v>
      </c>
      <c r="CB74" s="13">
        <v>5378.15</v>
      </c>
      <c r="CC74" s="13">
        <v>5375.2</v>
      </c>
      <c r="CD74" s="13">
        <v>5379.13</v>
      </c>
      <c r="CE74" s="13">
        <v>5383.33</v>
      </c>
      <c r="CF74" s="13">
        <v>5378.05</v>
      </c>
      <c r="CG74" s="13">
        <v>5381.96</v>
      </c>
      <c r="CH74" s="13">
        <v>5380.47</v>
      </c>
      <c r="CI74" s="13">
        <v>5384.24</v>
      </c>
      <c r="CJ74" s="13">
        <v>5383.33</v>
      </c>
      <c r="CK74" s="13">
        <v>5385.21</v>
      </c>
      <c r="CL74" s="13">
        <v>5384.25</v>
      </c>
      <c r="CM74" s="13">
        <v>5386.14</v>
      </c>
      <c r="CN74" s="13">
        <v>5387.54</v>
      </c>
      <c r="CO74" s="13">
        <v>5386.57</v>
      </c>
      <c r="CP74" s="13">
        <v>5380.94</v>
      </c>
      <c r="CQ74" s="13">
        <v>5380.76</v>
      </c>
      <c r="CR74" s="13">
        <v>5385.08</v>
      </c>
      <c r="CS74" s="13">
        <v>5381.31</v>
      </c>
      <c r="CT74" s="13">
        <v>5375.72</v>
      </c>
      <c r="CU74" s="13">
        <v>5377.68</v>
      </c>
      <c r="CV74" s="13">
        <v>5377.3</v>
      </c>
      <c r="CW74" s="13">
        <v>5377.75</v>
      </c>
      <c r="CX74" s="13">
        <v>5378.78</v>
      </c>
      <c r="CY74" s="13">
        <v>5378.32</v>
      </c>
      <c r="CZ74" s="13">
        <v>5376.47</v>
      </c>
      <c r="DA74" s="13">
        <v>5377.83</v>
      </c>
      <c r="DB74" s="13">
        <v>5376.96</v>
      </c>
      <c r="DC74" s="13">
        <v>5378.32</v>
      </c>
      <c r="DD74" s="13">
        <v>5373.54</v>
      </c>
      <c r="DE74" s="13">
        <v>5371.68</v>
      </c>
      <c r="DF74" s="13">
        <v>5375.18</v>
      </c>
      <c r="DG74" s="13">
        <v>5373.99</v>
      </c>
      <c r="DH74" s="13">
        <v>5373.09</v>
      </c>
      <c r="DI74" s="13">
        <v>5373.96</v>
      </c>
      <c r="DJ74" s="13">
        <v>5373.92</v>
      </c>
      <c r="DK74" s="13">
        <v>5374.27</v>
      </c>
      <c r="DM74" s="20"/>
    </row>
    <row r="75" spans="1:117" ht="15.75" x14ac:dyDescent="0.25">
      <c r="A75" s="14" t="s">
        <v>12</v>
      </c>
      <c r="B75" s="12" t="s">
        <v>7</v>
      </c>
      <c r="C75" s="13">
        <v>5389</v>
      </c>
      <c r="D75" s="13">
        <v>5412.23</v>
      </c>
      <c r="E75" s="13">
        <v>5409.5</v>
      </c>
      <c r="F75" s="13">
        <v>5411.24</v>
      </c>
      <c r="G75" s="13">
        <v>5411.36</v>
      </c>
      <c r="H75" s="13">
        <v>5412.3</v>
      </c>
      <c r="I75" s="13">
        <v>5420.59</v>
      </c>
      <c r="J75" s="13">
        <v>5417.64</v>
      </c>
      <c r="K75" s="13">
        <v>5419.28</v>
      </c>
      <c r="L75" s="13">
        <v>5413.72</v>
      </c>
      <c r="M75" s="13">
        <v>5408.43</v>
      </c>
      <c r="N75" s="13">
        <v>5416.16</v>
      </c>
      <c r="O75" s="13">
        <v>5406.16</v>
      </c>
      <c r="P75" s="13">
        <v>5404.96</v>
      </c>
      <c r="Q75" s="13">
        <v>5390.28</v>
      </c>
      <c r="R75" s="13">
        <v>5386.9</v>
      </c>
      <c r="S75" s="13">
        <v>5385.05</v>
      </c>
      <c r="T75" s="13">
        <v>5389.55</v>
      </c>
      <c r="U75" s="13">
        <v>5381.88</v>
      </c>
      <c r="V75" s="13">
        <v>5385.32</v>
      </c>
      <c r="W75" s="13">
        <v>5385.72</v>
      </c>
      <c r="X75" s="13">
        <v>5386.38</v>
      </c>
      <c r="Y75" s="13">
        <v>5387.59</v>
      </c>
      <c r="Z75" s="13">
        <v>5390.48</v>
      </c>
      <c r="AA75" s="13">
        <v>5393.9</v>
      </c>
      <c r="AB75" s="13">
        <v>5384.47</v>
      </c>
      <c r="AC75" s="13">
        <v>5389.57</v>
      </c>
      <c r="AD75" s="13">
        <v>5388.49</v>
      </c>
      <c r="AE75" s="13">
        <v>5387.26</v>
      </c>
      <c r="AF75" s="13">
        <v>5384.86</v>
      </c>
      <c r="AG75" s="13">
        <v>5384.2</v>
      </c>
      <c r="AH75" s="13">
        <v>5391.87</v>
      </c>
      <c r="AI75" s="13">
        <v>5394.25</v>
      </c>
      <c r="AJ75" s="13">
        <v>5394.29</v>
      </c>
      <c r="AK75" s="13">
        <v>5389.4</v>
      </c>
      <c r="AL75" s="13">
        <v>5387.81</v>
      </c>
      <c r="AM75" s="13">
        <v>5390.88</v>
      </c>
      <c r="AN75" s="13">
        <v>5396.43</v>
      </c>
      <c r="AO75" s="13">
        <v>5398.08</v>
      </c>
      <c r="AP75" s="13">
        <v>5392.2</v>
      </c>
      <c r="AQ75" s="13">
        <v>5391.4</v>
      </c>
      <c r="AR75" s="13">
        <v>5394.66</v>
      </c>
      <c r="AS75" s="13">
        <v>5380.19</v>
      </c>
      <c r="AT75" s="13">
        <v>5378.81</v>
      </c>
      <c r="AU75" s="13">
        <v>5381.22</v>
      </c>
      <c r="AV75" s="13">
        <v>5380.67</v>
      </c>
      <c r="AW75" s="13">
        <v>5374.75</v>
      </c>
      <c r="AX75" s="13">
        <v>5383.57</v>
      </c>
      <c r="AY75" s="13">
        <v>5385.97</v>
      </c>
      <c r="AZ75" s="13">
        <v>5385.42</v>
      </c>
      <c r="BA75" s="13">
        <v>5391.48</v>
      </c>
      <c r="BB75" s="13">
        <v>5389.21</v>
      </c>
      <c r="BC75" s="13">
        <v>5384.94</v>
      </c>
      <c r="BD75" s="13">
        <v>5389.56</v>
      </c>
      <c r="BE75" s="13">
        <v>5384.12</v>
      </c>
      <c r="BF75" s="13">
        <v>5386.19</v>
      </c>
      <c r="BG75" s="13">
        <v>5377.55</v>
      </c>
      <c r="BH75" s="13">
        <v>5382.33</v>
      </c>
      <c r="BI75" s="13">
        <v>5383.64</v>
      </c>
      <c r="BJ75" s="13">
        <v>5383.28</v>
      </c>
      <c r="BK75" s="13">
        <v>5391.48</v>
      </c>
      <c r="BL75" s="13">
        <v>5389.9</v>
      </c>
      <c r="BM75" s="13">
        <v>5389.46</v>
      </c>
      <c r="BN75" s="13">
        <v>5392.65</v>
      </c>
      <c r="BO75" s="13">
        <v>5390.8</v>
      </c>
      <c r="BP75" s="13">
        <v>5390.67</v>
      </c>
      <c r="BQ75" s="13">
        <v>5385.04</v>
      </c>
      <c r="BR75" s="13">
        <v>5388.12</v>
      </c>
      <c r="BS75" s="13">
        <v>5395.64</v>
      </c>
      <c r="BT75" s="13">
        <v>5393.85</v>
      </c>
      <c r="BU75" s="13">
        <v>5390.08</v>
      </c>
      <c r="BV75" s="13">
        <v>5387.6</v>
      </c>
      <c r="BW75" s="13">
        <v>5385.79</v>
      </c>
      <c r="BX75" s="13">
        <v>5379.9</v>
      </c>
      <c r="BY75" s="13">
        <v>5380.77</v>
      </c>
      <c r="BZ75" s="13">
        <v>5379.66</v>
      </c>
      <c r="CA75" s="13">
        <v>5373.8</v>
      </c>
      <c r="CB75" s="13">
        <v>5378.15</v>
      </c>
      <c r="CC75" s="13">
        <v>5371.48</v>
      </c>
      <c r="CD75" s="13">
        <v>5376.08</v>
      </c>
      <c r="CE75" s="13">
        <v>5370.44</v>
      </c>
      <c r="CF75" s="13">
        <v>5377.7</v>
      </c>
      <c r="CG75" s="13">
        <v>5375.14</v>
      </c>
      <c r="CH75" s="13">
        <v>5376.9</v>
      </c>
      <c r="CI75" s="13">
        <v>5378.06</v>
      </c>
      <c r="CJ75" s="13">
        <v>5376.13</v>
      </c>
      <c r="CK75" s="13">
        <v>5380.19</v>
      </c>
      <c r="CL75" s="13">
        <v>5383.5</v>
      </c>
      <c r="CM75" s="13">
        <v>5384</v>
      </c>
      <c r="CN75" s="13">
        <v>5384.17</v>
      </c>
      <c r="CO75" s="13">
        <v>5386.22</v>
      </c>
      <c r="CP75" s="13">
        <v>5379.14</v>
      </c>
      <c r="CQ75" s="13">
        <v>5378.71</v>
      </c>
      <c r="CR75" s="13">
        <v>5381.28</v>
      </c>
      <c r="CS75" s="13">
        <v>5381.31</v>
      </c>
      <c r="CT75" s="13">
        <v>5375.72</v>
      </c>
      <c r="CU75" s="13">
        <v>5375.58</v>
      </c>
      <c r="CV75" s="13">
        <v>5377.08</v>
      </c>
      <c r="CW75" s="13">
        <v>5376.47</v>
      </c>
      <c r="CX75" s="13">
        <v>5373.25</v>
      </c>
      <c r="CY75" s="13">
        <v>5377.03</v>
      </c>
      <c r="CZ75" s="13">
        <v>5376.47</v>
      </c>
      <c r="DA75" s="13">
        <v>5376.87</v>
      </c>
      <c r="DB75" s="13">
        <v>5375.99</v>
      </c>
      <c r="DC75" s="13">
        <v>5377.84</v>
      </c>
      <c r="DD75" s="13">
        <v>5372.22</v>
      </c>
      <c r="DE75" s="13">
        <v>5371.23</v>
      </c>
      <c r="DF75" s="13">
        <v>5372.19</v>
      </c>
      <c r="DG75" s="13">
        <v>5367.76</v>
      </c>
      <c r="DH75" s="13">
        <v>5373.08</v>
      </c>
      <c r="DI75" s="13">
        <v>5373.08</v>
      </c>
      <c r="DJ75" s="13">
        <v>5371.68</v>
      </c>
      <c r="DK75" s="13">
        <v>5374.27</v>
      </c>
      <c r="DM75" s="20"/>
    </row>
    <row r="76" spans="1:117" ht="15.75" x14ac:dyDescent="0.25">
      <c r="A76" s="11" t="s">
        <v>5</v>
      </c>
      <c r="B76" s="11" t="s">
        <v>11</v>
      </c>
      <c r="C76" s="15">
        <v>0.37847222222222227</v>
      </c>
      <c r="D76" s="15">
        <v>0.38194444444444442</v>
      </c>
      <c r="E76" s="15">
        <v>0.38541666666666669</v>
      </c>
      <c r="F76" s="15">
        <v>0.3888888888888889</v>
      </c>
      <c r="G76" s="15">
        <v>0.3923611111111111</v>
      </c>
      <c r="H76" s="15">
        <v>0.39583333333333331</v>
      </c>
      <c r="I76" s="15">
        <v>0.39930555555555558</v>
      </c>
      <c r="J76" s="15">
        <v>0.40277777777777773</v>
      </c>
      <c r="K76" s="15">
        <v>0.40625</v>
      </c>
      <c r="L76" s="15">
        <v>0.40972222222222227</v>
      </c>
      <c r="M76" s="15">
        <v>0.41319444444444442</v>
      </c>
      <c r="N76" s="15">
        <v>0.41666666666666669</v>
      </c>
      <c r="O76" s="15">
        <v>0.4201388888888889</v>
      </c>
      <c r="P76" s="15">
        <v>0.4236111111111111</v>
      </c>
      <c r="Q76" s="15">
        <v>0.42708333333333331</v>
      </c>
      <c r="R76" s="15">
        <v>0.43055555555555558</v>
      </c>
      <c r="S76" s="15">
        <v>0.43402777777777773</v>
      </c>
      <c r="T76" s="15">
        <v>0.4375</v>
      </c>
      <c r="U76" s="15">
        <v>0.44097222222222227</v>
      </c>
      <c r="V76" s="15">
        <v>0.44444444444444442</v>
      </c>
      <c r="W76" s="15">
        <v>0.44791666666666669</v>
      </c>
      <c r="X76" s="15">
        <v>0.4513888888888889</v>
      </c>
      <c r="Y76" s="15">
        <v>0.4548611111111111</v>
      </c>
      <c r="Z76" s="15">
        <v>0.45833333333333331</v>
      </c>
      <c r="AA76" s="15">
        <v>0.46180555555555558</v>
      </c>
      <c r="AB76" s="15">
        <v>0.46527777777777773</v>
      </c>
      <c r="AC76" s="15">
        <v>0.46875</v>
      </c>
      <c r="AD76" s="15">
        <v>0.47222222222222227</v>
      </c>
      <c r="AE76" s="15">
        <v>0.47569444444444442</v>
      </c>
      <c r="AF76" s="15">
        <v>0.47916666666666669</v>
      </c>
      <c r="AG76" s="15">
        <v>0.4826388888888889</v>
      </c>
      <c r="AH76" s="15">
        <v>0.4861111111111111</v>
      </c>
      <c r="AI76" s="15">
        <v>0.48958333333333331</v>
      </c>
      <c r="AJ76" s="15">
        <v>0.49305555555555558</v>
      </c>
      <c r="AK76" s="15">
        <v>0.49652777777777773</v>
      </c>
      <c r="AL76" s="15">
        <v>0.5</v>
      </c>
      <c r="AM76" s="15">
        <v>0.50347222222222221</v>
      </c>
      <c r="AN76" s="15">
        <v>0.50694444444444442</v>
      </c>
      <c r="AO76" s="15">
        <v>0.51041666666666663</v>
      </c>
      <c r="AP76" s="15">
        <v>0.51388888888888895</v>
      </c>
      <c r="AQ76" s="15">
        <v>0.51736111111111105</v>
      </c>
      <c r="AR76" s="15">
        <v>0.52083333333333337</v>
      </c>
      <c r="AS76" s="15">
        <v>0.52430555555555558</v>
      </c>
      <c r="AT76" s="15">
        <v>0.52777777777777779</v>
      </c>
      <c r="AU76" s="15">
        <v>0.53125</v>
      </c>
      <c r="AV76" s="15">
        <v>0.53472222222222221</v>
      </c>
      <c r="AW76" s="15">
        <v>0.53819444444444442</v>
      </c>
      <c r="AX76" s="15">
        <v>0.54166666666666663</v>
      </c>
      <c r="AY76" s="15">
        <v>0.54513888888888895</v>
      </c>
      <c r="AZ76" s="15">
        <v>0.54861111111111105</v>
      </c>
      <c r="BA76" s="15">
        <v>0.55208333333333337</v>
      </c>
      <c r="BB76" s="15">
        <v>0.55555555555555558</v>
      </c>
      <c r="BC76" s="15">
        <v>0.55902777777777779</v>
      </c>
      <c r="BD76" s="15">
        <v>0.5625</v>
      </c>
      <c r="BE76" s="15">
        <v>0.56597222222222221</v>
      </c>
      <c r="BF76" s="15">
        <v>0.56944444444444442</v>
      </c>
      <c r="BG76" s="15">
        <v>0.57291666666666663</v>
      </c>
      <c r="BH76" s="15">
        <v>0.57638888888888895</v>
      </c>
      <c r="BI76" s="15">
        <v>0.57986111111111105</v>
      </c>
      <c r="BJ76" s="15">
        <v>0.58333333333333337</v>
      </c>
      <c r="BK76" s="15">
        <v>0.58680555555555558</v>
      </c>
      <c r="BL76" s="15">
        <v>0.59027777777777779</v>
      </c>
      <c r="BM76" s="15">
        <v>0.59375</v>
      </c>
      <c r="BN76" s="15">
        <v>0.59722222222222221</v>
      </c>
      <c r="BO76" s="15">
        <v>0.60069444444444442</v>
      </c>
      <c r="BP76" s="15">
        <v>0.60416666666666663</v>
      </c>
      <c r="BQ76" s="15">
        <v>0.60763888888888895</v>
      </c>
      <c r="BR76" s="15">
        <v>0.61111111111111105</v>
      </c>
      <c r="BS76" s="15">
        <v>0.61458333333333337</v>
      </c>
      <c r="BT76" s="15">
        <v>0.61805555555555558</v>
      </c>
      <c r="BU76" s="15">
        <v>0.62152777777777779</v>
      </c>
      <c r="BV76" s="15">
        <v>0.625</v>
      </c>
      <c r="BW76" s="15">
        <v>0.62847222222222221</v>
      </c>
      <c r="BX76" s="15">
        <v>0.63194444444444442</v>
      </c>
      <c r="BY76" s="15">
        <v>0.63541666666666663</v>
      </c>
      <c r="BZ76" s="15">
        <v>0.63888888888888895</v>
      </c>
      <c r="CA76" s="15">
        <v>0.64236111111111105</v>
      </c>
      <c r="CB76" s="15">
        <v>0.64583333333333337</v>
      </c>
      <c r="CC76" s="15">
        <v>0.64930555555555558</v>
      </c>
      <c r="CD76" s="15">
        <v>0.65277777777777779</v>
      </c>
      <c r="CE76" s="15">
        <v>0.65625</v>
      </c>
      <c r="CF76" s="15">
        <v>0.65972222222222221</v>
      </c>
      <c r="CG76" s="15">
        <v>0.66319444444444442</v>
      </c>
      <c r="CH76" s="15">
        <v>0.66666666666666663</v>
      </c>
      <c r="CI76" s="15">
        <v>0.67013888888888884</v>
      </c>
      <c r="CJ76" s="15">
        <v>0.67361111111111116</v>
      </c>
      <c r="CK76" s="15">
        <v>0.67708333333333337</v>
      </c>
      <c r="CL76" s="15">
        <v>0.68055555555555547</v>
      </c>
      <c r="CM76" s="15">
        <v>0.68402777777777779</v>
      </c>
      <c r="CN76" s="15">
        <v>0.6875</v>
      </c>
      <c r="CO76" s="15">
        <v>0.69097222222222221</v>
      </c>
      <c r="CP76" s="15">
        <v>0.69444444444444453</v>
      </c>
      <c r="CQ76" s="15">
        <v>0.69791666666666663</v>
      </c>
      <c r="CR76" s="15">
        <v>0.70138888888888884</v>
      </c>
      <c r="CS76" s="15">
        <v>0.70486111111111116</v>
      </c>
      <c r="CT76" s="15">
        <v>0.70833333333333337</v>
      </c>
      <c r="CU76" s="15">
        <v>0.71180555555555547</v>
      </c>
      <c r="CV76" s="15">
        <v>0.71527777777777779</v>
      </c>
      <c r="CW76" s="15">
        <v>0.71875</v>
      </c>
      <c r="CX76" s="15">
        <v>0.72222222222222221</v>
      </c>
      <c r="CY76" s="15">
        <v>0.72569444444444453</v>
      </c>
      <c r="CZ76" s="15">
        <v>0.72916666666666663</v>
      </c>
      <c r="DA76" s="15">
        <v>0.73263888888888884</v>
      </c>
      <c r="DB76" s="15">
        <v>0.73611111111111116</v>
      </c>
      <c r="DC76" s="15">
        <v>0.73958333333333337</v>
      </c>
      <c r="DD76" s="15">
        <v>0.74305555555555547</v>
      </c>
      <c r="DE76" s="15">
        <v>0.74652777777777779</v>
      </c>
      <c r="DF76" s="15">
        <v>0.75</v>
      </c>
      <c r="DG76" s="15">
        <v>0.75347222222222221</v>
      </c>
      <c r="DH76" s="15">
        <v>0.75694444444444453</v>
      </c>
      <c r="DI76" s="15">
        <v>0.76041666666666663</v>
      </c>
      <c r="DJ76" s="15">
        <v>0.76388888888888884</v>
      </c>
      <c r="DK76" s="15">
        <v>0.76736111111111116</v>
      </c>
      <c r="DM76" s="20"/>
    </row>
    <row r="77" spans="1:117" ht="15.75" x14ac:dyDescent="0.25">
      <c r="A77" s="14">
        <v>44160</v>
      </c>
      <c r="B77" s="12" t="s">
        <v>6</v>
      </c>
      <c r="C77" s="13">
        <v>5407</v>
      </c>
      <c r="D77" s="13">
        <v>5396.53</v>
      </c>
      <c r="E77" s="13">
        <v>5382.62</v>
      </c>
      <c r="F77" s="13">
        <v>5375.83</v>
      </c>
      <c r="G77" s="13">
        <v>5371.68</v>
      </c>
      <c r="H77" s="13">
        <v>5379.22</v>
      </c>
      <c r="I77" s="13">
        <v>5372.27</v>
      </c>
      <c r="J77" s="13">
        <v>5374.85</v>
      </c>
      <c r="K77" s="13">
        <v>5373.52</v>
      </c>
      <c r="L77" s="13">
        <v>5374.77</v>
      </c>
      <c r="M77" s="13">
        <v>5374.82</v>
      </c>
      <c r="N77" s="13">
        <v>5374.72</v>
      </c>
      <c r="O77" s="13">
        <v>5376.38</v>
      </c>
      <c r="P77" s="13">
        <v>5373.81</v>
      </c>
      <c r="Q77" s="13">
        <v>5366.74</v>
      </c>
      <c r="R77" s="13">
        <v>5363.55</v>
      </c>
      <c r="S77" s="13">
        <v>5363.83</v>
      </c>
      <c r="T77" s="13">
        <v>5362.88</v>
      </c>
      <c r="U77" s="13">
        <v>5367.06</v>
      </c>
      <c r="V77" s="13">
        <v>5370.45</v>
      </c>
      <c r="W77" s="13">
        <v>5371.81</v>
      </c>
      <c r="X77" s="13">
        <v>5370.61</v>
      </c>
      <c r="Y77" s="13">
        <v>5370.46</v>
      </c>
      <c r="Z77" s="13">
        <v>5372.58</v>
      </c>
      <c r="AA77" s="13">
        <v>5368.24</v>
      </c>
      <c r="AB77" s="13">
        <v>5372.73</v>
      </c>
      <c r="AC77" s="13">
        <v>5369.43</v>
      </c>
      <c r="AD77" s="13">
        <v>5369.09</v>
      </c>
      <c r="AE77" s="13">
        <v>5364.07</v>
      </c>
      <c r="AF77" s="13">
        <v>5357.29</v>
      </c>
      <c r="AG77" s="13">
        <v>5353.32</v>
      </c>
      <c r="AH77" s="13">
        <v>5352.31</v>
      </c>
      <c r="AI77" s="13">
        <v>5345.78</v>
      </c>
      <c r="AJ77" s="13">
        <v>5340.64</v>
      </c>
      <c r="AK77" s="13">
        <v>5339.95</v>
      </c>
      <c r="AL77" s="13">
        <v>5339.61</v>
      </c>
      <c r="AM77" s="13">
        <v>5351.75</v>
      </c>
      <c r="AN77" s="13">
        <v>5358.11</v>
      </c>
      <c r="AO77" s="13">
        <v>5347.9</v>
      </c>
      <c r="AP77" s="13">
        <v>5334.93</v>
      </c>
      <c r="AQ77" s="13">
        <v>5348.84</v>
      </c>
      <c r="AR77" s="13">
        <v>5343.02</v>
      </c>
      <c r="AS77" s="13">
        <v>5347.33</v>
      </c>
      <c r="AT77" s="13">
        <v>5357.16</v>
      </c>
      <c r="AU77" s="13">
        <v>5348.58</v>
      </c>
      <c r="AV77" s="13">
        <v>5367.25</v>
      </c>
      <c r="AW77" s="13">
        <v>5363.34</v>
      </c>
      <c r="AX77" s="13">
        <v>5362.51</v>
      </c>
      <c r="AY77" s="13">
        <v>5362.93</v>
      </c>
      <c r="AZ77" s="13">
        <v>5376.85</v>
      </c>
      <c r="BA77" s="13">
        <v>5356.43</v>
      </c>
      <c r="BB77" s="13">
        <v>5351.31</v>
      </c>
      <c r="BC77" s="13">
        <v>5368.02</v>
      </c>
      <c r="BD77" s="13">
        <v>5354.67</v>
      </c>
      <c r="BE77" s="13">
        <v>5362.14</v>
      </c>
      <c r="BF77" s="13">
        <v>5358.63</v>
      </c>
      <c r="BG77" s="13">
        <v>5356.33</v>
      </c>
      <c r="BH77" s="13">
        <v>5390.81</v>
      </c>
      <c r="BI77" s="13">
        <v>5361.13</v>
      </c>
      <c r="BJ77" s="13">
        <v>5347.04</v>
      </c>
      <c r="BK77" s="13">
        <v>5346.28</v>
      </c>
      <c r="BL77" s="13">
        <v>5345.58</v>
      </c>
      <c r="BM77" s="13">
        <v>5350.01</v>
      </c>
      <c r="BN77" s="13">
        <v>5347.78</v>
      </c>
      <c r="BO77" s="13">
        <v>5342.48</v>
      </c>
      <c r="BP77" s="13">
        <v>5343.64</v>
      </c>
      <c r="BQ77" s="13">
        <v>5339.1</v>
      </c>
      <c r="BR77" s="13">
        <v>5339.64</v>
      </c>
      <c r="BS77" s="13">
        <v>5346.19</v>
      </c>
      <c r="BT77" s="13">
        <v>5358.79</v>
      </c>
      <c r="BU77" s="13">
        <v>5359.09</v>
      </c>
      <c r="BV77" s="13">
        <v>5351.07</v>
      </c>
      <c r="BW77" s="13">
        <v>5362.02</v>
      </c>
      <c r="BX77" s="13">
        <v>5354.84</v>
      </c>
      <c r="BY77" s="13">
        <v>5383.26</v>
      </c>
      <c r="BZ77" s="13">
        <v>5394.33</v>
      </c>
      <c r="CA77" s="13">
        <v>5379.03</v>
      </c>
      <c r="CB77" s="13">
        <v>5345.82</v>
      </c>
      <c r="CC77" s="13">
        <v>5385.91</v>
      </c>
      <c r="CD77" s="13">
        <v>5363.88</v>
      </c>
      <c r="CE77" s="13">
        <v>5365.29</v>
      </c>
      <c r="CF77" s="13">
        <v>5362.28</v>
      </c>
      <c r="CG77" s="13">
        <v>5354.4</v>
      </c>
      <c r="CH77" s="13">
        <v>5355.7</v>
      </c>
      <c r="CI77" s="13">
        <v>5352.82</v>
      </c>
      <c r="CJ77" s="13">
        <v>5363.16</v>
      </c>
      <c r="CK77" s="13">
        <v>5350.75</v>
      </c>
      <c r="CL77" s="13">
        <v>5367.19</v>
      </c>
      <c r="CM77" s="13">
        <v>5351.04</v>
      </c>
      <c r="CN77" s="13">
        <v>5358.79</v>
      </c>
      <c r="CO77" s="13">
        <v>5383.17</v>
      </c>
      <c r="CP77" s="13">
        <v>5369.04</v>
      </c>
      <c r="CQ77" s="13">
        <v>5345.54</v>
      </c>
      <c r="CR77" s="13">
        <v>5391.5</v>
      </c>
      <c r="CS77" s="13">
        <v>5346.15</v>
      </c>
      <c r="CT77" s="13">
        <v>5352.33</v>
      </c>
      <c r="CU77" s="13">
        <v>5349.66</v>
      </c>
      <c r="CV77" s="13">
        <v>5343.78</v>
      </c>
      <c r="CW77" s="13">
        <v>5346</v>
      </c>
      <c r="CX77" s="13">
        <v>5343.69</v>
      </c>
      <c r="CY77" s="13">
        <v>5354.41</v>
      </c>
      <c r="CZ77" s="13">
        <v>5357.84</v>
      </c>
      <c r="DA77" s="13">
        <v>5356.84</v>
      </c>
      <c r="DB77" s="13">
        <v>5364.82</v>
      </c>
      <c r="DC77" s="13">
        <v>5349.9</v>
      </c>
      <c r="DD77" s="13">
        <v>5365.72</v>
      </c>
      <c r="DE77" s="13">
        <v>5348.12</v>
      </c>
      <c r="DF77" s="13">
        <v>5348.76</v>
      </c>
      <c r="DG77" s="13">
        <v>5346.36</v>
      </c>
      <c r="DH77" s="13">
        <v>5347.11</v>
      </c>
      <c r="DI77" s="13">
        <v>5384.65</v>
      </c>
      <c r="DJ77" s="13">
        <v>5351.75</v>
      </c>
      <c r="DK77" s="13">
        <v>5387.86</v>
      </c>
      <c r="DM77" s="20"/>
    </row>
    <row r="78" spans="1:117" ht="15.75" x14ac:dyDescent="0.25">
      <c r="A78" s="14" t="s">
        <v>12</v>
      </c>
      <c r="B78" s="12" t="s">
        <v>10</v>
      </c>
      <c r="C78" s="13">
        <v>5391.59</v>
      </c>
      <c r="D78" s="13">
        <v>5383.75</v>
      </c>
      <c r="E78" s="13">
        <v>5376.31</v>
      </c>
      <c r="F78" s="13">
        <v>5363.44</v>
      </c>
      <c r="G78" s="13">
        <v>5371.19</v>
      </c>
      <c r="H78" s="13">
        <v>5371.06</v>
      </c>
      <c r="I78" s="13">
        <v>5370.08</v>
      </c>
      <c r="J78" s="13">
        <v>5373.55</v>
      </c>
      <c r="K78" s="13">
        <v>5370.13</v>
      </c>
      <c r="L78" s="13">
        <v>5374.29</v>
      </c>
      <c r="M78" s="13">
        <v>5370.29</v>
      </c>
      <c r="N78" s="13">
        <v>5374.72</v>
      </c>
      <c r="O78" s="13">
        <v>5373.87</v>
      </c>
      <c r="P78" s="13">
        <v>5365.44</v>
      </c>
      <c r="Q78" s="13">
        <v>5361.55</v>
      </c>
      <c r="R78" s="13">
        <v>5357.97</v>
      </c>
      <c r="S78" s="13">
        <v>5360.03</v>
      </c>
      <c r="T78" s="13">
        <v>5362.36</v>
      </c>
      <c r="U78" s="13">
        <v>5363.93</v>
      </c>
      <c r="V78" s="13">
        <v>5367.21</v>
      </c>
      <c r="W78" s="13">
        <v>5369.73</v>
      </c>
      <c r="X78" s="13">
        <v>5366.99</v>
      </c>
      <c r="Y78" s="13">
        <v>5369.46</v>
      </c>
      <c r="Z78" s="13">
        <v>5362.58</v>
      </c>
      <c r="AA78" s="13">
        <v>5366.28</v>
      </c>
      <c r="AB78" s="13">
        <v>5363.22</v>
      </c>
      <c r="AC78" s="13">
        <v>5365.59</v>
      </c>
      <c r="AD78" s="13">
        <v>5356.66</v>
      </c>
      <c r="AE78" s="13">
        <v>5353.52</v>
      </c>
      <c r="AF78" s="13">
        <v>5352.52</v>
      </c>
      <c r="AG78" s="13">
        <v>5350.42</v>
      </c>
      <c r="AH78" s="13">
        <v>5341.88</v>
      </c>
      <c r="AI78" s="13">
        <v>5334.55</v>
      </c>
      <c r="AJ78" s="13">
        <v>5333.45</v>
      </c>
      <c r="AK78" s="13">
        <v>5332.96</v>
      </c>
      <c r="AL78" s="13">
        <v>5331.65</v>
      </c>
      <c r="AM78" s="13">
        <v>5344.07</v>
      </c>
      <c r="AN78" s="13">
        <v>5346.55</v>
      </c>
      <c r="AO78" s="13">
        <v>5332.44</v>
      </c>
      <c r="AP78" s="13">
        <v>5331.15</v>
      </c>
      <c r="AQ78" s="13">
        <v>5336.31</v>
      </c>
      <c r="AR78" s="13">
        <v>5334.66</v>
      </c>
      <c r="AS78" s="13">
        <v>5347.33</v>
      </c>
      <c r="AT78" s="13">
        <v>5333.02</v>
      </c>
      <c r="AU78" s="13">
        <v>5343.62</v>
      </c>
      <c r="AV78" s="13">
        <v>5342.63</v>
      </c>
      <c r="AW78" s="13">
        <v>5350.71</v>
      </c>
      <c r="AX78" s="13">
        <v>5352.46</v>
      </c>
      <c r="AY78" s="13">
        <v>5357.61</v>
      </c>
      <c r="AZ78" s="13">
        <v>5354.8</v>
      </c>
      <c r="BA78" s="13">
        <v>5352.32</v>
      </c>
      <c r="BB78" s="13">
        <v>5348.43</v>
      </c>
      <c r="BC78" s="13">
        <v>5350.78</v>
      </c>
      <c r="BD78" s="13">
        <v>5346.23</v>
      </c>
      <c r="BE78" s="13">
        <v>5353.05</v>
      </c>
      <c r="BF78" s="13">
        <v>5342.91</v>
      </c>
      <c r="BG78" s="13">
        <v>5346.14</v>
      </c>
      <c r="BH78" s="13">
        <v>5337.64</v>
      </c>
      <c r="BI78" s="13">
        <v>5338.22</v>
      </c>
      <c r="BJ78" s="13">
        <v>5336.36</v>
      </c>
      <c r="BK78" s="13">
        <v>5336.83</v>
      </c>
      <c r="BL78" s="13">
        <v>5342.03</v>
      </c>
      <c r="BM78" s="13">
        <v>5335.8</v>
      </c>
      <c r="BN78" s="13">
        <v>5340.03</v>
      </c>
      <c r="BO78" s="13">
        <v>5338.08</v>
      </c>
      <c r="BP78" s="13">
        <v>5336.31</v>
      </c>
      <c r="BQ78" s="13">
        <v>5334.83</v>
      </c>
      <c r="BR78" s="13">
        <v>5334.85</v>
      </c>
      <c r="BS78" s="13">
        <v>5338.9</v>
      </c>
      <c r="BT78" s="13">
        <v>5336.75</v>
      </c>
      <c r="BU78" s="13">
        <v>5345.3</v>
      </c>
      <c r="BV78" s="13">
        <v>5343.84</v>
      </c>
      <c r="BW78" s="13">
        <v>5348.12</v>
      </c>
      <c r="BX78" s="13">
        <v>5342.42</v>
      </c>
      <c r="BY78" s="13">
        <v>5335.55</v>
      </c>
      <c r="BZ78" s="13">
        <v>5351.84</v>
      </c>
      <c r="CA78" s="13">
        <v>5342.06</v>
      </c>
      <c r="CB78" s="13">
        <v>5345.82</v>
      </c>
      <c r="CC78" s="13">
        <v>5348.83</v>
      </c>
      <c r="CD78" s="13">
        <v>5351.64</v>
      </c>
      <c r="CE78" s="13">
        <v>5341.43</v>
      </c>
      <c r="CF78" s="13">
        <v>5339.34</v>
      </c>
      <c r="CG78" s="13">
        <v>5344.27</v>
      </c>
      <c r="CH78" s="13">
        <v>5348.9</v>
      </c>
      <c r="CI78" s="13">
        <v>5346.42</v>
      </c>
      <c r="CJ78" s="13">
        <v>5344.29</v>
      </c>
      <c r="CK78" s="13">
        <v>5343.17</v>
      </c>
      <c r="CL78" s="13">
        <v>5345.09</v>
      </c>
      <c r="CM78" s="13">
        <v>5342.31</v>
      </c>
      <c r="CN78" s="13">
        <v>5348.29</v>
      </c>
      <c r="CO78" s="13">
        <v>5343.43</v>
      </c>
      <c r="CP78" s="13">
        <v>5344.95</v>
      </c>
      <c r="CQ78" s="13">
        <v>5345.54</v>
      </c>
      <c r="CR78" s="13">
        <v>5342.14</v>
      </c>
      <c r="CS78" s="13">
        <v>5342.63</v>
      </c>
      <c r="CT78" s="13">
        <v>5352.33</v>
      </c>
      <c r="CU78" s="13">
        <v>5340.82</v>
      </c>
      <c r="CV78" s="13">
        <v>5341.04</v>
      </c>
      <c r="CW78" s="13">
        <v>5340.15</v>
      </c>
      <c r="CX78" s="13">
        <v>5338.85</v>
      </c>
      <c r="CY78" s="13">
        <v>5346</v>
      </c>
      <c r="CZ78" s="13">
        <v>5338.87</v>
      </c>
      <c r="DA78" s="13">
        <v>5341.76</v>
      </c>
      <c r="DB78" s="13">
        <v>5344.75</v>
      </c>
      <c r="DC78" s="13">
        <v>5340.31</v>
      </c>
      <c r="DD78" s="13">
        <v>5341.28</v>
      </c>
      <c r="DE78" s="13">
        <v>5340.47</v>
      </c>
      <c r="DF78" s="13">
        <v>5344.31</v>
      </c>
      <c r="DG78" s="13">
        <v>5340.72</v>
      </c>
      <c r="DH78" s="13">
        <v>5343.63</v>
      </c>
      <c r="DI78" s="13">
        <v>5345.6</v>
      </c>
      <c r="DJ78" s="13">
        <v>5347.8</v>
      </c>
      <c r="DK78" s="13">
        <v>5376.17</v>
      </c>
      <c r="DM78" s="20"/>
    </row>
    <row r="79" spans="1:117" ht="15.75" x14ac:dyDescent="0.25">
      <c r="A79" s="14" t="s">
        <v>12</v>
      </c>
      <c r="B79" s="12" t="s">
        <v>9</v>
      </c>
      <c r="C79" s="13">
        <v>5358.22</v>
      </c>
      <c r="D79" s="13">
        <v>5352.8</v>
      </c>
      <c r="E79" s="13">
        <v>5351.44</v>
      </c>
      <c r="F79" s="13">
        <v>5341.57</v>
      </c>
      <c r="G79" s="13">
        <v>5346.69</v>
      </c>
      <c r="H79" s="13">
        <v>5349.54</v>
      </c>
      <c r="I79" s="13">
        <v>5349.09</v>
      </c>
      <c r="J79" s="13">
        <v>5366.44</v>
      </c>
      <c r="K79" s="13">
        <v>5364.19</v>
      </c>
      <c r="L79" s="13">
        <v>5351.35</v>
      </c>
      <c r="M79" s="13">
        <v>5349.92</v>
      </c>
      <c r="N79" s="13">
        <v>5369.05</v>
      </c>
      <c r="O79" s="13">
        <v>5350.67</v>
      </c>
      <c r="P79" s="13">
        <v>5344.73</v>
      </c>
      <c r="Q79" s="13">
        <v>5352.34</v>
      </c>
      <c r="R79" s="13">
        <v>5338.05</v>
      </c>
      <c r="S79" s="13">
        <v>5334.49</v>
      </c>
      <c r="T79" s="13">
        <v>5344.07</v>
      </c>
      <c r="U79" s="13">
        <v>5342.67</v>
      </c>
      <c r="V79" s="13">
        <v>5347.61</v>
      </c>
      <c r="W79" s="13">
        <v>5346.15</v>
      </c>
      <c r="X79" s="13">
        <v>5347.51</v>
      </c>
      <c r="Y79" s="13">
        <v>5347.65</v>
      </c>
      <c r="Z79" s="13">
        <v>5341.14</v>
      </c>
      <c r="AA79" s="13">
        <v>5355.86</v>
      </c>
      <c r="AB79" s="13">
        <v>5334.02</v>
      </c>
      <c r="AC79" s="13">
        <v>5354.65</v>
      </c>
      <c r="AD79" s="13">
        <v>5345.35</v>
      </c>
      <c r="AE79" s="13">
        <v>5333.98</v>
      </c>
      <c r="AF79" s="13">
        <v>5334.67</v>
      </c>
      <c r="AG79" s="13">
        <v>5318.63</v>
      </c>
      <c r="AH79" s="13">
        <v>5310.64</v>
      </c>
      <c r="AI79" s="13">
        <v>5309.76</v>
      </c>
      <c r="AJ79" s="13">
        <v>5314.71</v>
      </c>
      <c r="AK79" s="13">
        <v>5317.33</v>
      </c>
      <c r="AL79" s="13">
        <v>5312.82</v>
      </c>
      <c r="AM79" s="13">
        <v>5330.13</v>
      </c>
      <c r="AN79" s="13">
        <v>5334.16</v>
      </c>
      <c r="AO79" s="13">
        <v>5305.95</v>
      </c>
      <c r="AP79" s="13">
        <v>5305.89</v>
      </c>
      <c r="AQ79" s="13">
        <v>5306.47</v>
      </c>
      <c r="AR79" s="13">
        <v>5308.54</v>
      </c>
      <c r="AS79" s="13">
        <v>5323.08</v>
      </c>
      <c r="AT79" s="13">
        <v>5316.02</v>
      </c>
      <c r="AU79" s="13">
        <v>5319.38</v>
      </c>
      <c r="AV79" s="13">
        <v>5317.49</v>
      </c>
      <c r="AW79" s="13">
        <v>5329.36</v>
      </c>
      <c r="AX79" s="13">
        <v>5328.13</v>
      </c>
      <c r="AY79" s="13">
        <v>5333.01</v>
      </c>
      <c r="AZ79" s="13">
        <v>5324.1</v>
      </c>
      <c r="BA79" s="13">
        <v>5302.12</v>
      </c>
      <c r="BB79" s="13">
        <v>5313.06</v>
      </c>
      <c r="BC79" s="13">
        <v>5323.05</v>
      </c>
      <c r="BD79" s="13">
        <v>5309.88</v>
      </c>
      <c r="BE79" s="13">
        <v>5331.16</v>
      </c>
      <c r="BF79" s="13">
        <v>5322.91</v>
      </c>
      <c r="BG79" s="13">
        <v>5324.42</v>
      </c>
      <c r="BH79" s="13">
        <v>5295.44</v>
      </c>
      <c r="BI79" s="13">
        <v>5317.3</v>
      </c>
      <c r="BJ79" s="13">
        <v>5316.57</v>
      </c>
      <c r="BK79" s="13">
        <v>5317.97</v>
      </c>
      <c r="BL79" s="13">
        <v>5318.51</v>
      </c>
      <c r="BM79" s="13">
        <v>5317.25</v>
      </c>
      <c r="BN79" s="13">
        <v>5317.57</v>
      </c>
      <c r="BO79" s="13">
        <v>5317.49</v>
      </c>
      <c r="BP79" s="13">
        <v>5317.59</v>
      </c>
      <c r="BQ79" s="13">
        <v>5316.31</v>
      </c>
      <c r="BR79" s="13">
        <v>5315.84</v>
      </c>
      <c r="BS79" s="13">
        <v>5318.25</v>
      </c>
      <c r="BT79" s="13">
        <v>5316.92</v>
      </c>
      <c r="BU79" s="13">
        <v>5316.49</v>
      </c>
      <c r="BV79" s="13">
        <v>5305.83</v>
      </c>
      <c r="BW79" s="13">
        <v>5309.29</v>
      </c>
      <c r="BX79" s="13">
        <v>5307.95</v>
      </c>
      <c r="BY79" s="13">
        <v>5304.89</v>
      </c>
      <c r="BZ79" s="13">
        <v>5308.15</v>
      </c>
      <c r="CA79" s="13">
        <v>5311.29</v>
      </c>
      <c r="CB79" s="13">
        <v>5312.52</v>
      </c>
      <c r="CC79" s="13">
        <v>5318.97</v>
      </c>
      <c r="CD79" s="13">
        <v>5321.89</v>
      </c>
      <c r="CE79" s="13">
        <v>5312.85</v>
      </c>
      <c r="CF79" s="13">
        <v>5312.96</v>
      </c>
      <c r="CG79" s="13">
        <v>5319.84</v>
      </c>
      <c r="CH79" s="13">
        <v>5319.56</v>
      </c>
      <c r="CI79" s="13">
        <v>5313.24</v>
      </c>
      <c r="CJ79" s="13">
        <v>5318.96</v>
      </c>
      <c r="CK79" s="13">
        <v>5317.84</v>
      </c>
      <c r="CL79" s="13">
        <v>5318.19</v>
      </c>
      <c r="CM79" s="13">
        <v>5314.03</v>
      </c>
      <c r="CN79" s="13">
        <v>5319.34</v>
      </c>
      <c r="CO79" s="13">
        <v>5317.89</v>
      </c>
      <c r="CP79" s="13">
        <v>5320.28</v>
      </c>
      <c r="CQ79" s="13">
        <v>5320.29</v>
      </c>
      <c r="CR79" s="13">
        <v>5316.76</v>
      </c>
      <c r="CS79" s="13">
        <v>5317.6</v>
      </c>
      <c r="CT79" s="13">
        <v>5317.19</v>
      </c>
      <c r="CU79" s="13">
        <v>5315.47</v>
      </c>
      <c r="CV79" s="13">
        <v>5315.47</v>
      </c>
      <c r="CW79" s="13">
        <v>5313.05</v>
      </c>
      <c r="CX79" s="13">
        <v>5311.89</v>
      </c>
      <c r="CY79" s="13">
        <v>5314.85</v>
      </c>
      <c r="CZ79" s="13">
        <v>5313.98</v>
      </c>
      <c r="DA79" s="13">
        <v>5316.51</v>
      </c>
      <c r="DB79" s="13">
        <v>5318.13</v>
      </c>
      <c r="DC79" s="13">
        <v>5316.9</v>
      </c>
      <c r="DD79" s="13">
        <v>5317.72</v>
      </c>
      <c r="DE79" s="13">
        <v>5314.34</v>
      </c>
      <c r="DF79" s="13">
        <v>5314</v>
      </c>
      <c r="DG79" s="13">
        <v>5313.97</v>
      </c>
      <c r="DH79" s="13">
        <v>5313.67</v>
      </c>
      <c r="DI79" s="13">
        <v>5319.62</v>
      </c>
      <c r="DJ79" s="13">
        <v>5309.19</v>
      </c>
      <c r="DK79" s="13">
        <v>5308.18</v>
      </c>
      <c r="DM79" s="20"/>
    </row>
    <row r="80" spans="1:117" ht="15.75" x14ac:dyDescent="0.25">
      <c r="A80" s="14" t="s">
        <v>12</v>
      </c>
      <c r="B80" s="12" t="s">
        <v>7</v>
      </c>
      <c r="C80" s="13">
        <v>5318.21</v>
      </c>
      <c r="D80" s="13">
        <v>5336.61</v>
      </c>
      <c r="E80" s="13">
        <v>5317.12</v>
      </c>
      <c r="F80" s="13">
        <v>5311.34</v>
      </c>
      <c r="G80" s="13">
        <v>5340.05</v>
      </c>
      <c r="H80" s="13">
        <v>5327.55</v>
      </c>
      <c r="I80" s="13">
        <v>5301.37</v>
      </c>
      <c r="J80" s="13">
        <v>5324.55</v>
      </c>
      <c r="K80" s="13">
        <v>5322.66</v>
      </c>
      <c r="L80" s="13">
        <v>5346.62</v>
      </c>
      <c r="M80" s="13">
        <v>5304.54</v>
      </c>
      <c r="N80" s="13">
        <v>5332.21</v>
      </c>
      <c r="O80" s="13">
        <v>5346.65</v>
      </c>
      <c r="P80" s="13">
        <v>5336.01</v>
      </c>
      <c r="Q80" s="13">
        <v>5327.48</v>
      </c>
      <c r="R80" s="13">
        <v>5331.06</v>
      </c>
      <c r="S80" s="13">
        <v>5313.69</v>
      </c>
      <c r="T80" s="13">
        <v>5327.14</v>
      </c>
      <c r="U80" s="13">
        <v>5336.77</v>
      </c>
      <c r="V80" s="13">
        <v>5341.54</v>
      </c>
      <c r="W80" s="13">
        <v>5324.99</v>
      </c>
      <c r="X80" s="13">
        <v>5344.71</v>
      </c>
      <c r="Y80" s="13">
        <v>5341.23</v>
      </c>
      <c r="Z80" s="13">
        <v>5316.18</v>
      </c>
      <c r="AA80" s="13">
        <v>5304.37</v>
      </c>
      <c r="AB80" s="13">
        <v>5327.59</v>
      </c>
      <c r="AC80" s="13">
        <v>5326.34</v>
      </c>
      <c r="AD80" s="13">
        <v>5302.26</v>
      </c>
      <c r="AE80" s="13">
        <v>5308.34</v>
      </c>
      <c r="AF80" s="13">
        <v>5301.03</v>
      </c>
      <c r="AG80" s="13">
        <v>5300.17</v>
      </c>
      <c r="AH80" s="13">
        <v>5301.03</v>
      </c>
      <c r="AI80" s="13">
        <v>5296.46</v>
      </c>
      <c r="AJ80" s="13">
        <v>5295.16</v>
      </c>
      <c r="AK80" s="13">
        <v>5290.79</v>
      </c>
      <c r="AL80" s="13">
        <v>5299.91</v>
      </c>
      <c r="AM80" s="13">
        <v>5303.55</v>
      </c>
      <c r="AN80" s="13">
        <v>5323.36</v>
      </c>
      <c r="AO80" s="13">
        <v>5288.29</v>
      </c>
      <c r="AP80" s="13">
        <v>5294.77</v>
      </c>
      <c r="AQ80" s="13">
        <v>5299.96</v>
      </c>
      <c r="AR80" s="13">
        <v>5298.69</v>
      </c>
      <c r="AS80" s="13">
        <v>5301.12</v>
      </c>
      <c r="AT80" s="13">
        <v>5297.28</v>
      </c>
      <c r="AU80" s="13">
        <v>5304.2</v>
      </c>
      <c r="AV80" s="13">
        <v>5306.93</v>
      </c>
      <c r="AW80" s="13">
        <v>5306.58</v>
      </c>
      <c r="AX80" s="13">
        <v>5306.3</v>
      </c>
      <c r="AY80" s="13">
        <v>5303.8</v>
      </c>
      <c r="AZ80" s="13">
        <v>5303.08</v>
      </c>
      <c r="BA80" s="13">
        <v>5294.35</v>
      </c>
      <c r="BB80" s="13">
        <v>5278.15</v>
      </c>
      <c r="BC80" s="13">
        <v>5300.34</v>
      </c>
      <c r="BD80" s="13">
        <v>5290.87</v>
      </c>
      <c r="BE80" s="13">
        <v>5303.24</v>
      </c>
      <c r="BF80" s="13">
        <v>5295.7</v>
      </c>
      <c r="BG80" s="13">
        <v>5287.44</v>
      </c>
      <c r="BH80" s="13">
        <v>5293.58</v>
      </c>
      <c r="BI80" s="13">
        <v>5290.72</v>
      </c>
      <c r="BJ80" s="13">
        <v>5306.36</v>
      </c>
      <c r="BK80" s="13">
        <v>5304.61</v>
      </c>
      <c r="BL80" s="13">
        <v>5314.91</v>
      </c>
      <c r="BM80" s="13">
        <v>5294.69</v>
      </c>
      <c r="BN80" s="13">
        <v>5310.74</v>
      </c>
      <c r="BO80" s="13">
        <v>5304.45</v>
      </c>
      <c r="BP80" s="13">
        <v>5285.65</v>
      </c>
      <c r="BQ80" s="13">
        <v>5309.17</v>
      </c>
      <c r="BR80" s="13">
        <v>5309.24</v>
      </c>
      <c r="BS80" s="13">
        <v>5314.11</v>
      </c>
      <c r="BT80" s="13">
        <v>5316.92</v>
      </c>
      <c r="BU80" s="13">
        <v>5309.21</v>
      </c>
      <c r="BV80" s="13">
        <v>5290.15</v>
      </c>
      <c r="BW80" s="13">
        <v>5279.79</v>
      </c>
      <c r="BX80" s="13">
        <v>5301.91</v>
      </c>
      <c r="BY80" s="13">
        <v>5300.22</v>
      </c>
      <c r="BZ80" s="13">
        <v>5294.67</v>
      </c>
      <c r="CA80" s="13">
        <v>5303.2</v>
      </c>
      <c r="CB80" s="13">
        <v>5312.52</v>
      </c>
      <c r="CC80" s="13">
        <v>5311.01</v>
      </c>
      <c r="CD80" s="13">
        <v>5317.29</v>
      </c>
      <c r="CE80" s="13">
        <v>5312.85</v>
      </c>
      <c r="CF80" s="13">
        <v>5306.08</v>
      </c>
      <c r="CG80" s="13">
        <v>5310.86</v>
      </c>
      <c r="CH80" s="13">
        <v>5315.83</v>
      </c>
      <c r="CI80" s="13">
        <v>5293.68</v>
      </c>
      <c r="CJ80" s="13">
        <v>5310.67</v>
      </c>
      <c r="CK80" s="13">
        <v>5310.48</v>
      </c>
      <c r="CL80" s="13">
        <v>5310.9</v>
      </c>
      <c r="CM80" s="13">
        <v>5311.74</v>
      </c>
      <c r="CN80" s="13">
        <v>5306.62</v>
      </c>
      <c r="CO80" s="13">
        <v>5315.43</v>
      </c>
      <c r="CP80" s="13">
        <v>5315.88</v>
      </c>
      <c r="CQ80" s="13">
        <v>5320.29</v>
      </c>
      <c r="CR80" s="13">
        <v>5311.47</v>
      </c>
      <c r="CS80" s="13">
        <v>5314.54</v>
      </c>
      <c r="CT80" s="13">
        <v>5313.67</v>
      </c>
      <c r="CU80" s="13">
        <v>5313.74</v>
      </c>
      <c r="CV80" s="13">
        <v>5314.18</v>
      </c>
      <c r="CW80" s="13">
        <v>5310.68</v>
      </c>
      <c r="CX80" s="13">
        <v>5308.63</v>
      </c>
      <c r="CY80" s="13">
        <v>5311.05</v>
      </c>
      <c r="CZ80" s="13">
        <v>5306.93</v>
      </c>
      <c r="DA80" s="13">
        <v>5312.3</v>
      </c>
      <c r="DB80" s="13">
        <v>5315.29</v>
      </c>
      <c r="DC80" s="13">
        <v>5312.47</v>
      </c>
      <c r="DD80" s="13">
        <v>5315.02</v>
      </c>
      <c r="DE80" s="13">
        <v>5309.42</v>
      </c>
      <c r="DF80" s="13">
        <v>5309.84</v>
      </c>
      <c r="DG80" s="13">
        <v>5313.29</v>
      </c>
      <c r="DH80" s="13">
        <v>5309.07</v>
      </c>
      <c r="DI80" s="13">
        <v>5312.96</v>
      </c>
      <c r="DJ80" s="13">
        <v>5309.19</v>
      </c>
      <c r="DK80" s="13">
        <v>5308.18</v>
      </c>
      <c r="DM80" s="20"/>
    </row>
    <row r="81" spans="1:117" ht="15.75" x14ac:dyDescent="0.25">
      <c r="A81" s="11" t="s">
        <v>5</v>
      </c>
      <c r="B81" s="11" t="s">
        <v>11</v>
      </c>
      <c r="C81" s="15">
        <v>0.37847222222222227</v>
      </c>
      <c r="D81" s="15">
        <v>0.38194444444444442</v>
      </c>
      <c r="E81" s="15">
        <v>0.38541666666666669</v>
      </c>
      <c r="F81" s="15">
        <v>0.3888888888888889</v>
      </c>
      <c r="G81" s="15">
        <v>0.3923611111111111</v>
      </c>
      <c r="H81" s="15">
        <v>0.39583333333333331</v>
      </c>
      <c r="I81" s="15">
        <v>0.39930555555555558</v>
      </c>
      <c r="J81" s="15">
        <v>0.40277777777777773</v>
      </c>
      <c r="K81" s="15">
        <v>0.40625</v>
      </c>
      <c r="L81" s="15">
        <v>0.40972222222222227</v>
      </c>
      <c r="M81" s="15">
        <v>0.41319444444444442</v>
      </c>
      <c r="N81" s="15">
        <v>0.41666666666666669</v>
      </c>
      <c r="O81" s="15">
        <v>0.4201388888888889</v>
      </c>
      <c r="P81" s="15">
        <v>0.4236111111111111</v>
      </c>
      <c r="Q81" s="15">
        <v>0.42708333333333331</v>
      </c>
      <c r="R81" s="15">
        <v>0.43055555555555558</v>
      </c>
      <c r="S81" s="15">
        <v>0.43402777777777773</v>
      </c>
      <c r="T81" s="15">
        <v>0.4375</v>
      </c>
      <c r="U81" s="15">
        <v>0.44097222222222227</v>
      </c>
      <c r="V81" s="15">
        <v>0.44444444444444442</v>
      </c>
      <c r="W81" s="15">
        <v>0.44791666666666669</v>
      </c>
      <c r="X81" s="15">
        <v>0.4513888888888889</v>
      </c>
      <c r="Y81" s="15">
        <v>0.4548611111111111</v>
      </c>
      <c r="Z81" s="15">
        <v>0.45833333333333331</v>
      </c>
      <c r="AA81" s="15">
        <v>0.46180555555555558</v>
      </c>
      <c r="AB81" s="15">
        <v>0.46527777777777773</v>
      </c>
      <c r="AC81" s="15">
        <v>0.46875</v>
      </c>
      <c r="AD81" s="15">
        <v>0.47222222222222227</v>
      </c>
      <c r="AE81" s="15">
        <v>0.47569444444444442</v>
      </c>
      <c r="AF81" s="15">
        <v>0.47916666666666669</v>
      </c>
      <c r="AG81" s="15">
        <v>0.4826388888888889</v>
      </c>
      <c r="AH81" s="15">
        <v>0.4861111111111111</v>
      </c>
      <c r="AI81" s="15">
        <v>0.48958333333333331</v>
      </c>
      <c r="AJ81" s="15">
        <v>0.49305555555555558</v>
      </c>
      <c r="AK81" s="15">
        <v>0.49652777777777773</v>
      </c>
      <c r="AL81" s="15">
        <v>0.5</v>
      </c>
      <c r="AM81" s="15">
        <v>0.50347222222222221</v>
      </c>
      <c r="AN81" s="15">
        <v>0.50694444444444442</v>
      </c>
      <c r="AO81" s="15">
        <v>0.51041666666666663</v>
      </c>
      <c r="AP81" s="15">
        <v>0.51388888888888895</v>
      </c>
      <c r="AQ81" s="15">
        <v>0.51736111111111105</v>
      </c>
      <c r="AR81" s="15">
        <v>0.52083333333333337</v>
      </c>
      <c r="AS81" s="15">
        <v>0.52430555555555558</v>
      </c>
      <c r="AT81" s="15">
        <v>0.52777777777777779</v>
      </c>
      <c r="AU81" s="15">
        <v>0.53125</v>
      </c>
      <c r="AV81" s="15">
        <v>0.53472222222222221</v>
      </c>
      <c r="AW81" s="15">
        <v>0.53819444444444442</v>
      </c>
      <c r="AX81" s="15">
        <v>0.54166666666666663</v>
      </c>
      <c r="AY81" s="15">
        <v>0.54513888888888895</v>
      </c>
      <c r="AZ81" s="15">
        <v>0.54861111111111105</v>
      </c>
      <c r="BA81" s="15">
        <v>0.55208333333333337</v>
      </c>
      <c r="BB81" s="15">
        <v>0.55555555555555558</v>
      </c>
      <c r="BC81" s="15">
        <v>0.55902777777777779</v>
      </c>
      <c r="BD81" s="15">
        <v>0.5625</v>
      </c>
      <c r="BE81" s="15">
        <v>0.56597222222222221</v>
      </c>
      <c r="BF81" s="15">
        <v>0.56944444444444442</v>
      </c>
      <c r="BG81" s="15">
        <v>0.57291666666666663</v>
      </c>
      <c r="BH81" s="15">
        <v>0.57638888888888895</v>
      </c>
      <c r="BI81" s="15">
        <v>0.57986111111111105</v>
      </c>
      <c r="BJ81" s="15">
        <v>0.58333333333333337</v>
      </c>
      <c r="BK81" s="15">
        <v>0.58680555555555558</v>
      </c>
      <c r="BL81" s="15">
        <v>0.59027777777777779</v>
      </c>
      <c r="BM81" s="15">
        <v>0.59375</v>
      </c>
      <c r="BN81" s="15">
        <v>0.59722222222222221</v>
      </c>
      <c r="BO81" s="15">
        <v>0.60069444444444442</v>
      </c>
      <c r="BP81" s="15">
        <v>0.60416666666666663</v>
      </c>
      <c r="BQ81" s="15">
        <v>0.60763888888888895</v>
      </c>
      <c r="BR81" s="15">
        <v>0.61111111111111105</v>
      </c>
      <c r="BS81" s="15">
        <v>0.61458333333333337</v>
      </c>
      <c r="BT81" s="15">
        <v>0.61805555555555558</v>
      </c>
      <c r="BU81" s="15">
        <v>0.62152777777777779</v>
      </c>
      <c r="BV81" s="15">
        <v>0.625</v>
      </c>
      <c r="BW81" s="15">
        <v>0.62847222222222221</v>
      </c>
      <c r="BX81" s="15">
        <v>0.63194444444444442</v>
      </c>
      <c r="BY81" s="15">
        <v>0.63541666666666663</v>
      </c>
      <c r="BZ81" s="15">
        <v>0.63888888888888895</v>
      </c>
      <c r="CA81" s="15">
        <v>0.64236111111111105</v>
      </c>
      <c r="CB81" s="15">
        <v>0.64583333333333337</v>
      </c>
      <c r="CC81" s="15">
        <v>0.64930555555555558</v>
      </c>
      <c r="CD81" s="15">
        <v>0.65277777777777779</v>
      </c>
      <c r="CE81" s="15">
        <v>0.65625</v>
      </c>
      <c r="CF81" s="15">
        <v>0.65972222222222221</v>
      </c>
      <c r="CG81" s="15">
        <v>0.66319444444444442</v>
      </c>
      <c r="CH81" s="15">
        <v>0.66666666666666663</v>
      </c>
      <c r="CI81" s="15">
        <v>0.67013888888888884</v>
      </c>
      <c r="CJ81" s="15">
        <v>0.67361111111111116</v>
      </c>
      <c r="CK81" s="15">
        <v>0.67708333333333337</v>
      </c>
      <c r="CL81" s="15">
        <v>0.68055555555555547</v>
      </c>
      <c r="CM81" s="15">
        <v>0.68402777777777779</v>
      </c>
      <c r="CN81" s="15">
        <v>0.6875</v>
      </c>
      <c r="CO81" s="15">
        <v>0.69097222222222221</v>
      </c>
      <c r="CP81" s="15">
        <v>0.69444444444444453</v>
      </c>
      <c r="CQ81" s="15">
        <v>0.69791666666666663</v>
      </c>
      <c r="CR81" s="15">
        <v>0.70138888888888884</v>
      </c>
      <c r="CS81" s="15">
        <v>0.70486111111111116</v>
      </c>
      <c r="CT81" s="15">
        <v>0.70833333333333337</v>
      </c>
      <c r="CU81" s="15">
        <v>0.71180555555555547</v>
      </c>
      <c r="CV81" s="15">
        <v>0.71527777777777779</v>
      </c>
      <c r="CW81" s="15">
        <v>0.71875</v>
      </c>
      <c r="CX81" s="15">
        <v>0.72222222222222221</v>
      </c>
      <c r="CY81" s="15">
        <v>0.72569444444444453</v>
      </c>
      <c r="CZ81" s="15">
        <v>0.72916666666666663</v>
      </c>
      <c r="DA81" s="15">
        <v>0.73263888888888884</v>
      </c>
      <c r="DB81" s="15">
        <v>0.73611111111111116</v>
      </c>
      <c r="DC81" s="15">
        <v>0.73958333333333337</v>
      </c>
      <c r="DD81" s="15">
        <v>0.74305555555555547</v>
      </c>
      <c r="DE81" s="15">
        <v>0.74652777777777779</v>
      </c>
      <c r="DF81" s="15">
        <v>0.75</v>
      </c>
      <c r="DG81" s="15">
        <v>0.75347222222222221</v>
      </c>
      <c r="DH81" s="15">
        <v>0.75694444444444453</v>
      </c>
      <c r="DI81" s="15">
        <v>0.76041666666666663</v>
      </c>
      <c r="DJ81" s="15">
        <v>0.76388888888888884</v>
      </c>
      <c r="DK81" s="15">
        <v>0.76736111111111116</v>
      </c>
      <c r="DM81" s="20"/>
    </row>
    <row r="82" spans="1:117" ht="15.75" x14ac:dyDescent="0.25">
      <c r="A82" s="14">
        <v>44161</v>
      </c>
      <c r="B82" s="12" t="s">
        <v>6</v>
      </c>
      <c r="C82" s="13">
        <v>5369.33</v>
      </c>
      <c r="D82" s="13">
        <v>5359.2</v>
      </c>
      <c r="E82" s="13">
        <v>5356.86</v>
      </c>
      <c r="F82" s="13">
        <v>5356.91</v>
      </c>
      <c r="G82" s="13">
        <v>5357.39</v>
      </c>
      <c r="H82" s="13">
        <v>5353.89</v>
      </c>
      <c r="I82" s="13">
        <v>5351.66</v>
      </c>
      <c r="J82" s="13">
        <v>5351.71</v>
      </c>
      <c r="K82" s="13">
        <v>5357.35</v>
      </c>
      <c r="L82" s="13">
        <v>5363.61</v>
      </c>
      <c r="M82" s="13">
        <v>5359.31</v>
      </c>
      <c r="N82" s="13">
        <v>5360.66</v>
      </c>
      <c r="O82" s="13">
        <v>5356.62</v>
      </c>
      <c r="P82" s="13">
        <v>5344.79</v>
      </c>
      <c r="Q82" s="13">
        <v>5344.21</v>
      </c>
      <c r="R82" s="13">
        <v>5343.22</v>
      </c>
      <c r="S82" s="13">
        <v>5342.58</v>
      </c>
      <c r="T82" s="13">
        <v>5344</v>
      </c>
      <c r="U82" s="13">
        <v>5347.64</v>
      </c>
      <c r="V82" s="13">
        <v>5345.53</v>
      </c>
      <c r="W82" s="13">
        <v>5345.9</v>
      </c>
      <c r="X82" s="13">
        <v>5346.65</v>
      </c>
      <c r="Y82" s="13">
        <v>5344.27</v>
      </c>
      <c r="Z82" s="13">
        <v>5342.82</v>
      </c>
      <c r="AA82" s="13">
        <v>5339.97</v>
      </c>
      <c r="AB82" s="13">
        <v>5333.42</v>
      </c>
      <c r="AC82" s="13">
        <v>5334.48</v>
      </c>
      <c r="AD82" s="13">
        <v>5336.35</v>
      </c>
      <c r="AE82" s="13">
        <v>5335.08</v>
      </c>
      <c r="AF82" s="13">
        <v>5334.5</v>
      </c>
      <c r="AG82" s="13">
        <v>5331.44</v>
      </c>
      <c r="AH82" s="13">
        <v>5327.35</v>
      </c>
      <c r="AI82" s="13">
        <v>5330.27</v>
      </c>
      <c r="AJ82" s="13">
        <v>5328.04</v>
      </c>
      <c r="AK82" s="13">
        <v>5329</v>
      </c>
      <c r="AL82" s="13">
        <v>5329.57</v>
      </c>
      <c r="AM82" s="13">
        <v>5328.32</v>
      </c>
      <c r="AN82" s="13">
        <v>5323.98</v>
      </c>
      <c r="AO82" s="13">
        <v>5324.08</v>
      </c>
      <c r="AP82" s="13">
        <v>5325.05</v>
      </c>
      <c r="AQ82" s="13">
        <v>5324.43</v>
      </c>
      <c r="AR82" s="13">
        <v>5325.35</v>
      </c>
      <c r="AS82" s="13">
        <v>5328.48</v>
      </c>
      <c r="AT82" s="13">
        <v>5330.17</v>
      </c>
      <c r="AU82" s="13">
        <v>5328.81</v>
      </c>
      <c r="AV82" s="13">
        <v>5328.28</v>
      </c>
      <c r="AW82" s="13">
        <v>5326.36</v>
      </c>
      <c r="AX82" s="13">
        <v>5326.61</v>
      </c>
      <c r="AY82" s="13">
        <v>5323.24</v>
      </c>
      <c r="AZ82" s="13">
        <v>5321.78</v>
      </c>
      <c r="BA82" s="13">
        <v>5321.2</v>
      </c>
      <c r="BB82" s="13">
        <v>5320.93</v>
      </c>
      <c r="BC82" s="13">
        <v>5321.48</v>
      </c>
      <c r="BD82" s="13">
        <v>5319.09</v>
      </c>
      <c r="BE82" s="13">
        <v>5321.02</v>
      </c>
      <c r="BF82" s="13">
        <v>5318.77</v>
      </c>
      <c r="BG82" s="13">
        <v>5321.33</v>
      </c>
      <c r="BH82" s="13">
        <v>5320.77</v>
      </c>
      <c r="BI82" s="13">
        <v>5320.78</v>
      </c>
      <c r="BJ82" s="13">
        <v>5321.73</v>
      </c>
      <c r="BK82" s="13">
        <v>5321.3</v>
      </c>
      <c r="BL82" s="13">
        <v>5321.37</v>
      </c>
      <c r="BM82" s="13">
        <v>5320.39</v>
      </c>
      <c r="BN82" s="13">
        <v>5320.25</v>
      </c>
      <c r="BO82" s="13">
        <v>5319.71</v>
      </c>
      <c r="BP82" s="13">
        <v>5316.65</v>
      </c>
      <c r="BQ82" s="13">
        <v>5313.16</v>
      </c>
      <c r="BR82" s="13">
        <v>5315.66</v>
      </c>
      <c r="BS82" s="13">
        <v>5316.93</v>
      </c>
      <c r="BT82" s="13">
        <v>5315.89</v>
      </c>
      <c r="BU82" s="13">
        <v>5316.03</v>
      </c>
      <c r="BV82" s="13">
        <v>5314.46</v>
      </c>
      <c r="BW82" s="13">
        <v>5313.27</v>
      </c>
      <c r="BX82" s="13">
        <v>5315.12</v>
      </c>
      <c r="BY82" s="13">
        <v>5318.71</v>
      </c>
      <c r="BZ82" s="13">
        <v>5318.7</v>
      </c>
      <c r="CA82" s="13">
        <v>5321.1</v>
      </c>
      <c r="CB82" s="13">
        <v>5321.16</v>
      </c>
      <c r="CC82" s="13">
        <v>5324.54</v>
      </c>
      <c r="CD82" s="13">
        <v>5322.52</v>
      </c>
      <c r="CE82" s="13">
        <v>5323.87</v>
      </c>
      <c r="CF82" s="13">
        <v>5323.05</v>
      </c>
      <c r="CG82" s="13">
        <v>5324.63</v>
      </c>
      <c r="CH82" s="13">
        <v>5325.01</v>
      </c>
      <c r="CI82" s="13">
        <v>5325.78</v>
      </c>
      <c r="CJ82" s="13">
        <v>5329.55</v>
      </c>
      <c r="CK82" s="13">
        <v>5330.15</v>
      </c>
      <c r="CL82" s="13">
        <v>5331.86</v>
      </c>
      <c r="CM82" s="13">
        <v>5330.7</v>
      </c>
      <c r="CN82" s="13">
        <v>5334.02</v>
      </c>
      <c r="CO82" s="13">
        <v>5340.25</v>
      </c>
      <c r="CP82" s="13">
        <v>5337.08</v>
      </c>
      <c r="CQ82" s="13">
        <v>5337.42</v>
      </c>
      <c r="CR82" s="13">
        <v>5336.73</v>
      </c>
      <c r="CS82" s="13">
        <v>5336.99</v>
      </c>
      <c r="CT82" s="13">
        <v>5340.72</v>
      </c>
      <c r="CU82" s="13">
        <v>5337.69</v>
      </c>
      <c r="CV82" s="13">
        <v>5337.04</v>
      </c>
      <c r="CW82" s="13">
        <v>5336.75</v>
      </c>
      <c r="CX82" s="13">
        <v>5340.66</v>
      </c>
      <c r="CY82" s="13">
        <v>5337.08</v>
      </c>
      <c r="CZ82" s="13">
        <v>5336.47</v>
      </c>
      <c r="DA82" s="13">
        <v>5336.55</v>
      </c>
      <c r="DB82" s="13">
        <v>5337.67</v>
      </c>
      <c r="DC82" s="13">
        <v>5337.46</v>
      </c>
      <c r="DD82" s="13">
        <v>5337.95</v>
      </c>
      <c r="DE82" s="13">
        <v>5337.56</v>
      </c>
      <c r="DF82" s="13">
        <v>5336.35</v>
      </c>
      <c r="DG82" s="13">
        <v>5337.07</v>
      </c>
      <c r="DH82" s="13">
        <v>5339.95</v>
      </c>
      <c r="DI82" s="13">
        <v>5339.37</v>
      </c>
      <c r="DJ82" s="13">
        <v>5339.52</v>
      </c>
      <c r="DK82" s="13">
        <v>5340.21</v>
      </c>
      <c r="DM82" s="20"/>
    </row>
    <row r="83" spans="1:117" ht="15.75" x14ac:dyDescent="0.25">
      <c r="A83" s="14" t="s">
        <v>12</v>
      </c>
      <c r="B83" s="12" t="s">
        <v>10</v>
      </c>
      <c r="C83" s="13">
        <v>5359.04</v>
      </c>
      <c r="D83" s="13">
        <v>5350.83</v>
      </c>
      <c r="E83" s="13">
        <v>5356.42</v>
      </c>
      <c r="F83" s="13">
        <v>5353.54</v>
      </c>
      <c r="G83" s="13">
        <v>5353.54</v>
      </c>
      <c r="H83" s="13">
        <v>5351.22</v>
      </c>
      <c r="I83" s="13">
        <v>5351.34</v>
      </c>
      <c r="J83" s="13">
        <v>5350.96</v>
      </c>
      <c r="K83" s="13">
        <v>5356.79</v>
      </c>
      <c r="L83" s="13">
        <v>5357.6</v>
      </c>
      <c r="M83" s="13">
        <v>5356.43</v>
      </c>
      <c r="N83" s="13">
        <v>5356.34</v>
      </c>
      <c r="O83" s="13">
        <v>5344.78</v>
      </c>
      <c r="P83" s="13">
        <v>5342.95</v>
      </c>
      <c r="Q83" s="13">
        <v>5342.07</v>
      </c>
      <c r="R83" s="13">
        <v>5341.61</v>
      </c>
      <c r="S83" s="13">
        <v>5341.1</v>
      </c>
      <c r="T83" s="13">
        <v>5344</v>
      </c>
      <c r="U83" s="13">
        <v>5344.3</v>
      </c>
      <c r="V83" s="13">
        <v>5340.81</v>
      </c>
      <c r="W83" s="13">
        <v>5345.9</v>
      </c>
      <c r="X83" s="13">
        <v>5343.28</v>
      </c>
      <c r="Y83" s="13">
        <v>5343.55</v>
      </c>
      <c r="Z83" s="13">
        <v>5340.47</v>
      </c>
      <c r="AA83" s="13">
        <v>5335.3</v>
      </c>
      <c r="AB83" s="13">
        <v>5331.05</v>
      </c>
      <c r="AC83" s="13">
        <v>5333.96</v>
      </c>
      <c r="AD83" s="13">
        <v>5333.99</v>
      </c>
      <c r="AE83" s="13">
        <v>5334.07</v>
      </c>
      <c r="AF83" s="13">
        <v>5331.29</v>
      </c>
      <c r="AG83" s="13">
        <v>5322.22</v>
      </c>
      <c r="AH83" s="13">
        <v>5327.35</v>
      </c>
      <c r="AI83" s="13">
        <v>5326.93</v>
      </c>
      <c r="AJ83" s="13">
        <v>5327.04</v>
      </c>
      <c r="AK83" s="13">
        <v>5327</v>
      </c>
      <c r="AL83" s="13">
        <v>5328.1</v>
      </c>
      <c r="AM83" s="13">
        <v>5322.73</v>
      </c>
      <c r="AN83" s="13">
        <v>5323.53</v>
      </c>
      <c r="AO83" s="13">
        <v>5323.12</v>
      </c>
      <c r="AP83" s="13">
        <v>5323.6</v>
      </c>
      <c r="AQ83" s="13">
        <v>5323.67</v>
      </c>
      <c r="AR83" s="13">
        <v>5324.27</v>
      </c>
      <c r="AS83" s="13">
        <v>5328.14</v>
      </c>
      <c r="AT83" s="13">
        <v>5328.33</v>
      </c>
      <c r="AU83" s="13">
        <v>5327.77</v>
      </c>
      <c r="AV83" s="13">
        <v>5327.77</v>
      </c>
      <c r="AW83" s="13">
        <v>5325.53</v>
      </c>
      <c r="AX83" s="13">
        <v>5323.19</v>
      </c>
      <c r="AY83" s="13">
        <v>5318.96</v>
      </c>
      <c r="AZ83" s="13">
        <v>5318.07</v>
      </c>
      <c r="BA83" s="13">
        <v>5317.92</v>
      </c>
      <c r="BB83" s="13">
        <v>5320.08</v>
      </c>
      <c r="BC83" s="13">
        <v>5321.16</v>
      </c>
      <c r="BD83" s="13">
        <v>5318.4</v>
      </c>
      <c r="BE83" s="13">
        <v>5316.14</v>
      </c>
      <c r="BF83" s="13">
        <v>5318.77</v>
      </c>
      <c r="BG83" s="13">
        <v>5316.88</v>
      </c>
      <c r="BH83" s="13">
        <v>5320.77</v>
      </c>
      <c r="BI83" s="13">
        <v>5320.19</v>
      </c>
      <c r="BJ83" s="13">
        <v>5319.3</v>
      </c>
      <c r="BK83" s="13">
        <v>5320.94</v>
      </c>
      <c r="BL83" s="13">
        <v>5319.5</v>
      </c>
      <c r="BM83" s="13">
        <v>5319.22</v>
      </c>
      <c r="BN83" s="13">
        <v>5317.7</v>
      </c>
      <c r="BO83" s="13">
        <v>5316.41</v>
      </c>
      <c r="BP83" s="13">
        <v>5309.2</v>
      </c>
      <c r="BQ83" s="13">
        <v>5312.97</v>
      </c>
      <c r="BR83" s="13">
        <v>5315.12</v>
      </c>
      <c r="BS83" s="13">
        <v>5315.81</v>
      </c>
      <c r="BT83" s="13">
        <v>5315.53</v>
      </c>
      <c r="BU83" s="13">
        <v>5313.95</v>
      </c>
      <c r="BV83" s="13">
        <v>5313.06</v>
      </c>
      <c r="BW83" s="13">
        <v>5311.66</v>
      </c>
      <c r="BX83" s="13">
        <v>5314.58</v>
      </c>
      <c r="BY83" s="13">
        <v>5318.36</v>
      </c>
      <c r="BZ83" s="13">
        <v>5316.18</v>
      </c>
      <c r="CA83" s="13">
        <v>5321.1</v>
      </c>
      <c r="CB83" s="13">
        <v>5321.1</v>
      </c>
      <c r="CC83" s="13">
        <v>5322.02</v>
      </c>
      <c r="CD83" s="13">
        <v>5322.52</v>
      </c>
      <c r="CE83" s="13">
        <v>5322.73</v>
      </c>
      <c r="CF83" s="13">
        <v>5322.82</v>
      </c>
      <c r="CG83" s="13">
        <v>5323.34</v>
      </c>
      <c r="CH83" s="13">
        <v>5324.67</v>
      </c>
      <c r="CI83" s="13">
        <v>5325.39</v>
      </c>
      <c r="CJ83" s="13">
        <v>5329.01</v>
      </c>
      <c r="CK83" s="13">
        <v>5330.15</v>
      </c>
      <c r="CL83" s="13">
        <v>5330.7</v>
      </c>
      <c r="CM83" s="13">
        <v>5330.35</v>
      </c>
      <c r="CN83" s="13">
        <v>5333.42</v>
      </c>
      <c r="CO83" s="13">
        <v>5336.75</v>
      </c>
      <c r="CP83" s="13">
        <v>5337.07</v>
      </c>
      <c r="CQ83" s="13">
        <v>5336.01</v>
      </c>
      <c r="CR83" s="13">
        <v>5335.83</v>
      </c>
      <c r="CS83" s="13">
        <v>5336.99</v>
      </c>
      <c r="CT83" s="13">
        <v>5340.54</v>
      </c>
      <c r="CU83" s="13">
        <v>5336.93</v>
      </c>
      <c r="CV83" s="13">
        <v>5336.1</v>
      </c>
      <c r="CW83" s="13">
        <v>5336.69</v>
      </c>
      <c r="CX83" s="13">
        <v>5338.54</v>
      </c>
      <c r="CY83" s="13">
        <v>5336.31</v>
      </c>
      <c r="CZ83" s="13">
        <v>5336.11</v>
      </c>
      <c r="DA83" s="13">
        <v>5336.31</v>
      </c>
      <c r="DB83" s="13">
        <v>5337.46</v>
      </c>
      <c r="DC83" s="13">
        <v>5336.45</v>
      </c>
      <c r="DD83" s="13">
        <v>5337.44</v>
      </c>
      <c r="DE83" s="13">
        <v>5335.47</v>
      </c>
      <c r="DF83" s="13">
        <v>5336.15</v>
      </c>
      <c r="DG83" s="13">
        <v>5336.64</v>
      </c>
      <c r="DH83" s="13">
        <v>5339.02</v>
      </c>
      <c r="DI83" s="13">
        <v>5338.28</v>
      </c>
      <c r="DJ83" s="13">
        <v>5339.04</v>
      </c>
      <c r="DK83" s="13">
        <v>5339.7</v>
      </c>
      <c r="DM83" s="20"/>
    </row>
    <row r="84" spans="1:117" ht="15.75" x14ac:dyDescent="0.25">
      <c r="A84" s="14" t="s">
        <v>12</v>
      </c>
      <c r="B84" s="12" t="s">
        <v>9</v>
      </c>
      <c r="C84" s="13">
        <v>5350.84</v>
      </c>
      <c r="D84" s="13">
        <v>5344.69</v>
      </c>
      <c r="E84" s="13">
        <v>5350.39</v>
      </c>
      <c r="F84" s="13">
        <v>5347.16</v>
      </c>
      <c r="G84" s="13">
        <v>5347.57</v>
      </c>
      <c r="H84" s="13">
        <v>5345.13</v>
      </c>
      <c r="I84" s="13">
        <v>5345.28</v>
      </c>
      <c r="J84" s="13">
        <v>5345.65</v>
      </c>
      <c r="K84" s="13">
        <v>5351.58</v>
      </c>
      <c r="L84" s="13">
        <v>5351.75</v>
      </c>
      <c r="M84" s="13">
        <v>5350.79</v>
      </c>
      <c r="N84" s="13">
        <v>5350.54</v>
      </c>
      <c r="O84" s="13">
        <v>5339.55</v>
      </c>
      <c r="P84" s="13">
        <v>5335.34</v>
      </c>
      <c r="Q84" s="13">
        <v>5335</v>
      </c>
      <c r="R84" s="13">
        <v>5334.48</v>
      </c>
      <c r="S84" s="13">
        <v>5333.37</v>
      </c>
      <c r="T84" s="13">
        <v>5333.09</v>
      </c>
      <c r="U84" s="13">
        <v>5337.62</v>
      </c>
      <c r="V84" s="13">
        <v>5334.81</v>
      </c>
      <c r="W84" s="13">
        <v>5339.78</v>
      </c>
      <c r="X84" s="13">
        <v>5336.48</v>
      </c>
      <c r="Y84" s="13">
        <v>5336.47</v>
      </c>
      <c r="Z84" s="13">
        <v>5333.61</v>
      </c>
      <c r="AA84" s="13">
        <v>5328.1</v>
      </c>
      <c r="AB84" s="13">
        <v>5327.1</v>
      </c>
      <c r="AC84" s="13">
        <v>5330.35</v>
      </c>
      <c r="AD84" s="13">
        <v>5326.63</v>
      </c>
      <c r="AE84" s="13">
        <v>5327.66</v>
      </c>
      <c r="AF84" s="13">
        <v>5324.32</v>
      </c>
      <c r="AG84" s="13">
        <v>5318.05</v>
      </c>
      <c r="AH84" s="13">
        <v>5323.45</v>
      </c>
      <c r="AI84" s="13">
        <v>5322.32</v>
      </c>
      <c r="AJ84" s="13">
        <v>5322.47</v>
      </c>
      <c r="AK84" s="13">
        <v>5322.47</v>
      </c>
      <c r="AL84" s="13">
        <v>5323.37</v>
      </c>
      <c r="AM84" s="13">
        <v>5317.2</v>
      </c>
      <c r="AN84" s="13">
        <v>5319.04</v>
      </c>
      <c r="AO84" s="13">
        <v>5319.03</v>
      </c>
      <c r="AP84" s="13">
        <v>5319.46</v>
      </c>
      <c r="AQ84" s="13">
        <v>5319.16</v>
      </c>
      <c r="AR84" s="13">
        <v>5320.57</v>
      </c>
      <c r="AS84" s="13">
        <v>5324.43</v>
      </c>
      <c r="AT84" s="13">
        <v>5324.29</v>
      </c>
      <c r="AU84" s="13">
        <v>5323.38</v>
      </c>
      <c r="AV84" s="13">
        <v>5323.81</v>
      </c>
      <c r="AW84" s="13">
        <v>5321.15</v>
      </c>
      <c r="AX84" s="13">
        <v>5319.11</v>
      </c>
      <c r="AY84" s="13">
        <v>5313.99</v>
      </c>
      <c r="AZ84" s="13">
        <v>5314.56</v>
      </c>
      <c r="BA84" s="13">
        <v>5314.5</v>
      </c>
      <c r="BB84" s="13">
        <v>5315.24</v>
      </c>
      <c r="BC84" s="13">
        <v>5317.08</v>
      </c>
      <c r="BD84" s="13">
        <v>5314.02</v>
      </c>
      <c r="BE84" s="13">
        <v>5311.73</v>
      </c>
      <c r="BF84" s="13">
        <v>5314.04</v>
      </c>
      <c r="BG84" s="13">
        <v>5310.34</v>
      </c>
      <c r="BH84" s="13">
        <v>5313.98</v>
      </c>
      <c r="BI84" s="13">
        <v>5316.19</v>
      </c>
      <c r="BJ84" s="13">
        <v>5312.4</v>
      </c>
      <c r="BK84" s="13">
        <v>5313.82</v>
      </c>
      <c r="BL84" s="13">
        <v>5312.57</v>
      </c>
      <c r="BM84" s="13">
        <v>5312.4</v>
      </c>
      <c r="BN84" s="13">
        <v>5310.85</v>
      </c>
      <c r="BO84" s="13">
        <v>5309.48</v>
      </c>
      <c r="BP84" s="13">
        <v>5301.11</v>
      </c>
      <c r="BQ84" s="13">
        <v>5304.22</v>
      </c>
      <c r="BR84" s="13">
        <v>5306.39</v>
      </c>
      <c r="BS84" s="13">
        <v>5307.2</v>
      </c>
      <c r="BT84" s="13">
        <v>5306.35</v>
      </c>
      <c r="BU84" s="13">
        <v>5304.87</v>
      </c>
      <c r="BV84" s="13">
        <v>5303.13</v>
      </c>
      <c r="BW84" s="13">
        <v>5301.89</v>
      </c>
      <c r="BX84" s="13">
        <v>5304.72</v>
      </c>
      <c r="BY84" s="13">
        <v>5308.43</v>
      </c>
      <c r="BZ84" s="13">
        <v>5306.44</v>
      </c>
      <c r="CA84" s="13">
        <v>5311.75</v>
      </c>
      <c r="CB84" s="13">
        <v>5311.47</v>
      </c>
      <c r="CC84" s="13">
        <v>5312.54</v>
      </c>
      <c r="CD84" s="13">
        <v>5313.37</v>
      </c>
      <c r="CE84" s="13">
        <v>5313.79</v>
      </c>
      <c r="CF84" s="13">
        <v>5313.54</v>
      </c>
      <c r="CG84" s="13">
        <v>5313.84</v>
      </c>
      <c r="CH84" s="13">
        <v>5315.1</v>
      </c>
      <c r="CI84" s="13">
        <v>5316.21</v>
      </c>
      <c r="CJ84" s="13">
        <v>5319.84</v>
      </c>
      <c r="CK84" s="13">
        <v>5321.33</v>
      </c>
      <c r="CL84" s="13">
        <v>5321.35</v>
      </c>
      <c r="CM84" s="13">
        <v>5320.59</v>
      </c>
      <c r="CN84" s="13">
        <v>5323.97</v>
      </c>
      <c r="CO84" s="13">
        <v>5327.04</v>
      </c>
      <c r="CP84" s="13">
        <v>5327.64</v>
      </c>
      <c r="CQ84" s="13">
        <v>5325.84</v>
      </c>
      <c r="CR84" s="13">
        <v>5325.63</v>
      </c>
      <c r="CS84" s="13">
        <v>5328.13</v>
      </c>
      <c r="CT84" s="13">
        <v>5335.37</v>
      </c>
      <c r="CU84" s="13">
        <v>5327.62</v>
      </c>
      <c r="CV84" s="13">
        <v>5326.37</v>
      </c>
      <c r="CW84" s="13">
        <v>5327.12</v>
      </c>
      <c r="CX84" s="13">
        <v>5333.05</v>
      </c>
      <c r="CY84" s="13">
        <v>5325.78</v>
      </c>
      <c r="CZ84" s="13">
        <v>5326.59</v>
      </c>
      <c r="DA84" s="13">
        <v>5326.91</v>
      </c>
      <c r="DB84" s="13">
        <v>5327.73</v>
      </c>
      <c r="DC84" s="13">
        <v>5327.44</v>
      </c>
      <c r="DD84" s="13">
        <v>5328.21</v>
      </c>
      <c r="DE84" s="13">
        <v>5325.85</v>
      </c>
      <c r="DF84" s="13">
        <v>5326.13</v>
      </c>
      <c r="DG84" s="13">
        <v>5327.33</v>
      </c>
      <c r="DH84" s="13">
        <v>5329.21</v>
      </c>
      <c r="DI84" s="13">
        <v>5328.33</v>
      </c>
      <c r="DJ84" s="13">
        <v>5330.08</v>
      </c>
      <c r="DK84" s="13">
        <v>5330.78</v>
      </c>
      <c r="DM84" s="20"/>
    </row>
    <row r="85" spans="1:117" ht="15.75" x14ac:dyDescent="0.25">
      <c r="A85" s="14" t="s">
        <v>12</v>
      </c>
      <c r="B85" s="12" t="s">
        <v>7</v>
      </c>
      <c r="C85" s="13">
        <v>5340</v>
      </c>
      <c r="D85" s="13">
        <v>5336.57</v>
      </c>
      <c r="E85" s="13">
        <v>5341.99</v>
      </c>
      <c r="F85" s="13">
        <v>5346.72</v>
      </c>
      <c r="G85" s="13">
        <v>5346.26</v>
      </c>
      <c r="H85" s="13">
        <v>5344.82</v>
      </c>
      <c r="I85" s="13">
        <v>5343.96</v>
      </c>
      <c r="J85" s="13">
        <v>5345.01</v>
      </c>
      <c r="K85" s="13">
        <v>5345.04</v>
      </c>
      <c r="L85" s="13">
        <v>5351.75</v>
      </c>
      <c r="M85" s="13">
        <v>5348.78</v>
      </c>
      <c r="N85" s="13">
        <v>5349.66</v>
      </c>
      <c r="O85" s="13">
        <v>5338.26</v>
      </c>
      <c r="P85" s="13">
        <v>5334.16</v>
      </c>
      <c r="Q85" s="13">
        <v>5334.31</v>
      </c>
      <c r="R85" s="13">
        <v>5333.95</v>
      </c>
      <c r="S85" s="13">
        <v>5333.05</v>
      </c>
      <c r="T85" s="13">
        <v>5331.27</v>
      </c>
      <c r="U85" s="13">
        <v>5332.45</v>
      </c>
      <c r="V85" s="13">
        <v>5334.81</v>
      </c>
      <c r="W85" s="13">
        <v>5333.21</v>
      </c>
      <c r="X85" s="13">
        <v>5336.48</v>
      </c>
      <c r="Y85" s="13">
        <v>5335.5</v>
      </c>
      <c r="Z85" s="13">
        <v>5331.95</v>
      </c>
      <c r="AA85" s="13">
        <v>5328.1</v>
      </c>
      <c r="AB85" s="13">
        <v>5323.84</v>
      </c>
      <c r="AC85" s="13">
        <v>5327.05</v>
      </c>
      <c r="AD85" s="13">
        <v>5326.63</v>
      </c>
      <c r="AE85" s="13">
        <v>5325.37</v>
      </c>
      <c r="AF85" s="13">
        <v>5322.76</v>
      </c>
      <c r="AG85" s="13">
        <v>5316.25</v>
      </c>
      <c r="AH85" s="13">
        <v>5316.13</v>
      </c>
      <c r="AI85" s="13">
        <v>5322.32</v>
      </c>
      <c r="AJ85" s="13">
        <v>5322.17</v>
      </c>
      <c r="AK85" s="13">
        <v>5320.77</v>
      </c>
      <c r="AL85" s="13">
        <v>5322.45</v>
      </c>
      <c r="AM85" s="13">
        <v>5317.2</v>
      </c>
      <c r="AN85" s="13">
        <v>5316.75</v>
      </c>
      <c r="AO85" s="13">
        <v>5317.09</v>
      </c>
      <c r="AP85" s="13">
        <v>5319.46</v>
      </c>
      <c r="AQ85" s="13">
        <v>5317.6</v>
      </c>
      <c r="AR85" s="13">
        <v>5318.65</v>
      </c>
      <c r="AS85" s="13">
        <v>5319.1</v>
      </c>
      <c r="AT85" s="13">
        <v>5322.89</v>
      </c>
      <c r="AU85" s="13">
        <v>5322.92</v>
      </c>
      <c r="AV85" s="13">
        <v>5322.53</v>
      </c>
      <c r="AW85" s="13">
        <v>5320.71</v>
      </c>
      <c r="AX85" s="13">
        <v>5317.78</v>
      </c>
      <c r="AY85" s="13">
        <v>5313.99</v>
      </c>
      <c r="AZ85" s="13">
        <v>5312.07</v>
      </c>
      <c r="BA85" s="13">
        <v>5313.16</v>
      </c>
      <c r="BB85" s="13">
        <v>5314.25</v>
      </c>
      <c r="BC85" s="13">
        <v>5315.47</v>
      </c>
      <c r="BD85" s="13">
        <v>5312.83</v>
      </c>
      <c r="BE85" s="13">
        <v>5311.73</v>
      </c>
      <c r="BF85" s="13">
        <v>5311.53</v>
      </c>
      <c r="BG85" s="13">
        <v>5309.68</v>
      </c>
      <c r="BH85" s="13">
        <v>5308.48</v>
      </c>
      <c r="BI85" s="13">
        <v>5315.22</v>
      </c>
      <c r="BJ85" s="13">
        <v>5312.39</v>
      </c>
      <c r="BK85" s="13">
        <v>5311.43</v>
      </c>
      <c r="BL85" s="13">
        <v>5312.03</v>
      </c>
      <c r="BM85" s="13">
        <v>5311.1</v>
      </c>
      <c r="BN85" s="13">
        <v>5310.35</v>
      </c>
      <c r="BO85" s="13">
        <v>5309.35</v>
      </c>
      <c r="BP85" s="13">
        <v>5299.91</v>
      </c>
      <c r="BQ85" s="13">
        <v>5299.74</v>
      </c>
      <c r="BR85" s="13">
        <v>5304.28</v>
      </c>
      <c r="BS85" s="13">
        <v>5305.96</v>
      </c>
      <c r="BT85" s="13">
        <v>5306.05</v>
      </c>
      <c r="BU85" s="13">
        <v>5304.3</v>
      </c>
      <c r="BV85" s="13">
        <v>5302.5</v>
      </c>
      <c r="BW85" s="13">
        <v>5300.66</v>
      </c>
      <c r="BX85" s="13">
        <v>5301.22</v>
      </c>
      <c r="BY85" s="13">
        <v>5304.61</v>
      </c>
      <c r="BZ85" s="13">
        <v>5306.44</v>
      </c>
      <c r="CA85" s="13">
        <v>5306.01</v>
      </c>
      <c r="CB85" s="13">
        <v>5310.67</v>
      </c>
      <c r="CC85" s="13">
        <v>5311.01</v>
      </c>
      <c r="CD85" s="13">
        <v>5311.64</v>
      </c>
      <c r="CE85" s="13">
        <v>5313.12</v>
      </c>
      <c r="CF85" s="13">
        <v>5312.97</v>
      </c>
      <c r="CG85" s="13">
        <v>5308.95</v>
      </c>
      <c r="CH85" s="13">
        <v>5312.65</v>
      </c>
      <c r="CI85" s="13">
        <v>5315.1</v>
      </c>
      <c r="CJ85" s="13">
        <v>5315.95</v>
      </c>
      <c r="CK85" s="13">
        <v>5318.68</v>
      </c>
      <c r="CL85" s="13">
        <v>5321</v>
      </c>
      <c r="CM85" s="13">
        <v>5319.56</v>
      </c>
      <c r="CN85" s="13">
        <v>5319.86</v>
      </c>
      <c r="CO85" s="13">
        <v>5324.26</v>
      </c>
      <c r="CP85" s="13">
        <v>5326.14</v>
      </c>
      <c r="CQ85" s="13">
        <v>5323.67</v>
      </c>
      <c r="CR85" s="13">
        <v>5324.78</v>
      </c>
      <c r="CS85" s="13">
        <v>5328.13</v>
      </c>
      <c r="CT85" s="13">
        <v>5311.22</v>
      </c>
      <c r="CU85" s="13">
        <v>5324.31</v>
      </c>
      <c r="CV85" s="13">
        <v>5325.29</v>
      </c>
      <c r="CW85" s="13">
        <v>5326.19</v>
      </c>
      <c r="CX85" s="13">
        <v>5330.01</v>
      </c>
      <c r="CY85" s="13">
        <v>5325.78</v>
      </c>
      <c r="CZ85" s="13">
        <v>5324.38</v>
      </c>
      <c r="DA85" s="13">
        <v>5325.74</v>
      </c>
      <c r="DB85" s="13">
        <v>5326.74</v>
      </c>
      <c r="DC85" s="13">
        <v>5327.1</v>
      </c>
      <c r="DD85" s="13">
        <v>5327.44</v>
      </c>
      <c r="DE85" s="13">
        <v>5325.11</v>
      </c>
      <c r="DF85" s="13">
        <v>5322.65</v>
      </c>
      <c r="DG85" s="13">
        <v>5325.25</v>
      </c>
      <c r="DH85" s="13">
        <v>5327.63</v>
      </c>
      <c r="DI85" s="13">
        <v>5327.9</v>
      </c>
      <c r="DJ85" s="13">
        <v>5328.54</v>
      </c>
      <c r="DK85" s="13">
        <v>5328.75</v>
      </c>
      <c r="DM85" s="20"/>
    </row>
    <row r="86" spans="1:117" ht="15.75" x14ac:dyDescent="0.25">
      <c r="A86" s="11" t="s">
        <v>5</v>
      </c>
      <c r="B86" s="11" t="s">
        <v>11</v>
      </c>
      <c r="C86" s="15">
        <v>0.37847222222222227</v>
      </c>
      <c r="D86" s="15">
        <v>0.38541666666666669</v>
      </c>
      <c r="E86" s="15">
        <v>0.3888888888888889</v>
      </c>
      <c r="F86" s="15">
        <v>0.3923611111111111</v>
      </c>
      <c r="G86" s="15">
        <v>0.39583333333333331</v>
      </c>
      <c r="H86" s="15">
        <v>0.39930555555555558</v>
      </c>
      <c r="I86" s="15">
        <v>0.40277777777777773</v>
      </c>
      <c r="J86" s="15">
        <v>0.40625</v>
      </c>
      <c r="K86" s="15">
        <v>0.40972222222222227</v>
      </c>
      <c r="L86" s="15">
        <v>0.41319444444444442</v>
      </c>
      <c r="M86" s="15">
        <v>0.41666666666666669</v>
      </c>
      <c r="N86" s="15">
        <v>0.4201388888888889</v>
      </c>
      <c r="O86" s="15">
        <v>0.4236111111111111</v>
      </c>
      <c r="P86" s="15">
        <v>0.42708333333333331</v>
      </c>
      <c r="Q86" s="15">
        <v>0.43055555555555558</v>
      </c>
      <c r="R86" s="15">
        <v>0.43402777777777773</v>
      </c>
      <c r="S86" s="15">
        <v>0.4375</v>
      </c>
      <c r="T86" s="15">
        <v>0.44097222222222227</v>
      </c>
      <c r="U86" s="15">
        <v>0.44444444444444442</v>
      </c>
      <c r="V86" s="15">
        <v>0.44791666666666669</v>
      </c>
      <c r="W86" s="15">
        <v>0.4513888888888889</v>
      </c>
      <c r="X86" s="15">
        <v>0.4548611111111111</v>
      </c>
      <c r="Y86" s="15">
        <v>0.45833333333333331</v>
      </c>
      <c r="Z86" s="15">
        <v>0.46180555555555558</v>
      </c>
      <c r="AA86" s="15">
        <v>0.46527777777777773</v>
      </c>
      <c r="AB86" s="15">
        <v>0.46875</v>
      </c>
      <c r="AC86" s="15">
        <v>0.47222222222222227</v>
      </c>
      <c r="AD86" s="15">
        <v>0.47569444444444442</v>
      </c>
      <c r="AE86" s="15">
        <v>0.47916666666666669</v>
      </c>
      <c r="AF86" s="15">
        <v>0.4826388888888889</v>
      </c>
      <c r="AG86" s="15">
        <v>0.4861111111111111</v>
      </c>
      <c r="AH86" s="15">
        <v>0.48958333333333331</v>
      </c>
      <c r="AI86" s="15">
        <v>0.49305555555555558</v>
      </c>
      <c r="AJ86" s="15">
        <v>0.49652777777777773</v>
      </c>
      <c r="AK86" s="15">
        <v>0.5</v>
      </c>
      <c r="AL86" s="15">
        <v>0.50347222222222221</v>
      </c>
      <c r="AM86" s="15">
        <v>0.50694444444444442</v>
      </c>
      <c r="AN86" s="15">
        <v>0.51041666666666663</v>
      </c>
      <c r="AO86" s="15">
        <v>0.51388888888888895</v>
      </c>
      <c r="AP86" s="15">
        <v>0.51736111111111105</v>
      </c>
      <c r="AQ86" s="15">
        <v>0.52083333333333337</v>
      </c>
      <c r="AR86" s="15">
        <v>0.52430555555555558</v>
      </c>
      <c r="AS86" s="15">
        <v>0.52777777777777779</v>
      </c>
      <c r="AT86" s="15">
        <v>0.53125</v>
      </c>
      <c r="AU86" s="15">
        <v>0.53472222222222221</v>
      </c>
      <c r="AV86" s="15">
        <v>0.53819444444444442</v>
      </c>
      <c r="AW86" s="15">
        <v>0.54166666666666663</v>
      </c>
      <c r="AX86" s="15">
        <v>0.54513888888888895</v>
      </c>
      <c r="AY86" s="15">
        <v>0.54513888888888895</v>
      </c>
      <c r="AZ86" s="15">
        <v>0.54861111111111105</v>
      </c>
      <c r="BA86" s="15">
        <v>0.55208333333333337</v>
      </c>
      <c r="BB86" s="15">
        <v>0.55555555555555558</v>
      </c>
      <c r="BC86" s="15">
        <v>0.55902777777777779</v>
      </c>
      <c r="BD86" s="15">
        <v>0.5625</v>
      </c>
      <c r="BE86" s="15">
        <v>0.56597222222222221</v>
      </c>
      <c r="BF86" s="15">
        <v>0.56944444444444442</v>
      </c>
      <c r="BG86" s="15">
        <v>0.57291666666666663</v>
      </c>
      <c r="BH86" s="15">
        <v>0.57638888888888895</v>
      </c>
      <c r="BI86" s="15">
        <v>0.57986111111111105</v>
      </c>
      <c r="BJ86" s="15">
        <v>0.58333333333333337</v>
      </c>
      <c r="BK86" s="15">
        <v>0.58680555555555558</v>
      </c>
      <c r="BL86" s="15">
        <v>0.59027777777777779</v>
      </c>
      <c r="BM86" s="15">
        <v>0.59375</v>
      </c>
      <c r="BN86" s="15">
        <v>0.59722222222222221</v>
      </c>
      <c r="BO86" s="15">
        <v>0.60069444444444442</v>
      </c>
      <c r="BP86" s="15">
        <v>0.60416666666666663</v>
      </c>
      <c r="BQ86" s="15">
        <v>0.60763888888888895</v>
      </c>
      <c r="BR86" s="15">
        <v>0.61111111111111105</v>
      </c>
      <c r="BS86" s="15">
        <v>0.61458333333333337</v>
      </c>
      <c r="BT86" s="15">
        <v>0.61805555555555558</v>
      </c>
      <c r="BU86" s="15">
        <v>0.62152777777777779</v>
      </c>
      <c r="BV86" s="15">
        <v>0.625</v>
      </c>
      <c r="BW86" s="15">
        <v>0.62847222222222221</v>
      </c>
      <c r="BX86" s="15">
        <v>0.63194444444444442</v>
      </c>
      <c r="BY86" s="15">
        <v>0.63541666666666663</v>
      </c>
      <c r="BZ86" s="15">
        <v>0.63888888888888895</v>
      </c>
      <c r="CA86" s="15">
        <v>0.64236111111111105</v>
      </c>
      <c r="CB86" s="15">
        <v>0.64583333333333337</v>
      </c>
      <c r="CC86" s="15">
        <v>0.64930555555555558</v>
      </c>
      <c r="CD86" s="15">
        <v>0.65277777777777779</v>
      </c>
      <c r="CE86" s="15">
        <v>0.65625</v>
      </c>
      <c r="CF86" s="15">
        <v>0.65972222222222221</v>
      </c>
      <c r="CG86" s="15">
        <v>0.66319444444444442</v>
      </c>
      <c r="CH86" s="15">
        <v>0.66666666666666663</v>
      </c>
      <c r="CI86" s="15">
        <v>0.67013888888888884</v>
      </c>
      <c r="CJ86" s="15">
        <v>0.67361111111111116</v>
      </c>
      <c r="CK86" s="15">
        <v>0.67708333333333337</v>
      </c>
      <c r="CL86" s="15">
        <v>0.68055555555555547</v>
      </c>
      <c r="CM86" s="15">
        <v>0.68402777777777779</v>
      </c>
      <c r="CN86" s="15">
        <v>0.6875</v>
      </c>
      <c r="CO86" s="15">
        <v>0.69097222222222221</v>
      </c>
      <c r="CP86" s="15">
        <v>0.69444444444444453</v>
      </c>
      <c r="CQ86" s="15">
        <v>0.69791666666666663</v>
      </c>
      <c r="CR86" s="15">
        <v>0.70138888888888884</v>
      </c>
      <c r="CS86" s="15">
        <v>0.70486111111111116</v>
      </c>
      <c r="CT86" s="15">
        <v>0.70833333333333337</v>
      </c>
      <c r="CU86" s="15">
        <v>0.71180555555555547</v>
      </c>
      <c r="CV86" s="15">
        <v>0.71527777777777779</v>
      </c>
      <c r="CW86" s="15">
        <v>0.71875</v>
      </c>
      <c r="CX86" s="15">
        <v>0.72222222222222221</v>
      </c>
      <c r="CY86" s="15">
        <v>0.72569444444444453</v>
      </c>
      <c r="CZ86" s="15">
        <v>0.72916666666666663</v>
      </c>
      <c r="DA86" s="15">
        <v>0.73263888888888884</v>
      </c>
      <c r="DB86" s="15">
        <v>0.73611111111111116</v>
      </c>
      <c r="DC86" s="15">
        <v>0.73958333333333337</v>
      </c>
      <c r="DD86" s="15">
        <v>0.74305555555555547</v>
      </c>
      <c r="DE86" s="15">
        <v>0.74652777777777779</v>
      </c>
      <c r="DF86" s="15">
        <v>0.75</v>
      </c>
      <c r="DG86" s="15">
        <v>0.75347222222222221</v>
      </c>
      <c r="DH86" s="15">
        <v>0.75694444444444453</v>
      </c>
      <c r="DI86" s="15">
        <v>0.76041666666666663</v>
      </c>
      <c r="DJ86" s="15">
        <v>0.76388888888888884</v>
      </c>
      <c r="DK86" s="15">
        <v>0.76736111111111116</v>
      </c>
      <c r="DM86" s="20"/>
    </row>
    <row r="87" spans="1:117" ht="15.75" x14ac:dyDescent="0.25">
      <c r="A87" s="14">
        <v>44162</v>
      </c>
      <c r="B87" s="12" t="s">
        <v>6</v>
      </c>
      <c r="C87" s="13">
        <v>5400.2</v>
      </c>
      <c r="D87" s="13">
        <v>5339.28</v>
      </c>
      <c r="E87" s="13">
        <v>5336.88</v>
      </c>
      <c r="F87" s="13">
        <v>5352.15</v>
      </c>
      <c r="G87" s="13">
        <v>5351.07</v>
      </c>
      <c r="H87" s="13">
        <v>5349.7</v>
      </c>
      <c r="I87" s="13">
        <v>5346.71</v>
      </c>
      <c r="J87" s="13">
        <v>5346.65</v>
      </c>
      <c r="K87" s="13">
        <v>5344.29</v>
      </c>
      <c r="L87" s="13">
        <v>5349.64</v>
      </c>
      <c r="M87" s="13">
        <v>5353.32</v>
      </c>
      <c r="N87" s="13">
        <v>5364.52</v>
      </c>
      <c r="O87" s="13">
        <v>5367.44</v>
      </c>
      <c r="P87" s="13">
        <v>5374.7</v>
      </c>
      <c r="Q87" s="13">
        <v>5372.37</v>
      </c>
      <c r="R87" s="13">
        <v>5369.72</v>
      </c>
      <c r="S87" s="13">
        <v>5369.99</v>
      </c>
      <c r="T87" s="13">
        <v>5375.26</v>
      </c>
      <c r="U87" s="13">
        <v>5377.41</v>
      </c>
      <c r="V87" s="13">
        <v>5376.93</v>
      </c>
      <c r="W87" s="13">
        <v>5382.25</v>
      </c>
      <c r="X87" s="13">
        <v>5376.99</v>
      </c>
      <c r="Y87" s="13">
        <v>5376.9</v>
      </c>
      <c r="Z87" s="13">
        <v>5377.32</v>
      </c>
      <c r="AA87" s="13">
        <v>5374.16</v>
      </c>
      <c r="AB87" s="13">
        <v>5373.21</v>
      </c>
      <c r="AC87" s="13">
        <v>5373.65</v>
      </c>
      <c r="AD87" s="13">
        <v>5374.37</v>
      </c>
      <c r="AE87" s="13">
        <v>5372</v>
      </c>
      <c r="AF87" s="13">
        <v>5370.22</v>
      </c>
      <c r="AG87" s="13">
        <v>5363.19</v>
      </c>
      <c r="AH87" s="13">
        <v>5361.88</v>
      </c>
      <c r="AI87" s="13">
        <v>5360.3</v>
      </c>
      <c r="AJ87" s="13">
        <v>5362.14</v>
      </c>
      <c r="AK87" s="13">
        <v>5359.46</v>
      </c>
      <c r="AL87" s="13">
        <v>5359.73</v>
      </c>
      <c r="AM87" s="13">
        <v>5358.6</v>
      </c>
      <c r="AN87" s="13">
        <v>5358.3</v>
      </c>
      <c r="AO87" s="13">
        <v>5354.75</v>
      </c>
      <c r="AP87" s="13">
        <v>5353.98</v>
      </c>
      <c r="AQ87" s="13">
        <v>5353.94</v>
      </c>
      <c r="AR87" s="13">
        <v>5352.74</v>
      </c>
      <c r="AS87" s="13">
        <v>5351.4</v>
      </c>
      <c r="AT87" s="13">
        <v>5351.51</v>
      </c>
      <c r="AU87" s="13">
        <v>5348.81</v>
      </c>
      <c r="AV87" s="13">
        <v>5342.62</v>
      </c>
      <c r="AW87" s="13">
        <v>5343.81</v>
      </c>
      <c r="AX87" s="13">
        <v>5346.43</v>
      </c>
      <c r="AY87" s="13">
        <v>5344.98</v>
      </c>
      <c r="AZ87" s="13">
        <v>5348.62</v>
      </c>
      <c r="BA87" s="13">
        <v>5351.31</v>
      </c>
      <c r="BB87" s="13">
        <v>5351.66</v>
      </c>
      <c r="BC87" s="13">
        <v>5351.36</v>
      </c>
      <c r="BD87" s="13">
        <v>5351.24</v>
      </c>
      <c r="BE87" s="13">
        <v>5352.3</v>
      </c>
      <c r="BF87" s="13">
        <v>5353.91</v>
      </c>
      <c r="BG87" s="13">
        <v>5353.78</v>
      </c>
      <c r="BH87" s="13">
        <v>5358.83</v>
      </c>
      <c r="BI87" s="13">
        <v>5358.69</v>
      </c>
      <c r="BJ87" s="13">
        <v>5360.99</v>
      </c>
      <c r="BK87" s="13">
        <v>5357.95</v>
      </c>
      <c r="BL87" s="13">
        <v>5353.29</v>
      </c>
      <c r="BM87" s="13">
        <v>5353.55</v>
      </c>
      <c r="BN87" s="13">
        <v>5353.85</v>
      </c>
      <c r="BO87" s="13">
        <v>5355.56</v>
      </c>
      <c r="BP87" s="13">
        <v>5356.65</v>
      </c>
      <c r="BQ87" s="13">
        <v>5356.99</v>
      </c>
      <c r="BR87" s="13">
        <v>5358.07</v>
      </c>
      <c r="BS87" s="13">
        <v>5359.77</v>
      </c>
      <c r="BT87" s="13">
        <v>5360.95</v>
      </c>
      <c r="BU87" s="13">
        <v>5359.96</v>
      </c>
      <c r="BV87" s="13">
        <v>5357.52</v>
      </c>
      <c r="BW87" s="13">
        <v>5356.04</v>
      </c>
      <c r="BX87" s="13">
        <v>5357.66</v>
      </c>
      <c r="BY87" s="13">
        <v>5355.86</v>
      </c>
      <c r="BZ87" s="13">
        <v>5356.27</v>
      </c>
      <c r="CA87" s="13">
        <v>5355.36</v>
      </c>
      <c r="CB87" s="13">
        <v>5353.09</v>
      </c>
      <c r="CC87" s="13">
        <v>5353.38</v>
      </c>
      <c r="CD87" s="13">
        <v>5352</v>
      </c>
      <c r="CE87" s="13">
        <v>5351.11</v>
      </c>
      <c r="CF87" s="13">
        <v>5350.94</v>
      </c>
      <c r="CG87" s="13">
        <v>5349.37</v>
      </c>
      <c r="CH87" s="13">
        <v>5344.23</v>
      </c>
      <c r="CI87" s="13">
        <v>5343.89</v>
      </c>
      <c r="CJ87" s="13">
        <v>5343.51</v>
      </c>
      <c r="CK87" s="13">
        <v>5342.37</v>
      </c>
      <c r="CL87" s="13">
        <v>5340.61</v>
      </c>
      <c r="CM87" s="13">
        <v>5341.61</v>
      </c>
      <c r="CN87" s="13">
        <v>5341.36</v>
      </c>
      <c r="CO87" s="13">
        <v>5341.59</v>
      </c>
      <c r="CP87" s="13">
        <v>5340.12</v>
      </c>
      <c r="CQ87" s="13">
        <v>5341.42</v>
      </c>
      <c r="CR87" s="13">
        <v>5341.27</v>
      </c>
      <c r="CS87" s="13">
        <v>5340.47</v>
      </c>
      <c r="CT87" s="13">
        <v>5340.53</v>
      </c>
      <c r="CU87" s="13">
        <v>5339.29</v>
      </c>
      <c r="CV87" s="13">
        <v>5334.49</v>
      </c>
      <c r="CW87" s="13">
        <v>5342.03</v>
      </c>
      <c r="CX87" s="13">
        <v>5341.8</v>
      </c>
      <c r="CY87" s="13">
        <v>5341.78</v>
      </c>
      <c r="CZ87" s="13">
        <v>5342.89</v>
      </c>
      <c r="DA87" s="13">
        <v>5343.49</v>
      </c>
      <c r="DB87" s="13">
        <v>5341.14</v>
      </c>
      <c r="DC87" s="13">
        <v>5345.79</v>
      </c>
      <c r="DD87" s="13">
        <v>5344.84</v>
      </c>
      <c r="DE87" s="13">
        <v>5344.74</v>
      </c>
      <c r="DF87" s="13">
        <v>5346.23</v>
      </c>
      <c r="DG87" s="13">
        <v>5346.5</v>
      </c>
      <c r="DH87" s="13">
        <v>5345.14</v>
      </c>
      <c r="DI87" s="13">
        <v>5354.37</v>
      </c>
      <c r="DJ87" s="13">
        <v>5354.04</v>
      </c>
      <c r="DK87" s="13">
        <v>5355.15</v>
      </c>
      <c r="DM87" s="20"/>
    </row>
    <row r="88" spans="1:117" ht="15.75" x14ac:dyDescent="0.25">
      <c r="A88" s="14" t="s">
        <v>12</v>
      </c>
      <c r="B88" s="12" t="s">
        <v>10</v>
      </c>
      <c r="C88" s="13">
        <v>5333.81</v>
      </c>
      <c r="D88" s="13">
        <v>5333.07</v>
      </c>
      <c r="E88" s="13">
        <v>5336.88</v>
      </c>
      <c r="F88" s="13">
        <v>5350.54</v>
      </c>
      <c r="G88" s="13">
        <v>5346.93</v>
      </c>
      <c r="H88" s="13">
        <v>5346.41</v>
      </c>
      <c r="I88" s="13">
        <v>5340.89</v>
      </c>
      <c r="J88" s="13">
        <v>5341.97</v>
      </c>
      <c r="K88" s="13">
        <v>5341.41</v>
      </c>
      <c r="L88" s="13">
        <v>5348.12</v>
      </c>
      <c r="M88" s="13">
        <v>5353.32</v>
      </c>
      <c r="N88" s="13">
        <v>5363.61</v>
      </c>
      <c r="O88" s="13">
        <v>5367.2</v>
      </c>
      <c r="P88" s="13">
        <v>5374.09</v>
      </c>
      <c r="Q88" s="13">
        <v>5368.07</v>
      </c>
      <c r="R88" s="13">
        <v>5366.93</v>
      </c>
      <c r="S88" s="13">
        <v>5369.27</v>
      </c>
      <c r="T88" s="13">
        <v>5374.41</v>
      </c>
      <c r="U88" s="13">
        <v>5377.28</v>
      </c>
      <c r="V88" s="13">
        <v>5376.49</v>
      </c>
      <c r="W88" s="13">
        <v>5380.32</v>
      </c>
      <c r="X88" s="13">
        <v>5375.79</v>
      </c>
      <c r="Y88" s="13">
        <v>5376.9</v>
      </c>
      <c r="Z88" s="13">
        <v>5372.52</v>
      </c>
      <c r="AA88" s="13">
        <v>5373.15</v>
      </c>
      <c r="AB88" s="13">
        <v>5371.02</v>
      </c>
      <c r="AC88" s="13">
        <v>5373.58</v>
      </c>
      <c r="AD88" s="13">
        <v>5371.77</v>
      </c>
      <c r="AE88" s="13">
        <v>5370.04</v>
      </c>
      <c r="AF88" s="13">
        <v>5364.38</v>
      </c>
      <c r="AG88" s="13">
        <v>5359.87</v>
      </c>
      <c r="AH88" s="13">
        <v>5358.3</v>
      </c>
      <c r="AI88" s="13">
        <v>5359.67</v>
      </c>
      <c r="AJ88" s="13">
        <v>5359.19</v>
      </c>
      <c r="AK88" s="13">
        <v>5358.89</v>
      </c>
      <c r="AL88" s="13">
        <v>5358.57</v>
      </c>
      <c r="AM88" s="13">
        <v>5357.79</v>
      </c>
      <c r="AN88" s="13">
        <v>5354.02</v>
      </c>
      <c r="AO88" s="13">
        <v>5352.82</v>
      </c>
      <c r="AP88" s="13">
        <v>5353.98</v>
      </c>
      <c r="AQ88" s="13">
        <v>5350.74</v>
      </c>
      <c r="AR88" s="13">
        <v>5351.25</v>
      </c>
      <c r="AS88" s="13">
        <v>5350.43</v>
      </c>
      <c r="AT88" s="13">
        <v>5349.91</v>
      </c>
      <c r="AU88" s="13">
        <v>5342.02</v>
      </c>
      <c r="AV88" s="13">
        <v>5342.22</v>
      </c>
      <c r="AW88" s="13">
        <v>5343.39</v>
      </c>
      <c r="AX88" s="13">
        <v>5346.09</v>
      </c>
      <c r="AY88" s="13">
        <v>5344.89</v>
      </c>
      <c r="AZ88" s="13">
        <v>5348.29</v>
      </c>
      <c r="BA88" s="13">
        <v>5350.8</v>
      </c>
      <c r="BB88" s="13">
        <v>5351.47</v>
      </c>
      <c r="BC88" s="13">
        <v>5350.41</v>
      </c>
      <c r="BD88" s="13">
        <v>5350.32</v>
      </c>
      <c r="BE88" s="13">
        <v>5352.09</v>
      </c>
      <c r="BF88" s="13">
        <v>5352.79</v>
      </c>
      <c r="BG88" s="13">
        <v>5352.73</v>
      </c>
      <c r="BH88" s="13">
        <v>5357.62</v>
      </c>
      <c r="BI88" s="13">
        <v>5357.11</v>
      </c>
      <c r="BJ88" s="13">
        <v>5355.86</v>
      </c>
      <c r="BK88" s="13">
        <v>5353.31</v>
      </c>
      <c r="BL88" s="13">
        <v>5352.35</v>
      </c>
      <c r="BM88" s="13">
        <v>5349.9</v>
      </c>
      <c r="BN88" s="13">
        <v>5353.85</v>
      </c>
      <c r="BO88" s="13">
        <v>5353.35</v>
      </c>
      <c r="BP88" s="13">
        <v>5355.41</v>
      </c>
      <c r="BQ88" s="13">
        <v>5356.99</v>
      </c>
      <c r="BR88" s="13">
        <v>5357.89</v>
      </c>
      <c r="BS88" s="13">
        <v>5359.72</v>
      </c>
      <c r="BT88" s="13">
        <v>5359.33</v>
      </c>
      <c r="BU88" s="13">
        <v>5356.7</v>
      </c>
      <c r="BV88" s="13">
        <v>5355.28</v>
      </c>
      <c r="BW88" s="13">
        <v>5355.57</v>
      </c>
      <c r="BX88" s="13">
        <v>5357.51</v>
      </c>
      <c r="BY88" s="13">
        <v>5355.37</v>
      </c>
      <c r="BZ88" s="13">
        <v>5354.4</v>
      </c>
      <c r="CA88" s="13">
        <v>5352.98</v>
      </c>
      <c r="CB88" s="13">
        <v>5351.98</v>
      </c>
      <c r="CC88" s="13">
        <v>5351.53</v>
      </c>
      <c r="CD88" s="13">
        <v>5349.6</v>
      </c>
      <c r="CE88" s="13">
        <v>5351.11</v>
      </c>
      <c r="CF88" s="13">
        <v>5347.03</v>
      </c>
      <c r="CG88" s="13">
        <v>5341.53</v>
      </c>
      <c r="CH88" s="13">
        <v>5341.29</v>
      </c>
      <c r="CI88" s="13">
        <v>5342.88</v>
      </c>
      <c r="CJ88" s="13">
        <v>5341.97</v>
      </c>
      <c r="CK88" s="13">
        <v>5339.64</v>
      </c>
      <c r="CL88" s="13">
        <v>5339.69</v>
      </c>
      <c r="CM88" s="13">
        <v>5340.82</v>
      </c>
      <c r="CN88" s="13">
        <v>5340.55</v>
      </c>
      <c r="CO88" s="13">
        <v>5339.09</v>
      </c>
      <c r="CP88" s="13">
        <v>5338.81</v>
      </c>
      <c r="CQ88" s="13">
        <v>5339.83</v>
      </c>
      <c r="CR88" s="13">
        <v>5339.95</v>
      </c>
      <c r="CS88" s="13">
        <v>5338.7</v>
      </c>
      <c r="CT88" s="13">
        <v>5338.88</v>
      </c>
      <c r="CU88" s="13">
        <v>5338.79</v>
      </c>
      <c r="CV88" s="13">
        <v>5333.62</v>
      </c>
      <c r="CW88" s="13">
        <v>5341.33</v>
      </c>
      <c r="CX88" s="13">
        <v>5340.72</v>
      </c>
      <c r="CY88" s="13">
        <v>5341.17</v>
      </c>
      <c r="CZ88" s="13">
        <v>5341.52</v>
      </c>
      <c r="DA88" s="13">
        <v>5342.97</v>
      </c>
      <c r="DB88" s="13">
        <v>5340.98</v>
      </c>
      <c r="DC88" s="13">
        <v>5344.95</v>
      </c>
      <c r="DD88" s="13">
        <v>5344.66</v>
      </c>
      <c r="DE88" s="13">
        <v>5342.91</v>
      </c>
      <c r="DF88" s="13">
        <v>5345.9</v>
      </c>
      <c r="DG88" s="13">
        <v>5345.16</v>
      </c>
      <c r="DH88" s="13">
        <v>5342.78</v>
      </c>
      <c r="DI88" s="13">
        <v>5354.37</v>
      </c>
      <c r="DJ88" s="13">
        <v>5353.32</v>
      </c>
      <c r="DK88" s="13">
        <v>5354.91</v>
      </c>
      <c r="DM88" s="20"/>
    </row>
    <row r="89" spans="1:117" ht="15.75" x14ac:dyDescent="0.25">
      <c r="A89" s="14" t="s">
        <v>12</v>
      </c>
      <c r="B89" s="12" t="s">
        <v>9</v>
      </c>
      <c r="C89" s="13">
        <v>5327.49</v>
      </c>
      <c r="D89" s="13">
        <v>5328.87</v>
      </c>
      <c r="E89" s="13">
        <v>5331.8</v>
      </c>
      <c r="F89" s="13">
        <v>5347</v>
      </c>
      <c r="G89" s="13">
        <v>5341.71</v>
      </c>
      <c r="H89" s="13">
        <v>5341.63</v>
      </c>
      <c r="I89" s="13">
        <v>5335.61</v>
      </c>
      <c r="J89" s="13">
        <v>5337.89</v>
      </c>
      <c r="K89" s="13">
        <v>5336.09</v>
      </c>
      <c r="L89" s="13">
        <v>5342.28</v>
      </c>
      <c r="M89" s="13">
        <v>5350.75</v>
      </c>
      <c r="N89" s="13">
        <v>5357.98</v>
      </c>
      <c r="O89" s="13">
        <v>5361.44</v>
      </c>
      <c r="P89" s="13">
        <v>5370.16</v>
      </c>
      <c r="Q89" s="13">
        <v>5363.14</v>
      </c>
      <c r="R89" s="13">
        <v>5360.11</v>
      </c>
      <c r="S89" s="13">
        <v>5362.61</v>
      </c>
      <c r="T89" s="13">
        <v>5370.62</v>
      </c>
      <c r="U89" s="13">
        <v>5373.34</v>
      </c>
      <c r="V89" s="13">
        <v>5369.38</v>
      </c>
      <c r="W89" s="13">
        <v>5377.85</v>
      </c>
      <c r="X89" s="13">
        <v>5367.65</v>
      </c>
      <c r="Y89" s="13">
        <v>5369.98</v>
      </c>
      <c r="Z89" s="13">
        <v>5365.1</v>
      </c>
      <c r="AA89" s="13">
        <v>5365.96</v>
      </c>
      <c r="AB89" s="13">
        <v>5363.41</v>
      </c>
      <c r="AC89" s="13">
        <v>5367.17</v>
      </c>
      <c r="AD89" s="13">
        <v>5364.14</v>
      </c>
      <c r="AE89" s="13">
        <v>5362.21</v>
      </c>
      <c r="AF89" s="13">
        <v>5355.9</v>
      </c>
      <c r="AG89" s="13">
        <v>5351.94</v>
      </c>
      <c r="AH89" s="13">
        <v>5352.03</v>
      </c>
      <c r="AI89" s="13">
        <v>5352.47</v>
      </c>
      <c r="AJ89" s="13">
        <v>5349.61</v>
      </c>
      <c r="AK89" s="13">
        <v>5351.95</v>
      </c>
      <c r="AL89" s="13">
        <v>5349.02</v>
      </c>
      <c r="AM89" s="13">
        <v>5348.99</v>
      </c>
      <c r="AN89" s="13">
        <v>5345.85</v>
      </c>
      <c r="AO89" s="13">
        <v>5344.83</v>
      </c>
      <c r="AP89" s="13">
        <v>5346.32</v>
      </c>
      <c r="AQ89" s="13">
        <v>5344.78</v>
      </c>
      <c r="AR89" s="13">
        <v>5344.9</v>
      </c>
      <c r="AS89" s="13">
        <v>5344.67</v>
      </c>
      <c r="AT89" s="13">
        <v>5342.05</v>
      </c>
      <c r="AU89" s="13">
        <v>5332.11</v>
      </c>
      <c r="AV89" s="13">
        <v>5335.3</v>
      </c>
      <c r="AW89" s="13">
        <v>5337.1</v>
      </c>
      <c r="AX89" s="13">
        <v>5338.56</v>
      </c>
      <c r="AY89" s="13">
        <v>5336.2</v>
      </c>
      <c r="AZ89" s="13">
        <v>5339.45</v>
      </c>
      <c r="BA89" s="13">
        <v>5342</v>
      </c>
      <c r="BB89" s="13">
        <v>5343.54</v>
      </c>
      <c r="BC89" s="13">
        <v>5342.52</v>
      </c>
      <c r="BD89" s="13">
        <v>5342.68</v>
      </c>
      <c r="BE89" s="13">
        <v>5344.63</v>
      </c>
      <c r="BF89" s="13">
        <v>5346.09</v>
      </c>
      <c r="BG89" s="13">
        <v>5345.81</v>
      </c>
      <c r="BH89" s="13">
        <v>5351.35</v>
      </c>
      <c r="BI89" s="13">
        <v>5350.23</v>
      </c>
      <c r="BJ89" s="13">
        <v>5351.28</v>
      </c>
      <c r="BK89" s="13">
        <v>5347.56</v>
      </c>
      <c r="BL89" s="13">
        <v>5344.41</v>
      </c>
      <c r="BM89" s="13">
        <v>5342.15</v>
      </c>
      <c r="BN89" s="13">
        <v>5346.01</v>
      </c>
      <c r="BO89" s="13">
        <v>5345.23</v>
      </c>
      <c r="BP89" s="13">
        <v>5348.18</v>
      </c>
      <c r="BQ89" s="13">
        <v>5350.4</v>
      </c>
      <c r="BR89" s="13">
        <v>5351.11</v>
      </c>
      <c r="BS89" s="13">
        <v>5352.88</v>
      </c>
      <c r="BT89" s="13">
        <v>5352.67</v>
      </c>
      <c r="BU89" s="13">
        <v>5350.62</v>
      </c>
      <c r="BV89" s="13">
        <v>5348.58</v>
      </c>
      <c r="BW89" s="13">
        <v>5348.96</v>
      </c>
      <c r="BX89" s="13">
        <v>5350.27</v>
      </c>
      <c r="BY89" s="13">
        <v>5348.37</v>
      </c>
      <c r="BZ89" s="13">
        <v>5347.49</v>
      </c>
      <c r="CA89" s="13">
        <v>5346.26</v>
      </c>
      <c r="CB89" s="13">
        <v>5344.97</v>
      </c>
      <c r="CC89" s="13">
        <v>5344.46</v>
      </c>
      <c r="CD89" s="13">
        <v>5342.4</v>
      </c>
      <c r="CE89" s="13">
        <v>5343.31</v>
      </c>
      <c r="CF89" s="13">
        <v>5342.25</v>
      </c>
      <c r="CG89" s="13">
        <v>5335.01</v>
      </c>
      <c r="CH89" s="13">
        <v>5332.86</v>
      </c>
      <c r="CI89" s="13">
        <v>5333.66</v>
      </c>
      <c r="CJ89" s="13">
        <v>5333.62</v>
      </c>
      <c r="CK89" s="13">
        <v>5333.1</v>
      </c>
      <c r="CL89" s="13">
        <v>5333.17</v>
      </c>
      <c r="CM89" s="13">
        <v>5333.49</v>
      </c>
      <c r="CN89" s="13">
        <v>5333.61</v>
      </c>
      <c r="CO89" s="13">
        <v>5331.42</v>
      </c>
      <c r="CP89" s="13">
        <v>5331.1</v>
      </c>
      <c r="CQ89" s="13">
        <v>5330.7</v>
      </c>
      <c r="CR89" s="13">
        <v>5331.33</v>
      </c>
      <c r="CS89" s="13">
        <v>5329.92</v>
      </c>
      <c r="CT89" s="13">
        <v>5330.4</v>
      </c>
      <c r="CU89" s="13">
        <v>5330.43</v>
      </c>
      <c r="CV89" s="13">
        <v>5328.65</v>
      </c>
      <c r="CW89" s="13">
        <v>5333.13</v>
      </c>
      <c r="CX89" s="13">
        <v>5331.05</v>
      </c>
      <c r="CY89" s="13">
        <v>5332.76</v>
      </c>
      <c r="CZ89" s="13">
        <v>5332.9</v>
      </c>
      <c r="DA89" s="13">
        <v>5334.56</v>
      </c>
      <c r="DB89" s="13">
        <v>5335.01</v>
      </c>
      <c r="DC89" s="13">
        <v>5335.28</v>
      </c>
      <c r="DD89" s="13">
        <v>5334.25</v>
      </c>
      <c r="DE89" s="13">
        <v>5333.96</v>
      </c>
      <c r="DF89" s="13">
        <v>5335.53</v>
      </c>
      <c r="DG89" s="13">
        <v>5335.51</v>
      </c>
      <c r="DH89" s="13">
        <v>5333.09</v>
      </c>
      <c r="DI89" s="13">
        <v>5338.12</v>
      </c>
      <c r="DJ89" s="13">
        <v>5337.25</v>
      </c>
      <c r="DK89" s="13">
        <v>5338.99</v>
      </c>
      <c r="DM89" s="20"/>
    </row>
    <row r="90" spans="1:117" ht="15.75" x14ac:dyDescent="0.25">
      <c r="A90" s="14" t="s">
        <v>12</v>
      </c>
      <c r="B90" s="12" t="s">
        <v>7</v>
      </c>
      <c r="C90" s="13">
        <v>5250.89</v>
      </c>
      <c r="D90" s="13">
        <v>5328.39</v>
      </c>
      <c r="E90" s="13">
        <v>5327.75</v>
      </c>
      <c r="F90" s="13">
        <v>5332.07</v>
      </c>
      <c r="G90" s="13">
        <v>5341.23</v>
      </c>
      <c r="H90" s="13">
        <v>5339.52</v>
      </c>
      <c r="I90" s="13">
        <v>5334.82</v>
      </c>
      <c r="J90" s="13">
        <v>5335.76</v>
      </c>
      <c r="K90" s="13">
        <v>5336.09</v>
      </c>
      <c r="L90" s="13">
        <v>5335.92</v>
      </c>
      <c r="M90" s="13">
        <v>5342.11</v>
      </c>
      <c r="N90" s="13">
        <v>5350.4</v>
      </c>
      <c r="O90" s="13">
        <v>5357.79</v>
      </c>
      <c r="P90" s="13">
        <v>5369.86</v>
      </c>
      <c r="Q90" s="13">
        <v>5361.9</v>
      </c>
      <c r="R90" s="13">
        <v>5359.51</v>
      </c>
      <c r="S90" s="13">
        <v>5362.09</v>
      </c>
      <c r="T90" s="13">
        <v>5366.53</v>
      </c>
      <c r="U90" s="13">
        <v>5366.15</v>
      </c>
      <c r="V90" s="13">
        <v>5366.97</v>
      </c>
      <c r="W90" s="13">
        <v>5374.93</v>
      </c>
      <c r="X90" s="13">
        <v>5367.46</v>
      </c>
      <c r="Y90" s="13">
        <v>5367.02</v>
      </c>
      <c r="Z90" s="13">
        <v>5365.1</v>
      </c>
      <c r="AA90" s="13">
        <v>5365.27</v>
      </c>
      <c r="AB90" s="13">
        <v>5363.18</v>
      </c>
      <c r="AC90" s="13">
        <v>5363.72</v>
      </c>
      <c r="AD90" s="13">
        <v>5364.14</v>
      </c>
      <c r="AE90" s="13">
        <v>5360.23</v>
      </c>
      <c r="AF90" s="13">
        <v>5355.72</v>
      </c>
      <c r="AG90" s="13">
        <v>5348.92</v>
      </c>
      <c r="AH90" s="13">
        <v>5351.18</v>
      </c>
      <c r="AI90" s="13">
        <v>5350.28</v>
      </c>
      <c r="AJ90" s="13">
        <v>5349.61</v>
      </c>
      <c r="AK90" s="13">
        <v>5350.9</v>
      </c>
      <c r="AL90" s="13">
        <v>5348.49</v>
      </c>
      <c r="AM90" s="13">
        <v>5347.6</v>
      </c>
      <c r="AN90" s="13">
        <v>5345.82</v>
      </c>
      <c r="AO90" s="13">
        <v>5344.72</v>
      </c>
      <c r="AP90" s="13">
        <v>5344.81</v>
      </c>
      <c r="AQ90" s="13">
        <v>5344.17</v>
      </c>
      <c r="AR90" s="13">
        <v>5343.04</v>
      </c>
      <c r="AS90" s="13">
        <v>5342.34</v>
      </c>
      <c r="AT90" s="13">
        <v>5342.05</v>
      </c>
      <c r="AU90" s="13">
        <v>5332.11</v>
      </c>
      <c r="AV90" s="13">
        <v>5329.05</v>
      </c>
      <c r="AW90" s="13">
        <v>5333.32</v>
      </c>
      <c r="AX90" s="13">
        <v>5335.24</v>
      </c>
      <c r="AY90" s="13">
        <v>5336.12</v>
      </c>
      <c r="AZ90" s="13">
        <v>5336.21</v>
      </c>
      <c r="BA90" s="13">
        <v>5339.58</v>
      </c>
      <c r="BB90" s="13">
        <v>5342.03</v>
      </c>
      <c r="BC90" s="13">
        <v>5341.64</v>
      </c>
      <c r="BD90" s="13">
        <v>5341.41</v>
      </c>
      <c r="BE90" s="13">
        <v>5342.16</v>
      </c>
      <c r="BF90" s="13">
        <v>5344.91</v>
      </c>
      <c r="BG90" s="13">
        <v>5345.52</v>
      </c>
      <c r="BH90" s="13">
        <v>5345.55</v>
      </c>
      <c r="BI90" s="13">
        <v>5350.19</v>
      </c>
      <c r="BJ90" s="13">
        <v>5350.19</v>
      </c>
      <c r="BK90" s="13">
        <v>5347.56</v>
      </c>
      <c r="BL90" s="13">
        <v>5343.34</v>
      </c>
      <c r="BM90" s="13">
        <v>5342.15</v>
      </c>
      <c r="BN90" s="13">
        <v>5340.94</v>
      </c>
      <c r="BO90" s="13">
        <v>5344.93</v>
      </c>
      <c r="BP90" s="13">
        <v>5344.64</v>
      </c>
      <c r="BQ90" s="13">
        <v>5347.16</v>
      </c>
      <c r="BR90" s="13">
        <v>5349.61</v>
      </c>
      <c r="BS90" s="13">
        <v>5351.27</v>
      </c>
      <c r="BT90" s="13">
        <v>5350.77</v>
      </c>
      <c r="BU90" s="13">
        <v>5350.2</v>
      </c>
      <c r="BV90" s="13">
        <v>5348.25</v>
      </c>
      <c r="BW90" s="13">
        <v>5348.03</v>
      </c>
      <c r="BX90" s="13">
        <v>5349.67</v>
      </c>
      <c r="BY90" s="13">
        <v>5345.9</v>
      </c>
      <c r="BZ90" s="13">
        <v>5347.37</v>
      </c>
      <c r="CA90" s="13">
        <v>5345.49</v>
      </c>
      <c r="CB90" s="13">
        <v>5343.99</v>
      </c>
      <c r="CC90" s="13">
        <v>5344.46</v>
      </c>
      <c r="CD90" s="13">
        <v>5342.33</v>
      </c>
      <c r="CE90" s="13">
        <v>5340.91</v>
      </c>
      <c r="CF90" s="13">
        <v>5342</v>
      </c>
      <c r="CG90" s="13">
        <v>5334.88</v>
      </c>
      <c r="CH90" s="13">
        <v>5332.17</v>
      </c>
      <c r="CI90" s="13">
        <v>5332.56</v>
      </c>
      <c r="CJ90" s="13">
        <v>5332.26</v>
      </c>
      <c r="CK90" s="13">
        <v>5332.66</v>
      </c>
      <c r="CL90" s="13">
        <v>5331.94</v>
      </c>
      <c r="CM90" s="13">
        <v>5332.89</v>
      </c>
      <c r="CN90" s="13">
        <v>5332.81</v>
      </c>
      <c r="CO90" s="13">
        <v>5330.86</v>
      </c>
      <c r="CP90" s="13">
        <v>5330.24</v>
      </c>
      <c r="CQ90" s="13">
        <v>5330.7</v>
      </c>
      <c r="CR90" s="13">
        <v>5330.7</v>
      </c>
      <c r="CS90" s="13">
        <v>5329.7</v>
      </c>
      <c r="CT90" s="13">
        <v>5329.79</v>
      </c>
      <c r="CU90" s="13">
        <v>5330.13</v>
      </c>
      <c r="CV90" s="13">
        <v>5324.9</v>
      </c>
      <c r="CW90" s="13">
        <v>5331.08</v>
      </c>
      <c r="CX90" s="13">
        <v>5330.85</v>
      </c>
      <c r="CY90" s="13">
        <v>5330.74</v>
      </c>
      <c r="CZ90" s="13">
        <v>5332.47</v>
      </c>
      <c r="DA90" s="13">
        <v>5332.78</v>
      </c>
      <c r="DB90" s="13">
        <v>5334.4</v>
      </c>
      <c r="DC90" s="13">
        <v>5333.14</v>
      </c>
      <c r="DD90" s="13">
        <v>5334.25</v>
      </c>
      <c r="DE90" s="13">
        <v>5333.11</v>
      </c>
      <c r="DF90" s="13">
        <v>5333.94</v>
      </c>
      <c r="DG90" s="13">
        <v>5335.07</v>
      </c>
      <c r="DH90" s="13">
        <v>5332.81</v>
      </c>
      <c r="DI90" s="13">
        <v>5331.73</v>
      </c>
      <c r="DJ90" s="13">
        <v>5336.95</v>
      </c>
      <c r="DK90" s="13">
        <v>5337.15</v>
      </c>
      <c r="DM90" s="20"/>
    </row>
    <row r="91" spans="1:117" ht="15.75" x14ac:dyDescent="0.25">
      <c r="A91" s="11" t="s">
        <v>5</v>
      </c>
      <c r="B91" s="11" t="s">
        <v>11</v>
      </c>
      <c r="C91" s="15">
        <v>0.37847222222222227</v>
      </c>
      <c r="D91" s="15">
        <v>0.38194444444444442</v>
      </c>
      <c r="E91" s="15">
        <v>0.38541666666666669</v>
      </c>
      <c r="F91" s="15">
        <v>0.3888888888888889</v>
      </c>
      <c r="G91" s="15">
        <v>0.3923611111111111</v>
      </c>
      <c r="H91" s="15">
        <v>0.39583333333333331</v>
      </c>
      <c r="I91" s="15">
        <v>0.39930555555555558</v>
      </c>
      <c r="J91" s="15">
        <v>0.40277777777777773</v>
      </c>
      <c r="K91" s="15">
        <v>0.40625</v>
      </c>
      <c r="L91" s="15">
        <v>0.40972222222222227</v>
      </c>
      <c r="M91" s="15">
        <v>0.41319444444444442</v>
      </c>
      <c r="N91" s="15">
        <v>0.41666666666666669</v>
      </c>
      <c r="O91" s="15">
        <v>0.4201388888888889</v>
      </c>
      <c r="P91" s="15">
        <v>0.4236111111111111</v>
      </c>
      <c r="Q91" s="15">
        <v>0.42708333333333331</v>
      </c>
      <c r="R91" s="15">
        <v>0.43055555555555558</v>
      </c>
      <c r="S91" s="15">
        <v>0.43402777777777773</v>
      </c>
      <c r="T91" s="15">
        <v>0.4375</v>
      </c>
      <c r="U91" s="15">
        <v>0.44097222222222227</v>
      </c>
      <c r="V91" s="15">
        <v>0.44444444444444442</v>
      </c>
      <c r="W91" s="15">
        <v>0.44791666666666669</v>
      </c>
      <c r="X91" s="15">
        <v>0.4513888888888889</v>
      </c>
      <c r="Y91" s="15">
        <v>0.4548611111111111</v>
      </c>
      <c r="Z91" s="15">
        <v>0.45833333333333331</v>
      </c>
      <c r="AA91" s="15">
        <v>0.46180555555555558</v>
      </c>
      <c r="AB91" s="15">
        <v>0.46527777777777773</v>
      </c>
      <c r="AC91" s="15">
        <v>0.46875</v>
      </c>
      <c r="AD91" s="15">
        <v>0.47222222222222227</v>
      </c>
      <c r="AE91" s="15">
        <v>0.47569444444444442</v>
      </c>
      <c r="AF91" s="15">
        <v>0.47916666666666669</v>
      </c>
      <c r="AG91" s="15">
        <v>0.4826388888888889</v>
      </c>
      <c r="AH91" s="15">
        <v>0.4861111111111111</v>
      </c>
      <c r="AI91" s="15">
        <v>0.48958333333333331</v>
      </c>
      <c r="AJ91" s="15">
        <v>0.49305555555555558</v>
      </c>
      <c r="AK91" s="15">
        <v>0.49652777777777773</v>
      </c>
      <c r="AL91" s="15">
        <v>0.5</v>
      </c>
      <c r="AM91" s="15">
        <v>0.50347222222222221</v>
      </c>
      <c r="AN91" s="15">
        <v>0.50694444444444442</v>
      </c>
      <c r="AO91" s="15">
        <v>0.51041666666666663</v>
      </c>
      <c r="AP91" s="15">
        <v>0.51388888888888895</v>
      </c>
      <c r="AQ91" s="15">
        <v>0.51736111111111105</v>
      </c>
      <c r="AR91" s="15">
        <v>0.52083333333333337</v>
      </c>
      <c r="AS91" s="15">
        <v>0.52430555555555558</v>
      </c>
      <c r="AT91" s="15">
        <v>0.52777777777777779</v>
      </c>
      <c r="AU91" s="15">
        <v>0.53125</v>
      </c>
      <c r="AV91" s="15">
        <v>0.53472222222222221</v>
      </c>
      <c r="AW91" s="15">
        <v>0.53819444444444442</v>
      </c>
      <c r="AX91" s="15">
        <v>0.54166666666666663</v>
      </c>
      <c r="AY91" s="15">
        <v>0.54513888888888895</v>
      </c>
      <c r="AZ91" s="15">
        <v>0.54861111111111105</v>
      </c>
      <c r="BA91" s="15">
        <v>0.55208333333333337</v>
      </c>
      <c r="BB91" s="15">
        <v>0.55555555555555558</v>
      </c>
      <c r="BC91" s="15">
        <v>0.55902777777777779</v>
      </c>
      <c r="BD91" s="15">
        <v>0.5625</v>
      </c>
      <c r="BE91" s="15">
        <v>0.56597222222222221</v>
      </c>
      <c r="BF91" s="15">
        <v>0.56944444444444442</v>
      </c>
      <c r="BG91" s="15">
        <v>0.57291666666666663</v>
      </c>
      <c r="BH91" s="15">
        <v>0.57638888888888895</v>
      </c>
      <c r="BI91" s="15">
        <v>0.57986111111111105</v>
      </c>
      <c r="BJ91" s="15">
        <v>0.58333333333333337</v>
      </c>
      <c r="BK91" s="15">
        <v>0.58680555555555558</v>
      </c>
      <c r="BL91" s="15">
        <v>0.59027777777777779</v>
      </c>
      <c r="BM91" s="15">
        <v>0.59375</v>
      </c>
      <c r="BN91" s="15">
        <v>0.59722222222222221</v>
      </c>
      <c r="BO91" s="15">
        <v>0.60069444444444442</v>
      </c>
      <c r="BP91" s="15">
        <v>0.60416666666666663</v>
      </c>
      <c r="BQ91" s="15">
        <v>0.60763888888888895</v>
      </c>
      <c r="BR91" s="15">
        <v>0.61111111111111105</v>
      </c>
      <c r="BS91" s="15">
        <v>0.61458333333333337</v>
      </c>
      <c r="BT91" s="15">
        <v>0.61805555555555558</v>
      </c>
      <c r="BU91" s="15">
        <v>0.62152777777777779</v>
      </c>
      <c r="BV91" s="15">
        <v>0.625</v>
      </c>
      <c r="BW91" s="15">
        <v>0.62847222222222221</v>
      </c>
      <c r="BX91" s="15">
        <v>0.63194444444444442</v>
      </c>
      <c r="BY91" s="15">
        <v>0.63541666666666663</v>
      </c>
      <c r="BZ91" s="15">
        <v>0.63888888888888895</v>
      </c>
      <c r="CA91" s="15">
        <v>0.64236111111111105</v>
      </c>
      <c r="CB91" s="15">
        <v>0.64583333333333337</v>
      </c>
      <c r="CC91" s="15">
        <v>0.64930555555555558</v>
      </c>
      <c r="CD91" s="15">
        <v>0.65277777777777779</v>
      </c>
      <c r="CE91" s="15">
        <v>0.65625</v>
      </c>
      <c r="CF91" s="15">
        <v>0.65972222222222221</v>
      </c>
      <c r="CG91" s="15">
        <v>0.66319444444444442</v>
      </c>
      <c r="CH91" s="15">
        <v>0.66666666666666663</v>
      </c>
      <c r="CI91" s="15">
        <v>0.67013888888888884</v>
      </c>
      <c r="CJ91" s="15">
        <v>0.67361111111111116</v>
      </c>
      <c r="CK91" s="15">
        <v>0.67708333333333337</v>
      </c>
      <c r="CL91" s="15">
        <v>0.68055555555555547</v>
      </c>
      <c r="CM91" s="15">
        <v>0.68402777777777779</v>
      </c>
      <c r="CN91" s="15">
        <v>0.6875</v>
      </c>
      <c r="CO91" s="15">
        <v>0.69097222222222221</v>
      </c>
      <c r="CP91" s="15">
        <v>0.69444444444444453</v>
      </c>
      <c r="CQ91" s="15">
        <v>0.69791666666666663</v>
      </c>
      <c r="CR91" s="15">
        <v>0.70138888888888884</v>
      </c>
      <c r="CS91" s="15">
        <v>0.70486111111111116</v>
      </c>
      <c r="CT91" s="15">
        <v>0.70833333333333337</v>
      </c>
      <c r="CU91" s="15">
        <v>0.71180555555555547</v>
      </c>
      <c r="CV91" s="15">
        <v>0.71527777777777779</v>
      </c>
      <c r="CW91" s="15">
        <v>0.71875</v>
      </c>
      <c r="CX91" s="15">
        <v>0.72222222222222221</v>
      </c>
      <c r="CY91" s="15">
        <v>0.72569444444444453</v>
      </c>
      <c r="CZ91" s="15">
        <v>0.72916666666666663</v>
      </c>
      <c r="DA91" s="15">
        <v>0.73263888888888884</v>
      </c>
      <c r="DB91" s="15">
        <v>0.73611111111111116</v>
      </c>
      <c r="DC91" s="15">
        <v>0.73958333333333337</v>
      </c>
      <c r="DD91" s="15">
        <v>0.74305555555555547</v>
      </c>
      <c r="DE91" s="15">
        <v>0.74652777777777779</v>
      </c>
      <c r="DF91" s="15">
        <v>0.75</v>
      </c>
      <c r="DG91" s="15">
        <v>0.75347222222222221</v>
      </c>
      <c r="DH91" s="15">
        <v>0.75694444444444453</v>
      </c>
      <c r="DI91" s="15">
        <v>0.76041666666666663</v>
      </c>
      <c r="DJ91" s="15">
        <v>0.76388888888888884</v>
      </c>
      <c r="DK91" s="15">
        <v>0.76736111111111116</v>
      </c>
      <c r="DM91" s="20"/>
    </row>
    <row r="92" spans="1:117" ht="15.75" x14ac:dyDescent="0.25">
      <c r="A92" s="14">
        <v>44165</v>
      </c>
      <c r="B92" s="12" t="s">
        <v>6</v>
      </c>
      <c r="C92" s="13">
        <v>5301.7</v>
      </c>
      <c r="D92" s="13">
        <v>5292.45</v>
      </c>
      <c r="E92" s="13">
        <v>5307</v>
      </c>
      <c r="F92" s="13">
        <v>5310</v>
      </c>
      <c r="G92" s="13">
        <v>5311</v>
      </c>
      <c r="H92" s="13">
        <v>5307.96</v>
      </c>
      <c r="I92" s="13">
        <v>5308.69</v>
      </c>
      <c r="J92" s="13">
        <v>5304</v>
      </c>
      <c r="K92" s="13">
        <v>5321</v>
      </c>
      <c r="L92" s="13">
        <v>5329</v>
      </c>
      <c r="M92" s="13">
        <v>5329</v>
      </c>
      <c r="N92" s="13">
        <v>5345</v>
      </c>
      <c r="O92" s="13">
        <v>5342.91</v>
      </c>
      <c r="P92" s="13">
        <v>5335.03</v>
      </c>
      <c r="Q92" s="13">
        <v>5323.04</v>
      </c>
      <c r="R92" s="13">
        <v>5306.81</v>
      </c>
      <c r="S92" s="13">
        <v>5306</v>
      </c>
      <c r="T92" s="13">
        <v>5296</v>
      </c>
      <c r="U92" s="13">
        <v>5306</v>
      </c>
      <c r="V92" s="13">
        <v>5317</v>
      </c>
      <c r="W92" s="13">
        <v>5322</v>
      </c>
      <c r="X92" s="13">
        <v>5319</v>
      </c>
      <c r="Y92" s="13">
        <v>5315.65</v>
      </c>
      <c r="Z92" s="13">
        <v>5317</v>
      </c>
      <c r="AA92" s="13">
        <v>5316.82</v>
      </c>
      <c r="AB92" s="13">
        <v>5300</v>
      </c>
      <c r="AC92" s="13">
        <v>5305.01</v>
      </c>
      <c r="AD92" s="13">
        <v>5306</v>
      </c>
      <c r="AE92" s="13">
        <v>5308</v>
      </c>
      <c r="AF92" s="13">
        <v>5316</v>
      </c>
      <c r="AG92" s="13">
        <v>5315</v>
      </c>
      <c r="AH92" s="13">
        <v>5312.73</v>
      </c>
      <c r="AI92" s="13">
        <v>5314.4</v>
      </c>
      <c r="AJ92" s="13">
        <v>5315</v>
      </c>
      <c r="AK92" s="13">
        <v>5313</v>
      </c>
      <c r="AL92" s="13">
        <v>5309.85</v>
      </c>
      <c r="AM92" s="13">
        <v>5314</v>
      </c>
      <c r="AN92" s="13">
        <v>5322</v>
      </c>
      <c r="AO92" s="13">
        <v>5321</v>
      </c>
      <c r="AP92" s="13">
        <v>5326</v>
      </c>
      <c r="AQ92" s="13">
        <v>5331.65</v>
      </c>
      <c r="AR92" s="13">
        <v>5341.96</v>
      </c>
      <c r="AS92" s="13">
        <v>5344</v>
      </c>
      <c r="AT92" s="13">
        <v>5350</v>
      </c>
      <c r="AU92" s="13">
        <v>5365.98</v>
      </c>
      <c r="AV92" s="13">
        <v>5369.97</v>
      </c>
      <c r="AW92" s="13">
        <v>5362</v>
      </c>
      <c r="AX92" s="13">
        <v>5389.94</v>
      </c>
      <c r="AY92" s="13">
        <v>5396.82</v>
      </c>
      <c r="AZ92" s="13">
        <v>5388</v>
      </c>
      <c r="BA92" s="13">
        <v>5389</v>
      </c>
      <c r="BB92" s="13">
        <v>5388.97</v>
      </c>
      <c r="BC92" s="13">
        <v>5388</v>
      </c>
      <c r="BD92" s="13">
        <v>5384</v>
      </c>
      <c r="BE92" s="13">
        <v>5384</v>
      </c>
      <c r="BF92" s="13">
        <v>5382</v>
      </c>
      <c r="BG92" s="13">
        <v>5374</v>
      </c>
      <c r="BH92" s="13">
        <v>5378</v>
      </c>
      <c r="BI92" s="13">
        <v>5374</v>
      </c>
      <c r="BJ92" s="13">
        <v>5381.89</v>
      </c>
      <c r="BK92" s="13">
        <v>5384</v>
      </c>
      <c r="BL92" s="13">
        <v>5389.83</v>
      </c>
      <c r="BM92" s="13">
        <v>5387.84</v>
      </c>
      <c r="BN92" s="13">
        <v>5384.78</v>
      </c>
      <c r="BO92" s="13">
        <v>5392.56</v>
      </c>
      <c r="BP92" s="13">
        <v>5391</v>
      </c>
      <c r="BQ92" s="13">
        <v>5387</v>
      </c>
      <c r="BR92" s="13">
        <v>5384</v>
      </c>
      <c r="BS92" s="13">
        <v>5377.71</v>
      </c>
      <c r="BT92" s="13">
        <v>5381</v>
      </c>
      <c r="BU92" s="13">
        <v>5381</v>
      </c>
      <c r="BV92" s="13">
        <v>5380</v>
      </c>
      <c r="BW92" s="13">
        <v>5382</v>
      </c>
      <c r="BX92" s="13">
        <v>5373</v>
      </c>
      <c r="BY92" s="13">
        <v>5372.48</v>
      </c>
      <c r="BZ92" s="13">
        <v>5372</v>
      </c>
      <c r="CA92" s="13">
        <v>5370.99</v>
      </c>
      <c r="CB92" s="13">
        <v>5370</v>
      </c>
      <c r="CC92" s="13">
        <v>5365</v>
      </c>
      <c r="CD92" s="13">
        <v>5360</v>
      </c>
      <c r="CE92" s="13">
        <v>5360</v>
      </c>
      <c r="CF92" s="13">
        <v>5357</v>
      </c>
      <c r="CG92" s="13">
        <v>5356.66</v>
      </c>
      <c r="CH92" s="13">
        <v>5364.67</v>
      </c>
      <c r="CI92" s="13">
        <v>5363.81</v>
      </c>
      <c r="CJ92" s="13">
        <v>5365</v>
      </c>
      <c r="CK92" s="13">
        <v>5364.91</v>
      </c>
      <c r="CL92" s="13">
        <v>5359</v>
      </c>
      <c r="CM92" s="13">
        <v>5357</v>
      </c>
      <c r="CN92" s="13">
        <v>5359</v>
      </c>
      <c r="CO92" s="13">
        <v>5359</v>
      </c>
      <c r="CP92" s="13">
        <v>5359</v>
      </c>
      <c r="CQ92" s="13">
        <v>5359</v>
      </c>
      <c r="CR92" s="13">
        <v>5358</v>
      </c>
      <c r="CS92" s="13">
        <v>5356</v>
      </c>
      <c r="CT92" s="13">
        <v>5357</v>
      </c>
      <c r="CU92" s="13">
        <v>5354</v>
      </c>
      <c r="CV92" s="13">
        <v>5358</v>
      </c>
      <c r="CW92" s="13">
        <v>5360</v>
      </c>
      <c r="CX92" s="13">
        <v>5359.77</v>
      </c>
      <c r="CY92" s="13">
        <v>5359</v>
      </c>
      <c r="CZ92" s="13">
        <v>5359.82</v>
      </c>
      <c r="DA92" s="13">
        <v>5351.55</v>
      </c>
      <c r="DB92" s="13">
        <v>5354</v>
      </c>
      <c r="DC92" s="13">
        <v>5359.84</v>
      </c>
      <c r="DD92" s="13">
        <v>5361.52</v>
      </c>
      <c r="DE92" s="13">
        <v>5361</v>
      </c>
      <c r="DF92" s="13">
        <v>5361.74</v>
      </c>
      <c r="DG92" s="13">
        <v>5364.82</v>
      </c>
      <c r="DH92" s="13">
        <v>5364.79</v>
      </c>
      <c r="DI92" s="13">
        <v>5357.16</v>
      </c>
      <c r="DJ92" s="13">
        <v>5355.43</v>
      </c>
      <c r="DK92" s="13">
        <v>5350.83</v>
      </c>
      <c r="DM92" s="20"/>
    </row>
    <row r="93" spans="1:117" ht="15.75" x14ac:dyDescent="0.25">
      <c r="A93" s="14" t="s">
        <v>12</v>
      </c>
      <c r="B93" s="12" t="s">
        <v>10</v>
      </c>
      <c r="C93" s="13">
        <v>5290.4</v>
      </c>
      <c r="D93" s="13">
        <v>5291</v>
      </c>
      <c r="E93" s="13">
        <v>5307</v>
      </c>
      <c r="F93" s="13">
        <v>5304.85</v>
      </c>
      <c r="G93" s="13">
        <v>5298</v>
      </c>
      <c r="H93" s="13">
        <v>5298.81</v>
      </c>
      <c r="I93" s="13">
        <v>5301</v>
      </c>
      <c r="J93" s="13">
        <v>5302</v>
      </c>
      <c r="K93" s="13">
        <v>5321</v>
      </c>
      <c r="L93" s="13">
        <v>5327.56</v>
      </c>
      <c r="M93" s="13">
        <v>5322.2</v>
      </c>
      <c r="N93" s="13">
        <v>5343</v>
      </c>
      <c r="O93" s="13">
        <v>5333.54</v>
      </c>
      <c r="P93" s="13">
        <v>5325.02</v>
      </c>
      <c r="Q93" s="13">
        <v>5303.56</v>
      </c>
      <c r="R93" s="13">
        <v>5304.57</v>
      </c>
      <c r="S93" s="13">
        <v>5295</v>
      </c>
      <c r="T93" s="13">
        <v>5294.62</v>
      </c>
      <c r="U93" s="13">
        <v>5304</v>
      </c>
      <c r="V93" s="13">
        <v>5317</v>
      </c>
      <c r="W93" s="13">
        <v>5316</v>
      </c>
      <c r="X93" s="13">
        <v>5310.01</v>
      </c>
      <c r="Y93" s="13">
        <v>5311.73</v>
      </c>
      <c r="Z93" s="13">
        <v>5317</v>
      </c>
      <c r="AA93" s="13">
        <v>5298.55</v>
      </c>
      <c r="AB93" s="13">
        <v>5299.82</v>
      </c>
      <c r="AC93" s="13">
        <v>5305.01</v>
      </c>
      <c r="AD93" s="13">
        <v>5305</v>
      </c>
      <c r="AE93" s="13">
        <v>5307</v>
      </c>
      <c r="AF93" s="13">
        <v>5315</v>
      </c>
      <c r="AG93" s="13">
        <v>5310.65</v>
      </c>
      <c r="AH93" s="13">
        <v>5303.85</v>
      </c>
      <c r="AI93" s="13">
        <v>5313.59</v>
      </c>
      <c r="AJ93" s="13">
        <v>5312</v>
      </c>
      <c r="AK93" s="13">
        <v>5304.69</v>
      </c>
      <c r="AL93" s="13">
        <v>5309.66</v>
      </c>
      <c r="AM93" s="13">
        <v>5314</v>
      </c>
      <c r="AN93" s="13">
        <v>5320</v>
      </c>
      <c r="AO93" s="13">
        <v>5319</v>
      </c>
      <c r="AP93" s="13">
        <v>5326</v>
      </c>
      <c r="AQ93" s="13">
        <v>5330.57</v>
      </c>
      <c r="AR93" s="13">
        <v>5336</v>
      </c>
      <c r="AS93" s="13">
        <v>5344</v>
      </c>
      <c r="AT93" s="13">
        <v>5348.53</v>
      </c>
      <c r="AU93" s="13">
        <v>5365.98</v>
      </c>
      <c r="AV93" s="13">
        <v>5362</v>
      </c>
      <c r="AW93" s="13">
        <v>5350.58</v>
      </c>
      <c r="AX93" s="13">
        <v>5387.27</v>
      </c>
      <c r="AY93" s="13">
        <v>5386.5</v>
      </c>
      <c r="AZ93" s="13">
        <v>5386</v>
      </c>
      <c r="BA93" s="13">
        <v>5382.43</v>
      </c>
      <c r="BB93" s="13">
        <v>5388.59</v>
      </c>
      <c r="BC93" s="13">
        <v>5378</v>
      </c>
      <c r="BD93" s="13">
        <v>5383.73</v>
      </c>
      <c r="BE93" s="13">
        <v>5382</v>
      </c>
      <c r="BF93" s="13">
        <v>5373</v>
      </c>
      <c r="BG93" s="13">
        <v>5369.85</v>
      </c>
      <c r="BH93" s="13">
        <v>5373.75</v>
      </c>
      <c r="BI93" s="13">
        <v>5373</v>
      </c>
      <c r="BJ93" s="13">
        <v>5381.47</v>
      </c>
      <c r="BK93" s="13">
        <v>5381</v>
      </c>
      <c r="BL93" s="13">
        <v>5387</v>
      </c>
      <c r="BM93" s="13">
        <v>5387</v>
      </c>
      <c r="BN93" s="13">
        <v>5382.69</v>
      </c>
      <c r="BO93" s="13">
        <v>5391</v>
      </c>
      <c r="BP93" s="13">
        <v>5385.67</v>
      </c>
      <c r="BQ93" s="13">
        <v>5382.81</v>
      </c>
      <c r="BR93" s="13">
        <v>5376.02</v>
      </c>
      <c r="BS93" s="13">
        <v>5377.63</v>
      </c>
      <c r="BT93" s="13">
        <v>5376.75</v>
      </c>
      <c r="BU93" s="13">
        <v>5376.85</v>
      </c>
      <c r="BV93" s="13">
        <v>5379</v>
      </c>
      <c r="BW93" s="13">
        <v>5370</v>
      </c>
      <c r="BX93" s="13">
        <v>5370.7</v>
      </c>
      <c r="BY93" s="13">
        <v>5372</v>
      </c>
      <c r="BZ93" s="13">
        <v>5370.82</v>
      </c>
      <c r="CA93" s="13">
        <v>5370.58</v>
      </c>
      <c r="CB93" s="13">
        <v>5364.91</v>
      </c>
      <c r="CC93" s="13">
        <v>5356.02</v>
      </c>
      <c r="CD93" s="13">
        <v>5359.94</v>
      </c>
      <c r="CE93" s="13">
        <v>5356</v>
      </c>
      <c r="CF93" s="13">
        <v>5355.59</v>
      </c>
      <c r="CG93" s="13">
        <v>5356.01</v>
      </c>
      <c r="CH93" s="13">
        <v>5359.64</v>
      </c>
      <c r="CI93" s="13">
        <v>5363.81</v>
      </c>
      <c r="CJ93" s="13">
        <v>5365</v>
      </c>
      <c r="CK93" s="13">
        <v>5359</v>
      </c>
      <c r="CL93" s="13">
        <v>5354.01</v>
      </c>
      <c r="CM93" s="13">
        <v>5357</v>
      </c>
      <c r="CN93" s="13">
        <v>5353.54</v>
      </c>
      <c r="CO93" s="13">
        <v>5359</v>
      </c>
      <c r="CP93" s="13">
        <v>5359</v>
      </c>
      <c r="CQ93" s="13">
        <v>5356</v>
      </c>
      <c r="CR93" s="13">
        <v>5355.7</v>
      </c>
      <c r="CS93" s="13">
        <v>5355.53</v>
      </c>
      <c r="CT93" s="13">
        <v>5348</v>
      </c>
      <c r="CU93" s="13">
        <v>5354</v>
      </c>
      <c r="CV93" s="13">
        <v>5357</v>
      </c>
      <c r="CW93" s="13">
        <v>5357.57</v>
      </c>
      <c r="CX93" s="13">
        <v>5354.01</v>
      </c>
      <c r="CY93" s="13">
        <v>5357.62</v>
      </c>
      <c r="CZ93" s="13">
        <v>5351.79</v>
      </c>
      <c r="DA93" s="13">
        <v>5350.01</v>
      </c>
      <c r="DB93" s="13">
        <v>5354</v>
      </c>
      <c r="DC93" s="13">
        <v>5359</v>
      </c>
      <c r="DD93" s="13">
        <v>5359.85</v>
      </c>
      <c r="DE93" s="13">
        <v>5355.88</v>
      </c>
      <c r="DF93" s="13">
        <v>5361.74</v>
      </c>
      <c r="DG93" s="13">
        <v>5364.82</v>
      </c>
      <c r="DH93" s="13">
        <v>5353.92</v>
      </c>
      <c r="DI93" s="13">
        <v>5353.44</v>
      </c>
      <c r="DJ93" s="13">
        <v>5351.19</v>
      </c>
      <c r="DK93" s="13">
        <v>5343.83</v>
      </c>
      <c r="DM93" s="20"/>
    </row>
    <row r="94" spans="1:117" ht="15.75" x14ac:dyDescent="0.25">
      <c r="A94" s="14" t="s">
        <v>12</v>
      </c>
      <c r="B94" s="12" t="s">
        <v>9</v>
      </c>
      <c r="C94" s="13">
        <v>5288.38</v>
      </c>
      <c r="D94" s="13">
        <v>5289.68</v>
      </c>
      <c r="E94" s="13">
        <v>5304.77</v>
      </c>
      <c r="F94" s="13">
        <v>5302.53</v>
      </c>
      <c r="G94" s="13">
        <v>5296.77</v>
      </c>
      <c r="H94" s="13">
        <v>5297.4</v>
      </c>
      <c r="I94" s="13">
        <v>5299.42</v>
      </c>
      <c r="J94" s="13">
        <v>5300.24</v>
      </c>
      <c r="K94" s="13">
        <v>5320.56</v>
      </c>
      <c r="L94" s="13">
        <v>5326</v>
      </c>
      <c r="M94" s="13">
        <v>5321</v>
      </c>
      <c r="N94" s="13">
        <v>5342.2</v>
      </c>
      <c r="O94" s="13">
        <v>5332</v>
      </c>
      <c r="P94" s="13">
        <v>5324</v>
      </c>
      <c r="Q94" s="13">
        <v>5302</v>
      </c>
      <c r="R94" s="13">
        <v>5303.52</v>
      </c>
      <c r="S94" s="13">
        <v>5293.44</v>
      </c>
      <c r="T94" s="13">
        <v>5293.12</v>
      </c>
      <c r="U94" s="13">
        <v>5304</v>
      </c>
      <c r="V94" s="13">
        <v>5316.38</v>
      </c>
      <c r="W94" s="13">
        <v>5315</v>
      </c>
      <c r="X94" s="13">
        <v>5309</v>
      </c>
      <c r="Y94" s="13">
        <v>5310.53</v>
      </c>
      <c r="Z94" s="13">
        <v>5315.76</v>
      </c>
      <c r="AA94" s="13">
        <v>5297.24</v>
      </c>
      <c r="AB94" s="13">
        <v>5298.72</v>
      </c>
      <c r="AC94" s="13">
        <v>5304</v>
      </c>
      <c r="AD94" s="13">
        <v>5304</v>
      </c>
      <c r="AE94" s="13">
        <v>5306</v>
      </c>
      <c r="AF94" s="13">
        <v>5314</v>
      </c>
      <c r="AG94" s="13">
        <v>5310</v>
      </c>
      <c r="AH94" s="13">
        <v>5302.35</v>
      </c>
      <c r="AI94" s="13">
        <v>5312.25</v>
      </c>
      <c r="AJ94" s="13">
        <v>5311.05</v>
      </c>
      <c r="AK94" s="13">
        <v>5304</v>
      </c>
      <c r="AL94" s="13">
        <v>5308</v>
      </c>
      <c r="AM94" s="13">
        <v>5312.42</v>
      </c>
      <c r="AN94" s="13">
        <v>5319</v>
      </c>
      <c r="AO94" s="13">
        <v>5317.99</v>
      </c>
      <c r="AP94" s="13">
        <v>5324.99</v>
      </c>
      <c r="AQ94" s="13">
        <v>5329</v>
      </c>
      <c r="AR94" s="13">
        <v>5335</v>
      </c>
      <c r="AS94" s="13">
        <v>5342.97</v>
      </c>
      <c r="AT94" s="13">
        <v>5347</v>
      </c>
      <c r="AU94" s="13">
        <v>5364.5</v>
      </c>
      <c r="AV94" s="13">
        <v>5361</v>
      </c>
      <c r="AW94" s="13">
        <v>5350</v>
      </c>
      <c r="AX94" s="13">
        <v>5385.52</v>
      </c>
      <c r="AY94" s="13">
        <v>5385</v>
      </c>
      <c r="AZ94" s="13">
        <v>5384.51</v>
      </c>
      <c r="BA94" s="13">
        <v>5381.42</v>
      </c>
      <c r="BB94" s="13">
        <v>5388</v>
      </c>
      <c r="BC94" s="13">
        <v>5377</v>
      </c>
      <c r="BD94" s="13">
        <v>5382.43</v>
      </c>
      <c r="BE94" s="13">
        <v>5381</v>
      </c>
      <c r="BF94" s="13">
        <v>5372</v>
      </c>
      <c r="BG94" s="13">
        <v>5369</v>
      </c>
      <c r="BH94" s="13">
        <v>5372.29</v>
      </c>
      <c r="BI94" s="13">
        <v>5372.27</v>
      </c>
      <c r="BJ94" s="13">
        <v>5380</v>
      </c>
      <c r="BK94" s="13">
        <v>5380</v>
      </c>
      <c r="BL94" s="13">
        <v>5386</v>
      </c>
      <c r="BM94" s="13">
        <v>5386</v>
      </c>
      <c r="BN94" s="13">
        <v>5381.21</v>
      </c>
      <c r="BO94" s="13">
        <v>5389.95</v>
      </c>
      <c r="BP94" s="13">
        <v>5384.27</v>
      </c>
      <c r="BQ94" s="13">
        <v>5381.99</v>
      </c>
      <c r="BR94" s="13">
        <v>5375</v>
      </c>
      <c r="BS94" s="13">
        <v>5376.26</v>
      </c>
      <c r="BT94" s="13">
        <v>5375.36</v>
      </c>
      <c r="BU94" s="13">
        <v>5376.53</v>
      </c>
      <c r="BV94" s="13">
        <v>5377.61</v>
      </c>
      <c r="BW94" s="13">
        <v>5369</v>
      </c>
      <c r="BX94" s="13">
        <v>5370</v>
      </c>
      <c r="BY94" s="13">
        <v>5371</v>
      </c>
      <c r="BZ94" s="13">
        <v>5369.32</v>
      </c>
      <c r="CA94" s="13">
        <v>5369</v>
      </c>
      <c r="CB94" s="13">
        <v>5363.35</v>
      </c>
      <c r="CC94" s="13">
        <v>5355.03</v>
      </c>
      <c r="CD94" s="13">
        <v>5359</v>
      </c>
      <c r="CE94" s="13">
        <v>5355</v>
      </c>
      <c r="CF94" s="13">
        <v>5354.27</v>
      </c>
      <c r="CG94" s="13">
        <v>5355.13</v>
      </c>
      <c r="CH94" s="13">
        <v>5358.15</v>
      </c>
      <c r="CI94" s="13">
        <v>5361</v>
      </c>
      <c r="CJ94" s="13">
        <v>5364</v>
      </c>
      <c r="CK94" s="13">
        <v>5358</v>
      </c>
      <c r="CL94" s="13">
        <v>5353</v>
      </c>
      <c r="CM94" s="13">
        <v>5356</v>
      </c>
      <c r="CN94" s="13">
        <v>5352</v>
      </c>
      <c r="CO94" s="13">
        <v>5358</v>
      </c>
      <c r="CP94" s="13">
        <v>5358</v>
      </c>
      <c r="CQ94" s="13">
        <v>5355</v>
      </c>
      <c r="CR94" s="13">
        <v>5354.15</v>
      </c>
      <c r="CS94" s="13">
        <v>5354.04</v>
      </c>
      <c r="CT94" s="13">
        <v>5346</v>
      </c>
      <c r="CU94" s="13">
        <v>5352.96</v>
      </c>
      <c r="CV94" s="13">
        <v>5355.65</v>
      </c>
      <c r="CW94" s="13">
        <v>5355.94</v>
      </c>
      <c r="CX94" s="13">
        <v>5352.98</v>
      </c>
      <c r="CY94" s="13">
        <v>5356.33</v>
      </c>
      <c r="CZ94" s="13">
        <v>5351.03</v>
      </c>
      <c r="DA94" s="13">
        <v>5348.69</v>
      </c>
      <c r="DB94" s="13">
        <v>5352.79</v>
      </c>
      <c r="DC94" s="13">
        <v>5357.22</v>
      </c>
      <c r="DD94" s="13">
        <v>5358.91</v>
      </c>
      <c r="DE94" s="13">
        <v>5354.48</v>
      </c>
      <c r="DF94" s="13">
        <v>5358.98</v>
      </c>
      <c r="DG94" s="13">
        <v>5362.34</v>
      </c>
      <c r="DH94" s="13">
        <v>5352.13</v>
      </c>
      <c r="DI94" s="13">
        <v>5350.96</v>
      </c>
      <c r="DJ94" s="13">
        <v>5349.16</v>
      </c>
      <c r="DK94" s="13">
        <v>5340.86</v>
      </c>
      <c r="DM94" s="20"/>
    </row>
    <row r="95" spans="1:117" ht="15.75" x14ac:dyDescent="0.25">
      <c r="A95" s="14" t="s">
        <v>12</v>
      </c>
      <c r="B95" s="12" t="s">
        <v>7</v>
      </c>
      <c r="C95" s="13">
        <v>5275.63</v>
      </c>
      <c r="D95" s="13">
        <v>5278.2</v>
      </c>
      <c r="E95" s="13">
        <v>5288.98</v>
      </c>
      <c r="F95" s="13">
        <v>5300.31</v>
      </c>
      <c r="G95" s="13">
        <v>5296.37</v>
      </c>
      <c r="H95" s="13">
        <v>5295.6</v>
      </c>
      <c r="I95" s="13">
        <v>5296.35</v>
      </c>
      <c r="J95" s="13">
        <v>5297.78</v>
      </c>
      <c r="K95" s="13">
        <v>5300.8</v>
      </c>
      <c r="L95" s="13">
        <v>5323</v>
      </c>
      <c r="M95" s="13">
        <v>5317</v>
      </c>
      <c r="N95" s="13">
        <v>5321</v>
      </c>
      <c r="O95" s="13">
        <v>5332</v>
      </c>
      <c r="P95" s="13">
        <v>5323.1</v>
      </c>
      <c r="Q95" s="13">
        <v>5301</v>
      </c>
      <c r="R95" s="13">
        <v>5301.09</v>
      </c>
      <c r="S95" s="13">
        <v>5290</v>
      </c>
      <c r="T95" s="13">
        <v>5292</v>
      </c>
      <c r="U95" s="13">
        <v>5293.99</v>
      </c>
      <c r="V95" s="13">
        <v>5303.31</v>
      </c>
      <c r="W95" s="13">
        <v>5311.39</v>
      </c>
      <c r="X95" s="13">
        <v>5308.94</v>
      </c>
      <c r="Y95" s="13">
        <v>5310.17</v>
      </c>
      <c r="Z95" s="13">
        <v>5311.13</v>
      </c>
      <c r="AA95" s="13">
        <v>5296</v>
      </c>
      <c r="AB95" s="13">
        <v>5295</v>
      </c>
      <c r="AC95" s="13">
        <v>5297.21</v>
      </c>
      <c r="AD95" s="13">
        <v>5302</v>
      </c>
      <c r="AE95" s="13">
        <v>5304</v>
      </c>
      <c r="AF95" s="13">
        <v>5306.43</v>
      </c>
      <c r="AG95" s="13">
        <v>5310</v>
      </c>
      <c r="AH95" s="13">
        <v>5302.35</v>
      </c>
      <c r="AI95" s="13">
        <v>5307</v>
      </c>
      <c r="AJ95" s="13">
        <v>5305.07</v>
      </c>
      <c r="AK95" s="13">
        <v>5304</v>
      </c>
      <c r="AL95" s="13">
        <v>5300</v>
      </c>
      <c r="AM95" s="13">
        <v>5307</v>
      </c>
      <c r="AN95" s="13">
        <v>5312.16</v>
      </c>
      <c r="AO95" s="13">
        <v>5314</v>
      </c>
      <c r="AP95" s="13">
        <v>5317.99</v>
      </c>
      <c r="AQ95" s="13">
        <v>5324.34</v>
      </c>
      <c r="AR95" s="13">
        <v>5331.3</v>
      </c>
      <c r="AS95" s="13">
        <v>5329.07</v>
      </c>
      <c r="AT95" s="13">
        <v>5342.99</v>
      </c>
      <c r="AU95" s="13">
        <v>5346.28</v>
      </c>
      <c r="AV95" s="13">
        <v>5361</v>
      </c>
      <c r="AW95" s="13">
        <v>5350</v>
      </c>
      <c r="AX95" s="13">
        <v>5346</v>
      </c>
      <c r="AY95" s="13">
        <v>5385</v>
      </c>
      <c r="AZ95" s="13">
        <v>5381</v>
      </c>
      <c r="BA95" s="13">
        <v>5381</v>
      </c>
      <c r="BB95" s="13">
        <v>5380</v>
      </c>
      <c r="BC95" s="13">
        <v>5377</v>
      </c>
      <c r="BD95" s="13">
        <v>5377</v>
      </c>
      <c r="BE95" s="13">
        <v>5377</v>
      </c>
      <c r="BF95" s="13">
        <v>5372</v>
      </c>
      <c r="BG95" s="13">
        <v>5363</v>
      </c>
      <c r="BH95" s="13">
        <v>5369</v>
      </c>
      <c r="BI95" s="13">
        <v>5369.39</v>
      </c>
      <c r="BJ95" s="13">
        <v>5372.09</v>
      </c>
      <c r="BK95" s="13">
        <v>5379.32</v>
      </c>
      <c r="BL95" s="13">
        <v>5379</v>
      </c>
      <c r="BM95" s="13">
        <v>5384.97</v>
      </c>
      <c r="BN95" s="13">
        <v>5380.21</v>
      </c>
      <c r="BO95" s="13">
        <v>5381.25</v>
      </c>
      <c r="BP95" s="13">
        <v>5383.22</v>
      </c>
      <c r="BQ95" s="13">
        <v>5380.23</v>
      </c>
      <c r="BR95" s="13">
        <v>5373</v>
      </c>
      <c r="BS95" s="13">
        <v>5371.02</v>
      </c>
      <c r="BT95" s="13">
        <v>5373.26</v>
      </c>
      <c r="BU95" s="13">
        <v>5375.74</v>
      </c>
      <c r="BV95" s="13">
        <v>5374.45</v>
      </c>
      <c r="BW95" s="13">
        <v>5368</v>
      </c>
      <c r="BX95" s="13">
        <v>5365.19</v>
      </c>
      <c r="BY95" s="13">
        <v>5369</v>
      </c>
      <c r="BZ95" s="13">
        <v>5366</v>
      </c>
      <c r="CA95" s="13">
        <v>5366.39</v>
      </c>
      <c r="CB95" s="13">
        <v>5361.03</v>
      </c>
      <c r="CC95" s="13">
        <v>5353</v>
      </c>
      <c r="CD95" s="13">
        <v>5354</v>
      </c>
      <c r="CE95" s="13">
        <v>5355</v>
      </c>
      <c r="CF95" s="13">
        <v>5354</v>
      </c>
      <c r="CG95" s="13">
        <v>5353</v>
      </c>
      <c r="CH95" s="13">
        <v>5355</v>
      </c>
      <c r="CI95" s="13">
        <v>5358</v>
      </c>
      <c r="CJ95" s="13">
        <v>5361</v>
      </c>
      <c r="CK95" s="13">
        <v>5358</v>
      </c>
      <c r="CL95" s="13">
        <v>5352.03</v>
      </c>
      <c r="CM95" s="13">
        <v>5352.27</v>
      </c>
      <c r="CN95" s="13">
        <v>5352</v>
      </c>
      <c r="CO95" s="13">
        <v>5352</v>
      </c>
      <c r="CP95" s="13">
        <v>5355</v>
      </c>
      <c r="CQ95" s="13">
        <v>5353.26</v>
      </c>
      <c r="CR95" s="13">
        <v>5354</v>
      </c>
      <c r="CS95" s="13">
        <v>5353</v>
      </c>
      <c r="CT95" s="13">
        <v>5346</v>
      </c>
      <c r="CU95" s="13">
        <v>5346</v>
      </c>
      <c r="CV95" s="13">
        <v>5352.93</v>
      </c>
      <c r="CW95" s="13">
        <v>5355.81</v>
      </c>
      <c r="CX95" s="13">
        <v>5352.98</v>
      </c>
      <c r="CY95" s="13">
        <v>5354.07</v>
      </c>
      <c r="CZ95" s="13">
        <v>5351.02</v>
      </c>
      <c r="DA95" s="13">
        <v>5341.62</v>
      </c>
      <c r="DB95" s="13">
        <v>5348.59</v>
      </c>
      <c r="DC95" s="13">
        <v>5352.18</v>
      </c>
      <c r="DD95" s="13">
        <v>5357.26</v>
      </c>
      <c r="DE95" s="13">
        <v>5353.31</v>
      </c>
      <c r="DF95" s="13">
        <v>5355.63</v>
      </c>
      <c r="DG95" s="13">
        <v>5357.64</v>
      </c>
      <c r="DH95" s="13">
        <v>5351.53</v>
      </c>
      <c r="DI95" s="13">
        <v>5350.11</v>
      </c>
      <c r="DJ95" s="13">
        <v>5346.73</v>
      </c>
      <c r="DK95" s="13">
        <v>5340.86</v>
      </c>
      <c r="DM95" s="20"/>
    </row>
    <row r="96" spans="1:117" x14ac:dyDescent="0.25">
      <c r="DM96" s="20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CCE-EAE8-45DD-84A0-ECE6EB49A5A6}">
  <dimension ref="A1:DV120"/>
  <sheetViews>
    <sheetView topLeftCell="A76" zoomScale="85" zoomScaleNormal="85" workbookViewId="0">
      <selection activeCell="J113" sqref="J113"/>
    </sheetView>
  </sheetViews>
  <sheetFormatPr defaultRowHeight="15" x14ac:dyDescent="0.25"/>
  <cols>
    <col min="1" max="1" width="9.85546875" bestFit="1" customWidth="1"/>
    <col min="117" max="117" width="10.140625" customWidth="1"/>
    <col min="118" max="118" width="10.28515625" style="22" bestFit="1" customWidth="1"/>
  </cols>
  <sheetData>
    <row r="1" spans="1:126" ht="15.75" x14ac:dyDescent="0.25">
      <c r="A1" s="11" t="s">
        <v>5</v>
      </c>
      <c r="B1" s="11" t="s">
        <v>11</v>
      </c>
      <c r="C1" s="15">
        <v>0.375</v>
      </c>
      <c r="D1" s="15">
        <v>0.37847222222222227</v>
      </c>
      <c r="E1" s="15">
        <v>0.38194444444444442</v>
      </c>
      <c r="F1" s="15">
        <v>0.38541666666666669</v>
      </c>
      <c r="G1" s="15">
        <v>0.3888888888888889</v>
      </c>
      <c r="H1" s="15">
        <v>0.3923611111111111</v>
      </c>
      <c r="I1" s="15">
        <v>0.39583333333333331</v>
      </c>
      <c r="J1" s="15">
        <v>0.39930555555555558</v>
      </c>
      <c r="K1" s="15">
        <v>0.40277777777777773</v>
      </c>
      <c r="L1" s="15">
        <v>0.40625</v>
      </c>
      <c r="M1" s="15">
        <v>0.40972222222222227</v>
      </c>
      <c r="N1" s="15">
        <v>0.41319444444444442</v>
      </c>
      <c r="O1" s="15">
        <v>0.41666666666666669</v>
      </c>
      <c r="P1" s="15">
        <v>0.4201388888888889</v>
      </c>
      <c r="Q1" s="15">
        <v>0.4236111111111111</v>
      </c>
      <c r="R1" s="15">
        <v>0.42708333333333331</v>
      </c>
      <c r="S1" s="15">
        <v>0.43055555555555558</v>
      </c>
      <c r="T1" s="15">
        <v>0.43402777777777773</v>
      </c>
      <c r="U1" s="15">
        <v>0.4375</v>
      </c>
      <c r="V1" s="15">
        <v>0.44097222222222227</v>
      </c>
      <c r="W1" s="15">
        <v>0.44444444444444442</v>
      </c>
      <c r="X1" s="15">
        <v>0.44791666666666669</v>
      </c>
      <c r="Y1" s="15">
        <v>0.4513888888888889</v>
      </c>
      <c r="Z1" s="15">
        <v>0.4548611111111111</v>
      </c>
      <c r="AA1" s="15">
        <v>0.45833333333333331</v>
      </c>
      <c r="AB1" s="15">
        <v>0.46180555555555558</v>
      </c>
      <c r="AC1" s="15">
        <v>0.46527777777777773</v>
      </c>
      <c r="AD1" s="15">
        <v>0.46875</v>
      </c>
      <c r="AE1" s="15">
        <v>0.47222222222222227</v>
      </c>
      <c r="AF1" s="15">
        <v>0.47569444444444442</v>
      </c>
      <c r="AG1" s="15">
        <v>0.47916666666666669</v>
      </c>
      <c r="AH1" s="15">
        <v>0.4826388888888889</v>
      </c>
      <c r="AI1" s="15">
        <v>0.4861111111111111</v>
      </c>
      <c r="AJ1" s="15">
        <v>0.48958333333333331</v>
      </c>
      <c r="AK1" s="15">
        <v>0.49305555555555558</v>
      </c>
      <c r="AL1" s="15">
        <v>0.49652777777777773</v>
      </c>
      <c r="AM1" s="15">
        <v>0.5</v>
      </c>
      <c r="AN1" s="15">
        <v>0.50347222222222221</v>
      </c>
      <c r="AO1" s="15">
        <v>0.50694444444444442</v>
      </c>
      <c r="AP1" s="15">
        <v>0.51041666666666663</v>
      </c>
      <c r="AQ1" s="15">
        <v>0.51388888888888895</v>
      </c>
      <c r="AR1" s="15">
        <v>0.51736111111111105</v>
      </c>
      <c r="AS1" s="15">
        <v>0.52083333333333337</v>
      </c>
      <c r="AT1" s="15">
        <v>0.52430555555555558</v>
      </c>
      <c r="AU1" s="15">
        <v>0.52777777777777779</v>
      </c>
      <c r="AV1" s="15">
        <v>0.53125</v>
      </c>
      <c r="AW1" s="15">
        <v>0.53472222222222221</v>
      </c>
      <c r="AX1" s="15">
        <v>0.53819444444444442</v>
      </c>
      <c r="AY1" s="15">
        <v>0.54166666666666663</v>
      </c>
      <c r="AZ1" s="15">
        <v>0.54513888888888895</v>
      </c>
      <c r="BA1" s="15">
        <v>0.54861111111111105</v>
      </c>
      <c r="BB1" s="15">
        <v>0.55208333333333337</v>
      </c>
      <c r="BC1" s="15">
        <v>0.55555555555555558</v>
      </c>
      <c r="BD1" s="15">
        <v>0.55902777777777779</v>
      </c>
      <c r="BE1" s="15">
        <v>0.5625</v>
      </c>
      <c r="BF1" s="15">
        <v>0.56597222222222221</v>
      </c>
      <c r="BG1" s="15">
        <v>0.56944444444444442</v>
      </c>
      <c r="BH1" s="15">
        <v>0.57291666666666663</v>
      </c>
      <c r="BI1" s="15">
        <v>0.57638888888888895</v>
      </c>
      <c r="BJ1" s="15">
        <v>0.57986111111111105</v>
      </c>
      <c r="BK1" s="15">
        <v>0.58333333333333337</v>
      </c>
      <c r="BL1" s="15">
        <v>0.58680555555555558</v>
      </c>
      <c r="BM1" s="15">
        <v>0.59027777777777779</v>
      </c>
      <c r="BN1" s="15">
        <v>0.59375</v>
      </c>
      <c r="BO1" s="15">
        <v>0.59722222222222221</v>
      </c>
      <c r="BP1" s="15">
        <v>0.60069444444444442</v>
      </c>
      <c r="BQ1" s="15">
        <v>0.60416666666666663</v>
      </c>
      <c r="BR1" s="15">
        <v>0.60763888888888895</v>
      </c>
      <c r="BS1" s="15">
        <v>0.61111111111111105</v>
      </c>
      <c r="BT1" s="15">
        <v>0.61458333333333337</v>
      </c>
      <c r="BU1" s="15">
        <v>0.61805555555555558</v>
      </c>
      <c r="BV1" s="15">
        <v>0.62152777777777779</v>
      </c>
      <c r="BW1" s="15">
        <v>0.625</v>
      </c>
      <c r="BX1" s="15">
        <v>0.62847222222222221</v>
      </c>
      <c r="BY1" s="15">
        <v>0.63194444444444442</v>
      </c>
      <c r="BZ1" s="15">
        <v>0.63541666666666663</v>
      </c>
      <c r="CA1" s="15">
        <v>0.63888888888888895</v>
      </c>
      <c r="CB1" s="15">
        <v>0.64236111111111105</v>
      </c>
      <c r="CC1" s="15">
        <v>0.64583333333333337</v>
      </c>
      <c r="CD1" s="15">
        <v>0.64930555555555558</v>
      </c>
      <c r="CE1" s="15">
        <v>0.65277777777777779</v>
      </c>
      <c r="CF1" s="15">
        <v>0.65625</v>
      </c>
      <c r="CG1" s="15">
        <v>0.65972222222222221</v>
      </c>
      <c r="CH1" s="15">
        <v>0.66319444444444442</v>
      </c>
      <c r="CI1" s="15">
        <v>0.66666666666666663</v>
      </c>
      <c r="CJ1" s="15">
        <v>0.67013888888888884</v>
      </c>
      <c r="CK1" s="15">
        <v>0.67361111111111116</v>
      </c>
      <c r="CL1" s="15">
        <v>0.67708333333333337</v>
      </c>
      <c r="CM1" s="15">
        <v>0.68055555555555547</v>
      </c>
      <c r="CN1" s="15">
        <v>0.68402777777777779</v>
      </c>
      <c r="CO1" s="15">
        <v>0.6875</v>
      </c>
      <c r="CP1" s="15">
        <v>0.69097222222222221</v>
      </c>
      <c r="CQ1" s="15">
        <v>0.69444444444444453</v>
      </c>
      <c r="CR1" s="15">
        <v>0.69791666666666663</v>
      </c>
      <c r="CS1" s="15">
        <v>0.70138888888888884</v>
      </c>
      <c r="CT1" s="15">
        <v>0.70486111111111116</v>
      </c>
      <c r="CU1" s="15">
        <v>0.70833333333333337</v>
      </c>
      <c r="CV1" s="15">
        <v>0.71180555555555547</v>
      </c>
      <c r="CW1" s="15">
        <v>0.71527777777777779</v>
      </c>
      <c r="CX1" s="15">
        <v>0.71875</v>
      </c>
      <c r="CY1" s="15">
        <v>0.72222222222222221</v>
      </c>
      <c r="CZ1" s="15">
        <v>0.72569444444444453</v>
      </c>
      <c r="DA1" s="15">
        <v>0.72916666666666663</v>
      </c>
      <c r="DB1" s="15">
        <v>0.73263888888888884</v>
      </c>
      <c r="DC1" s="15">
        <v>0.73611111111111116</v>
      </c>
      <c r="DD1" s="15">
        <v>0.73958333333333337</v>
      </c>
      <c r="DE1" s="15">
        <v>0.74305555555555547</v>
      </c>
      <c r="DF1" s="15">
        <v>0.74652777777777779</v>
      </c>
      <c r="DG1" s="15">
        <v>0.75</v>
      </c>
      <c r="DH1" s="15">
        <v>0.75347222222222221</v>
      </c>
      <c r="DI1" s="15">
        <v>0.75694444444444453</v>
      </c>
      <c r="DJ1" s="15">
        <v>0.76041666666666663</v>
      </c>
      <c r="DK1" s="15">
        <v>0.76388888888888884</v>
      </c>
      <c r="DL1" s="15">
        <v>0.76736111111111116</v>
      </c>
      <c r="DM1" s="23">
        <v>44344</v>
      </c>
      <c r="DN1" s="24"/>
    </row>
    <row r="2" spans="1:126" ht="15.75" x14ac:dyDescent="0.25">
      <c r="A2" s="14">
        <v>44166</v>
      </c>
      <c r="B2" s="12" t="s">
        <v>6</v>
      </c>
      <c r="C2" s="13">
        <v>5330</v>
      </c>
      <c r="D2" s="13">
        <v>5339</v>
      </c>
      <c r="E2" s="13">
        <v>5324.2</v>
      </c>
      <c r="F2" s="13">
        <v>5329.8</v>
      </c>
      <c r="G2" s="13">
        <v>5332</v>
      </c>
      <c r="H2" s="13">
        <v>5330</v>
      </c>
      <c r="I2" s="13">
        <v>5330</v>
      </c>
      <c r="J2" s="13">
        <v>5335.75</v>
      </c>
      <c r="K2" s="13">
        <v>5334.6</v>
      </c>
      <c r="L2" s="13">
        <v>5324</v>
      </c>
      <c r="M2" s="13">
        <v>5322.25</v>
      </c>
      <c r="N2" s="13">
        <v>5319</v>
      </c>
      <c r="O2" s="13">
        <v>5316.7</v>
      </c>
      <c r="P2" s="13">
        <v>5312</v>
      </c>
      <c r="Q2" s="13">
        <v>5313.57</v>
      </c>
      <c r="R2" s="13">
        <v>5319.22</v>
      </c>
      <c r="S2" s="13">
        <v>5323.22</v>
      </c>
      <c r="T2" s="13">
        <v>5318.43</v>
      </c>
      <c r="U2" s="13">
        <v>5316.13</v>
      </c>
      <c r="V2" s="13">
        <v>5320.46</v>
      </c>
      <c r="W2" s="13">
        <v>5324.22</v>
      </c>
      <c r="X2" s="13">
        <v>5318.83</v>
      </c>
      <c r="Y2" s="13">
        <v>5313.56</v>
      </c>
      <c r="Z2" s="13">
        <v>5312</v>
      </c>
      <c r="AA2" s="13">
        <v>5312</v>
      </c>
      <c r="AB2" s="13">
        <v>5299.28</v>
      </c>
      <c r="AC2" s="13">
        <v>5291.11</v>
      </c>
      <c r="AD2" s="13">
        <v>5286.62</v>
      </c>
      <c r="AE2" s="13">
        <v>5282</v>
      </c>
      <c r="AF2" s="13">
        <v>5289.89</v>
      </c>
      <c r="AG2" s="13">
        <v>5293.47</v>
      </c>
      <c r="AH2" s="13">
        <v>5296.63</v>
      </c>
      <c r="AI2" s="13">
        <v>5290.48</v>
      </c>
      <c r="AJ2" s="13">
        <v>5281.75</v>
      </c>
      <c r="AK2" s="13">
        <v>5279.61</v>
      </c>
      <c r="AL2" s="13">
        <v>5275.26</v>
      </c>
      <c r="AM2" s="13">
        <v>5277.86</v>
      </c>
      <c r="AN2" s="13">
        <v>5276.61</v>
      </c>
      <c r="AO2" s="13">
        <v>5276.81</v>
      </c>
      <c r="AP2" s="13">
        <v>5269.95</v>
      </c>
      <c r="AQ2" s="13">
        <v>5269.62</v>
      </c>
      <c r="AR2" s="13">
        <v>5268.71</v>
      </c>
      <c r="AS2" s="13">
        <v>5269.17</v>
      </c>
      <c r="AT2" s="13">
        <v>5261.91</v>
      </c>
      <c r="AU2" s="13">
        <v>5267.71</v>
      </c>
      <c r="AV2" s="13">
        <v>5265.18</v>
      </c>
      <c r="AW2" s="13">
        <v>5266.29</v>
      </c>
      <c r="AX2" s="13">
        <v>5268.48</v>
      </c>
      <c r="AY2" s="13">
        <v>5265.82</v>
      </c>
      <c r="AZ2" s="13">
        <v>5269.29</v>
      </c>
      <c r="BA2" s="13">
        <v>5276.29</v>
      </c>
      <c r="BB2" s="13">
        <v>5271.29</v>
      </c>
      <c r="BC2" s="13">
        <v>5262.17</v>
      </c>
      <c r="BD2" s="13">
        <v>5265.29</v>
      </c>
      <c r="BE2" s="13">
        <v>5270.38</v>
      </c>
      <c r="BF2" s="13">
        <v>5268.33</v>
      </c>
      <c r="BG2" s="13">
        <v>5268.89</v>
      </c>
      <c r="BH2" s="13">
        <v>5268.19</v>
      </c>
      <c r="BI2" s="13">
        <v>5269.68</v>
      </c>
      <c r="BJ2" s="13">
        <v>5268.57</v>
      </c>
      <c r="BK2" s="13">
        <v>5273.38</v>
      </c>
      <c r="BL2" s="13">
        <v>5270.78</v>
      </c>
      <c r="BM2" s="13">
        <v>5257.72</v>
      </c>
      <c r="BN2" s="13">
        <v>5260.33</v>
      </c>
      <c r="BO2" s="13">
        <v>5262.15</v>
      </c>
      <c r="BP2" s="13">
        <v>5264.9</v>
      </c>
      <c r="BQ2" s="13">
        <v>5264.9</v>
      </c>
      <c r="BR2" s="13">
        <v>5266.38</v>
      </c>
      <c r="BS2" s="13">
        <v>5267</v>
      </c>
      <c r="BT2" s="13">
        <v>5266.43</v>
      </c>
      <c r="BU2" s="13">
        <v>5260.88</v>
      </c>
      <c r="BV2" s="13">
        <v>5262.18</v>
      </c>
      <c r="BW2" s="13">
        <v>5263.19</v>
      </c>
      <c r="BX2" s="13">
        <v>5268.38</v>
      </c>
      <c r="BY2" s="13">
        <v>5270.38</v>
      </c>
      <c r="BZ2" s="13">
        <v>5269</v>
      </c>
      <c r="CA2" s="13">
        <v>5268.16</v>
      </c>
      <c r="CB2" s="13">
        <v>5268.19</v>
      </c>
      <c r="CC2" s="13">
        <v>5269.32</v>
      </c>
      <c r="CD2" s="13">
        <v>5289.75</v>
      </c>
      <c r="CE2" s="13">
        <v>5291.13</v>
      </c>
      <c r="CF2" s="13">
        <v>5284.86</v>
      </c>
      <c r="CG2" s="13">
        <v>5284.74</v>
      </c>
      <c r="CH2" s="13">
        <v>5283.68</v>
      </c>
      <c r="CI2" s="13">
        <v>5279.82</v>
      </c>
      <c r="CJ2" s="13">
        <v>5280.84</v>
      </c>
      <c r="CK2" s="13">
        <v>5278.24</v>
      </c>
      <c r="CL2" s="13">
        <v>5277.31</v>
      </c>
      <c r="CM2" s="13">
        <v>5281.39</v>
      </c>
      <c r="CN2" s="13">
        <v>5284.39</v>
      </c>
      <c r="CO2" s="13">
        <v>5278.5</v>
      </c>
      <c r="CP2" s="13">
        <v>5284.74</v>
      </c>
      <c r="CQ2" s="13">
        <v>5277.75</v>
      </c>
      <c r="CR2" s="13">
        <v>5276.69</v>
      </c>
      <c r="CS2" s="13">
        <v>5284.2</v>
      </c>
      <c r="CT2" s="13">
        <v>5274.37</v>
      </c>
      <c r="CU2" s="13">
        <v>5275.97</v>
      </c>
      <c r="CV2" s="13">
        <v>5282.61</v>
      </c>
      <c r="CW2" s="13">
        <v>5282.61</v>
      </c>
      <c r="CX2" s="13">
        <v>5283.32</v>
      </c>
      <c r="CY2" s="13">
        <v>5275.97</v>
      </c>
      <c r="CZ2" s="13">
        <v>5276.42</v>
      </c>
      <c r="DA2" s="13">
        <v>5275.97</v>
      </c>
      <c r="DB2" s="13">
        <v>5281.55</v>
      </c>
      <c r="DC2" s="13">
        <v>5281.19</v>
      </c>
      <c r="DD2" s="13">
        <v>5275.08</v>
      </c>
      <c r="DE2" s="13">
        <v>5273.75</v>
      </c>
      <c r="DF2" s="13">
        <v>5278</v>
      </c>
      <c r="DG2" s="13">
        <v>5273.91</v>
      </c>
      <c r="DH2" s="13">
        <v>5278.35</v>
      </c>
      <c r="DI2" s="13">
        <v>5276.19</v>
      </c>
      <c r="DJ2" s="13">
        <v>5287.5</v>
      </c>
      <c r="DK2" s="13">
        <v>5286.81</v>
      </c>
      <c r="DL2" s="13">
        <v>5285.88</v>
      </c>
      <c r="DM2" s="32"/>
      <c r="DN2" s="33"/>
      <c r="DO2" s="32"/>
      <c r="DP2" s="33"/>
      <c r="DQ2" s="32"/>
      <c r="DR2" s="33"/>
      <c r="DS2" s="32"/>
      <c r="DT2" s="33"/>
      <c r="DU2" s="32"/>
      <c r="DV2" s="33"/>
    </row>
    <row r="3" spans="1:126" ht="15.75" x14ac:dyDescent="0.25">
      <c r="A3" s="14" t="s">
        <v>12</v>
      </c>
      <c r="B3" s="12" t="s">
        <v>10</v>
      </c>
      <c r="C3" s="13">
        <v>5330</v>
      </c>
      <c r="D3" s="13">
        <v>5325.67</v>
      </c>
      <c r="E3" s="13">
        <v>5320</v>
      </c>
      <c r="F3" s="13">
        <v>5329.8</v>
      </c>
      <c r="G3" s="13">
        <v>5323.2</v>
      </c>
      <c r="H3" s="13">
        <v>5330</v>
      </c>
      <c r="I3" s="13">
        <v>5326.6</v>
      </c>
      <c r="J3" s="13">
        <v>5334.75</v>
      </c>
      <c r="K3" s="13">
        <v>5323.2</v>
      </c>
      <c r="L3" s="13">
        <v>5313</v>
      </c>
      <c r="M3" s="13">
        <v>5315.5</v>
      </c>
      <c r="N3" s="13">
        <v>5314</v>
      </c>
      <c r="O3" s="13">
        <v>5307</v>
      </c>
      <c r="P3" s="13">
        <v>5312</v>
      </c>
      <c r="Q3" s="13">
        <v>5310.43</v>
      </c>
      <c r="R3" s="13">
        <v>5319.22</v>
      </c>
      <c r="S3" s="13">
        <v>5318.65</v>
      </c>
      <c r="T3" s="13">
        <v>5312</v>
      </c>
      <c r="U3" s="13">
        <v>5312.09</v>
      </c>
      <c r="V3" s="13">
        <v>5320.29</v>
      </c>
      <c r="W3" s="13">
        <v>5321.07</v>
      </c>
      <c r="X3" s="13">
        <v>5313.56</v>
      </c>
      <c r="Y3" s="13">
        <v>5309.83</v>
      </c>
      <c r="Z3" s="13">
        <v>5311.28</v>
      </c>
      <c r="AA3" s="13">
        <v>5290.28</v>
      </c>
      <c r="AB3" s="13">
        <v>5291.83</v>
      </c>
      <c r="AC3" s="13">
        <v>5278</v>
      </c>
      <c r="AD3" s="13">
        <v>5284.55</v>
      </c>
      <c r="AE3" s="13">
        <v>5281.61</v>
      </c>
      <c r="AF3" s="13">
        <v>5289.81</v>
      </c>
      <c r="AG3" s="13">
        <v>5293.47</v>
      </c>
      <c r="AH3" s="13">
        <v>5286.91</v>
      </c>
      <c r="AI3" s="13">
        <v>5279.61</v>
      </c>
      <c r="AJ3" s="13">
        <v>5280.13</v>
      </c>
      <c r="AK3" s="13">
        <v>5270.61</v>
      </c>
      <c r="AL3" s="13">
        <v>5274.71</v>
      </c>
      <c r="AM3" s="13">
        <v>5275.46</v>
      </c>
      <c r="AN3" s="13">
        <v>5274.7</v>
      </c>
      <c r="AO3" s="13">
        <v>5265.44</v>
      </c>
      <c r="AP3" s="13">
        <v>5269.5</v>
      </c>
      <c r="AQ3" s="13">
        <v>5268.47</v>
      </c>
      <c r="AR3" s="13">
        <v>5268.35</v>
      </c>
      <c r="AS3" s="13">
        <v>5261</v>
      </c>
      <c r="AT3" s="13">
        <v>5261.91</v>
      </c>
      <c r="AU3" s="13">
        <v>5267</v>
      </c>
      <c r="AV3" s="13">
        <v>5262</v>
      </c>
      <c r="AW3" s="13">
        <v>5265.62</v>
      </c>
      <c r="AX3" s="13">
        <v>5265.8</v>
      </c>
      <c r="AY3" s="13">
        <v>5259.35</v>
      </c>
      <c r="AZ3" s="13">
        <v>5269.17</v>
      </c>
      <c r="BA3" s="13">
        <v>5267.52</v>
      </c>
      <c r="BB3" s="13">
        <v>5260.35</v>
      </c>
      <c r="BC3" s="13">
        <v>5260.17</v>
      </c>
      <c r="BD3" s="13">
        <v>5263.17</v>
      </c>
      <c r="BE3" s="13">
        <v>5265.17</v>
      </c>
      <c r="BF3" s="13">
        <v>5263.13</v>
      </c>
      <c r="BG3" s="13">
        <v>5267.35</v>
      </c>
      <c r="BH3" s="13">
        <v>5266.13</v>
      </c>
      <c r="BI3" s="13">
        <v>5269.68</v>
      </c>
      <c r="BJ3" s="13">
        <v>5266.29</v>
      </c>
      <c r="BK3" s="13">
        <v>5270</v>
      </c>
      <c r="BL3" s="13">
        <v>5257.15</v>
      </c>
      <c r="BM3" s="13">
        <v>5256.9</v>
      </c>
      <c r="BN3" s="13">
        <v>5260.15</v>
      </c>
      <c r="BO3" s="13">
        <v>5261.15</v>
      </c>
      <c r="BP3" s="13">
        <v>5264.9</v>
      </c>
      <c r="BQ3" s="13">
        <v>5264.9</v>
      </c>
      <c r="BR3" s="13">
        <v>5263</v>
      </c>
      <c r="BS3" s="13">
        <v>5264.19</v>
      </c>
      <c r="BT3" s="13">
        <v>5260.14</v>
      </c>
      <c r="BU3" s="13">
        <v>5257.62</v>
      </c>
      <c r="BV3" s="13">
        <v>5262</v>
      </c>
      <c r="BW3" s="13">
        <v>5263.19</v>
      </c>
      <c r="BX3" s="13">
        <v>5267.08</v>
      </c>
      <c r="BY3" s="13">
        <v>5266.62</v>
      </c>
      <c r="BZ3" s="13">
        <v>5267.08</v>
      </c>
      <c r="CA3" s="13">
        <v>5268.16</v>
      </c>
      <c r="CB3" s="13">
        <v>5262.38</v>
      </c>
      <c r="CC3" s="13">
        <v>5267.86</v>
      </c>
      <c r="CD3" s="13">
        <v>5286.71</v>
      </c>
      <c r="CE3" s="13">
        <v>5282.73</v>
      </c>
      <c r="CF3" s="13">
        <v>5274.15</v>
      </c>
      <c r="CG3" s="13">
        <v>5277.75</v>
      </c>
      <c r="CH3" s="13">
        <v>5276.11</v>
      </c>
      <c r="CI3" s="13">
        <v>5268.78</v>
      </c>
      <c r="CJ3" s="13">
        <v>5273.75</v>
      </c>
      <c r="CK3" s="13">
        <v>5276.42</v>
      </c>
      <c r="CL3" s="13">
        <v>5277.31</v>
      </c>
      <c r="CM3" s="13">
        <v>5273.51</v>
      </c>
      <c r="CN3" s="13">
        <v>5279.08</v>
      </c>
      <c r="CO3" s="13">
        <v>5273.66</v>
      </c>
      <c r="CP3" s="13">
        <v>5277.61</v>
      </c>
      <c r="CQ3" s="13">
        <v>5271.85</v>
      </c>
      <c r="CR3" s="13">
        <v>5267.61</v>
      </c>
      <c r="CS3" s="13">
        <v>5272.49</v>
      </c>
      <c r="CT3" s="13">
        <v>5274.37</v>
      </c>
      <c r="CU3" s="13">
        <v>5275.83</v>
      </c>
      <c r="CV3" s="13">
        <v>5271.34</v>
      </c>
      <c r="CW3" s="13">
        <v>5276.86</v>
      </c>
      <c r="CX3" s="13">
        <v>5267.02</v>
      </c>
      <c r="CY3" s="13">
        <v>5275.97</v>
      </c>
      <c r="CZ3" s="13">
        <v>5275.97</v>
      </c>
      <c r="DA3" s="13">
        <v>5269.29</v>
      </c>
      <c r="DB3" s="13">
        <v>5274.64</v>
      </c>
      <c r="DC3" s="13">
        <v>5274.64</v>
      </c>
      <c r="DD3" s="13">
        <v>5273.75</v>
      </c>
      <c r="DE3" s="13">
        <v>5270.64</v>
      </c>
      <c r="DF3" s="13">
        <v>5263.66</v>
      </c>
      <c r="DG3" s="13">
        <v>5271.08</v>
      </c>
      <c r="DH3" s="13">
        <v>5269.72</v>
      </c>
      <c r="DI3" s="13">
        <v>5268.56</v>
      </c>
      <c r="DJ3" s="13">
        <v>5268.69</v>
      </c>
      <c r="DK3" s="13">
        <v>5276.23</v>
      </c>
      <c r="DL3" s="13">
        <v>5273.74</v>
      </c>
      <c r="DM3" s="32"/>
      <c r="DN3" s="33"/>
      <c r="DO3" s="32"/>
      <c r="DP3" s="33"/>
      <c r="DQ3" s="32"/>
      <c r="DR3" s="33"/>
      <c r="DS3" s="32"/>
      <c r="DT3" s="33"/>
      <c r="DU3" s="32"/>
      <c r="DV3" s="33"/>
    </row>
    <row r="4" spans="1:126" ht="15.75" x14ac:dyDescent="0.25">
      <c r="A4" s="14" t="s">
        <v>12</v>
      </c>
      <c r="B4" s="12" t="s">
        <v>9</v>
      </c>
      <c r="C4" s="13">
        <v>5304</v>
      </c>
      <c r="D4" s="13">
        <v>5302.5</v>
      </c>
      <c r="E4" s="13">
        <v>5301</v>
      </c>
      <c r="F4" s="13">
        <v>5308.89</v>
      </c>
      <c r="G4" s="13">
        <v>5303.64</v>
      </c>
      <c r="H4" s="13">
        <v>5310.74</v>
      </c>
      <c r="I4" s="13">
        <v>5309.42</v>
      </c>
      <c r="J4" s="13">
        <v>5313.18</v>
      </c>
      <c r="K4" s="13">
        <v>5306</v>
      </c>
      <c r="L4" s="13">
        <v>5295</v>
      </c>
      <c r="M4" s="13">
        <v>5299.32</v>
      </c>
      <c r="N4" s="13">
        <v>5299.52</v>
      </c>
      <c r="O4" s="13">
        <v>5291.76</v>
      </c>
      <c r="P4" s="13">
        <v>5298.49</v>
      </c>
      <c r="Q4" s="13">
        <v>5296.24</v>
      </c>
      <c r="R4" s="13">
        <v>5302.78</v>
      </c>
      <c r="S4" s="13">
        <v>5302</v>
      </c>
      <c r="T4" s="13">
        <v>5297.68</v>
      </c>
      <c r="U4" s="13">
        <v>5297.63</v>
      </c>
      <c r="V4" s="13">
        <v>5304.16</v>
      </c>
      <c r="W4" s="13">
        <v>5304.7</v>
      </c>
      <c r="X4" s="13">
        <v>5298.08</v>
      </c>
      <c r="Y4" s="13">
        <v>5296.44</v>
      </c>
      <c r="Z4" s="13">
        <v>5296.64</v>
      </c>
      <c r="AA4" s="13">
        <v>5280.89</v>
      </c>
      <c r="AB4" s="13">
        <v>5282.48</v>
      </c>
      <c r="AC4" s="13">
        <v>5268.44</v>
      </c>
      <c r="AD4" s="13">
        <v>5274.44</v>
      </c>
      <c r="AE4" s="13">
        <v>5272.9</v>
      </c>
      <c r="AF4" s="13">
        <v>5278.96</v>
      </c>
      <c r="AG4" s="13">
        <v>5279.76</v>
      </c>
      <c r="AH4" s="13">
        <v>5275.9</v>
      </c>
      <c r="AI4" s="13">
        <v>5271.11</v>
      </c>
      <c r="AJ4" s="13">
        <v>5269.57</v>
      </c>
      <c r="AK4" s="13">
        <v>5261.4</v>
      </c>
      <c r="AL4" s="13">
        <v>5264.57</v>
      </c>
      <c r="AM4" s="13">
        <v>5265.23</v>
      </c>
      <c r="AN4" s="13">
        <v>5265.36</v>
      </c>
      <c r="AO4" s="13">
        <v>5257.32</v>
      </c>
      <c r="AP4" s="13">
        <v>5259.07</v>
      </c>
      <c r="AQ4" s="13">
        <v>5251.44</v>
      </c>
      <c r="AR4" s="13">
        <v>5259.89</v>
      </c>
      <c r="AS4" s="13">
        <v>5252.52</v>
      </c>
      <c r="AT4" s="13">
        <v>5254.52</v>
      </c>
      <c r="AU4" s="13">
        <v>5257.15</v>
      </c>
      <c r="AV4" s="13">
        <v>5253.91</v>
      </c>
      <c r="AW4" s="13">
        <v>5256.06</v>
      </c>
      <c r="AX4" s="13">
        <v>5258.32</v>
      </c>
      <c r="AY4" s="13">
        <v>5251.09</v>
      </c>
      <c r="AZ4" s="13">
        <v>5258.82</v>
      </c>
      <c r="BA4" s="13">
        <v>5257.82</v>
      </c>
      <c r="BB4" s="13">
        <v>5252.27</v>
      </c>
      <c r="BC4" s="13">
        <v>5251.68</v>
      </c>
      <c r="BD4" s="13">
        <v>5254.21</v>
      </c>
      <c r="BE4" s="13">
        <v>5258</v>
      </c>
      <c r="BF4" s="13">
        <v>5254.75</v>
      </c>
      <c r="BG4" s="13">
        <v>5258.33</v>
      </c>
      <c r="BH4" s="13">
        <v>5257.33</v>
      </c>
      <c r="BI4" s="13">
        <v>5261.42</v>
      </c>
      <c r="BJ4" s="13">
        <v>5258.95</v>
      </c>
      <c r="BK4" s="13">
        <v>5262</v>
      </c>
      <c r="BL4" s="13">
        <v>5247.38</v>
      </c>
      <c r="BM4" s="13">
        <v>5248.17</v>
      </c>
      <c r="BN4" s="13">
        <v>5250.96</v>
      </c>
      <c r="BO4" s="13">
        <v>5251.17</v>
      </c>
      <c r="BP4" s="13">
        <v>5253.37</v>
      </c>
      <c r="BQ4" s="13">
        <v>5254.45</v>
      </c>
      <c r="BR4" s="13">
        <v>5253.88</v>
      </c>
      <c r="BS4" s="13">
        <v>5253.88</v>
      </c>
      <c r="BT4" s="13">
        <v>5250.17</v>
      </c>
      <c r="BU4" s="13">
        <v>5247.66</v>
      </c>
      <c r="BV4" s="13">
        <v>5252.45</v>
      </c>
      <c r="BW4" s="13">
        <v>5252.59</v>
      </c>
      <c r="BX4" s="13">
        <v>5254.41</v>
      </c>
      <c r="BY4" s="13">
        <v>5254.9</v>
      </c>
      <c r="BZ4" s="13">
        <v>5255.34</v>
      </c>
      <c r="CA4" s="13">
        <v>5256.21</v>
      </c>
      <c r="CB4" s="13">
        <v>5252.24</v>
      </c>
      <c r="CC4" s="13">
        <v>5255.21</v>
      </c>
      <c r="CD4" s="13">
        <v>5254.58</v>
      </c>
      <c r="CE4" s="13">
        <v>5249.96</v>
      </c>
      <c r="CF4" s="13">
        <v>5236.33</v>
      </c>
      <c r="CG4" s="13">
        <v>5231.1400000000003</v>
      </c>
      <c r="CH4" s="13">
        <v>5229.12</v>
      </c>
      <c r="CI4" s="13">
        <v>5222.93</v>
      </c>
      <c r="CJ4" s="13">
        <v>5223.4799999999996</v>
      </c>
      <c r="CK4" s="13">
        <v>5229.76</v>
      </c>
      <c r="CL4" s="13">
        <v>5231.93</v>
      </c>
      <c r="CM4" s="13">
        <v>5232.45</v>
      </c>
      <c r="CN4" s="13">
        <v>5235.82</v>
      </c>
      <c r="CO4" s="13">
        <v>5232.5600000000004</v>
      </c>
      <c r="CP4" s="13">
        <v>5231.74</v>
      </c>
      <c r="CQ4" s="13">
        <v>5230.55</v>
      </c>
      <c r="CR4" s="13">
        <v>5229.7700000000004</v>
      </c>
      <c r="CS4" s="13">
        <v>5230.8500000000004</v>
      </c>
      <c r="CT4" s="13">
        <v>5228.5</v>
      </c>
      <c r="CU4" s="13">
        <v>5227.08</v>
      </c>
      <c r="CV4" s="13">
        <v>5227.8599999999997</v>
      </c>
      <c r="CW4" s="13">
        <v>5230.9399999999996</v>
      </c>
      <c r="CX4" s="13">
        <v>5228.55</v>
      </c>
      <c r="CY4" s="13">
        <v>5228.97</v>
      </c>
      <c r="CZ4" s="13">
        <v>5228.78</v>
      </c>
      <c r="DA4" s="13">
        <v>5227.2299999999996</v>
      </c>
      <c r="DB4" s="13">
        <v>5226.08</v>
      </c>
      <c r="DC4" s="13">
        <v>5226.18</v>
      </c>
      <c r="DD4" s="13">
        <v>5225</v>
      </c>
      <c r="DE4" s="13">
        <v>5219.63</v>
      </c>
      <c r="DF4" s="13">
        <v>5217.6499999999996</v>
      </c>
      <c r="DG4" s="13">
        <v>5219.41</v>
      </c>
      <c r="DH4" s="13">
        <v>5217.07</v>
      </c>
      <c r="DI4" s="13">
        <v>5215.38</v>
      </c>
      <c r="DJ4" s="13">
        <v>5213.07</v>
      </c>
      <c r="DK4" s="13">
        <v>5211.09</v>
      </c>
      <c r="DL4" s="13">
        <v>5205.87</v>
      </c>
      <c r="DM4" s="32"/>
      <c r="DN4" s="33"/>
      <c r="DO4" s="32"/>
      <c r="DP4" s="33"/>
      <c r="DQ4" s="32"/>
      <c r="DR4" s="33"/>
      <c r="DS4" s="32"/>
      <c r="DT4" s="33"/>
      <c r="DU4" s="32"/>
      <c r="DV4" s="33"/>
    </row>
    <row r="5" spans="1:126" ht="15.75" x14ac:dyDescent="0.25">
      <c r="A5" s="14" t="s">
        <v>12</v>
      </c>
      <c r="B5" s="12" t="s">
        <v>7</v>
      </c>
      <c r="C5" s="13">
        <v>5304</v>
      </c>
      <c r="D5" s="13">
        <v>5293.57</v>
      </c>
      <c r="E5" s="13">
        <v>5292.5</v>
      </c>
      <c r="F5" s="13">
        <v>5297.06</v>
      </c>
      <c r="G5" s="13">
        <v>5299.58</v>
      </c>
      <c r="H5" s="13">
        <v>5296.67</v>
      </c>
      <c r="I5" s="13">
        <v>5300.59</v>
      </c>
      <c r="J5" s="13">
        <v>5302.83</v>
      </c>
      <c r="K5" s="13">
        <v>5289.25</v>
      </c>
      <c r="L5" s="13">
        <v>5289.12</v>
      </c>
      <c r="M5" s="13">
        <v>5292.94</v>
      </c>
      <c r="N5" s="13">
        <v>5296.75</v>
      </c>
      <c r="O5" s="13">
        <v>5291.6</v>
      </c>
      <c r="P5" s="13">
        <v>5289.28</v>
      </c>
      <c r="Q5" s="13">
        <v>5296.24</v>
      </c>
      <c r="R5" s="13">
        <v>5296.75</v>
      </c>
      <c r="S5" s="13">
        <v>5299.4</v>
      </c>
      <c r="T5" s="13">
        <v>5297.68</v>
      </c>
      <c r="U5" s="13">
        <v>5294.8</v>
      </c>
      <c r="V5" s="13">
        <v>5297.08</v>
      </c>
      <c r="W5" s="13">
        <v>5299.6</v>
      </c>
      <c r="X5" s="13">
        <v>5295.88</v>
      </c>
      <c r="Y5" s="13">
        <v>5291.07</v>
      </c>
      <c r="Z5" s="13">
        <v>5289.9</v>
      </c>
      <c r="AA5" s="13">
        <v>5277.28</v>
      </c>
      <c r="AB5" s="13">
        <v>5278.91</v>
      </c>
      <c r="AC5" s="13">
        <v>5268.44</v>
      </c>
      <c r="AD5" s="13">
        <v>5268.44</v>
      </c>
      <c r="AE5" s="13">
        <v>5265.56</v>
      </c>
      <c r="AF5" s="13">
        <v>5272.29</v>
      </c>
      <c r="AG5" s="13">
        <v>5277.08</v>
      </c>
      <c r="AH5" s="13">
        <v>5272.45</v>
      </c>
      <c r="AI5" s="13">
        <v>5266.56</v>
      </c>
      <c r="AJ5" s="13">
        <v>5269.22</v>
      </c>
      <c r="AK5" s="13">
        <v>5259.72</v>
      </c>
      <c r="AL5" s="13">
        <v>5262.57</v>
      </c>
      <c r="AM5" s="13">
        <v>5264.72</v>
      </c>
      <c r="AN5" s="13">
        <v>5261.44</v>
      </c>
      <c r="AO5" s="13">
        <v>5254.32</v>
      </c>
      <c r="AP5" s="13">
        <v>5257.86</v>
      </c>
      <c r="AQ5" s="13">
        <v>5250.22</v>
      </c>
      <c r="AR5" s="13">
        <v>5252.26</v>
      </c>
      <c r="AS5" s="13">
        <v>5250.52</v>
      </c>
      <c r="AT5" s="13">
        <v>5250.44</v>
      </c>
      <c r="AU5" s="13">
        <v>5252.38</v>
      </c>
      <c r="AV5" s="13">
        <v>5252.26</v>
      </c>
      <c r="AW5" s="13">
        <v>5253.91</v>
      </c>
      <c r="AX5" s="13">
        <v>5256.06</v>
      </c>
      <c r="AY5" s="13">
        <v>5251.09</v>
      </c>
      <c r="AZ5" s="13">
        <v>5250.22</v>
      </c>
      <c r="BA5" s="13">
        <v>5256.06</v>
      </c>
      <c r="BB5" s="13">
        <v>5250.5</v>
      </c>
      <c r="BC5" s="13">
        <v>5242.95</v>
      </c>
      <c r="BD5" s="13">
        <v>5251.21</v>
      </c>
      <c r="BE5" s="13">
        <v>5255.16</v>
      </c>
      <c r="BF5" s="13">
        <v>5251.33</v>
      </c>
      <c r="BG5" s="13">
        <v>5253.33</v>
      </c>
      <c r="BH5" s="13">
        <v>5254.65</v>
      </c>
      <c r="BI5" s="13">
        <v>5254.68</v>
      </c>
      <c r="BJ5" s="13">
        <v>5256.92</v>
      </c>
      <c r="BK5" s="13">
        <v>5258.57</v>
      </c>
      <c r="BL5" s="13">
        <v>5247.38</v>
      </c>
      <c r="BM5" s="13">
        <v>5244.5</v>
      </c>
      <c r="BN5" s="13">
        <v>5247.47</v>
      </c>
      <c r="BO5" s="13">
        <v>5250.42</v>
      </c>
      <c r="BP5" s="13">
        <v>5248.79</v>
      </c>
      <c r="BQ5" s="13">
        <v>5251.33</v>
      </c>
      <c r="BR5" s="13">
        <v>5249.67</v>
      </c>
      <c r="BS5" s="13">
        <v>5253.17</v>
      </c>
      <c r="BT5" s="13">
        <v>5249.13</v>
      </c>
      <c r="BU5" s="13">
        <v>5247.38</v>
      </c>
      <c r="BV5" s="13">
        <v>5246.53</v>
      </c>
      <c r="BW5" s="13">
        <v>5251.33</v>
      </c>
      <c r="BX5" s="13">
        <v>5252.29</v>
      </c>
      <c r="BY5" s="13">
        <v>5252.69</v>
      </c>
      <c r="BZ5" s="13">
        <v>5253.14</v>
      </c>
      <c r="CA5" s="13">
        <v>5252.92</v>
      </c>
      <c r="CB5" s="13">
        <v>5250.76</v>
      </c>
      <c r="CC5" s="13">
        <v>5251.79</v>
      </c>
      <c r="CD5" s="13">
        <v>5252.64</v>
      </c>
      <c r="CE5" s="13">
        <v>5249.96</v>
      </c>
      <c r="CF5" s="13">
        <v>5232.76</v>
      </c>
      <c r="CG5" s="13">
        <v>5230.09</v>
      </c>
      <c r="CH5" s="13">
        <v>5228.78</v>
      </c>
      <c r="CI5" s="13">
        <v>5220.41</v>
      </c>
      <c r="CJ5" s="13">
        <v>5221.92</v>
      </c>
      <c r="CK5" s="13">
        <v>5222.9399999999996</v>
      </c>
      <c r="CL5" s="13">
        <v>5224.53</v>
      </c>
      <c r="CM5" s="13">
        <v>5231.3100000000004</v>
      </c>
      <c r="CN5" s="13">
        <v>5229.41</v>
      </c>
      <c r="CO5" s="13">
        <v>5230.8500000000004</v>
      </c>
      <c r="CP5" s="13">
        <v>5230.51</v>
      </c>
      <c r="CQ5" s="13">
        <v>5229.59</v>
      </c>
      <c r="CR5" s="13">
        <v>5229.22</v>
      </c>
      <c r="CS5" s="13">
        <v>5229.8599999999997</v>
      </c>
      <c r="CT5" s="13">
        <v>5226.95</v>
      </c>
      <c r="CU5" s="13">
        <v>5227.08</v>
      </c>
      <c r="CV5" s="13">
        <v>5226.82</v>
      </c>
      <c r="CW5" s="13">
        <v>5225</v>
      </c>
      <c r="CX5" s="13">
        <v>5227.8900000000003</v>
      </c>
      <c r="CY5" s="13">
        <v>5227.9799999999996</v>
      </c>
      <c r="CZ5" s="13">
        <v>5227.8599999999997</v>
      </c>
      <c r="DA5" s="13">
        <v>5225.82</v>
      </c>
      <c r="DB5" s="13">
        <v>5225.59</v>
      </c>
      <c r="DC5" s="13">
        <v>5225.7</v>
      </c>
      <c r="DD5" s="13">
        <v>5225</v>
      </c>
      <c r="DE5" s="13">
        <v>5219.63</v>
      </c>
      <c r="DF5" s="13">
        <v>5217.34</v>
      </c>
      <c r="DG5" s="13">
        <v>5217.37</v>
      </c>
      <c r="DH5" s="13">
        <v>5216.59</v>
      </c>
      <c r="DI5" s="13">
        <v>5214.76</v>
      </c>
      <c r="DJ5" s="13">
        <v>5212.8500000000004</v>
      </c>
      <c r="DK5" s="13">
        <v>5211.09</v>
      </c>
      <c r="DL5" s="13">
        <v>5205.87</v>
      </c>
      <c r="DM5" s="32"/>
      <c r="DN5" s="33"/>
      <c r="DO5" s="32"/>
      <c r="DP5" s="33"/>
      <c r="DQ5" s="32"/>
      <c r="DR5" s="33"/>
      <c r="DS5" s="32"/>
      <c r="DT5" s="33"/>
      <c r="DU5" s="32"/>
      <c r="DV5" s="33"/>
    </row>
    <row r="6" spans="1:126" ht="15.75" x14ac:dyDescent="0.25">
      <c r="A6" s="14"/>
      <c r="B6" s="12"/>
      <c r="C6" s="13">
        <f>(C2+C3+C4+C5)/4</f>
        <v>5317</v>
      </c>
      <c r="D6" s="13">
        <f>(D2+D3+D4+D5)/4</f>
        <v>5315.1849999999995</v>
      </c>
      <c r="E6" s="13">
        <f t="shared" ref="E6:BP6" si="0">(E2+E3+E4+E5)/4</f>
        <v>5309.4250000000002</v>
      </c>
      <c r="F6" s="13">
        <f t="shared" si="0"/>
        <v>5316.3875000000007</v>
      </c>
      <c r="G6" s="13">
        <f t="shared" si="0"/>
        <v>5314.6049999999996</v>
      </c>
      <c r="H6" s="13">
        <f t="shared" si="0"/>
        <v>5316.8525</v>
      </c>
      <c r="I6" s="13">
        <f t="shared" si="0"/>
        <v>5316.6525000000001</v>
      </c>
      <c r="J6" s="13">
        <f t="shared" si="0"/>
        <v>5321.6275000000005</v>
      </c>
      <c r="K6" s="13">
        <f t="shared" si="0"/>
        <v>5313.2624999999998</v>
      </c>
      <c r="L6" s="13">
        <f t="shared" si="0"/>
        <v>5305.28</v>
      </c>
      <c r="M6" s="13">
        <f t="shared" si="0"/>
        <v>5307.5024999999996</v>
      </c>
      <c r="N6" s="13">
        <f t="shared" si="0"/>
        <v>5307.3175000000001</v>
      </c>
      <c r="O6" s="13">
        <f t="shared" si="0"/>
        <v>5301.7650000000003</v>
      </c>
      <c r="P6" s="13">
        <f t="shared" si="0"/>
        <v>5302.9425000000001</v>
      </c>
      <c r="Q6" s="13">
        <f t="shared" si="0"/>
        <v>5304.12</v>
      </c>
      <c r="R6" s="13">
        <f t="shared" si="0"/>
        <v>5309.4925000000003</v>
      </c>
      <c r="S6" s="13">
        <f t="shared" si="0"/>
        <v>5310.8174999999992</v>
      </c>
      <c r="T6" s="13">
        <f t="shared" si="0"/>
        <v>5306.4475000000002</v>
      </c>
      <c r="U6" s="13">
        <f t="shared" si="0"/>
        <v>5305.1625000000004</v>
      </c>
      <c r="V6" s="13">
        <f t="shared" si="0"/>
        <v>5310.4974999999995</v>
      </c>
      <c r="W6" s="13">
        <f t="shared" si="0"/>
        <v>5312.3975000000009</v>
      </c>
      <c r="X6" s="13">
        <f t="shared" si="0"/>
        <v>5306.5874999999996</v>
      </c>
      <c r="Y6" s="13">
        <f t="shared" si="0"/>
        <v>5302.7249999999995</v>
      </c>
      <c r="Z6" s="13">
        <f t="shared" si="0"/>
        <v>5302.4549999999999</v>
      </c>
      <c r="AA6" s="13">
        <f t="shared" si="0"/>
        <v>5290.1124999999993</v>
      </c>
      <c r="AB6" s="13">
        <f t="shared" si="0"/>
        <v>5288.125</v>
      </c>
      <c r="AC6" s="13">
        <f t="shared" si="0"/>
        <v>5276.4974999999995</v>
      </c>
      <c r="AD6" s="13">
        <f t="shared" si="0"/>
        <v>5278.5124999999998</v>
      </c>
      <c r="AE6" s="13">
        <f t="shared" si="0"/>
        <v>5275.5174999999999</v>
      </c>
      <c r="AF6" s="13">
        <f t="shared" si="0"/>
        <v>5282.7375000000002</v>
      </c>
      <c r="AG6" s="13">
        <f t="shared" si="0"/>
        <v>5285.9449999999997</v>
      </c>
      <c r="AH6" s="13">
        <f t="shared" si="0"/>
        <v>5282.9724999999999</v>
      </c>
      <c r="AI6" s="13">
        <f t="shared" si="0"/>
        <v>5276.9400000000005</v>
      </c>
      <c r="AJ6" s="13">
        <f t="shared" si="0"/>
        <v>5275.1675000000005</v>
      </c>
      <c r="AK6" s="13">
        <f t="shared" si="0"/>
        <v>5267.835</v>
      </c>
      <c r="AL6" s="13">
        <f t="shared" si="0"/>
        <v>5269.2775000000001</v>
      </c>
      <c r="AM6" s="13">
        <f t="shared" si="0"/>
        <v>5270.8175000000001</v>
      </c>
      <c r="AN6" s="13">
        <f t="shared" si="0"/>
        <v>5269.5274999999992</v>
      </c>
      <c r="AO6" s="13">
        <f t="shared" si="0"/>
        <v>5263.4724999999999</v>
      </c>
      <c r="AP6" s="13">
        <f t="shared" si="0"/>
        <v>5264.0950000000003</v>
      </c>
      <c r="AQ6" s="13">
        <f t="shared" si="0"/>
        <v>5259.9375</v>
      </c>
      <c r="AR6" s="13">
        <f t="shared" si="0"/>
        <v>5262.3024999999998</v>
      </c>
      <c r="AS6" s="13">
        <f t="shared" si="0"/>
        <v>5258.3024999999998</v>
      </c>
      <c r="AT6" s="13">
        <f t="shared" si="0"/>
        <v>5257.1949999999997</v>
      </c>
      <c r="AU6" s="13">
        <f t="shared" si="0"/>
        <v>5261.0599999999995</v>
      </c>
      <c r="AV6" s="13">
        <f t="shared" si="0"/>
        <v>5258.3374999999996</v>
      </c>
      <c r="AW6" s="13">
        <f t="shared" si="0"/>
        <v>5260.47</v>
      </c>
      <c r="AX6" s="13">
        <f t="shared" si="0"/>
        <v>5262.165</v>
      </c>
      <c r="AY6" s="13">
        <f t="shared" si="0"/>
        <v>5256.8374999999996</v>
      </c>
      <c r="AZ6" s="13">
        <f t="shared" si="0"/>
        <v>5261.875</v>
      </c>
      <c r="BA6" s="13">
        <f t="shared" si="0"/>
        <v>5264.4225000000006</v>
      </c>
      <c r="BB6" s="13">
        <f t="shared" si="0"/>
        <v>5258.6025</v>
      </c>
      <c r="BC6" s="13">
        <f t="shared" si="0"/>
        <v>5254.2425000000003</v>
      </c>
      <c r="BD6" s="13">
        <f t="shared" si="0"/>
        <v>5258.4699999999993</v>
      </c>
      <c r="BE6" s="13">
        <f t="shared" si="0"/>
        <v>5262.1774999999998</v>
      </c>
      <c r="BF6" s="13">
        <f t="shared" si="0"/>
        <v>5259.3850000000002</v>
      </c>
      <c r="BG6" s="13">
        <f t="shared" si="0"/>
        <v>5261.9750000000004</v>
      </c>
      <c r="BH6" s="13">
        <f t="shared" si="0"/>
        <v>5261.5749999999998</v>
      </c>
      <c r="BI6" s="13">
        <f t="shared" si="0"/>
        <v>5263.8649999999998</v>
      </c>
      <c r="BJ6" s="13">
        <f t="shared" si="0"/>
        <v>5262.6825000000008</v>
      </c>
      <c r="BK6" s="13">
        <f t="shared" si="0"/>
        <v>5265.9875000000002</v>
      </c>
      <c r="BL6" s="13">
        <f t="shared" si="0"/>
        <v>5255.6725000000006</v>
      </c>
      <c r="BM6" s="13">
        <f t="shared" si="0"/>
        <v>5251.8225000000002</v>
      </c>
      <c r="BN6" s="13">
        <f t="shared" si="0"/>
        <v>5254.7275</v>
      </c>
      <c r="BO6" s="13">
        <f t="shared" si="0"/>
        <v>5256.2224999999999</v>
      </c>
      <c r="BP6" s="13">
        <f t="shared" si="0"/>
        <v>5257.99</v>
      </c>
      <c r="BQ6" s="13">
        <f t="shared" ref="BQ6:DL6" si="1">(BQ2+BQ3+BQ4+BQ5)/4</f>
        <v>5258.8950000000004</v>
      </c>
      <c r="BR6" s="13">
        <f t="shared" si="1"/>
        <v>5258.2325000000001</v>
      </c>
      <c r="BS6" s="13">
        <f t="shared" si="1"/>
        <v>5259.5599999999995</v>
      </c>
      <c r="BT6" s="13">
        <f t="shared" si="1"/>
        <v>5256.4674999999997</v>
      </c>
      <c r="BU6" s="13">
        <f t="shared" si="1"/>
        <v>5253.3850000000002</v>
      </c>
      <c r="BV6" s="13">
        <f t="shared" si="1"/>
        <v>5255.79</v>
      </c>
      <c r="BW6" s="13">
        <f t="shared" si="1"/>
        <v>5257.5749999999998</v>
      </c>
      <c r="BX6" s="13">
        <f t="shared" si="1"/>
        <v>5260.54</v>
      </c>
      <c r="BY6" s="13">
        <f t="shared" si="1"/>
        <v>5261.1475</v>
      </c>
      <c r="BZ6" s="13">
        <f t="shared" si="1"/>
        <v>5261.14</v>
      </c>
      <c r="CA6" s="13">
        <f t="shared" si="1"/>
        <v>5261.3624999999993</v>
      </c>
      <c r="CB6" s="13">
        <f t="shared" si="1"/>
        <v>5258.3924999999999</v>
      </c>
      <c r="CC6" s="13">
        <f t="shared" si="1"/>
        <v>5261.0450000000001</v>
      </c>
      <c r="CD6" s="13">
        <f t="shared" si="1"/>
        <v>5270.92</v>
      </c>
      <c r="CE6" s="13">
        <f t="shared" si="1"/>
        <v>5268.4449999999997</v>
      </c>
      <c r="CF6" s="13">
        <f t="shared" si="1"/>
        <v>5257.0249999999996</v>
      </c>
      <c r="CG6" s="13">
        <f t="shared" si="1"/>
        <v>5255.93</v>
      </c>
      <c r="CH6" s="13">
        <f t="shared" si="1"/>
        <v>5254.4224999999997</v>
      </c>
      <c r="CI6" s="13">
        <f t="shared" si="1"/>
        <v>5247.9849999999997</v>
      </c>
      <c r="CJ6" s="13">
        <f t="shared" si="1"/>
        <v>5249.9974999999995</v>
      </c>
      <c r="CK6" s="13">
        <f t="shared" si="1"/>
        <v>5251.84</v>
      </c>
      <c r="CL6" s="13">
        <f t="shared" si="1"/>
        <v>5252.77</v>
      </c>
      <c r="CM6" s="13">
        <f t="shared" si="1"/>
        <v>5254.6650000000009</v>
      </c>
      <c r="CN6" s="13">
        <f t="shared" si="1"/>
        <v>5257.1750000000002</v>
      </c>
      <c r="CO6" s="13">
        <f t="shared" si="1"/>
        <v>5253.8924999999999</v>
      </c>
      <c r="CP6" s="13">
        <f t="shared" si="1"/>
        <v>5256.15</v>
      </c>
      <c r="CQ6" s="13">
        <f t="shared" si="1"/>
        <v>5252.4350000000004</v>
      </c>
      <c r="CR6" s="13">
        <f t="shared" si="1"/>
        <v>5250.8225000000002</v>
      </c>
      <c r="CS6" s="13">
        <f t="shared" si="1"/>
        <v>5254.3499999999995</v>
      </c>
      <c r="CT6" s="13">
        <f t="shared" si="1"/>
        <v>5251.0474999999997</v>
      </c>
      <c r="CU6" s="13">
        <f t="shared" si="1"/>
        <v>5251.49</v>
      </c>
      <c r="CV6" s="13">
        <f t="shared" si="1"/>
        <v>5252.1575000000003</v>
      </c>
      <c r="CW6" s="13">
        <f t="shared" si="1"/>
        <v>5253.8525</v>
      </c>
      <c r="CX6" s="13">
        <f t="shared" si="1"/>
        <v>5251.6949999999997</v>
      </c>
      <c r="CY6" s="13">
        <f t="shared" si="1"/>
        <v>5252.2224999999999</v>
      </c>
      <c r="CZ6" s="13">
        <f t="shared" si="1"/>
        <v>5252.2574999999997</v>
      </c>
      <c r="DA6" s="13">
        <f t="shared" si="1"/>
        <v>5249.5774999999994</v>
      </c>
      <c r="DB6" s="13">
        <f t="shared" si="1"/>
        <v>5251.9650000000001</v>
      </c>
      <c r="DC6" s="13">
        <f t="shared" si="1"/>
        <v>5251.9274999999998</v>
      </c>
      <c r="DD6" s="13">
        <f t="shared" si="1"/>
        <v>5249.7075000000004</v>
      </c>
      <c r="DE6" s="13">
        <f t="shared" si="1"/>
        <v>5245.9125000000004</v>
      </c>
      <c r="DF6" s="13">
        <f t="shared" si="1"/>
        <v>5244.1625000000004</v>
      </c>
      <c r="DG6" s="13">
        <f t="shared" si="1"/>
        <v>5245.4425000000001</v>
      </c>
      <c r="DH6" s="13">
        <f t="shared" si="1"/>
        <v>5245.4324999999999</v>
      </c>
      <c r="DI6" s="13">
        <f t="shared" si="1"/>
        <v>5243.7224999999999</v>
      </c>
      <c r="DJ6" s="13">
        <f t="shared" si="1"/>
        <v>5245.5275000000001</v>
      </c>
      <c r="DK6" s="13">
        <f t="shared" si="1"/>
        <v>5246.3050000000003</v>
      </c>
      <c r="DL6" s="13">
        <f t="shared" si="1"/>
        <v>5242.8399999999992</v>
      </c>
      <c r="DM6" s="26"/>
      <c r="DN6" s="25"/>
      <c r="DO6" s="27"/>
      <c r="DP6" s="25"/>
      <c r="DQ6" s="27"/>
      <c r="DR6" s="25"/>
      <c r="DS6" s="27"/>
      <c r="DT6" s="25"/>
    </row>
    <row r="7" spans="1:126" ht="15.75" x14ac:dyDescent="0.25">
      <c r="A7" s="11" t="s">
        <v>5</v>
      </c>
      <c r="B7" s="11" t="s">
        <v>11</v>
      </c>
      <c r="C7" s="15">
        <v>0.375</v>
      </c>
      <c r="D7" s="15">
        <v>0.37847222222222227</v>
      </c>
      <c r="E7" s="15">
        <v>0.38194444444444442</v>
      </c>
      <c r="F7" s="15">
        <v>0.38541666666666669</v>
      </c>
      <c r="G7" s="15">
        <v>0.3888888888888889</v>
      </c>
      <c r="H7" s="15">
        <v>0.3923611111111111</v>
      </c>
      <c r="I7" s="15">
        <v>0.39583333333333331</v>
      </c>
      <c r="J7" s="15">
        <v>0.39930555555555558</v>
      </c>
      <c r="K7" s="15">
        <v>0.40277777777777773</v>
      </c>
      <c r="L7" s="15">
        <v>0.40625</v>
      </c>
      <c r="M7" s="15">
        <v>0.40972222222222227</v>
      </c>
      <c r="N7" s="15">
        <v>0.41319444444444442</v>
      </c>
      <c r="O7" s="15">
        <v>0.41666666666666669</v>
      </c>
      <c r="P7" s="15">
        <v>0.4201388888888889</v>
      </c>
      <c r="Q7" s="15">
        <v>0.4236111111111111</v>
      </c>
      <c r="R7" s="15">
        <v>0.42708333333333331</v>
      </c>
      <c r="S7" s="15">
        <v>0.43055555555555558</v>
      </c>
      <c r="T7" s="15">
        <v>0.43402777777777773</v>
      </c>
      <c r="U7" s="15">
        <v>0.4375</v>
      </c>
      <c r="V7" s="15">
        <v>0.44097222222222227</v>
      </c>
      <c r="W7" s="15">
        <v>0.44444444444444442</v>
      </c>
      <c r="X7" s="15">
        <v>0.44791666666666669</v>
      </c>
      <c r="Y7" s="15">
        <v>0.4513888888888889</v>
      </c>
      <c r="Z7" s="15">
        <v>0.4548611111111111</v>
      </c>
      <c r="AA7" s="15">
        <v>0.45833333333333331</v>
      </c>
      <c r="AB7" s="15">
        <v>0.46180555555555558</v>
      </c>
      <c r="AC7" s="15">
        <v>0.46527777777777773</v>
      </c>
      <c r="AD7" s="15">
        <v>0.46875</v>
      </c>
      <c r="AE7" s="15">
        <v>0.47222222222222227</v>
      </c>
      <c r="AF7" s="15">
        <v>0.47569444444444442</v>
      </c>
      <c r="AG7" s="15">
        <v>0.47916666666666669</v>
      </c>
      <c r="AH7" s="15">
        <v>0.4826388888888889</v>
      </c>
      <c r="AI7" s="15">
        <v>0.4861111111111111</v>
      </c>
      <c r="AJ7" s="15">
        <v>0.48958333333333331</v>
      </c>
      <c r="AK7" s="15">
        <v>0.49305555555555558</v>
      </c>
      <c r="AL7" s="15">
        <v>0.49652777777777773</v>
      </c>
      <c r="AM7" s="15">
        <v>0.5</v>
      </c>
      <c r="AN7" s="15">
        <v>0.50347222222222221</v>
      </c>
      <c r="AO7" s="15">
        <v>0.50694444444444442</v>
      </c>
      <c r="AP7" s="15">
        <v>0.51041666666666663</v>
      </c>
      <c r="AQ7" s="15">
        <v>0.51388888888888895</v>
      </c>
      <c r="AR7" s="15">
        <v>0.51736111111111105</v>
      </c>
      <c r="AS7" s="15">
        <v>0.52083333333333337</v>
      </c>
      <c r="AT7" s="15">
        <v>0.52430555555555558</v>
      </c>
      <c r="AU7" s="15">
        <v>0.52777777777777779</v>
      </c>
      <c r="AV7" s="15">
        <v>0.53125</v>
      </c>
      <c r="AW7" s="15">
        <v>0.53472222222222221</v>
      </c>
      <c r="AX7" s="15">
        <v>0.53819444444444442</v>
      </c>
      <c r="AY7" s="15">
        <v>0.54166666666666663</v>
      </c>
      <c r="AZ7" s="15">
        <v>0.54513888888888895</v>
      </c>
      <c r="BA7" s="15">
        <v>0.54861111111111105</v>
      </c>
      <c r="BB7" s="15">
        <v>0.55208333333333337</v>
      </c>
      <c r="BC7" s="15">
        <v>0.55555555555555558</v>
      </c>
      <c r="BD7" s="15">
        <v>0.55902777777777779</v>
      </c>
      <c r="BE7" s="15">
        <v>0.5625</v>
      </c>
      <c r="BF7" s="15">
        <v>0.56597222222222221</v>
      </c>
      <c r="BG7" s="15">
        <v>0.56944444444444442</v>
      </c>
      <c r="BH7" s="15">
        <v>0.57291666666666663</v>
      </c>
      <c r="BI7" s="15">
        <v>0.57638888888888895</v>
      </c>
      <c r="BJ7" s="15">
        <v>0.57986111111111105</v>
      </c>
      <c r="BK7" s="15">
        <v>0.58333333333333337</v>
      </c>
      <c r="BL7" s="15">
        <v>0.58680555555555558</v>
      </c>
      <c r="BM7" s="15">
        <v>0.59027777777777779</v>
      </c>
      <c r="BN7" s="15">
        <v>0.59375</v>
      </c>
      <c r="BO7" s="15">
        <v>0.59722222222222221</v>
      </c>
      <c r="BP7" s="15">
        <v>0.60069444444444442</v>
      </c>
      <c r="BQ7" s="15">
        <v>0.60416666666666663</v>
      </c>
      <c r="BR7" s="15">
        <v>0.60763888888888895</v>
      </c>
      <c r="BS7" s="15">
        <v>0.61111111111111105</v>
      </c>
      <c r="BT7" s="15">
        <v>0.61458333333333337</v>
      </c>
      <c r="BU7" s="15">
        <v>0.61805555555555558</v>
      </c>
      <c r="BV7" s="15">
        <v>0.62152777777777779</v>
      </c>
      <c r="BW7" s="15">
        <v>0.625</v>
      </c>
      <c r="BX7" s="15">
        <v>0.62847222222222221</v>
      </c>
      <c r="BY7" s="15">
        <v>0.63194444444444442</v>
      </c>
      <c r="BZ7" s="15">
        <v>0.63541666666666663</v>
      </c>
      <c r="CA7" s="15">
        <v>0.63888888888888895</v>
      </c>
      <c r="CB7" s="15">
        <v>0.64236111111111105</v>
      </c>
      <c r="CC7" s="15">
        <v>0.64583333333333337</v>
      </c>
      <c r="CD7" s="15">
        <v>0.64930555555555558</v>
      </c>
      <c r="CE7" s="15">
        <v>0.65277777777777779</v>
      </c>
      <c r="CF7" s="15">
        <v>0.65625</v>
      </c>
      <c r="CG7" s="15">
        <v>0.65972222222222221</v>
      </c>
      <c r="CH7" s="15">
        <v>0.66319444444444442</v>
      </c>
      <c r="CI7" s="15">
        <v>0.66666666666666663</v>
      </c>
      <c r="CJ7" s="15">
        <v>0.67013888888888884</v>
      </c>
      <c r="CK7" s="15">
        <v>0.67361111111111116</v>
      </c>
      <c r="CL7" s="15">
        <v>0.67708333333333337</v>
      </c>
      <c r="CM7" s="15">
        <v>0.68055555555555547</v>
      </c>
      <c r="CN7" s="15">
        <v>0.68402777777777779</v>
      </c>
      <c r="CO7" s="15">
        <v>0.6875</v>
      </c>
      <c r="CP7" s="15">
        <v>0.69097222222222221</v>
      </c>
      <c r="CQ7" s="15">
        <v>0.69444444444444453</v>
      </c>
      <c r="CR7" s="15">
        <v>0.69791666666666663</v>
      </c>
      <c r="CS7" s="15">
        <v>0.70138888888888884</v>
      </c>
      <c r="CT7" s="15">
        <v>0.70486111111111116</v>
      </c>
      <c r="CU7" s="15">
        <v>0.70833333333333337</v>
      </c>
      <c r="CV7" s="15">
        <v>0.71180555555555547</v>
      </c>
      <c r="CW7" s="15">
        <v>0.71527777777777779</v>
      </c>
      <c r="CX7" s="15">
        <v>0.71875</v>
      </c>
      <c r="CY7" s="15">
        <v>0.72222222222222221</v>
      </c>
      <c r="CZ7" s="15">
        <v>0.72569444444444453</v>
      </c>
      <c r="DA7" s="15">
        <v>0.72916666666666663</v>
      </c>
      <c r="DB7" s="15">
        <v>0.73263888888888884</v>
      </c>
      <c r="DC7" s="15">
        <v>0.73611111111111116</v>
      </c>
      <c r="DD7" s="15">
        <v>0.73958333333333337</v>
      </c>
      <c r="DE7" s="15">
        <v>0.74305555555555547</v>
      </c>
      <c r="DF7" s="15">
        <v>0.74652777777777779</v>
      </c>
      <c r="DG7" s="15">
        <v>0.75</v>
      </c>
      <c r="DH7" s="15">
        <v>0.75347222222222221</v>
      </c>
      <c r="DI7" s="15">
        <v>0.75694444444444453</v>
      </c>
      <c r="DJ7" s="15">
        <v>0.76041666666666663</v>
      </c>
      <c r="DK7" s="15">
        <v>0.76388888888888884</v>
      </c>
      <c r="DL7" s="15">
        <v>0.76736111111111116</v>
      </c>
      <c r="DM7" s="23">
        <v>44347</v>
      </c>
    </row>
    <row r="8" spans="1:126" ht="15.75" x14ac:dyDescent="0.25">
      <c r="A8" s="14">
        <v>44167</v>
      </c>
      <c r="B8" s="12" t="s">
        <v>6</v>
      </c>
      <c r="C8" s="13">
        <v>5285</v>
      </c>
      <c r="D8" s="13">
        <v>5285</v>
      </c>
      <c r="E8" s="13">
        <v>5281</v>
      </c>
      <c r="F8" s="13">
        <v>5261.71</v>
      </c>
      <c r="G8" s="13">
        <v>5264.74</v>
      </c>
      <c r="H8" s="13">
        <v>5280.45</v>
      </c>
      <c r="I8" s="13">
        <v>5272.19</v>
      </c>
      <c r="J8" s="13">
        <v>5262.56</v>
      </c>
      <c r="K8" s="13">
        <v>5262.56</v>
      </c>
      <c r="L8" s="13">
        <v>5264.31</v>
      </c>
      <c r="M8" s="13">
        <v>5264.92</v>
      </c>
      <c r="N8" s="13">
        <v>5264.21</v>
      </c>
      <c r="O8" s="13">
        <v>5254.36</v>
      </c>
      <c r="P8" s="13">
        <v>5253.78</v>
      </c>
      <c r="Q8" s="13">
        <v>5283.13</v>
      </c>
      <c r="R8" s="13">
        <v>5242.94</v>
      </c>
      <c r="S8" s="13">
        <v>5240.8999999999996</v>
      </c>
      <c r="T8" s="13">
        <v>5235.1499999999996</v>
      </c>
      <c r="U8" s="13">
        <v>5238.74</v>
      </c>
      <c r="V8" s="13">
        <v>5242.08</v>
      </c>
      <c r="W8" s="13">
        <v>5244.95</v>
      </c>
      <c r="X8" s="13">
        <v>5244.95</v>
      </c>
      <c r="Y8" s="13">
        <v>5254.28</v>
      </c>
      <c r="Z8" s="13">
        <v>5253.09</v>
      </c>
      <c r="AA8" s="13">
        <v>5247.68</v>
      </c>
      <c r="AB8" s="13">
        <v>5250.72</v>
      </c>
      <c r="AC8" s="13">
        <v>5249.03</v>
      </c>
      <c r="AD8" s="13">
        <v>5248.35</v>
      </c>
      <c r="AE8" s="13">
        <v>5249.58</v>
      </c>
      <c r="AF8" s="13">
        <v>5261.21</v>
      </c>
      <c r="AG8" s="13">
        <v>5266.12</v>
      </c>
      <c r="AH8" s="13">
        <v>5265.59</v>
      </c>
      <c r="AI8" s="13">
        <v>5260.37</v>
      </c>
      <c r="AJ8" s="13">
        <v>5253.76</v>
      </c>
      <c r="AK8" s="13">
        <v>5254.72</v>
      </c>
      <c r="AL8" s="13">
        <v>5256.51</v>
      </c>
      <c r="AM8" s="13">
        <v>5261.23</v>
      </c>
      <c r="AN8" s="13">
        <v>5252.51</v>
      </c>
      <c r="AO8" s="13">
        <v>5249.82</v>
      </c>
      <c r="AP8" s="13">
        <v>5252.62</v>
      </c>
      <c r="AQ8" s="13">
        <v>5250.74</v>
      </c>
      <c r="AR8" s="13">
        <v>5259.62</v>
      </c>
      <c r="AS8" s="13">
        <v>5254.44</v>
      </c>
      <c r="AT8" s="13">
        <v>5258.87</v>
      </c>
      <c r="AU8" s="13">
        <v>5254.74</v>
      </c>
      <c r="AV8" s="13">
        <v>5255</v>
      </c>
      <c r="AW8" s="13">
        <v>5255.33</v>
      </c>
      <c r="AX8" s="13">
        <v>5262.71</v>
      </c>
      <c r="AY8" s="13">
        <v>5250.95</v>
      </c>
      <c r="AZ8" s="13">
        <v>5255.92</v>
      </c>
      <c r="BA8" s="13">
        <v>5258.66</v>
      </c>
      <c r="BB8" s="13">
        <v>5251.14</v>
      </c>
      <c r="BC8" s="13">
        <v>5253.09</v>
      </c>
      <c r="BD8" s="13">
        <v>5256.59</v>
      </c>
      <c r="BE8" s="13">
        <v>5259.77</v>
      </c>
      <c r="BF8" s="13">
        <v>5252.69</v>
      </c>
      <c r="BG8" s="13">
        <v>5249.71</v>
      </c>
      <c r="BH8" s="13">
        <v>5258.94</v>
      </c>
      <c r="BI8" s="13">
        <v>5255.61</v>
      </c>
      <c r="BJ8" s="13">
        <v>5264.05</v>
      </c>
      <c r="BK8" s="13">
        <v>5263.93</v>
      </c>
      <c r="BL8" s="13">
        <v>5263.59</v>
      </c>
      <c r="BM8" s="13">
        <v>5257.15</v>
      </c>
      <c r="BN8" s="13">
        <v>5255.72</v>
      </c>
      <c r="BO8" s="13">
        <v>5260.49</v>
      </c>
      <c r="BP8" s="13">
        <v>5255.12</v>
      </c>
      <c r="BQ8" s="13">
        <v>5257.69</v>
      </c>
      <c r="BR8" s="13">
        <v>5260.05</v>
      </c>
      <c r="BS8" s="13">
        <v>5254.87</v>
      </c>
      <c r="BT8" s="13">
        <v>5254.44</v>
      </c>
      <c r="BU8" s="13">
        <v>5260.05</v>
      </c>
      <c r="BV8" s="13">
        <v>5258.87</v>
      </c>
      <c r="BW8" s="13">
        <v>5258.87</v>
      </c>
      <c r="BX8" s="13">
        <v>5260.05</v>
      </c>
      <c r="BY8" s="13">
        <v>5260.64</v>
      </c>
      <c r="BZ8" s="13">
        <v>5253.1</v>
      </c>
      <c r="CA8" s="13">
        <v>5255.72</v>
      </c>
      <c r="CB8" s="13">
        <v>5260.64</v>
      </c>
      <c r="CC8" s="13">
        <v>5261.23</v>
      </c>
      <c r="CD8" s="13">
        <v>5261.23</v>
      </c>
      <c r="CE8" s="13">
        <v>5268</v>
      </c>
      <c r="CF8" s="13">
        <v>5264.21</v>
      </c>
      <c r="CG8" s="13">
        <v>5264.83</v>
      </c>
      <c r="CH8" s="13">
        <v>5262.9</v>
      </c>
      <c r="CI8" s="13">
        <v>5263.62</v>
      </c>
      <c r="CJ8" s="13">
        <v>5264.59</v>
      </c>
      <c r="CK8" s="13">
        <v>5262.56</v>
      </c>
      <c r="CL8" s="13">
        <v>5262.44</v>
      </c>
      <c r="CM8" s="13">
        <v>5263.77</v>
      </c>
      <c r="CN8" s="13">
        <v>5259.46</v>
      </c>
      <c r="CO8" s="13">
        <v>5261.09</v>
      </c>
      <c r="CP8" s="13">
        <v>5262.14</v>
      </c>
      <c r="CQ8" s="13">
        <v>5264.08</v>
      </c>
      <c r="CR8" s="13">
        <v>5259.33</v>
      </c>
      <c r="CS8" s="13">
        <v>5263.41</v>
      </c>
      <c r="CT8" s="13">
        <v>5256.96</v>
      </c>
      <c r="CU8" s="13">
        <v>5256.83</v>
      </c>
      <c r="CV8" s="13">
        <v>5256.59</v>
      </c>
      <c r="CW8" s="13">
        <v>5252.97</v>
      </c>
      <c r="CX8" s="13">
        <v>5256.83</v>
      </c>
      <c r="CY8" s="13">
        <v>5252.97</v>
      </c>
      <c r="CZ8" s="13">
        <v>5257.44</v>
      </c>
      <c r="DA8" s="13">
        <v>5253.65</v>
      </c>
      <c r="DB8" s="13">
        <v>5253.85</v>
      </c>
      <c r="DC8" s="13">
        <v>5251.62</v>
      </c>
      <c r="DD8" s="13">
        <v>5251.62</v>
      </c>
      <c r="DE8" s="13">
        <v>5247.5</v>
      </c>
      <c r="DF8" s="13">
        <v>5248</v>
      </c>
      <c r="DG8" s="13">
        <v>5256.41</v>
      </c>
      <c r="DH8" s="13">
        <v>5250.03</v>
      </c>
      <c r="DI8" s="13">
        <v>5247.85</v>
      </c>
      <c r="DJ8" s="13">
        <v>5250.69</v>
      </c>
      <c r="DK8" s="13">
        <v>5248.91</v>
      </c>
      <c r="DL8" s="13">
        <v>5248.24</v>
      </c>
      <c r="DM8" s="32"/>
      <c r="DN8" s="33"/>
      <c r="DO8" s="32"/>
      <c r="DP8" s="33"/>
      <c r="DQ8" s="32"/>
      <c r="DR8" s="33"/>
      <c r="DS8" s="32"/>
      <c r="DT8" s="33"/>
      <c r="DU8" s="32"/>
      <c r="DV8" s="33"/>
    </row>
    <row r="9" spans="1:126" ht="15.75" x14ac:dyDescent="0.25">
      <c r="A9" s="14" t="s">
        <v>12</v>
      </c>
      <c r="B9" s="12" t="s">
        <v>10</v>
      </c>
      <c r="C9" s="13">
        <v>5285</v>
      </c>
      <c r="D9" s="13">
        <v>5249.2</v>
      </c>
      <c r="E9" s="13">
        <v>5265</v>
      </c>
      <c r="F9" s="13">
        <v>5261.71</v>
      </c>
      <c r="G9" s="13">
        <v>5261.72</v>
      </c>
      <c r="H9" s="13">
        <v>5272.19</v>
      </c>
      <c r="I9" s="13">
        <v>5258.46</v>
      </c>
      <c r="J9" s="13">
        <v>5257.15</v>
      </c>
      <c r="K9" s="13">
        <v>5261.33</v>
      </c>
      <c r="L9" s="13">
        <v>5262.78</v>
      </c>
      <c r="M9" s="13">
        <v>5264.21</v>
      </c>
      <c r="N9" s="13">
        <v>5254.36</v>
      </c>
      <c r="O9" s="13">
        <v>5253.78</v>
      </c>
      <c r="P9" s="13">
        <v>5251.17</v>
      </c>
      <c r="Q9" s="13">
        <v>5230.78</v>
      </c>
      <c r="R9" s="13">
        <v>5242.94</v>
      </c>
      <c r="S9" s="13">
        <v>5236.2</v>
      </c>
      <c r="T9" s="13">
        <v>5224.29</v>
      </c>
      <c r="U9" s="13">
        <v>5227.38</v>
      </c>
      <c r="V9" s="13">
        <v>5242.08</v>
      </c>
      <c r="W9" s="13">
        <v>5244.95</v>
      </c>
      <c r="X9" s="13">
        <v>5237.67</v>
      </c>
      <c r="Y9" s="13">
        <v>5249.49</v>
      </c>
      <c r="Z9" s="13">
        <v>5244.36</v>
      </c>
      <c r="AA9" s="13">
        <v>5246.18</v>
      </c>
      <c r="AB9" s="13">
        <v>5246.38</v>
      </c>
      <c r="AC9" s="13">
        <v>5245.09</v>
      </c>
      <c r="AD9" s="13">
        <v>5243.76</v>
      </c>
      <c r="AE9" s="13">
        <v>5243.49</v>
      </c>
      <c r="AF9" s="13">
        <v>5251.5</v>
      </c>
      <c r="AG9" s="13">
        <v>5257.87</v>
      </c>
      <c r="AH9" s="13">
        <v>5258.59</v>
      </c>
      <c r="AI9" s="13">
        <v>5253.75</v>
      </c>
      <c r="AJ9" s="13">
        <v>5248.73</v>
      </c>
      <c r="AK9" s="13">
        <v>5249.38</v>
      </c>
      <c r="AL9" s="13">
        <v>5253.56</v>
      </c>
      <c r="AM9" s="13">
        <v>5251.09</v>
      </c>
      <c r="AN9" s="13">
        <v>5247.91</v>
      </c>
      <c r="AO9" s="13">
        <v>5247.91</v>
      </c>
      <c r="AP9" s="13">
        <v>5248.55</v>
      </c>
      <c r="AQ9" s="13">
        <v>5248.41</v>
      </c>
      <c r="AR9" s="13">
        <v>5252.72</v>
      </c>
      <c r="AS9" s="13">
        <v>5248.41</v>
      </c>
      <c r="AT9" s="13">
        <v>5244.43</v>
      </c>
      <c r="AU9" s="13">
        <v>5254.39</v>
      </c>
      <c r="AV9" s="13">
        <v>5244.98</v>
      </c>
      <c r="AW9" s="13">
        <v>5248.89</v>
      </c>
      <c r="AX9" s="13">
        <v>5247.94</v>
      </c>
      <c r="AY9" s="13">
        <v>5244.98</v>
      </c>
      <c r="AZ9" s="13">
        <v>5248.09</v>
      </c>
      <c r="BA9" s="13">
        <v>5253.23</v>
      </c>
      <c r="BB9" s="13">
        <v>5250.34</v>
      </c>
      <c r="BC9" s="13">
        <v>5248.8</v>
      </c>
      <c r="BD9" s="13">
        <v>5252.21</v>
      </c>
      <c r="BE9" s="13">
        <v>5251.74</v>
      </c>
      <c r="BF9" s="13">
        <v>5245.91</v>
      </c>
      <c r="BG9" s="13">
        <v>5247.9</v>
      </c>
      <c r="BH9" s="13">
        <v>5246.25</v>
      </c>
      <c r="BI9" s="13">
        <v>5252.21</v>
      </c>
      <c r="BJ9" s="13">
        <v>5257.02</v>
      </c>
      <c r="BK9" s="13">
        <v>5258.93</v>
      </c>
      <c r="BL9" s="13">
        <v>5256.44</v>
      </c>
      <c r="BM9" s="13">
        <v>5253.86</v>
      </c>
      <c r="BN9" s="13">
        <v>5253.98</v>
      </c>
      <c r="BO9" s="13">
        <v>5254.87</v>
      </c>
      <c r="BP9" s="13">
        <v>5253.56</v>
      </c>
      <c r="BQ9" s="13">
        <v>5252.13</v>
      </c>
      <c r="BR9" s="13">
        <v>5254.87</v>
      </c>
      <c r="BS9" s="13">
        <v>5254.59</v>
      </c>
      <c r="BT9" s="13">
        <v>5253.56</v>
      </c>
      <c r="BU9" s="13">
        <v>5251.41</v>
      </c>
      <c r="BV9" s="13">
        <v>5251.5</v>
      </c>
      <c r="BW9" s="13">
        <v>5252.72</v>
      </c>
      <c r="BX9" s="13">
        <v>5251.73</v>
      </c>
      <c r="BY9" s="13">
        <v>5250.16</v>
      </c>
      <c r="BZ9" s="13">
        <v>5252.36</v>
      </c>
      <c r="CA9" s="13">
        <v>5250.94</v>
      </c>
      <c r="CB9" s="13">
        <v>5254.87</v>
      </c>
      <c r="CC9" s="13">
        <v>5255.59</v>
      </c>
      <c r="CD9" s="13">
        <v>5255.59</v>
      </c>
      <c r="CE9" s="13">
        <v>5262.11</v>
      </c>
      <c r="CF9" s="13">
        <v>5260.24</v>
      </c>
      <c r="CG9" s="13">
        <v>5261.72</v>
      </c>
      <c r="CH9" s="13">
        <v>5258.72</v>
      </c>
      <c r="CI9" s="13">
        <v>5263.62</v>
      </c>
      <c r="CJ9" s="13">
        <v>5260.35</v>
      </c>
      <c r="CK9" s="13">
        <v>5259.07</v>
      </c>
      <c r="CL9" s="13">
        <v>5260.98</v>
      </c>
      <c r="CM9" s="13">
        <v>5259.07</v>
      </c>
      <c r="CN9" s="13">
        <v>5258.74</v>
      </c>
      <c r="CO9" s="13">
        <v>5260.05</v>
      </c>
      <c r="CP9" s="13">
        <v>5254.57</v>
      </c>
      <c r="CQ9" s="13">
        <v>5259.33</v>
      </c>
      <c r="CR9" s="13">
        <v>5259.33</v>
      </c>
      <c r="CS9" s="13">
        <v>5256.59</v>
      </c>
      <c r="CT9" s="13">
        <v>5255.84</v>
      </c>
      <c r="CU9" s="13">
        <v>5254.98</v>
      </c>
      <c r="CV9" s="13">
        <v>5251.16</v>
      </c>
      <c r="CW9" s="13">
        <v>5251.23</v>
      </c>
      <c r="CX9" s="13">
        <v>5252.28</v>
      </c>
      <c r="CY9" s="13">
        <v>5252.28</v>
      </c>
      <c r="CZ9" s="13">
        <v>5252.09</v>
      </c>
      <c r="DA9" s="13">
        <v>5253</v>
      </c>
      <c r="DB9" s="13">
        <v>5247.59</v>
      </c>
      <c r="DC9" s="13">
        <v>5250.13</v>
      </c>
      <c r="DD9" s="13">
        <v>5245.98</v>
      </c>
      <c r="DE9" s="13">
        <v>5244.7</v>
      </c>
      <c r="DF9" s="13">
        <v>5246.54</v>
      </c>
      <c r="DG9" s="13">
        <v>5248.41</v>
      </c>
      <c r="DH9" s="13">
        <v>5246.33</v>
      </c>
      <c r="DI9" s="13">
        <v>5247.85</v>
      </c>
      <c r="DJ9" s="13">
        <v>5245.61</v>
      </c>
      <c r="DK9" s="13">
        <v>5247.38</v>
      </c>
      <c r="DL9" s="13">
        <v>5244.85</v>
      </c>
      <c r="DM9" s="32"/>
      <c r="DN9" s="33"/>
      <c r="DO9" s="32"/>
      <c r="DP9" s="33"/>
      <c r="DQ9" s="32"/>
      <c r="DR9" s="33"/>
      <c r="DS9" s="32"/>
      <c r="DT9" s="33"/>
      <c r="DU9" s="32"/>
      <c r="DV9" s="33"/>
    </row>
    <row r="10" spans="1:126" ht="15.75" x14ac:dyDescent="0.25">
      <c r="A10" s="14" t="s">
        <v>12</v>
      </c>
      <c r="B10" s="12" t="s">
        <v>9</v>
      </c>
      <c r="C10" s="13">
        <v>5217</v>
      </c>
      <c r="D10" s="13">
        <v>5220</v>
      </c>
      <c r="E10" s="13">
        <v>5223.75</v>
      </c>
      <c r="F10" s="13">
        <v>5241.74</v>
      </c>
      <c r="G10" s="13">
        <v>5245.29</v>
      </c>
      <c r="H10" s="13">
        <v>5236</v>
      </c>
      <c r="I10" s="13">
        <v>5239.6099999999997</v>
      </c>
      <c r="J10" s="13">
        <v>5238.84</v>
      </c>
      <c r="K10" s="13">
        <v>5243.29</v>
      </c>
      <c r="L10" s="13">
        <v>5243.63</v>
      </c>
      <c r="M10" s="13">
        <v>5247.89</v>
      </c>
      <c r="N10" s="13">
        <v>5234.6099999999997</v>
      </c>
      <c r="O10" s="13">
        <v>5235.9399999999996</v>
      </c>
      <c r="P10" s="13">
        <v>5223.07</v>
      </c>
      <c r="Q10" s="13">
        <v>5214.55</v>
      </c>
      <c r="R10" s="13">
        <v>5215.7</v>
      </c>
      <c r="S10" s="13">
        <v>5212.28</v>
      </c>
      <c r="T10" s="13">
        <v>5207.2299999999996</v>
      </c>
      <c r="U10" s="13">
        <v>5210.49</v>
      </c>
      <c r="V10" s="13">
        <v>5218.46</v>
      </c>
      <c r="W10" s="13">
        <v>5221.72</v>
      </c>
      <c r="X10" s="13">
        <v>5221.9399999999996</v>
      </c>
      <c r="Y10" s="13">
        <v>5239.6400000000003</v>
      </c>
      <c r="Z10" s="13">
        <v>5221.91</v>
      </c>
      <c r="AA10" s="13">
        <v>5223</v>
      </c>
      <c r="AB10" s="13">
        <v>5223.54</v>
      </c>
      <c r="AC10" s="13">
        <v>5222.5200000000004</v>
      </c>
      <c r="AD10" s="13">
        <v>5222.17</v>
      </c>
      <c r="AE10" s="13">
        <v>5221.5200000000004</v>
      </c>
      <c r="AF10" s="13">
        <v>5230.9799999999996</v>
      </c>
      <c r="AG10" s="13">
        <v>5238.33</v>
      </c>
      <c r="AH10" s="13">
        <v>5237.21</v>
      </c>
      <c r="AI10" s="13">
        <v>5233.83</v>
      </c>
      <c r="AJ10" s="13">
        <v>5228.17</v>
      </c>
      <c r="AK10" s="13">
        <v>5226.3900000000003</v>
      </c>
      <c r="AL10" s="13">
        <v>5232.75</v>
      </c>
      <c r="AM10" s="13">
        <v>5230.03</v>
      </c>
      <c r="AN10" s="13">
        <v>5226.26</v>
      </c>
      <c r="AO10" s="13">
        <v>5224.6400000000003</v>
      </c>
      <c r="AP10" s="13">
        <v>5225.6499999999996</v>
      </c>
      <c r="AQ10" s="13">
        <v>5225.1499999999996</v>
      </c>
      <c r="AR10" s="13">
        <v>5230.9799999999996</v>
      </c>
      <c r="AS10" s="13">
        <v>5227.45</v>
      </c>
      <c r="AT10" s="13">
        <v>5222.9399999999996</v>
      </c>
      <c r="AU10" s="13">
        <v>5225.0200000000004</v>
      </c>
      <c r="AV10" s="13">
        <v>5222.03</v>
      </c>
      <c r="AW10" s="13">
        <v>5225.03</v>
      </c>
      <c r="AX10" s="13">
        <v>5226.63</v>
      </c>
      <c r="AY10" s="13">
        <v>5222.67</v>
      </c>
      <c r="AZ10" s="13">
        <v>5226.16</v>
      </c>
      <c r="BA10" s="13">
        <v>5234.45</v>
      </c>
      <c r="BB10" s="13">
        <v>5228.28</v>
      </c>
      <c r="BC10" s="13">
        <v>5226.78</v>
      </c>
      <c r="BD10" s="13">
        <v>5231.1000000000004</v>
      </c>
      <c r="BE10" s="13">
        <v>5227.3</v>
      </c>
      <c r="BF10" s="13">
        <v>5222.9399999999996</v>
      </c>
      <c r="BG10" s="13">
        <v>5224.6499999999996</v>
      </c>
      <c r="BH10" s="13">
        <v>5225.1499999999996</v>
      </c>
      <c r="BI10" s="13">
        <v>5231.1000000000004</v>
      </c>
      <c r="BJ10" s="13">
        <v>5232.59</v>
      </c>
      <c r="BK10" s="13">
        <v>5233.9799999999996</v>
      </c>
      <c r="BL10" s="13">
        <v>5234.8</v>
      </c>
      <c r="BM10" s="13">
        <v>5234.38</v>
      </c>
      <c r="BN10" s="13">
        <v>5235</v>
      </c>
      <c r="BO10" s="13">
        <v>5235.5</v>
      </c>
      <c r="BP10" s="13">
        <v>5231.91</v>
      </c>
      <c r="BQ10" s="13">
        <v>5230.03</v>
      </c>
      <c r="BR10" s="13">
        <v>5233.83</v>
      </c>
      <c r="BS10" s="13">
        <v>5229.41</v>
      </c>
      <c r="BT10" s="13">
        <v>5231.91</v>
      </c>
      <c r="BU10" s="13">
        <v>5228.83</v>
      </c>
      <c r="BV10" s="13">
        <v>5231.8</v>
      </c>
      <c r="BW10" s="13">
        <v>5231.1000000000004</v>
      </c>
      <c r="BX10" s="13">
        <v>5232.05</v>
      </c>
      <c r="BY10" s="13">
        <v>5229.41</v>
      </c>
      <c r="BZ10" s="13">
        <v>5231.33</v>
      </c>
      <c r="CA10" s="13">
        <v>5229.41</v>
      </c>
      <c r="CB10" s="13">
        <v>5233.83</v>
      </c>
      <c r="CC10" s="13">
        <v>5234.8999999999996</v>
      </c>
      <c r="CD10" s="13">
        <v>5234.8999999999996</v>
      </c>
      <c r="CE10" s="13">
        <v>5242.47</v>
      </c>
      <c r="CF10" s="13">
        <v>5241.74</v>
      </c>
      <c r="CG10" s="13">
        <v>5241.74</v>
      </c>
      <c r="CH10" s="13">
        <v>5239.03</v>
      </c>
      <c r="CI10" s="13">
        <v>5245.77</v>
      </c>
      <c r="CJ10" s="13">
        <v>5241.74</v>
      </c>
      <c r="CK10" s="13">
        <v>5242.94</v>
      </c>
      <c r="CL10" s="13">
        <v>5244.97</v>
      </c>
      <c r="CM10" s="13">
        <v>5240.84</v>
      </c>
      <c r="CN10" s="13">
        <v>5241.2</v>
      </c>
      <c r="CO10" s="13">
        <v>5240.84</v>
      </c>
      <c r="CP10" s="13">
        <v>5237.2299999999996</v>
      </c>
      <c r="CQ10" s="13">
        <v>5240.93</v>
      </c>
      <c r="CR10" s="13">
        <v>5240.93</v>
      </c>
      <c r="CS10" s="13">
        <v>5237.13</v>
      </c>
      <c r="CT10" s="13">
        <v>5236.25</v>
      </c>
      <c r="CU10" s="13">
        <v>5234.5</v>
      </c>
      <c r="CV10" s="13">
        <v>5232.75</v>
      </c>
      <c r="CW10" s="13">
        <v>5232.5</v>
      </c>
      <c r="CX10" s="13">
        <v>5232.63</v>
      </c>
      <c r="CY10" s="13">
        <v>5232.63</v>
      </c>
      <c r="CZ10" s="13">
        <v>5232.74</v>
      </c>
      <c r="DA10" s="13">
        <v>5232.2299999999996</v>
      </c>
      <c r="DB10" s="13">
        <v>5226.63</v>
      </c>
      <c r="DC10" s="13">
        <v>5229.74</v>
      </c>
      <c r="DD10" s="13">
        <v>5225.97</v>
      </c>
      <c r="DE10" s="13">
        <v>5224.6400000000003</v>
      </c>
      <c r="DF10" s="13">
        <v>5225.0200000000004</v>
      </c>
      <c r="DG10" s="13">
        <v>5228.17</v>
      </c>
      <c r="DH10" s="13">
        <v>5223.28</v>
      </c>
      <c r="DI10" s="13">
        <v>5226.3500000000004</v>
      </c>
      <c r="DJ10" s="13">
        <v>5223.8599999999997</v>
      </c>
      <c r="DK10" s="13">
        <v>5224.74</v>
      </c>
      <c r="DL10" s="13">
        <v>5219.32</v>
      </c>
      <c r="DM10" s="32"/>
      <c r="DN10" s="33"/>
      <c r="DO10" s="32"/>
      <c r="DP10" s="33"/>
      <c r="DQ10" s="32"/>
      <c r="DR10" s="33"/>
      <c r="DS10" s="32"/>
      <c r="DT10" s="33"/>
      <c r="DU10" s="32"/>
      <c r="DV10" s="33"/>
    </row>
    <row r="11" spans="1:126" ht="15.75" x14ac:dyDescent="0.25">
      <c r="A11" s="14" t="s">
        <v>12</v>
      </c>
      <c r="B11" s="12" t="s">
        <v>7</v>
      </c>
      <c r="C11" s="13">
        <v>5217</v>
      </c>
      <c r="D11" s="13">
        <v>5215</v>
      </c>
      <c r="E11" s="13">
        <v>5216.25</v>
      </c>
      <c r="F11" s="13">
        <v>5223</v>
      </c>
      <c r="G11" s="13">
        <v>5239.53</v>
      </c>
      <c r="H11" s="13">
        <v>5236</v>
      </c>
      <c r="I11" s="13">
        <v>5235.34</v>
      </c>
      <c r="J11" s="13">
        <v>5237.6499999999996</v>
      </c>
      <c r="K11" s="13">
        <v>5237.95</v>
      </c>
      <c r="L11" s="13">
        <v>5241.1899999999996</v>
      </c>
      <c r="M11" s="13">
        <v>5243.82</v>
      </c>
      <c r="N11" s="13">
        <v>5233.6099999999997</v>
      </c>
      <c r="O11" s="13">
        <v>5232.07</v>
      </c>
      <c r="P11" s="13">
        <v>5222</v>
      </c>
      <c r="Q11" s="13">
        <v>5209</v>
      </c>
      <c r="R11" s="13">
        <v>5213</v>
      </c>
      <c r="S11" s="13">
        <v>5210.6000000000004</v>
      </c>
      <c r="T11" s="13">
        <v>5207.16</v>
      </c>
      <c r="U11" s="13">
        <v>5204.83</v>
      </c>
      <c r="V11" s="13">
        <v>5209.51</v>
      </c>
      <c r="W11" s="13">
        <v>5217.2700000000004</v>
      </c>
      <c r="X11" s="13">
        <v>5219.2299999999996</v>
      </c>
      <c r="Y11" s="13">
        <v>5222.66</v>
      </c>
      <c r="Z11" s="13">
        <v>5221.91</v>
      </c>
      <c r="AA11" s="13">
        <v>5221.16</v>
      </c>
      <c r="AB11" s="13">
        <v>5217.37</v>
      </c>
      <c r="AC11" s="13">
        <v>5220.83</v>
      </c>
      <c r="AD11" s="13">
        <v>5219.97</v>
      </c>
      <c r="AE11" s="13">
        <v>5219.97</v>
      </c>
      <c r="AF11" s="13">
        <v>5221.5200000000004</v>
      </c>
      <c r="AG11" s="13">
        <v>5224.13</v>
      </c>
      <c r="AH11" s="13">
        <v>5236.25</v>
      </c>
      <c r="AI11" s="13">
        <v>5225.46</v>
      </c>
      <c r="AJ11" s="13">
        <v>5225.75</v>
      </c>
      <c r="AK11" s="13">
        <v>5226.38</v>
      </c>
      <c r="AL11" s="13">
        <v>5221.93</v>
      </c>
      <c r="AM11" s="13">
        <v>5227.45</v>
      </c>
      <c r="AN11" s="13">
        <v>5223.84</v>
      </c>
      <c r="AO11" s="13">
        <v>5220.41</v>
      </c>
      <c r="AP11" s="13">
        <v>5223.8599999999997</v>
      </c>
      <c r="AQ11" s="13">
        <v>5222.03</v>
      </c>
      <c r="AR11" s="13">
        <v>5225.1499999999996</v>
      </c>
      <c r="AS11" s="13">
        <v>5226.59</v>
      </c>
      <c r="AT11" s="13">
        <v>5220.03</v>
      </c>
      <c r="AU11" s="13">
        <v>5220.66</v>
      </c>
      <c r="AV11" s="13">
        <v>5222.03</v>
      </c>
      <c r="AW11" s="13">
        <v>5221.07</v>
      </c>
      <c r="AX11" s="13">
        <v>5225.8500000000004</v>
      </c>
      <c r="AY11" s="13">
        <v>5219.78</v>
      </c>
      <c r="AZ11" s="13">
        <v>5221.8900000000003</v>
      </c>
      <c r="BA11" s="13">
        <v>5224.87</v>
      </c>
      <c r="BB11" s="13">
        <v>5226.13</v>
      </c>
      <c r="BC11" s="13">
        <v>5226.78</v>
      </c>
      <c r="BD11" s="13">
        <v>5228.3500000000004</v>
      </c>
      <c r="BE11" s="13">
        <v>5224.74</v>
      </c>
      <c r="BF11" s="13">
        <v>5222.9399999999996</v>
      </c>
      <c r="BG11" s="13">
        <v>5220.2299999999996</v>
      </c>
      <c r="BH11" s="13">
        <v>5220.54</v>
      </c>
      <c r="BI11" s="13">
        <v>5224.26</v>
      </c>
      <c r="BJ11" s="13">
        <v>5225.87</v>
      </c>
      <c r="BK11" s="13">
        <v>5230.5200000000004</v>
      </c>
      <c r="BL11" s="13">
        <v>5231.82</v>
      </c>
      <c r="BM11" s="13">
        <v>5232.3500000000004</v>
      </c>
      <c r="BN11" s="13">
        <v>5234.38</v>
      </c>
      <c r="BO11" s="13">
        <v>5232.3100000000004</v>
      </c>
      <c r="BP11" s="13">
        <v>5228.53</v>
      </c>
      <c r="BQ11" s="13">
        <v>5225.6499999999996</v>
      </c>
      <c r="BR11" s="13">
        <v>5230.03</v>
      </c>
      <c r="BS11" s="13">
        <v>5229.41</v>
      </c>
      <c r="BT11" s="13">
        <v>5229.1400000000003</v>
      </c>
      <c r="BU11" s="13">
        <v>5224.16</v>
      </c>
      <c r="BV11" s="13">
        <v>5228.4399999999996</v>
      </c>
      <c r="BW11" s="13">
        <v>5230.58</v>
      </c>
      <c r="BX11" s="13">
        <v>5231.1000000000004</v>
      </c>
      <c r="BY11" s="13">
        <v>5229.41</v>
      </c>
      <c r="BZ11" s="13">
        <v>5229.41</v>
      </c>
      <c r="CA11" s="13">
        <v>5229.41</v>
      </c>
      <c r="CB11" s="13">
        <v>5229.41</v>
      </c>
      <c r="CC11" s="13">
        <v>5233.17</v>
      </c>
      <c r="CD11" s="13">
        <v>5234.8999999999996</v>
      </c>
      <c r="CE11" s="13">
        <v>5234.8999999999996</v>
      </c>
      <c r="CF11" s="13">
        <v>5240.63</v>
      </c>
      <c r="CG11" s="13">
        <v>5241.74</v>
      </c>
      <c r="CH11" s="13">
        <v>5238.45</v>
      </c>
      <c r="CI11" s="13">
        <v>5237.2299999999996</v>
      </c>
      <c r="CJ11" s="13">
        <v>5241.03</v>
      </c>
      <c r="CK11" s="13">
        <v>5238.6400000000003</v>
      </c>
      <c r="CL11" s="13">
        <v>5242.94</v>
      </c>
      <c r="CM11" s="13">
        <v>5239.45</v>
      </c>
      <c r="CN11" s="13">
        <v>5237</v>
      </c>
      <c r="CO11" s="13">
        <v>5239.03</v>
      </c>
      <c r="CP11" s="13">
        <v>5237.2299999999996</v>
      </c>
      <c r="CQ11" s="13">
        <v>5237.2299999999996</v>
      </c>
      <c r="CR11" s="13">
        <v>5240.93</v>
      </c>
      <c r="CS11" s="13">
        <v>5235.7</v>
      </c>
      <c r="CT11" s="13">
        <v>5235.7</v>
      </c>
      <c r="CU11" s="13">
        <v>5233.2</v>
      </c>
      <c r="CV11" s="13">
        <v>5230.96</v>
      </c>
      <c r="CW11" s="13">
        <v>5228.2</v>
      </c>
      <c r="CX11" s="13">
        <v>5230.42</v>
      </c>
      <c r="CY11" s="13">
        <v>5231.0600000000004</v>
      </c>
      <c r="CZ11" s="13">
        <v>5232.63</v>
      </c>
      <c r="DA11" s="13">
        <v>5230.13</v>
      </c>
      <c r="DB11" s="13">
        <v>5225.4799999999996</v>
      </c>
      <c r="DC11" s="13">
        <v>5226.63</v>
      </c>
      <c r="DD11" s="13">
        <v>5225.32</v>
      </c>
      <c r="DE11" s="13">
        <v>5224.6400000000003</v>
      </c>
      <c r="DF11" s="13">
        <v>5222.25</v>
      </c>
      <c r="DG11" s="13">
        <v>5224.7</v>
      </c>
      <c r="DH11" s="13">
        <v>5222.57</v>
      </c>
      <c r="DI11" s="13">
        <v>5223.28</v>
      </c>
      <c r="DJ11" s="13">
        <v>5221.53</v>
      </c>
      <c r="DK11" s="13">
        <v>5223.42</v>
      </c>
      <c r="DL11" s="13">
        <v>5218.5200000000004</v>
      </c>
      <c r="DM11" s="32"/>
      <c r="DN11" s="33"/>
      <c r="DO11" s="32"/>
      <c r="DP11" s="33"/>
      <c r="DQ11" s="32"/>
      <c r="DR11" s="33"/>
      <c r="DS11" s="32"/>
      <c r="DT11" s="33"/>
      <c r="DU11" s="32"/>
      <c r="DV11" s="33"/>
    </row>
    <row r="12" spans="1:126" ht="15.75" x14ac:dyDescent="0.25">
      <c r="A12" s="14"/>
      <c r="B12" s="12"/>
      <c r="C12" s="13">
        <f t="shared" ref="C12:AH12" si="2">(C8+C9+C10+C11)/4</f>
        <v>5251</v>
      </c>
      <c r="D12" s="13">
        <f t="shared" si="2"/>
        <v>5242.3</v>
      </c>
      <c r="E12" s="13">
        <f t="shared" si="2"/>
        <v>5246.5</v>
      </c>
      <c r="F12" s="13">
        <f t="shared" si="2"/>
        <v>5247.04</v>
      </c>
      <c r="G12" s="13">
        <f t="shared" si="2"/>
        <v>5252.82</v>
      </c>
      <c r="H12" s="13">
        <f t="shared" si="2"/>
        <v>5256.16</v>
      </c>
      <c r="I12" s="13">
        <f t="shared" si="2"/>
        <v>5251.4</v>
      </c>
      <c r="J12" s="13">
        <f t="shared" si="2"/>
        <v>5249.0499999999993</v>
      </c>
      <c r="K12" s="13">
        <f t="shared" si="2"/>
        <v>5251.2825000000003</v>
      </c>
      <c r="L12" s="13">
        <f t="shared" si="2"/>
        <v>5252.9775</v>
      </c>
      <c r="M12" s="13">
        <f t="shared" si="2"/>
        <v>5255.21</v>
      </c>
      <c r="N12" s="13">
        <f t="shared" si="2"/>
        <v>5246.6975000000002</v>
      </c>
      <c r="O12" s="13">
        <f t="shared" si="2"/>
        <v>5244.0374999999995</v>
      </c>
      <c r="P12" s="13">
        <f t="shared" si="2"/>
        <v>5237.5050000000001</v>
      </c>
      <c r="Q12" s="13">
        <f t="shared" si="2"/>
        <v>5234.3649999999998</v>
      </c>
      <c r="R12" s="13">
        <f t="shared" si="2"/>
        <v>5228.6449999999995</v>
      </c>
      <c r="S12" s="13">
        <f t="shared" si="2"/>
        <v>5224.994999999999</v>
      </c>
      <c r="T12" s="13">
        <f t="shared" si="2"/>
        <v>5218.4574999999995</v>
      </c>
      <c r="U12" s="13">
        <f t="shared" si="2"/>
        <v>5220.3599999999997</v>
      </c>
      <c r="V12" s="13">
        <f t="shared" si="2"/>
        <v>5228.0324999999993</v>
      </c>
      <c r="W12" s="13">
        <f t="shared" si="2"/>
        <v>5232.2224999999999</v>
      </c>
      <c r="X12" s="13">
        <f t="shared" si="2"/>
        <v>5230.9474999999993</v>
      </c>
      <c r="Y12" s="13">
        <f t="shared" si="2"/>
        <v>5241.5174999999999</v>
      </c>
      <c r="Z12" s="13">
        <f t="shared" si="2"/>
        <v>5235.3175000000001</v>
      </c>
      <c r="AA12" s="13">
        <f t="shared" si="2"/>
        <v>5234.5050000000001</v>
      </c>
      <c r="AB12" s="13">
        <f t="shared" si="2"/>
        <v>5234.5024999999996</v>
      </c>
      <c r="AC12" s="13">
        <f t="shared" si="2"/>
        <v>5234.3675000000003</v>
      </c>
      <c r="AD12" s="13">
        <f t="shared" si="2"/>
        <v>5233.5625</v>
      </c>
      <c r="AE12" s="13">
        <f t="shared" si="2"/>
        <v>5233.6400000000003</v>
      </c>
      <c r="AF12" s="13">
        <f t="shared" si="2"/>
        <v>5241.3024999999998</v>
      </c>
      <c r="AG12" s="13">
        <f t="shared" si="2"/>
        <v>5246.6125000000002</v>
      </c>
      <c r="AH12" s="13">
        <f t="shared" si="2"/>
        <v>5249.41</v>
      </c>
      <c r="AI12" s="13">
        <f t="shared" ref="AI12:BN12" si="3">(AI8+AI9+AI10+AI11)/4</f>
        <v>5243.3525</v>
      </c>
      <c r="AJ12" s="13">
        <f t="shared" si="3"/>
        <v>5239.1025</v>
      </c>
      <c r="AK12" s="13">
        <f t="shared" si="3"/>
        <v>5239.2175000000007</v>
      </c>
      <c r="AL12" s="13">
        <f t="shared" si="3"/>
        <v>5241.1875</v>
      </c>
      <c r="AM12" s="13">
        <f t="shared" si="3"/>
        <v>5242.45</v>
      </c>
      <c r="AN12" s="13">
        <f t="shared" si="3"/>
        <v>5237.63</v>
      </c>
      <c r="AO12" s="13">
        <f t="shared" si="3"/>
        <v>5235.6949999999997</v>
      </c>
      <c r="AP12" s="13">
        <f t="shared" si="3"/>
        <v>5237.67</v>
      </c>
      <c r="AQ12" s="13">
        <f t="shared" si="3"/>
        <v>5236.5824999999995</v>
      </c>
      <c r="AR12" s="13">
        <f t="shared" si="3"/>
        <v>5242.1175000000003</v>
      </c>
      <c r="AS12" s="13">
        <f t="shared" si="3"/>
        <v>5239.2224999999999</v>
      </c>
      <c r="AT12" s="13">
        <f t="shared" si="3"/>
        <v>5236.5674999999992</v>
      </c>
      <c r="AU12" s="13">
        <f t="shared" si="3"/>
        <v>5238.7025000000003</v>
      </c>
      <c r="AV12" s="13">
        <f t="shared" si="3"/>
        <v>5236.0099999999993</v>
      </c>
      <c r="AW12" s="13">
        <f t="shared" si="3"/>
        <v>5237.58</v>
      </c>
      <c r="AX12" s="13">
        <f t="shared" si="3"/>
        <v>5240.7824999999993</v>
      </c>
      <c r="AY12" s="13">
        <f t="shared" si="3"/>
        <v>5234.5950000000003</v>
      </c>
      <c r="AZ12" s="13">
        <f t="shared" si="3"/>
        <v>5238.0150000000003</v>
      </c>
      <c r="BA12" s="13">
        <f t="shared" si="3"/>
        <v>5242.8024999999998</v>
      </c>
      <c r="BB12" s="13">
        <f t="shared" si="3"/>
        <v>5238.9724999999999</v>
      </c>
      <c r="BC12" s="13">
        <f t="shared" si="3"/>
        <v>5238.8624999999993</v>
      </c>
      <c r="BD12" s="13">
        <f t="shared" si="3"/>
        <v>5242.0625</v>
      </c>
      <c r="BE12" s="13">
        <f t="shared" si="3"/>
        <v>5240.8875000000007</v>
      </c>
      <c r="BF12" s="13">
        <f t="shared" si="3"/>
        <v>5236.119999999999</v>
      </c>
      <c r="BG12" s="13">
        <f t="shared" si="3"/>
        <v>5235.6224999999995</v>
      </c>
      <c r="BH12" s="13">
        <f t="shared" si="3"/>
        <v>5237.7199999999993</v>
      </c>
      <c r="BI12" s="13">
        <f t="shared" si="3"/>
        <v>5240.7950000000001</v>
      </c>
      <c r="BJ12" s="13">
        <f t="shared" si="3"/>
        <v>5244.8824999999997</v>
      </c>
      <c r="BK12" s="13">
        <f t="shared" si="3"/>
        <v>5246.84</v>
      </c>
      <c r="BL12" s="13">
        <f t="shared" si="3"/>
        <v>5246.6624999999995</v>
      </c>
      <c r="BM12" s="13">
        <f t="shared" si="3"/>
        <v>5244.4349999999995</v>
      </c>
      <c r="BN12" s="13">
        <f t="shared" si="3"/>
        <v>5244.77</v>
      </c>
      <c r="BO12" s="13">
        <f t="shared" ref="BO12:CT12" si="4">(BO8+BO9+BO10+BO11)/4</f>
        <v>5245.7925000000005</v>
      </c>
      <c r="BP12" s="13">
        <f t="shared" si="4"/>
        <v>5242.28</v>
      </c>
      <c r="BQ12" s="13">
        <f t="shared" si="4"/>
        <v>5241.375</v>
      </c>
      <c r="BR12" s="13">
        <f t="shared" si="4"/>
        <v>5244.6949999999997</v>
      </c>
      <c r="BS12" s="13">
        <f t="shared" si="4"/>
        <v>5242.07</v>
      </c>
      <c r="BT12" s="13">
        <f t="shared" si="4"/>
        <v>5242.2624999999998</v>
      </c>
      <c r="BU12" s="13">
        <f t="shared" si="4"/>
        <v>5241.1124999999993</v>
      </c>
      <c r="BV12" s="13">
        <f t="shared" si="4"/>
        <v>5242.6524999999992</v>
      </c>
      <c r="BW12" s="13">
        <f t="shared" si="4"/>
        <v>5243.3175000000001</v>
      </c>
      <c r="BX12" s="13">
        <f t="shared" si="4"/>
        <v>5243.7325000000001</v>
      </c>
      <c r="BY12" s="13">
        <f t="shared" si="4"/>
        <v>5242.4049999999997</v>
      </c>
      <c r="BZ12" s="13">
        <f t="shared" si="4"/>
        <v>5241.5499999999993</v>
      </c>
      <c r="CA12" s="13">
        <f t="shared" si="4"/>
        <v>5241.37</v>
      </c>
      <c r="CB12" s="13">
        <f t="shared" si="4"/>
        <v>5244.6875</v>
      </c>
      <c r="CC12" s="13">
        <f t="shared" si="4"/>
        <v>5246.2224999999999</v>
      </c>
      <c r="CD12" s="13">
        <f t="shared" si="4"/>
        <v>5246.6549999999997</v>
      </c>
      <c r="CE12" s="13">
        <f t="shared" si="4"/>
        <v>5251.8700000000008</v>
      </c>
      <c r="CF12" s="13">
        <f t="shared" si="4"/>
        <v>5251.7049999999999</v>
      </c>
      <c r="CG12" s="13">
        <f t="shared" si="4"/>
        <v>5252.5074999999997</v>
      </c>
      <c r="CH12" s="13">
        <f t="shared" si="4"/>
        <v>5249.7749999999996</v>
      </c>
      <c r="CI12" s="13">
        <f t="shared" si="4"/>
        <v>5252.5599999999995</v>
      </c>
      <c r="CJ12" s="13">
        <f t="shared" si="4"/>
        <v>5251.9274999999998</v>
      </c>
      <c r="CK12" s="13">
        <f t="shared" si="4"/>
        <v>5250.8024999999998</v>
      </c>
      <c r="CL12" s="13">
        <f t="shared" si="4"/>
        <v>5252.8324999999995</v>
      </c>
      <c r="CM12" s="13">
        <f t="shared" si="4"/>
        <v>5250.7825000000003</v>
      </c>
      <c r="CN12" s="13">
        <f t="shared" si="4"/>
        <v>5249.1</v>
      </c>
      <c r="CO12" s="13">
        <f t="shared" si="4"/>
        <v>5250.2524999999996</v>
      </c>
      <c r="CP12" s="13">
        <f t="shared" si="4"/>
        <v>5247.7924999999996</v>
      </c>
      <c r="CQ12" s="13">
        <f t="shared" si="4"/>
        <v>5250.3924999999999</v>
      </c>
      <c r="CR12" s="13">
        <f t="shared" si="4"/>
        <v>5250.13</v>
      </c>
      <c r="CS12" s="13">
        <f t="shared" si="4"/>
        <v>5248.2075000000004</v>
      </c>
      <c r="CT12" s="13">
        <f t="shared" si="4"/>
        <v>5246.1875</v>
      </c>
      <c r="CU12" s="13">
        <f t="shared" ref="CU12:DL12" si="5">(CU8+CU9+CU10+CU11)/4</f>
        <v>5244.8774999999996</v>
      </c>
      <c r="CV12" s="13">
        <f t="shared" si="5"/>
        <v>5242.8649999999998</v>
      </c>
      <c r="CW12" s="13">
        <f t="shared" si="5"/>
        <v>5241.2250000000004</v>
      </c>
      <c r="CX12" s="13">
        <f t="shared" si="5"/>
        <v>5243.0400000000009</v>
      </c>
      <c r="CY12" s="13">
        <f t="shared" si="5"/>
        <v>5242.2350000000006</v>
      </c>
      <c r="CZ12" s="13">
        <f t="shared" si="5"/>
        <v>5243.7249999999995</v>
      </c>
      <c r="DA12" s="13">
        <f t="shared" si="5"/>
        <v>5242.2524999999996</v>
      </c>
      <c r="DB12" s="13">
        <f t="shared" si="5"/>
        <v>5238.3874999999998</v>
      </c>
      <c r="DC12" s="13">
        <f t="shared" si="5"/>
        <v>5239.53</v>
      </c>
      <c r="DD12" s="13">
        <f t="shared" si="5"/>
        <v>5237.2224999999999</v>
      </c>
      <c r="DE12" s="13">
        <f t="shared" si="5"/>
        <v>5235.37</v>
      </c>
      <c r="DF12" s="13">
        <f t="shared" si="5"/>
        <v>5235.4525000000003</v>
      </c>
      <c r="DG12" s="13">
        <f t="shared" si="5"/>
        <v>5239.4224999999997</v>
      </c>
      <c r="DH12" s="13">
        <f t="shared" si="5"/>
        <v>5235.5524999999998</v>
      </c>
      <c r="DI12" s="13">
        <f t="shared" si="5"/>
        <v>5236.3325000000004</v>
      </c>
      <c r="DJ12" s="13">
        <f t="shared" si="5"/>
        <v>5235.4224999999997</v>
      </c>
      <c r="DK12" s="13">
        <f t="shared" si="5"/>
        <v>5236.1125000000002</v>
      </c>
      <c r="DL12" s="13">
        <f t="shared" si="5"/>
        <v>5232.7325000000001</v>
      </c>
      <c r="DM12" s="26"/>
      <c r="DN12" s="25"/>
      <c r="DO12" s="27"/>
      <c r="DP12" s="25"/>
      <c r="DQ12" s="27"/>
      <c r="DR12" s="25"/>
      <c r="DS12" s="27"/>
      <c r="DT12" s="25"/>
    </row>
    <row r="13" spans="1:126" ht="15.75" x14ac:dyDescent="0.25">
      <c r="A13" s="11" t="s">
        <v>5</v>
      </c>
      <c r="B13" s="11" t="s">
        <v>11</v>
      </c>
      <c r="C13" s="15">
        <v>0.375</v>
      </c>
      <c r="D13" s="15">
        <v>0.37847222222222227</v>
      </c>
      <c r="E13" s="15">
        <v>0.38194444444444442</v>
      </c>
      <c r="F13" s="15">
        <v>0.38541666666666669</v>
      </c>
      <c r="G13" s="15">
        <v>0.3888888888888889</v>
      </c>
      <c r="H13" s="15">
        <v>0.3923611111111111</v>
      </c>
      <c r="I13" s="15">
        <v>0.39583333333333331</v>
      </c>
      <c r="J13" s="15">
        <v>0.39930555555555558</v>
      </c>
      <c r="K13" s="15">
        <v>0.40277777777777773</v>
      </c>
      <c r="L13" s="15">
        <v>0.40625</v>
      </c>
      <c r="M13" s="15">
        <v>0.40972222222222227</v>
      </c>
      <c r="N13" s="15">
        <v>0.41319444444444442</v>
      </c>
      <c r="O13" s="15">
        <v>0.41666666666666669</v>
      </c>
      <c r="P13" s="15">
        <v>0.4201388888888889</v>
      </c>
      <c r="Q13" s="15">
        <v>0.4236111111111111</v>
      </c>
      <c r="R13" s="15">
        <v>0.42708333333333331</v>
      </c>
      <c r="S13" s="15">
        <v>0.43055555555555558</v>
      </c>
      <c r="T13" s="15">
        <v>0.43402777777777773</v>
      </c>
      <c r="U13" s="15">
        <v>0.4375</v>
      </c>
      <c r="V13" s="15">
        <v>0.44097222222222227</v>
      </c>
      <c r="W13" s="15">
        <v>0.44444444444444442</v>
      </c>
      <c r="X13" s="15">
        <v>0.44791666666666669</v>
      </c>
      <c r="Y13" s="15">
        <v>0.4513888888888889</v>
      </c>
      <c r="Z13" s="15">
        <v>0.4548611111111111</v>
      </c>
      <c r="AA13" s="15">
        <v>0.45833333333333331</v>
      </c>
      <c r="AB13" s="15">
        <v>0.46180555555555558</v>
      </c>
      <c r="AC13" s="15">
        <v>0.46527777777777773</v>
      </c>
      <c r="AD13" s="15">
        <v>0.46875</v>
      </c>
      <c r="AE13" s="15">
        <v>0.47222222222222227</v>
      </c>
      <c r="AF13" s="15">
        <v>0.47569444444444442</v>
      </c>
      <c r="AG13" s="15">
        <v>0.47916666666666669</v>
      </c>
      <c r="AH13" s="15">
        <v>0.4826388888888889</v>
      </c>
      <c r="AI13" s="15">
        <v>0.4861111111111111</v>
      </c>
      <c r="AJ13" s="15">
        <v>0.48958333333333331</v>
      </c>
      <c r="AK13" s="15">
        <v>0.49305555555555558</v>
      </c>
      <c r="AL13" s="15">
        <v>0.49652777777777773</v>
      </c>
      <c r="AM13" s="15">
        <v>0.5</v>
      </c>
      <c r="AN13" s="15">
        <v>0.50347222222222221</v>
      </c>
      <c r="AO13" s="15">
        <v>0.50694444444444442</v>
      </c>
      <c r="AP13" s="15">
        <v>0.51041666666666663</v>
      </c>
      <c r="AQ13" s="15">
        <v>0.51388888888888895</v>
      </c>
      <c r="AR13" s="15">
        <v>0.51736111111111105</v>
      </c>
      <c r="AS13" s="15">
        <v>0.52083333333333337</v>
      </c>
      <c r="AT13" s="15">
        <v>0.52430555555555558</v>
      </c>
      <c r="AU13" s="15">
        <v>0.52777777777777779</v>
      </c>
      <c r="AV13" s="15">
        <v>0.53125</v>
      </c>
      <c r="AW13" s="15">
        <v>0.53472222222222221</v>
      </c>
      <c r="AX13" s="15">
        <v>0.53819444444444442</v>
      </c>
      <c r="AY13" s="15">
        <v>0.54166666666666663</v>
      </c>
      <c r="AZ13" s="15">
        <v>0.54513888888888895</v>
      </c>
      <c r="BA13" s="15">
        <v>0.54861111111111105</v>
      </c>
      <c r="BB13" s="15">
        <v>0.55208333333333337</v>
      </c>
      <c r="BC13" s="15">
        <v>0.55555555555555558</v>
      </c>
      <c r="BD13" s="15">
        <v>0.55902777777777779</v>
      </c>
      <c r="BE13" s="15">
        <v>0.5625</v>
      </c>
      <c r="BF13" s="15">
        <v>0.56597222222222221</v>
      </c>
      <c r="BG13" s="15">
        <v>0.56944444444444442</v>
      </c>
      <c r="BH13" s="15">
        <v>0.57291666666666663</v>
      </c>
      <c r="BI13" s="15">
        <v>0.57638888888888895</v>
      </c>
      <c r="BJ13" s="15">
        <v>0.57986111111111105</v>
      </c>
      <c r="BK13" s="15">
        <v>0.58333333333333337</v>
      </c>
      <c r="BL13" s="15">
        <v>0.58680555555555558</v>
      </c>
      <c r="BM13" s="15">
        <v>0.59027777777777779</v>
      </c>
      <c r="BN13" s="15">
        <v>0.59375</v>
      </c>
      <c r="BO13" s="15">
        <v>0.59722222222222221</v>
      </c>
      <c r="BP13" s="15">
        <v>0.60069444444444442</v>
      </c>
      <c r="BQ13" s="15">
        <v>0.60416666666666663</v>
      </c>
      <c r="BR13" s="15">
        <v>0.60763888888888895</v>
      </c>
      <c r="BS13" s="15">
        <v>0.61111111111111105</v>
      </c>
      <c r="BT13" s="15">
        <v>0.61458333333333337</v>
      </c>
      <c r="BU13" s="15">
        <v>0.61805555555555558</v>
      </c>
      <c r="BV13" s="15">
        <v>0.62152777777777779</v>
      </c>
      <c r="BW13" s="15">
        <v>0.625</v>
      </c>
      <c r="BX13" s="15">
        <v>0.62847222222222221</v>
      </c>
      <c r="BY13" s="15">
        <v>0.63194444444444442</v>
      </c>
      <c r="BZ13" s="15">
        <v>0.63541666666666663</v>
      </c>
      <c r="CA13" s="15">
        <v>0.63888888888888895</v>
      </c>
      <c r="CB13" s="15">
        <v>0.64236111111111105</v>
      </c>
      <c r="CC13" s="15">
        <v>0.64583333333333337</v>
      </c>
      <c r="CD13" s="15">
        <v>0.64930555555555558</v>
      </c>
      <c r="CE13" s="15">
        <v>0.65277777777777779</v>
      </c>
      <c r="CF13" s="15">
        <v>0.65625</v>
      </c>
      <c r="CG13" s="15">
        <v>0.65972222222222221</v>
      </c>
      <c r="CH13" s="15">
        <v>0.66319444444444442</v>
      </c>
      <c r="CI13" s="15">
        <v>0.66666666666666663</v>
      </c>
      <c r="CJ13" s="15">
        <v>0.67013888888888884</v>
      </c>
      <c r="CK13" s="15">
        <v>0.67361111111111116</v>
      </c>
      <c r="CL13" s="15">
        <v>0.67708333333333337</v>
      </c>
      <c r="CM13" s="15">
        <v>0.68055555555555547</v>
      </c>
      <c r="CN13" s="15">
        <v>0.68402777777777779</v>
      </c>
      <c r="CO13" s="15">
        <v>0.6875</v>
      </c>
      <c r="CP13" s="15">
        <v>0.69097222222222221</v>
      </c>
      <c r="CQ13" s="15">
        <v>0.69444444444444453</v>
      </c>
      <c r="CR13" s="15">
        <v>0.69791666666666663</v>
      </c>
      <c r="CS13" s="15">
        <v>0.70138888888888884</v>
      </c>
      <c r="CT13" s="15">
        <v>0.70486111111111116</v>
      </c>
      <c r="CU13" s="15">
        <v>0.70833333333333337</v>
      </c>
      <c r="CV13" s="15">
        <v>0.71180555555555547</v>
      </c>
      <c r="CW13" s="15">
        <v>0.71527777777777779</v>
      </c>
      <c r="CX13" s="15">
        <v>0.71875</v>
      </c>
      <c r="CY13" s="15">
        <v>0.72222222222222221</v>
      </c>
      <c r="CZ13" s="15">
        <v>0.72569444444444453</v>
      </c>
      <c r="DA13" s="15">
        <v>0.72916666666666663</v>
      </c>
      <c r="DB13" s="15">
        <v>0.73263888888888884</v>
      </c>
      <c r="DC13" s="15">
        <v>0.73611111111111116</v>
      </c>
      <c r="DD13" s="15">
        <v>0.73958333333333337</v>
      </c>
      <c r="DE13" s="15">
        <v>0.74305555555555547</v>
      </c>
      <c r="DF13" s="15">
        <v>0.74652777777777779</v>
      </c>
      <c r="DG13" s="15">
        <v>0.75</v>
      </c>
      <c r="DH13" s="15">
        <v>0.75347222222222221</v>
      </c>
      <c r="DI13" s="15">
        <v>0.75694444444444453</v>
      </c>
      <c r="DJ13" s="15">
        <v>0.76041666666666663</v>
      </c>
      <c r="DK13" s="15">
        <v>0.76388888888888884</v>
      </c>
      <c r="DL13" s="15">
        <v>0.76736111111111116</v>
      </c>
      <c r="DM13" s="23">
        <v>44348</v>
      </c>
    </row>
    <row r="14" spans="1:126" ht="15.75" x14ac:dyDescent="0.25">
      <c r="A14" s="14">
        <v>44168</v>
      </c>
      <c r="B14" s="12" t="s">
        <v>6</v>
      </c>
      <c r="C14" s="13">
        <v>5228</v>
      </c>
      <c r="D14" s="13">
        <v>5250.91</v>
      </c>
      <c r="E14" s="13">
        <v>5265</v>
      </c>
      <c r="F14" s="13">
        <v>5239.7</v>
      </c>
      <c r="G14" s="13">
        <v>5231.3900000000003</v>
      </c>
      <c r="H14" s="13">
        <v>5230.5600000000004</v>
      </c>
      <c r="I14" s="13">
        <v>5233.0600000000004</v>
      </c>
      <c r="J14" s="13">
        <v>5235.84</v>
      </c>
      <c r="K14" s="13">
        <v>5233.55</v>
      </c>
      <c r="L14" s="13">
        <v>5232.8599999999997</v>
      </c>
      <c r="M14" s="13">
        <v>5234.25</v>
      </c>
      <c r="N14" s="13">
        <v>5230.1000000000004</v>
      </c>
      <c r="O14" s="13">
        <v>5235</v>
      </c>
      <c r="P14" s="13">
        <v>5227.1000000000004</v>
      </c>
      <c r="Q14" s="13">
        <v>5232.66</v>
      </c>
      <c r="R14" s="13">
        <v>5219.84</v>
      </c>
      <c r="S14" s="13">
        <v>5214</v>
      </c>
      <c r="T14" s="13">
        <v>5203.2299999999996</v>
      </c>
      <c r="U14" s="13">
        <v>5203.5200000000004</v>
      </c>
      <c r="V14" s="13">
        <v>5201.46</v>
      </c>
      <c r="W14" s="13">
        <v>5202.09</v>
      </c>
      <c r="X14" s="13">
        <v>5201.41</v>
      </c>
      <c r="Y14" s="13">
        <v>5201.88</v>
      </c>
      <c r="Z14" s="13">
        <v>5203.9799999999996</v>
      </c>
      <c r="AA14" s="13">
        <v>5201.9399999999996</v>
      </c>
      <c r="AB14" s="13">
        <v>5202.82</v>
      </c>
      <c r="AC14" s="13">
        <v>5200.7700000000004</v>
      </c>
      <c r="AD14" s="13">
        <v>5200.38</v>
      </c>
      <c r="AE14" s="13">
        <v>5199.88</v>
      </c>
      <c r="AF14" s="13">
        <v>5201.3900000000003</v>
      </c>
      <c r="AG14" s="13">
        <v>5199.3900000000003</v>
      </c>
      <c r="AH14" s="13">
        <v>5200.72</v>
      </c>
      <c r="AI14" s="13">
        <v>5201.13</v>
      </c>
      <c r="AJ14" s="13">
        <v>5198.45</v>
      </c>
      <c r="AK14" s="13">
        <v>5197.0200000000004</v>
      </c>
      <c r="AL14" s="13">
        <v>5194.2700000000004</v>
      </c>
      <c r="AM14" s="13">
        <v>5231.1400000000003</v>
      </c>
      <c r="AN14" s="13">
        <v>5244.17</v>
      </c>
      <c r="AO14" s="13">
        <v>5171.1899999999996</v>
      </c>
      <c r="AP14" s="13">
        <v>5168</v>
      </c>
      <c r="AQ14" s="13">
        <v>5167.25</v>
      </c>
      <c r="AR14" s="13">
        <v>5168</v>
      </c>
      <c r="AS14" s="13">
        <v>5208.47</v>
      </c>
      <c r="AT14" s="13">
        <v>5192.6899999999996</v>
      </c>
      <c r="AU14" s="13">
        <v>5198.88</v>
      </c>
      <c r="AV14" s="13">
        <v>5198.1899999999996</v>
      </c>
      <c r="AW14" s="13">
        <v>5198.88</v>
      </c>
      <c r="AX14" s="13">
        <v>5188.29</v>
      </c>
      <c r="AY14" s="13">
        <v>5176.22</v>
      </c>
      <c r="AZ14" s="13">
        <v>5182.38</v>
      </c>
      <c r="BA14" s="13">
        <v>5182.38</v>
      </c>
      <c r="BB14" s="13">
        <v>5180.54</v>
      </c>
      <c r="BC14" s="13">
        <v>5179.54</v>
      </c>
      <c r="BD14" s="13">
        <v>5168.5600000000004</v>
      </c>
      <c r="BE14" s="13">
        <v>5164.67</v>
      </c>
      <c r="BF14" s="13">
        <v>5151.8900000000003</v>
      </c>
      <c r="BG14" s="13">
        <v>5176.2299999999996</v>
      </c>
      <c r="BH14" s="13">
        <v>5178.6899999999996</v>
      </c>
      <c r="BI14" s="13">
        <v>5168.28</v>
      </c>
      <c r="BJ14" s="13">
        <v>5169.72</v>
      </c>
      <c r="BK14" s="13">
        <v>5157.78</v>
      </c>
      <c r="BL14" s="13">
        <v>5178.6899999999996</v>
      </c>
      <c r="BM14" s="13">
        <v>5180.54</v>
      </c>
      <c r="BN14" s="13">
        <v>5184.46</v>
      </c>
      <c r="BO14" s="13">
        <v>5173.78</v>
      </c>
      <c r="BP14" s="13">
        <v>5176.9399999999996</v>
      </c>
      <c r="BQ14" s="13">
        <v>5173.0600000000004</v>
      </c>
      <c r="BR14" s="13">
        <v>5184.8500000000004</v>
      </c>
      <c r="BS14" s="13">
        <v>5167.3900000000003</v>
      </c>
      <c r="BT14" s="13">
        <v>5166.83</v>
      </c>
      <c r="BU14" s="13">
        <v>5173.33</v>
      </c>
      <c r="BV14" s="13">
        <v>5177.9399999999996</v>
      </c>
      <c r="BW14" s="13">
        <v>5171.09</v>
      </c>
      <c r="BX14" s="13">
        <v>5171.25</v>
      </c>
      <c r="BY14" s="13">
        <v>5165.4799999999996</v>
      </c>
      <c r="BZ14" s="13">
        <v>5165.4799999999996</v>
      </c>
      <c r="CA14" s="13">
        <v>5166.5</v>
      </c>
      <c r="CB14" s="13">
        <v>5163.7</v>
      </c>
      <c r="CC14" s="13">
        <v>5181.7700000000004</v>
      </c>
      <c r="CD14" s="13">
        <v>5172.4399999999996</v>
      </c>
      <c r="CE14" s="13">
        <v>5184.8500000000004</v>
      </c>
      <c r="CF14" s="13">
        <v>5168.6099999999997</v>
      </c>
      <c r="CG14" s="13">
        <v>5167.4799999999996</v>
      </c>
      <c r="CH14" s="13">
        <v>5186.08</v>
      </c>
      <c r="CI14" s="13">
        <v>5186.08</v>
      </c>
      <c r="CJ14" s="13">
        <v>5174.6099999999997</v>
      </c>
      <c r="CK14" s="13">
        <v>5175.0600000000004</v>
      </c>
      <c r="CL14" s="13">
        <v>5167.3999999999996</v>
      </c>
      <c r="CM14" s="13">
        <v>5169.5200000000004</v>
      </c>
      <c r="CN14" s="13">
        <v>5164.8599999999997</v>
      </c>
      <c r="CO14" s="13">
        <v>5163.8599999999997</v>
      </c>
      <c r="CP14" s="13">
        <v>5173.78</v>
      </c>
      <c r="CQ14" s="13">
        <v>5185.08</v>
      </c>
      <c r="CR14" s="13">
        <v>5179.3900000000003</v>
      </c>
      <c r="CS14" s="13">
        <v>5170.6099999999997</v>
      </c>
      <c r="CT14" s="13">
        <v>5169.26</v>
      </c>
      <c r="CU14" s="13">
        <v>5173.8900000000003</v>
      </c>
      <c r="CV14" s="13">
        <v>5168.74</v>
      </c>
      <c r="CW14" s="13">
        <v>5166.7</v>
      </c>
      <c r="CX14" s="13">
        <v>5165.13</v>
      </c>
      <c r="CY14" s="13">
        <v>5158.46</v>
      </c>
      <c r="CZ14" s="13">
        <v>5176.79</v>
      </c>
      <c r="DA14" s="13">
        <v>5149.24</v>
      </c>
      <c r="DB14" s="13">
        <v>5165.83</v>
      </c>
      <c r="DC14" s="13">
        <v>5184.46</v>
      </c>
      <c r="DD14" s="13">
        <v>5203.67</v>
      </c>
      <c r="DE14" s="13">
        <v>5185.6099999999997</v>
      </c>
      <c r="DF14" s="13">
        <v>5196.5600000000004</v>
      </c>
      <c r="DG14" s="13">
        <v>5193.04</v>
      </c>
      <c r="DH14" s="13">
        <v>5188.76</v>
      </c>
      <c r="DI14" s="13">
        <v>5193.17</v>
      </c>
      <c r="DJ14" s="13">
        <v>5186.58</v>
      </c>
      <c r="DK14" s="13">
        <v>5190.74</v>
      </c>
      <c r="DL14" s="13">
        <v>5201</v>
      </c>
      <c r="DM14" s="32"/>
      <c r="DN14" s="33"/>
      <c r="DO14" s="32"/>
      <c r="DP14" s="33"/>
      <c r="DQ14" s="32"/>
      <c r="DR14" s="33"/>
      <c r="DS14" s="32"/>
      <c r="DT14" s="33"/>
      <c r="DU14" s="32"/>
      <c r="DV14" s="33"/>
    </row>
    <row r="15" spans="1:126" ht="15.75" x14ac:dyDescent="0.25">
      <c r="A15" s="14" t="s">
        <v>12</v>
      </c>
      <c r="B15" s="12" t="s">
        <v>10</v>
      </c>
      <c r="C15" s="13">
        <v>5228</v>
      </c>
      <c r="D15" s="13">
        <v>5225.28</v>
      </c>
      <c r="E15" s="13">
        <v>5239.57</v>
      </c>
      <c r="F15" s="13">
        <v>5229.1099999999997</v>
      </c>
      <c r="G15" s="13">
        <v>5229.1099999999997</v>
      </c>
      <c r="H15" s="13">
        <v>5228.4799999999996</v>
      </c>
      <c r="I15" s="13">
        <v>5232.87</v>
      </c>
      <c r="J15" s="13">
        <v>5229.9399999999996</v>
      </c>
      <c r="K15" s="13">
        <v>5231.38</v>
      </c>
      <c r="L15" s="13">
        <v>5228.5200000000004</v>
      </c>
      <c r="M15" s="13">
        <v>5221.6499999999996</v>
      </c>
      <c r="N15" s="13">
        <v>5225.26</v>
      </c>
      <c r="O15" s="13">
        <v>5226.93</v>
      </c>
      <c r="P15" s="13">
        <v>5217.75</v>
      </c>
      <c r="Q15" s="13">
        <v>5219.03</v>
      </c>
      <c r="R15" s="13">
        <v>5201.71</v>
      </c>
      <c r="S15" s="13">
        <v>5201.99</v>
      </c>
      <c r="T15" s="13">
        <v>5202.3500000000004</v>
      </c>
      <c r="U15" s="13">
        <v>5201.21</v>
      </c>
      <c r="V15" s="13">
        <v>5199.7299999999996</v>
      </c>
      <c r="W15" s="13">
        <v>5199.88</v>
      </c>
      <c r="X15" s="13">
        <v>5197.93</v>
      </c>
      <c r="Y15" s="13">
        <v>5201.1899999999996</v>
      </c>
      <c r="Z15" s="13">
        <v>5201.21</v>
      </c>
      <c r="AA15" s="13">
        <v>5198.74</v>
      </c>
      <c r="AB15" s="13">
        <v>5200.68</v>
      </c>
      <c r="AC15" s="13">
        <v>5199.05</v>
      </c>
      <c r="AD15" s="13">
        <v>5197.33</v>
      </c>
      <c r="AE15" s="13">
        <v>5198.24</v>
      </c>
      <c r="AF15" s="13">
        <v>5198.13</v>
      </c>
      <c r="AG15" s="13">
        <v>5195.66</v>
      </c>
      <c r="AH15" s="13">
        <v>5198.4799999999996</v>
      </c>
      <c r="AI15" s="13">
        <v>5196.2</v>
      </c>
      <c r="AJ15" s="13">
        <v>5197.41</v>
      </c>
      <c r="AK15" s="13">
        <v>5192.68</v>
      </c>
      <c r="AL15" s="13">
        <v>5192.09</v>
      </c>
      <c r="AM15" s="13">
        <v>5220.63</v>
      </c>
      <c r="AN15" s="13">
        <v>5154.08</v>
      </c>
      <c r="AO15" s="13">
        <v>5164.42</v>
      </c>
      <c r="AP15" s="13">
        <v>5148</v>
      </c>
      <c r="AQ15" s="13">
        <v>5143.95</v>
      </c>
      <c r="AR15" s="13">
        <v>5166.5</v>
      </c>
      <c r="AS15" s="13">
        <v>5162.57</v>
      </c>
      <c r="AT15" s="13">
        <v>5157.5200000000004</v>
      </c>
      <c r="AU15" s="13">
        <v>5158.5200000000004</v>
      </c>
      <c r="AV15" s="13">
        <v>5165.83</v>
      </c>
      <c r="AW15" s="13">
        <v>5168.74</v>
      </c>
      <c r="AX15" s="13">
        <v>5162.21</v>
      </c>
      <c r="AY15" s="13">
        <v>5155.18</v>
      </c>
      <c r="AZ15" s="13">
        <v>5159.82</v>
      </c>
      <c r="BA15" s="13">
        <v>5161.3500000000004</v>
      </c>
      <c r="BB15" s="13">
        <v>5151.97</v>
      </c>
      <c r="BC15" s="13">
        <v>5162.3500000000004</v>
      </c>
      <c r="BD15" s="13">
        <v>5149.88</v>
      </c>
      <c r="BE15" s="13">
        <v>5151.8900000000003</v>
      </c>
      <c r="BF15" s="13">
        <v>5151.8900000000003</v>
      </c>
      <c r="BG15" s="13">
        <v>5157.78</v>
      </c>
      <c r="BH15" s="13">
        <v>5160.91</v>
      </c>
      <c r="BI15" s="13">
        <v>5162.4799999999996</v>
      </c>
      <c r="BJ15" s="13">
        <v>5152.88</v>
      </c>
      <c r="BK15" s="13">
        <v>5157.78</v>
      </c>
      <c r="BL15" s="13">
        <v>5157.6400000000003</v>
      </c>
      <c r="BM15" s="13">
        <v>5165.3900000000003</v>
      </c>
      <c r="BN15" s="13">
        <v>5163.21</v>
      </c>
      <c r="BO15" s="13">
        <v>5173.78</v>
      </c>
      <c r="BP15" s="13">
        <v>5163.04</v>
      </c>
      <c r="BQ15" s="13">
        <v>5167.3900000000003</v>
      </c>
      <c r="BR15" s="13">
        <v>5162.75</v>
      </c>
      <c r="BS15" s="13">
        <v>5162.75</v>
      </c>
      <c r="BT15" s="13">
        <v>5161.75</v>
      </c>
      <c r="BU15" s="13">
        <v>5172.6499999999996</v>
      </c>
      <c r="BV15" s="13">
        <v>5171.09</v>
      </c>
      <c r="BW15" s="13">
        <v>5160.3599999999997</v>
      </c>
      <c r="BX15" s="13">
        <v>5158.67</v>
      </c>
      <c r="BY15" s="13">
        <v>5161.29</v>
      </c>
      <c r="BZ15" s="13">
        <v>5159</v>
      </c>
      <c r="CA15" s="13">
        <v>5157.6400000000003</v>
      </c>
      <c r="CB15" s="13">
        <v>5153.2700000000004</v>
      </c>
      <c r="CC15" s="13">
        <v>5166.3900000000003</v>
      </c>
      <c r="CD15" s="13">
        <v>5167.17</v>
      </c>
      <c r="CE15" s="13">
        <v>5165.04</v>
      </c>
      <c r="CF15" s="13">
        <v>5165.04</v>
      </c>
      <c r="CG15" s="13">
        <v>5167.4799999999996</v>
      </c>
      <c r="CH15" s="13">
        <v>5167.17</v>
      </c>
      <c r="CI15" s="13">
        <v>5165.8599999999997</v>
      </c>
      <c r="CJ15" s="13">
        <v>5169.5200000000004</v>
      </c>
      <c r="CK15" s="13">
        <v>5170.3</v>
      </c>
      <c r="CL15" s="13">
        <v>5162.0600000000004</v>
      </c>
      <c r="CM15" s="13">
        <v>5164.21</v>
      </c>
      <c r="CN15" s="13">
        <v>5160.45</v>
      </c>
      <c r="CO15" s="13">
        <v>5159.91</v>
      </c>
      <c r="CP15" s="13">
        <v>5168.5200000000004</v>
      </c>
      <c r="CQ15" s="13">
        <v>5169.96</v>
      </c>
      <c r="CR15" s="13">
        <v>5165.24</v>
      </c>
      <c r="CS15" s="13">
        <v>5162.21</v>
      </c>
      <c r="CT15" s="13">
        <v>5158.82</v>
      </c>
      <c r="CU15" s="13">
        <v>5164.21</v>
      </c>
      <c r="CV15" s="13">
        <v>5164.21</v>
      </c>
      <c r="CW15" s="13">
        <v>5159.21</v>
      </c>
      <c r="CX15" s="13">
        <v>5154.97</v>
      </c>
      <c r="CY15" s="13">
        <v>5152.68</v>
      </c>
      <c r="CZ15" s="13">
        <v>5146.25</v>
      </c>
      <c r="DA15" s="13">
        <v>5148.07</v>
      </c>
      <c r="DB15" s="13">
        <v>5165.83</v>
      </c>
      <c r="DC15" s="13">
        <v>5169.3</v>
      </c>
      <c r="DD15" s="13">
        <v>5180.7299999999996</v>
      </c>
      <c r="DE15" s="13">
        <v>5174</v>
      </c>
      <c r="DF15" s="13">
        <v>5191.09</v>
      </c>
      <c r="DG15" s="13">
        <v>5180.58</v>
      </c>
      <c r="DH15" s="13">
        <v>5180.2299999999996</v>
      </c>
      <c r="DI15" s="13">
        <v>5186.58</v>
      </c>
      <c r="DJ15" s="13">
        <v>5175.5600000000004</v>
      </c>
      <c r="DK15" s="13">
        <v>5185.25</v>
      </c>
      <c r="DL15" s="13">
        <v>5188.5</v>
      </c>
      <c r="DM15" s="32"/>
      <c r="DN15" s="33"/>
      <c r="DO15" s="32"/>
      <c r="DP15" s="33"/>
      <c r="DQ15" s="32"/>
      <c r="DR15" s="33"/>
      <c r="DS15" s="32"/>
      <c r="DT15" s="33"/>
      <c r="DU15" s="32"/>
      <c r="DV15" s="33"/>
    </row>
    <row r="16" spans="1:126" ht="15.75" x14ac:dyDescent="0.25">
      <c r="A16" s="14" t="s">
        <v>12</v>
      </c>
      <c r="B16" s="12" t="s">
        <v>9</v>
      </c>
      <c r="C16" s="13">
        <v>5192</v>
      </c>
      <c r="D16" s="13">
        <v>5206.67</v>
      </c>
      <c r="E16" s="13">
        <v>5224.17</v>
      </c>
      <c r="F16" s="13">
        <v>5214.2</v>
      </c>
      <c r="G16" s="13">
        <v>5214</v>
      </c>
      <c r="H16" s="13">
        <v>5214.2</v>
      </c>
      <c r="I16" s="13">
        <v>5219.4399999999996</v>
      </c>
      <c r="J16" s="13">
        <v>5215.46</v>
      </c>
      <c r="K16" s="13">
        <v>5217.13</v>
      </c>
      <c r="L16" s="13">
        <v>5207.34</v>
      </c>
      <c r="M16" s="13">
        <v>5202.8</v>
      </c>
      <c r="N16" s="13">
        <v>5208.24</v>
      </c>
      <c r="O16" s="13">
        <v>5205.24</v>
      </c>
      <c r="P16" s="13">
        <v>5202.34</v>
      </c>
      <c r="Q16" s="13">
        <v>5203.3100000000004</v>
      </c>
      <c r="R16" s="13">
        <v>5184.96</v>
      </c>
      <c r="S16" s="13">
        <v>5177.83</v>
      </c>
      <c r="T16" s="13">
        <v>5180.3100000000004</v>
      </c>
      <c r="U16" s="13">
        <v>5171.8500000000004</v>
      </c>
      <c r="V16" s="13">
        <v>5171</v>
      </c>
      <c r="W16" s="13">
        <v>5175.0600000000004</v>
      </c>
      <c r="X16" s="13">
        <v>5169.68</v>
      </c>
      <c r="Y16" s="13">
        <v>5176</v>
      </c>
      <c r="Z16" s="13">
        <v>5177.8100000000004</v>
      </c>
      <c r="AA16" s="13">
        <v>5170.58</v>
      </c>
      <c r="AB16" s="13">
        <v>5172.3900000000003</v>
      </c>
      <c r="AC16" s="13">
        <v>5166.97</v>
      </c>
      <c r="AD16" s="13">
        <v>5167.87</v>
      </c>
      <c r="AE16" s="13">
        <v>5165</v>
      </c>
      <c r="AF16" s="13">
        <v>5168.3100000000004</v>
      </c>
      <c r="AG16" s="13">
        <v>5160.7700000000004</v>
      </c>
      <c r="AH16" s="13">
        <v>5166.59</v>
      </c>
      <c r="AI16" s="13">
        <v>5162.29</v>
      </c>
      <c r="AJ16" s="13">
        <v>5157.6099999999997</v>
      </c>
      <c r="AK16" s="13">
        <v>5152.3500000000004</v>
      </c>
      <c r="AL16" s="13">
        <v>5150.18</v>
      </c>
      <c r="AM16" s="13">
        <v>5153</v>
      </c>
      <c r="AN16" s="13">
        <v>5135.75</v>
      </c>
      <c r="AO16" s="13">
        <v>5131</v>
      </c>
      <c r="AP16" s="13">
        <v>5130.75</v>
      </c>
      <c r="AQ16" s="13">
        <v>5127.83</v>
      </c>
      <c r="AR16" s="13">
        <v>5130.43</v>
      </c>
      <c r="AS16" s="13">
        <v>5135</v>
      </c>
      <c r="AT16" s="13">
        <v>5133.09</v>
      </c>
      <c r="AU16" s="13">
        <v>5133.22</v>
      </c>
      <c r="AV16" s="13">
        <v>5134.29</v>
      </c>
      <c r="AW16" s="13">
        <v>5137.6400000000003</v>
      </c>
      <c r="AX16" s="13">
        <v>5137.72</v>
      </c>
      <c r="AY16" s="13">
        <v>5125.4399999999996</v>
      </c>
      <c r="AZ16" s="13">
        <v>5130.72</v>
      </c>
      <c r="BA16" s="13">
        <v>5127.72</v>
      </c>
      <c r="BB16" s="13">
        <v>5125.72</v>
      </c>
      <c r="BC16" s="13">
        <v>5128.6400000000003</v>
      </c>
      <c r="BD16" s="13">
        <v>5122.72</v>
      </c>
      <c r="BE16" s="13">
        <v>5121.78</v>
      </c>
      <c r="BF16" s="13">
        <v>5121.78</v>
      </c>
      <c r="BG16" s="13">
        <v>5123.29</v>
      </c>
      <c r="BH16" s="13">
        <v>5127.46</v>
      </c>
      <c r="BI16" s="13">
        <v>5129.99</v>
      </c>
      <c r="BJ16" s="13">
        <v>5127.8599999999997</v>
      </c>
      <c r="BK16" s="13">
        <v>5123.42</v>
      </c>
      <c r="BL16" s="13">
        <v>5128.33</v>
      </c>
      <c r="BM16" s="13">
        <v>5132.71</v>
      </c>
      <c r="BN16" s="13">
        <v>5134.88</v>
      </c>
      <c r="BO16" s="13">
        <v>5134.67</v>
      </c>
      <c r="BP16" s="13">
        <v>5134.29</v>
      </c>
      <c r="BQ16" s="13">
        <v>5134.88</v>
      </c>
      <c r="BR16" s="13">
        <v>5135.24</v>
      </c>
      <c r="BS16" s="13">
        <v>5134.88</v>
      </c>
      <c r="BT16" s="13">
        <v>5132.95</v>
      </c>
      <c r="BU16" s="13">
        <v>5140.5200000000004</v>
      </c>
      <c r="BV16" s="13">
        <v>5138.83</v>
      </c>
      <c r="BW16" s="13">
        <v>5134.84</v>
      </c>
      <c r="BX16" s="13">
        <v>5132.63</v>
      </c>
      <c r="BY16" s="13">
        <v>5132.71</v>
      </c>
      <c r="BZ16" s="13">
        <v>5130.47</v>
      </c>
      <c r="CA16" s="13">
        <v>5129.54</v>
      </c>
      <c r="CB16" s="13">
        <v>5127.6400000000003</v>
      </c>
      <c r="CC16" s="13">
        <v>5133.59</v>
      </c>
      <c r="CD16" s="13">
        <v>5135.07</v>
      </c>
      <c r="CE16" s="13">
        <v>5135.58</v>
      </c>
      <c r="CF16" s="13">
        <v>5136.08</v>
      </c>
      <c r="CG16" s="13">
        <v>5133.63</v>
      </c>
      <c r="CH16" s="13">
        <v>5134.76</v>
      </c>
      <c r="CI16" s="13">
        <v>5136.88</v>
      </c>
      <c r="CJ16" s="13">
        <v>5136.25</v>
      </c>
      <c r="CK16" s="13">
        <v>5137.05</v>
      </c>
      <c r="CL16" s="13">
        <v>5135.5</v>
      </c>
      <c r="CM16" s="13">
        <v>5134.8999999999996</v>
      </c>
      <c r="CN16" s="13">
        <v>5134.29</v>
      </c>
      <c r="CO16" s="13">
        <v>5134.29</v>
      </c>
      <c r="CP16" s="13">
        <v>5135.72</v>
      </c>
      <c r="CQ16" s="13">
        <v>5141.42</v>
      </c>
      <c r="CR16" s="13">
        <v>5139.83</v>
      </c>
      <c r="CS16" s="13">
        <v>5135.58</v>
      </c>
      <c r="CT16" s="13">
        <v>5131.6899999999996</v>
      </c>
      <c r="CU16" s="13">
        <v>5135.08</v>
      </c>
      <c r="CV16" s="13">
        <v>5135.24</v>
      </c>
      <c r="CW16" s="13">
        <v>5133.71</v>
      </c>
      <c r="CX16" s="13">
        <v>5129.54</v>
      </c>
      <c r="CY16" s="13">
        <v>5128.6000000000004</v>
      </c>
      <c r="CZ16" s="13">
        <v>5128.95</v>
      </c>
      <c r="DA16" s="13">
        <v>5129.42</v>
      </c>
      <c r="DB16" s="13">
        <v>5132.92</v>
      </c>
      <c r="DC16" s="13">
        <v>5138.71</v>
      </c>
      <c r="DD16" s="13">
        <v>5157.57</v>
      </c>
      <c r="DE16" s="13">
        <v>5149</v>
      </c>
      <c r="DF16" s="13">
        <v>5168.8599999999997</v>
      </c>
      <c r="DG16" s="13">
        <v>5155.57</v>
      </c>
      <c r="DH16" s="13">
        <v>5156.57</v>
      </c>
      <c r="DI16" s="13">
        <v>5159.16</v>
      </c>
      <c r="DJ16" s="13">
        <v>5147.93</v>
      </c>
      <c r="DK16" s="13">
        <v>5149.33</v>
      </c>
      <c r="DL16" s="13">
        <v>5184</v>
      </c>
      <c r="DM16" s="32"/>
      <c r="DN16" s="33"/>
      <c r="DO16" s="32"/>
      <c r="DP16" s="33"/>
      <c r="DQ16" s="32"/>
      <c r="DR16" s="33"/>
      <c r="DS16" s="32"/>
      <c r="DT16" s="33"/>
      <c r="DU16" s="32"/>
      <c r="DV16" s="33"/>
    </row>
    <row r="17" spans="1:126" ht="15.75" x14ac:dyDescent="0.25">
      <c r="A17" s="14" t="s">
        <v>12</v>
      </c>
      <c r="B17" s="12" t="s">
        <v>7</v>
      </c>
      <c r="C17" s="13">
        <v>5192</v>
      </c>
      <c r="D17" s="13">
        <v>5192</v>
      </c>
      <c r="E17" s="13">
        <v>5206</v>
      </c>
      <c r="F17" s="13">
        <v>5214.2</v>
      </c>
      <c r="G17" s="13">
        <v>5208.2</v>
      </c>
      <c r="H17" s="13">
        <v>5203.2</v>
      </c>
      <c r="I17" s="13">
        <v>5210.46</v>
      </c>
      <c r="J17" s="13">
        <v>5213.13</v>
      </c>
      <c r="K17" s="13">
        <v>5212.1099999999997</v>
      </c>
      <c r="L17" s="13">
        <v>5203.72</v>
      </c>
      <c r="M17" s="13">
        <v>5202.6499999999996</v>
      </c>
      <c r="N17" s="13">
        <v>5197.28</v>
      </c>
      <c r="O17" s="13">
        <v>5202</v>
      </c>
      <c r="P17" s="13">
        <v>5200.04</v>
      </c>
      <c r="Q17" s="13">
        <v>5200.8500000000004</v>
      </c>
      <c r="R17" s="13">
        <v>5184.08</v>
      </c>
      <c r="S17" s="13">
        <v>5176</v>
      </c>
      <c r="T17" s="13">
        <v>5175.83</v>
      </c>
      <c r="U17" s="13">
        <v>5169.55</v>
      </c>
      <c r="V17" s="13">
        <v>5163.33</v>
      </c>
      <c r="W17" s="13">
        <v>5172.37</v>
      </c>
      <c r="X17" s="13">
        <v>5169.68</v>
      </c>
      <c r="Y17" s="13">
        <v>5168.7700000000004</v>
      </c>
      <c r="Z17" s="13">
        <v>5175.2</v>
      </c>
      <c r="AA17" s="13">
        <v>5170.58</v>
      </c>
      <c r="AB17" s="13">
        <v>5172.3900000000003</v>
      </c>
      <c r="AC17" s="13">
        <v>5166.97</v>
      </c>
      <c r="AD17" s="13">
        <v>5167.1400000000003</v>
      </c>
      <c r="AE17" s="13">
        <v>5163.1899999999996</v>
      </c>
      <c r="AF17" s="13">
        <v>5166.8100000000004</v>
      </c>
      <c r="AG17" s="13">
        <v>5159.58</v>
      </c>
      <c r="AH17" s="13">
        <v>5159.58</v>
      </c>
      <c r="AI17" s="13">
        <v>5162.29</v>
      </c>
      <c r="AJ17" s="13">
        <v>5157.37</v>
      </c>
      <c r="AK17" s="13">
        <v>5152.3500000000004</v>
      </c>
      <c r="AL17" s="13">
        <v>5148.33</v>
      </c>
      <c r="AM17" s="13">
        <v>5145.46</v>
      </c>
      <c r="AN17" s="13">
        <v>5133</v>
      </c>
      <c r="AO17" s="13">
        <v>5131</v>
      </c>
      <c r="AP17" s="13">
        <v>5130</v>
      </c>
      <c r="AQ17" s="13">
        <v>5126.72</v>
      </c>
      <c r="AR17" s="13">
        <v>5126.2299999999996</v>
      </c>
      <c r="AS17" s="13">
        <v>5132.76</v>
      </c>
      <c r="AT17" s="13">
        <v>5133.09</v>
      </c>
      <c r="AU17" s="13">
        <v>5132.4399999999996</v>
      </c>
      <c r="AV17" s="13">
        <v>5128.28</v>
      </c>
      <c r="AW17" s="13">
        <v>5134.29</v>
      </c>
      <c r="AX17" s="13">
        <v>5137.72</v>
      </c>
      <c r="AY17" s="13">
        <v>5125.4399999999996</v>
      </c>
      <c r="AZ17" s="13">
        <v>5124.4399999999996</v>
      </c>
      <c r="BA17" s="13">
        <v>5127.72</v>
      </c>
      <c r="BB17" s="13">
        <v>5125.72</v>
      </c>
      <c r="BC17" s="13">
        <v>5125.72</v>
      </c>
      <c r="BD17" s="13">
        <v>5122.72</v>
      </c>
      <c r="BE17" s="13">
        <v>5120.72</v>
      </c>
      <c r="BF17" s="13">
        <v>5120.72</v>
      </c>
      <c r="BG17" s="13">
        <v>5120.72</v>
      </c>
      <c r="BH17" s="13">
        <v>5123.29</v>
      </c>
      <c r="BI17" s="13">
        <v>5126.72</v>
      </c>
      <c r="BJ17" s="13">
        <v>5127.8599999999997</v>
      </c>
      <c r="BK17" s="13">
        <v>5122.1400000000003</v>
      </c>
      <c r="BL17" s="13">
        <v>5123.4799999999996</v>
      </c>
      <c r="BM17" s="13">
        <v>5129.08</v>
      </c>
      <c r="BN17" s="13">
        <v>5133.92</v>
      </c>
      <c r="BO17" s="13">
        <v>5132.63</v>
      </c>
      <c r="BP17" s="13">
        <v>5133.37</v>
      </c>
      <c r="BQ17" s="13">
        <v>5133.37</v>
      </c>
      <c r="BR17" s="13">
        <v>5133.84</v>
      </c>
      <c r="BS17" s="13">
        <v>5133.08</v>
      </c>
      <c r="BT17" s="13">
        <v>5132.32</v>
      </c>
      <c r="BU17" s="13">
        <v>5132.75</v>
      </c>
      <c r="BV17" s="13">
        <v>5137.05</v>
      </c>
      <c r="BW17" s="13">
        <v>5134.84</v>
      </c>
      <c r="BX17" s="13">
        <v>5131.7</v>
      </c>
      <c r="BY17" s="13">
        <v>5131.8900000000003</v>
      </c>
      <c r="BZ17" s="13">
        <v>5130.47</v>
      </c>
      <c r="CA17" s="13">
        <v>5128.93</v>
      </c>
      <c r="CB17" s="13">
        <v>5127.6400000000003</v>
      </c>
      <c r="CC17" s="13">
        <v>5127.6400000000003</v>
      </c>
      <c r="CD17" s="13">
        <v>5133.13</v>
      </c>
      <c r="CE17" s="13">
        <v>5134.76</v>
      </c>
      <c r="CF17" s="13">
        <v>5134.1099999999997</v>
      </c>
      <c r="CG17" s="13">
        <v>5133.63</v>
      </c>
      <c r="CH17" s="13">
        <v>5130.8599999999997</v>
      </c>
      <c r="CI17" s="13">
        <v>5135.29</v>
      </c>
      <c r="CJ17" s="13">
        <v>5134.37</v>
      </c>
      <c r="CK17" s="13">
        <v>5135.29</v>
      </c>
      <c r="CL17" s="13">
        <v>5134.84</v>
      </c>
      <c r="CM17" s="13">
        <v>5132.79</v>
      </c>
      <c r="CN17" s="13">
        <v>5133.84</v>
      </c>
      <c r="CO17" s="13">
        <v>5134.05</v>
      </c>
      <c r="CP17" s="13">
        <v>5134.59</v>
      </c>
      <c r="CQ17" s="13">
        <v>5135.72</v>
      </c>
      <c r="CR17" s="13">
        <v>5137.93</v>
      </c>
      <c r="CS17" s="13">
        <v>5135.58</v>
      </c>
      <c r="CT17" s="13">
        <v>5131.6899999999996</v>
      </c>
      <c r="CU17" s="13">
        <v>5133.42</v>
      </c>
      <c r="CV17" s="13">
        <v>5134.1099999999997</v>
      </c>
      <c r="CW17" s="13">
        <v>5132.79</v>
      </c>
      <c r="CX17" s="13">
        <v>5128.95</v>
      </c>
      <c r="CY17" s="13">
        <v>5128.29</v>
      </c>
      <c r="CZ17" s="13">
        <v>5128.6000000000004</v>
      </c>
      <c r="DA17" s="13">
        <v>5128.29</v>
      </c>
      <c r="DB17" s="13">
        <v>5130.71</v>
      </c>
      <c r="DC17" s="13">
        <v>5132.92</v>
      </c>
      <c r="DD17" s="13">
        <v>5142.13</v>
      </c>
      <c r="DE17" s="13">
        <v>5148.57</v>
      </c>
      <c r="DF17" s="13">
        <v>5150.16</v>
      </c>
      <c r="DG17" s="13">
        <v>5155.57</v>
      </c>
      <c r="DH17" s="13">
        <v>5154.42</v>
      </c>
      <c r="DI17" s="13">
        <v>5154.57</v>
      </c>
      <c r="DJ17" s="13">
        <v>5147.33</v>
      </c>
      <c r="DK17" s="13">
        <v>5148.21</v>
      </c>
      <c r="DL17" s="13">
        <v>5176.3599999999997</v>
      </c>
      <c r="DM17" s="32"/>
      <c r="DN17" s="33"/>
      <c r="DO17" s="32"/>
      <c r="DP17" s="33"/>
      <c r="DQ17" s="32"/>
      <c r="DR17" s="33"/>
      <c r="DS17" s="32"/>
      <c r="DT17" s="33"/>
      <c r="DU17" s="32"/>
      <c r="DV17" s="33"/>
    </row>
    <row r="18" spans="1:126" ht="15.75" x14ac:dyDescent="0.25">
      <c r="A18" s="14"/>
      <c r="B18" s="12"/>
      <c r="C18" s="13">
        <f t="shared" ref="C18:AH18" si="6">(C14+C15+C16+C17)/4</f>
        <v>5210</v>
      </c>
      <c r="D18" s="13">
        <f t="shared" si="6"/>
        <v>5218.7150000000001</v>
      </c>
      <c r="E18" s="13">
        <f t="shared" si="6"/>
        <v>5233.6849999999995</v>
      </c>
      <c r="F18" s="13">
        <f t="shared" si="6"/>
        <v>5224.3024999999998</v>
      </c>
      <c r="G18" s="13">
        <f t="shared" si="6"/>
        <v>5220.6750000000002</v>
      </c>
      <c r="H18" s="13">
        <f t="shared" si="6"/>
        <v>5219.1100000000006</v>
      </c>
      <c r="I18" s="13">
        <f t="shared" si="6"/>
        <v>5223.9574999999995</v>
      </c>
      <c r="J18" s="13">
        <f t="shared" si="6"/>
        <v>5223.5924999999997</v>
      </c>
      <c r="K18" s="13">
        <f t="shared" si="6"/>
        <v>5223.5425000000005</v>
      </c>
      <c r="L18" s="13">
        <f t="shared" si="6"/>
        <v>5218.1100000000006</v>
      </c>
      <c r="M18" s="13">
        <f t="shared" si="6"/>
        <v>5215.3374999999996</v>
      </c>
      <c r="N18" s="13">
        <f t="shared" si="6"/>
        <v>5215.22</v>
      </c>
      <c r="O18" s="13">
        <f t="shared" si="6"/>
        <v>5217.2924999999996</v>
      </c>
      <c r="P18" s="13">
        <f t="shared" si="6"/>
        <v>5211.8074999999999</v>
      </c>
      <c r="Q18" s="13">
        <f t="shared" si="6"/>
        <v>5213.9624999999996</v>
      </c>
      <c r="R18" s="13">
        <f t="shared" si="6"/>
        <v>5197.6474999999991</v>
      </c>
      <c r="S18" s="13">
        <f t="shared" si="6"/>
        <v>5192.4549999999999</v>
      </c>
      <c r="T18" s="13">
        <f t="shared" si="6"/>
        <v>5190.43</v>
      </c>
      <c r="U18" s="13">
        <f t="shared" si="6"/>
        <v>5186.5325000000003</v>
      </c>
      <c r="V18" s="13">
        <f t="shared" si="6"/>
        <v>5183.8799999999992</v>
      </c>
      <c r="W18" s="13">
        <f t="shared" si="6"/>
        <v>5187.3500000000004</v>
      </c>
      <c r="X18" s="13">
        <f t="shared" si="6"/>
        <v>5184.6750000000002</v>
      </c>
      <c r="Y18" s="13">
        <f t="shared" si="6"/>
        <v>5186.96</v>
      </c>
      <c r="Z18" s="13">
        <f t="shared" si="6"/>
        <v>5189.55</v>
      </c>
      <c r="AA18" s="13">
        <f t="shared" si="6"/>
        <v>5185.46</v>
      </c>
      <c r="AB18" s="13">
        <f t="shared" si="6"/>
        <v>5187.07</v>
      </c>
      <c r="AC18" s="13">
        <f t="shared" si="6"/>
        <v>5183.4400000000005</v>
      </c>
      <c r="AD18" s="13">
        <f t="shared" si="6"/>
        <v>5183.1799999999994</v>
      </c>
      <c r="AE18" s="13">
        <f t="shared" si="6"/>
        <v>5181.5774999999994</v>
      </c>
      <c r="AF18" s="13">
        <f t="shared" si="6"/>
        <v>5183.6600000000008</v>
      </c>
      <c r="AG18" s="13">
        <f t="shared" si="6"/>
        <v>5178.8500000000004</v>
      </c>
      <c r="AH18" s="13">
        <f t="shared" si="6"/>
        <v>5181.3425000000007</v>
      </c>
      <c r="AI18" s="13">
        <f t="shared" ref="AI18:BN18" si="7">(AI14+AI15+AI16+AI17)/4</f>
        <v>5180.4775</v>
      </c>
      <c r="AJ18" s="13">
        <f t="shared" si="7"/>
        <v>5177.71</v>
      </c>
      <c r="AK18" s="13">
        <f t="shared" si="7"/>
        <v>5173.6000000000004</v>
      </c>
      <c r="AL18" s="13">
        <f t="shared" si="7"/>
        <v>5171.2175000000007</v>
      </c>
      <c r="AM18" s="13">
        <f t="shared" si="7"/>
        <v>5187.5574999999999</v>
      </c>
      <c r="AN18" s="13">
        <f t="shared" si="7"/>
        <v>5166.75</v>
      </c>
      <c r="AO18" s="13">
        <f t="shared" si="7"/>
        <v>5149.4025000000001</v>
      </c>
      <c r="AP18" s="13">
        <f t="shared" si="7"/>
        <v>5144.1875</v>
      </c>
      <c r="AQ18" s="13">
        <f t="shared" si="7"/>
        <v>5141.4375</v>
      </c>
      <c r="AR18" s="13">
        <f t="shared" si="7"/>
        <v>5147.79</v>
      </c>
      <c r="AS18" s="13">
        <f t="shared" si="7"/>
        <v>5159.7000000000007</v>
      </c>
      <c r="AT18" s="13">
        <f t="shared" si="7"/>
        <v>5154.0974999999999</v>
      </c>
      <c r="AU18" s="13">
        <f t="shared" si="7"/>
        <v>5155.7650000000003</v>
      </c>
      <c r="AV18" s="13">
        <f t="shared" si="7"/>
        <v>5156.6475</v>
      </c>
      <c r="AW18" s="13">
        <f t="shared" si="7"/>
        <v>5159.8874999999998</v>
      </c>
      <c r="AX18" s="13">
        <f t="shared" si="7"/>
        <v>5156.4850000000006</v>
      </c>
      <c r="AY18" s="13">
        <f t="shared" si="7"/>
        <v>5145.57</v>
      </c>
      <c r="AZ18" s="13">
        <f t="shared" si="7"/>
        <v>5149.34</v>
      </c>
      <c r="BA18" s="13">
        <f t="shared" si="7"/>
        <v>5149.7925000000005</v>
      </c>
      <c r="BB18" s="13">
        <f t="shared" si="7"/>
        <v>5145.9875000000002</v>
      </c>
      <c r="BC18" s="13">
        <f t="shared" si="7"/>
        <v>5149.0625</v>
      </c>
      <c r="BD18" s="13">
        <f t="shared" si="7"/>
        <v>5140.97</v>
      </c>
      <c r="BE18" s="13">
        <f t="shared" si="7"/>
        <v>5139.7650000000003</v>
      </c>
      <c r="BF18" s="13">
        <f t="shared" si="7"/>
        <v>5136.5700000000006</v>
      </c>
      <c r="BG18" s="13">
        <f t="shared" si="7"/>
        <v>5144.5050000000001</v>
      </c>
      <c r="BH18" s="13">
        <f t="shared" si="7"/>
        <v>5147.5874999999996</v>
      </c>
      <c r="BI18" s="13">
        <f t="shared" si="7"/>
        <v>5146.8674999999994</v>
      </c>
      <c r="BJ18" s="13">
        <f t="shared" si="7"/>
        <v>5144.58</v>
      </c>
      <c r="BK18" s="13">
        <f t="shared" si="7"/>
        <v>5140.28</v>
      </c>
      <c r="BL18" s="13">
        <f t="shared" si="7"/>
        <v>5147.0349999999999</v>
      </c>
      <c r="BM18" s="13">
        <f t="shared" si="7"/>
        <v>5151.93</v>
      </c>
      <c r="BN18" s="13">
        <f t="shared" si="7"/>
        <v>5154.1175000000003</v>
      </c>
      <c r="BO18" s="13">
        <f t="shared" ref="BO18:CT18" si="8">(BO14+BO15+BO16+BO17)/4</f>
        <v>5153.7150000000001</v>
      </c>
      <c r="BP18" s="13">
        <f t="shared" si="8"/>
        <v>5151.91</v>
      </c>
      <c r="BQ18" s="13">
        <f t="shared" si="8"/>
        <v>5152.1750000000002</v>
      </c>
      <c r="BR18" s="13">
        <f t="shared" si="8"/>
        <v>5154.17</v>
      </c>
      <c r="BS18" s="13">
        <f t="shared" si="8"/>
        <v>5149.5249999999996</v>
      </c>
      <c r="BT18" s="13">
        <f t="shared" si="8"/>
        <v>5148.4624999999996</v>
      </c>
      <c r="BU18" s="13">
        <f t="shared" si="8"/>
        <v>5154.8125</v>
      </c>
      <c r="BV18" s="13">
        <f t="shared" si="8"/>
        <v>5156.2275</v>
      </c>
      <c r="BW18" s="13">
        <f t="shared" si="8"/>
        <v>5150.2825000000003</v>
      </c>
      <c r="BX18" s="13">
        <f t="shared" si="8"/>
        <v>5148.5625</v>
      </c>
      <c r="BY18" s="13">
        <f t="shared" si="8"/>
        <v>5147.8424999999997</v>
      </c>
      <c r="BZ18" s="13">
        <f t="shared" si="8"/>
        <v>5146.3550000000005</v>
      </c>
      <c r="CA18" s="13">
        <f t="shared" si="8"/>
        <v>5145.6525000000001</v>
      </c>
      <c r="CB18" s="13">
        <f t="shared" si="8"/>
        <v>5143.0625</v>
      </c>
      <c r="CC18" s="13">
        <f t="shared" si="8"/>
        <v>5152.3474999999999</v>
      </c>
      <c r="CD18" s="13">
        <f t="shared" si="8"/>
        <v>5151.9525000000003</v>
      </c>
      <c r="CE18" s="13">
        <f t="shared" si="8"/>
        <v>5155.0574999999999</v>
      </c>
      <c r="CF18" s="13">
        <f t="shared" si="8"/>
        <v>5150.96</v>
      </c>
      <c r="CG18" s="13">
        <f t="shared" si="8"/>
        <v>5150.5550000000003</v>
      </c>
      <c r="CH18" s="13">
        <f t="shared" si="8"/>
        <v>5154.7174999999997</v>
      </c>
      <c r="CI18" s="13">
        <f t="shared" si="8"/>
        <v>5156.0275000000001</v>
      </c>
      <c r="CJ18" s="13">
        <f t="shared" si="8"/>
        <v>5153.6875</v>
      </c>
      <c r="CK18" s="13">
        <f t="shared" si="8"/>
        <v>5154.4250000000002</v>
      </c>
      <c r="CL18" s="13">
        <f t="shared" si="8"/>
        <v>5149.95</v>
      </c>
      <c r="CM18" s="13">
        <f t="shared" si="8"/>
        <v>5150.3549999999996</v>
      </c>
      <c r="CN18" s="13">
        <f t="shared" si="8"/>
        <v>5148.3599999999997</v>
      </c>
      <c r="CO18" s="13">
        <f t="shared" si="8"/>
        <v>5148.0275000000001</v>
      </c>
      <c r="CP18" s="13">
        <f t="shared" si="8"/>
        <v>5153.1525000000001</v>
      </c>
      <c r="CQ18" s="13">
        <f t="shared" si="8"/>
        <v>5158.0450000000001</v>
      </c>
      <c r="CR18" s="13">
        <f t="shared" si="8"/>
        <v>5155.5974999999999</v>
      </c>
      <c r="CS18" s="13">
        <f t="shared" si="8"/>
        <v>5150.9949999999999</v>
      </c>
      <c r="CT18" s="13">
        <f t="shared" si="8"/>
        <v>5147.8649999999998</v>
      </c>
      <c r="CU18" s="13">
        <f t="shared" ref="CU18:DL18" si="9">(CU14+CU15+CU16+CU17)/4</f>
        <v>5151.6499999999996</v>
      </c>
      <c r="CV18" s="13">
        <f t="shared" si="9"/>
        <v>5150.5749999999998</v>
      </c>
      <c r="CW18" s="13">
        <f t="shared" si="9"/>
        <v>5148.1025</v>
      </c>
      <c r="CX18" s="13">
        <f t="shared" si="9"/>
        <v>5144.6475</v>
      </c>
      <c r="CY18" s="13">
        <f t="shared" si="9"/>
        <v>5142.0074999999997</v>
      </c>
      <c r="CZ18" s="13">
        <f t="shared" si="9"/>
        <v>5145.1475000000009</v>
      </c>
      <c r="DA18" s="13">
        <f t="shared" si="9"/>
        <v>5138.7550000000001</v>
      </c>
      <c r="DB18" s="13">
        <f t="shared" si="9"/>
        <v>5148.8225000000002</v>
      </c>
      <c r="DC18" s="13">
        <f t="shared" si="9"/>
        <v>5156.3474999999999</v>
      </c>
      <c r="DD18" s="13">
        <f t="shared" si="9"/>
        <v>5171.0249999999996</v>
      </c>
      <c r="DE18" s="13">
        <f t="shared" si="9"/>
        <v>5164.2950000000001</v>
      </c>
      <c r="DF18" s="13">
        <f t="shared" si="9"/>
        <v>5176.6675000000005</v>
      </c>
      <c r="DG18" s="13">
        <f t="shared" si="9"/>
        <v>5171.1899999999996</v>
      </c>
      <c r="DH18" s="13">
        <f t="shared" si="9"/>
        <v>5169.9949999999999</v>
      </c>
      <c r="DI18" s="13">
        <f t="shared" si="9"/>
        <v>5173.37</v>
      </c>
      <c r="DJ18" s="13">
        <f t="shared" si="9"/>
        <v>5164.3500000000004</v>
      </c>
      <c r="DK18" s="13">
        <f t="shared" si="9"/>
        <v>5168.3824999999997</v>
      </c>
      <c r="DL18" s="13">
        <f t="shared" si="9"/>
        <v>5187.4650000000001</v>
      </c>
      <c r="DM18" s="26"/>
      <c r="DN18" s="25"/>
      <c r="DO18" s="27"/>
      <c r="DP18" s="25"/>
      <c r="DQ18" s="27"/>
      <c r="DR18" s="25"/>
      <c r="DS18" s="27"/>
      <c r="DT18" s="25"/>
    </row>
    <row r="19" spans="1:126" ht="15.75" x14ac:dyDescent="0.25">
      <c r="A19" s="11" t="s">
        <v>5</v>
      </c>
      <c r="B19" s="11" t="s">
        <v>11</v>
      </c>
      <c r="C19" s="15">
        <v>0.375</v>
      </c>
      <c r="D19" s="15">
        <v>0.37847222222222227</v>
      </c>
      <c r="E19" s="15">
        <v>0.38194444444444442</v>
      </c>
      <c r="F19" s="15">
        <v>0.38541666666666669</v>
      </c>
      <c r="G19" s="15">
        <v>0.3888888888888889</v>
      </c>
      <c r="H19" s="15">
        <v>0.3923611111111111</v>
      </c>
      <c r="I19" s="15">
        <v>0.39583333333333331</v>
      </c>
      <c r="J19" s="15">
        <v>0.39930555555555558</v>
      </c>
      <c r="K19" s="15">
        <v>0.40277777777777773</v>
      </c>
      <c r="L19" s="15">
        <v>0.40625</v>
      </c>
      <c r="M19" s="15">
        <v>0.40972222222222227</v>
      </c>
      <c r="N19" s="15">
        <v>0.41319444444444442</v>
      </c>
      <c r="O19" s="15">
        <v>0.41666666666666669</v>
      </c>
      <c r="P19" s="15">
        <v>0.4201388888888889</v>
      </c>
      <c r="Q19" s="15">
        <v>0.4236111111111111</v>
      </c>
      <c r="R19" s="15">
        <v>0.42708333333333331</v>
      </c>
      <c r="S19" s="15">
        <v>0.43055555555555558</v>
      </c>
      <c r="T19" s="15">
        <v>0.43402777777777773</v>
      </c>
      <c r="U19" s="15">
        <v>0.4375</v>
      </c>
      <c r="V19" s="15">
        <v>0.44097222222222227</v>
      </c>
      <c r="W19" s="15">
        <v>0.44444444444444442</v>
      </c>
      <c r="X19" s="15">
        <v>0.44791666666666669</v>
      </c>
      <c r="Y19" s="15">
        <v>0.4513888888888889</v>
      </c>
      <c r="Z19" s="15">
        <v>0.4548611111111111</v>
      </c>
      <c r="AA19" s="15">
        <v>0.45833333333333331</v>
      </c>
      <c r="AB19" s="15">
        <v>0.46180555555555558</v>
      </c>
      <c r="AC19" s="15">
        <v>0.46527777777777773</v>
      </c>
      <c r="AD19" s="15">
        <v>0.46875</v>
      </c>
      <c r="AE19" s="15">
        <v>0.47222222222222227</v>
      </c>
      <c r="AF19" s="15">
        <v>0.47569444444444442</v>
      </c>
      <c r="AG19" s="15">
        <v>0.47916666666666669</v>
      </c>
      <c r="AH19" s="15">
        <v>0.4826388888888889</v>
      </c>
      <c r="AI19" s="15">
        <v>0.4861111111111111</v>
      </c>
      <c r="AJ19" s="15">
        <v>0.48958333333333331</v>
      </c>
      <c r="AK19" s="15">
        <v>0.49305555555555558</v>
      </c>
      <c r="AL19" s="15">
        <v>0.49652777777777773</v>
      </c>
      <c r="AM19" s="15">
        <v>0.5</v>
      </c>
      <c r="AN19" s="15">
        <v>0.50347222222222221</v>
      </c>
      <c r="AO19" s="15">
        <v>0.50694444444444442</v>
      </c>
      <c r="AP19" s="15">
        <v>0.51041666666666663</v>
      </c>
      <c r="AQ19" s="15">
        <v>0.51388888888888895</v>
      </c>
      <c r="AR19" s="15">
        <v>0.51736111111111105</v>
      </c>
      <c r="AS19" s="15">
        <v>0.52083333333333337</v>
      </c>
      <c r="AT19" s="15">
        <v>0.52430555555555558</v>
      </c>
      <c r="AU19" s="15">
        <v>0.52777777777777779</v>
      </c>
      <c r="AV19" s="15">
        <v>0.53125</v>
      </c>
      <c r="AW19" s="15">
        <v>0.53472222222222221</v>
      </c>
      <c r="AX19" s="15">
        <v>0.53819444444444442</v>
      </c>
      <c r="AY19" s="15">
        <v>0.54166666666666663</v>
      </c>
      <c r="AZ19" s="15">
        <v>0.54513888888888895</v>
      </c>
      <c r="BA19" s="15">
        <v>0.54861111111111105</v>
      </c>
      <c r="BB19" s="15">
        <v>0.55208333333333337</v>
      </c>
      <c r="BC19" s="15">
        <v>0.55555555555555558</v>
      </c>
      <c r="BD19" s="15">
        <v>0.55902777777777779</v>
      </c>
      <c r="BE19" s="15">
        <v>0.5625</v>
      </c>
      <c r="BF19" s="15">
        <v>0.56597222222222221</v>
      </c>
      <c r="BG19" s="15">
        <v>0.56944444444444442</v>
      </c>
      <c r="BH19" s="15">
        <v>0.57291666666666663</v>
      </c>
      <c r="BI19" s="15">
        <v>0.57638888888888895</v>
      </c>
      <c r="BJ19" s="15">
        <v>0.57986111111111105</v>
      </c>
      <c r="BK19" s="15">
        <v>0.58333333333333337</v>
      </c>
      <c r="BL19" s="15">
        <v>0.58680555555555558</v>
      </c>
      <c r="BM19" s="15">
        <v>0.59027777777777779</v>
      </c>
      <c r="BN19" s="15">
        <v>0.59375</v>
      </c>
      <c r="BO19" s="15">
        <v>0.59722222222222221</v>
      </c>
      <c r="BP19" s="15">
        <v>0.60069444444444442</v>
      </c>
      <c r="BQ19" s="15">
        <v>0.60416666666666663</v>
      </c>
      <c r="BR19" s="15">
        <v>0.60763888888888895</v>
      </c>
      <c r="BS19" s="15">
        <v>0.61111111111111105</v>
      </c>
      <c r="BT19" s="15">
        <v>0.61458333333333337</v>
      </c>
      <c r="BU19" s="15">
        <v>0.61805555555555558</v>
      </c>
      <c r="BV19" s="15">
        <v>0.62152777777777779</v>
      </c>
      <c r="BW19" s="15">
        <v>0.625</v>
      </c>
      <c r="BX19" s="15">
        <v>0.62847222222222221</v>
      </c>
      <c r="BY19" s="15">
        <v>0.63194444444444442</v>
      </c>
      <c r="BZ19" s="15">
        <v>0.63541666666666663</v>
      </c>
      <c r="CA19" s="15">
        <v>0.63888888888888895</v>
      </c>
      <c r="CB19" s="15">
        <v>0.64236111111111105</v>
      </c>
      <c r="CC19" s="15">
        <v>0.64583333333333337</v>
      </c>
      <c r="CD19" s="15">
        <v>0.64930555555555558</v>
      </c>
      <c r="CE19" s="15">
        <v>0.65277777777777779</v>
      </c>
      <c r="CF19" s="15">
        <v>0.65625</v>
      </c>
      <c r="CG19" s="15">
        <v>0.65972222222222221</v>
      </c>
      <c r="CH19" s="15">
        <v>0.66319444444444442</v>
      </c>
      <c r="CI19" s="15">
        <v>0.66666666666666663</v>
      </c>
      <c r="CJ19" s="15">
        <v>0.67013888888888884</v>
      </c>
      <c r="CK19" s="15">
        <v>0.67361111111111116</v>
      </c>
      <c r="CL19" s="15">
        <v>0.67708333333333337</v>
      </c>
      <c r="CM19" s="15">
        <v>0.68055555555555547</v>
      </c>
      <c r="CN19" s="15">
        <v>0.68402777777777779</v>
      </c>
      <c r="CO19" s="15">
        <v>0.6875</v>
      </c>
      <c r="CP19" s="15">
        <v>0.69097222222222221</v>
      </c>
      <c r="CQ19" s="15">
        <v>0.69444444444444453</v>
      </c>
      <c r="CR19" s="15">
        <v>0.69791666666666663</v>
      </c>
      <c r="CS19" s="15">
        <v>0.70138888888888884</v>
      </c>
      <c r="CT19" s="15">
        <v>0.70486111111111116</v>
      </c>
      <c r="CU19" s="15">
        <v>0.70833333333333337</v>
      </c>
      <c r="CV19" s="15">
        <v>0.71180555555555547</v>
      </c>
      <c r="CW19" s="15">
        <v>0.71527777777777779</v>
      </c>
      <c r="CX19" s="15">
        <v>0.71875</v>
      </c>
      <c r="CY19" s="15">
        <v>0.72222222222222221</v>
      </c>
      <c r="CZ19" s="15">
        <v>0.72569444444444453</v>
      </c>
      <c r="DA19" s="15">
        <v>0.72916666666666663</v>
      </c>
      <c r="DB19" s="15">
        <v>0.73263888888888884</v>
      </c>
      <c r="DC19" s="15">
        <v>0.73611111111111116</v>
      </c>
      <c r="DD19" s="15">
        <v>0.73958333333333337</v>
      </c>
      <c r="DE19" s="15">
        <v>0.74305555555555547</v>
      </c>
      <c r="DF19" s="15">
        <v>0.74652777777777779</v>
      </c>
      <c r="DG19" s="15">
        <v>0.75</v>
      </c>
      <c r="DH19" s="15">
        <v>0.75347222222222221</v>
      </c>
      <c r="DI19" s="15">
        <v>0.75694444444444453</v>
      </c>
      <c r="DJ19" s="15">
        <v>0.76041666666666663</v>
      </c>
      <c r="DK19" s="15">
        <v>0.76388888888888884</v>
      </c>
      <c r="DL19" s="15">
        <v>0.76736111111111116</v>
      </c>
      <c r="DM19" s="23">
        <v>44349</v>
      </c>
    </row>
    <row r="20" spans="1:126" ht="15.75" x14ac:dyDescent="0.25">
      <c r="A20" s="14">
        <v>44169</v>
      </c>
      <c r="B20" s="12" t="s">
        <v>6</v>
      </c>
      <c r="C20" s="13">
        <v>5160.7700000000004</v>
      </c>
      <c r="D20" s="13">
        <v>5186.67</v>
      </c>
      <c r="E20" s="13">
        <v>5159.17</v>
      </c>
      <c r="F20" s="13">
        <v>5159.58</v>
      </c>
      <c r="G20" s="13">
        <v>5149.58</v>
      </c>
      <c r="H20" s="13">
        <v>5148.53</v>
      </c>
      <c r="I20" s="13">
        <v>5160</v>
      </c>
      <c r="J20" s="13">
        <v>5163.57</v>
      </c>
      <c r="K20" s="13">
        <v>5161.05</v>
      </c>
      <c r="L20" s="13">
        <v>5155.5</v>
      </c>
      <c r="M20" s="13">
        <v>5160.0600000000004</v>
      </c>
      <c r="N20" s="13">
        <v>5168.95</v>
      </c>
      <c r="O20" s="13">
        <v>5176.92</v>
      </c>
      <c r="P20" s="13">
        <v>5175.5</v>
      </c>
      <c r="Q20" s="13">
        <v>5177.5</v>
      </c>
      <c r="R20" s="13">
        <v>5177.5</v>
      </c>
      <c r="S20" s="13">
        <v>5182.6499999999996</v>
      </c>
      <c r="T20" s="13">
        <v>5179.3999999999996</v>
      </c>
      <c r="U20" s="13">
        <v>5177.6400000000003</v>
      </c>
      <c r="V20" s="13">
        <v>5167.2</v>
      </c>
      <c r="W20" s="13">
        <v>5164.38</v>
      </c>
      <c r="X20" s="13">
        <v>5162.68</v>
      </c>
      <c r="Y20" s="13">
        <v>5176.55</v>
      </c>
      <c r="Z20" s="13">
        <v>5184.17</v>
      </c>
      <c r="AA20" s="13">
        <v>5185.17</v>
      </c>
      <c r="AB20" s="13">
        <v>5182.17</v>
      </c>
      <c r="AC20" s="13">
        <v>5178.72</v>
      </c>
      <c r="AD20" s="13">
        <v>5169.3999999999996</v>
      </c>
      <c r="AE20" s="13">
        <v>5166.17</v>
      </c>
      <c r="AF20" s="13">
        <v>5168.72</v>
      </c>
      <c r="AG20" s="13">
        <v>5174.38</v>
      </c>
      <c r="AH20" s="13">
        <v>5171.17</v>
      </c>
      <c r="AI20" s="13">
        <v>5171.17</v>
      </c>
      <c r="AJ20" s="13">
        <v>5168.18</v>
      </c>
      <c r="AK20" s="13">
        <v>5164.72</v>
      </c>
      <c r="AL20" s="13">
        <v>5174.72</v>
      </c>
      <c r="AM20" s="13">
        <v>5173</v>
      </c>
      <c r="AN20" s="13">
        <v>5183</v>
      </c>
      <c r="AO20" s="13">
        <v>5186</v>
      </c>
      <c r="AP20" s="13">
        <v>5190</v>
      </c>
      <c r="AQ20" s="13">
        <v>5186</v>
      </c>
      <c r="AR20" s="13">
        <v>5187</v>
      </c>
      <c r="AS20" s="13">
        <v>5190</v>
      </c>
      <c r="AT20" s="13">
        <v>5189.22</v>
      </c>
      <c r="AU20" s="13">
        <v>5179.07</v>
      </c>
      <c r="AV20" s="13">
        <v>5177</v>
      </c>
      <c r="AW20" s="13">
        <v>5182</v>
      </c>
      <c r="AX20" s="13">
        <v>5184</v>
      </c>
      <c r="AY20" s="13">
        <v>5185</v>
      </c>
      <c r="AZ20" s="13">
        <v>5182.24</v>
      </c>
      <c r="BA20" s="13">
        <v>5181.2700000000004</v>
      </c>
      <c r="BB20" s="13">
        <v>5181.5200000000004</v>
      </c>
      <c r="BC20" s="13">
        <v>5182.96</v>
      </c>
      <c r="BD20" s="13">
        <v>5185.33</v>
      </c>
      <c r="BE20" s="13">
        <v>5186.3999999999996</v>
      </c>
      <c r="BF20" s="13">
        <v>5182.38</v>
      </c>
      <c r="BG20" s="13">
        <v>5177.2</v>
      </c>
      <c r="BH20" s="13">
        <v>5177.72</v>
      </c>
      <c r="BI20" s="13">
        <v>5177.72</v>
      </c>
      <c r="BJ20" s="13">
        <v>5172.88</v>
      </c>
      <c r="BK20" s="13">
        <v>5175.04</v>
      </c>
      <c r="BL20" s="13">
        <v>5173.4799999999996</v>
      </c>
      <c r="BM20" s="13">
        <v>5176.5</v>
      </c>
      <c r="BN20" s="13">
        <v>5177.92</v>
      </c>
      <c r="BO20" s="13">
        <v>5178.25</v>
      </c>
      <c r="BP20" s="13">
        <v>5173.6000000000004</v>
      </c>
      <c r="BQ20" s="13">
        <v>5174.84</v>
      </c>
      <c r="BR20" s="13">
        <v>5174.84</v>
      </c>
      <c r="BS20" s="13">
        <v>5179.59</v>
      </c>
      <c r="BT20" s="13">
        <v>5177.87</v>
      </c>
      <c r="BU20" s="13">
        <v>5177.1000000000004</v>
      </c>
      <c r="BV20" s="13">
        <v>5179.88</v>
      </c>
      <c r="BW20" s="13">
        <v>5182.33</v>
      </c>
      <c r="BX20" s="13">
        <v>5179.57</v>
      </c>
      <c r="BY20" s="13">
        <v>5178.03</v>
      </c>
      <c r="BZ20" s="13">
        <v>5175.49</v>
      </c>
      <c r="CA20" s="13">
        <v>5168.76</v>
      </c>
      <c r="CB20" s="13">
        <v>5172.53</v>
      </c>
      <c r="CC20" s="13">
        <v>5168.3500000000004</v>
      </c>
      <c r="CD20" s="13">
        <v>5165.5600000000004</v>
      </c>
      <c r="CE20" s="13">
        <v>5162.8</v>
      </c>
      <c r="CF20" s="13">
        <v>5161.5200000000004</v>
      </c>
      <c r="CG20" s="13">
        <v>5154.25</v>
      </c>
      <c r="CH20" s="13">
        <v>5152.55</v>
      </c>
      <c r="CI20" s="13">
        <v>5150.5600000000004</v>
      </c>
      <c r="CJ20" s="13">
        <v>5154.2</v>
      </c>
      <c r="CK20" s="13">
        <v>5149.84</v>
      </c>
      <c r="CL20" s="13">
        <v>5152.8999999999996</v>
      </c>
      <c r="CM20" s="13">
        <v>5150.3599999999997</v>
      </c>
      <c r="CN20" s="13">
        <v>5153.3</v>
      </c>
      <c r="CO20" s="13">
        <v>5159.93</v>
      </c>
      <c r="CP20" s="13">
        <v>5150.5600000000004</v>
      </c>
      <c r="CQ20" s="13">
        <v>5151.18</v>
      </c>
      <c r="CR20" s="13">
        <v>5153.2299999999996</v>
      </c>
      <c r="CS20" s="13">
        <v>5145.22</v>
      </c>
      <c r="CT20" s="13">
        <v>5146.96</v>
      </c>
      <c r="CU20" s="13">
        <v>5150.1499999999996</v>
      </c>
      <c r="CV20" s="13">
        <v>5152.72</v>
      </c>
      <c r="CW20" s="13">
        <v>5154.59</v>
      </c>
      <c r="CX20" s="13">
        <v>5160.05</v>
      </c>
      <c r="CY20" s="13">
        <v>5162.25</v>
      </c>
      <c r="CZ20" s="13">
        <v>5164</v>
      </c>
      <c r="DA20" s="13">
        <v>5163.47</v>
      </c>
      <c r="DB20" s="13">
        <v>5157.7700000000004</v>
      </c>
      <c r="DC20" s="13">
        <v>5153.93</v>
      </c>
      <c r="DD20" s="13">
        <v>5160.3500000000004</v>
      </c>
      <c r="DE20" s="13">
        <v>5163.67</v>
      </c>
      <c r="DF20" s="13">
        <v>5169.25</v>
      </c>
      <c r="DG20" s="13">
        <v>5170.08</v>
      </c>
      <c r="DH20" s="13">
        <v>5168.83</v>
      </c>
      <c r="DI20" s="13">
        <v>5164.3100000000004</v>
      </c>
      <c r="DJ20" s="13">
        <v>5171.95</v>
      </c>
      <c r="DK20" s="13">
        <v>5172.91</v>
      </c>
      <c r="DL20" s="13">
        <v>5176.12</v>
      </c>
      <c r="DM20" s="32"/>
      <c r="DN20" s="33"/>
      <c r="DO20" s="32"/>
      <c r="DP20" s="33"/>
      <c r="DQ20" s="32"/>
      <c r="DR20" s="33"/>
      <c r="DS20" s="32"/>
      <c r="DT20" s="33"/>
      <c r="DU20" s="32"/>
      <c r="DV20" s="33"/>
    </row>
    <row r="21" spans="1:126" ht="15.75" x14ac:dyDescent="0.25">
      <c r="A21" s="14" t="s">
        <v>12</v>
      </c>
      <c r="B21" s="12" t="s">
        <v>10</v>
      </c>
      <c r="C21" s="13">
        <v>5160.7700000000004</v>
      </c>
      <c r="D21" s="13">
        <v>5148.82</v>
      </c>
      <c r="E21" s="13">
        <v>5159.17</v>
      </c>
      <c r="F21" s="13">
        <v>5139.4399999999996</v>
      </c>
      <c r="G21" s="13">
        <v>5148.53</v>
      </c>
      <c r="H21" s="13">
        <v>5138.8599999999997</v>
      </c>
      <c r="I21" s="13">
        <v>5153.82</v>
      </c>
      <c r="J21" s="13">
        <v>5152.04</v>
      </c>
      <c r="K21" s="13">
        <v>5153.2</v>
      </c>
      <c r="L21" s="13">
        <v>5150.5</v>
      </c>
      <c r="M21" s="13">
        <v>5153.8500000000004</v>
      </c>
      <c r="N21" s="13">
        <v>5165.55</v>
      </c>
      <c r="O21" s="13">
        <v>5171.28</v>
      </c>
      <c r="P21" s="13">
        <v>5171.2</v>
      </c>
      <c r="Q21" s="13">
        <v>5177.5</v>
      </c>
      <c r="R21" s="13">
        <v>5171.28</v>
      </c>
      <c r="S21" s="13">
        <v>5179.3999999999996</v>
      </c>
      <c r="T21" s="13">
        <v>5176.84</v>
      </c>
      <c r="U21" s="13">
        <v>5161.67</v>
      </c>
      <c r="V21" s="13">
        <v>5162.5</v>
      </c>
      <c r="W21" s="13">
        <v>5159.45</v>
      </c>
      <c r="X21" s="13">
        <v>5158.6400000000003</v>
      </c>
      <c r="Y21" s="13">
        <v>5176.04</v>
      </c>
      <c r="Z21" s="13">
        <v>5183.18</v>
      </c>
      <c r="AA21" s="13">
        <v>5180</v>
      </c>
      <c r="AB21" s="13">
        <v>5178</v>
      </c>
      <c r="AC21" s="13">
        <v>5169.22</v>
      </c>
      <c r="AD21" s="13">
        <v>5164.22</v>
      </c>
      <c r="AE21" s="13">
        <v>5164.46</v>
      </c>
      <c r="AF21" s="13">
        <v>5168.72</v>
      </c>
      <c r="AG21" s="13">
        <v>5172.18</v>
      </c>
      <c r="AH21" s="13">
        <v>5167</v>
      </c>
      <c r="AI21" s="13">
        <v>5166.71</v>
      </c>
      <c r="AJ21" s="13">
        <v>5162.57</v>
      </c>
      <c r="AK21" s="13">
        <v>5163.72</v>
      </c>
      <c r="AL21" s="13">
        <v>5172.22</v>
      </c>
      <c r="AM21" s="13">
        <v>5173</v>
      </c>
      <c r="AN21" s="13">
        <v>5182.22</v>
      </c>
      <c r="AO21" s="13">
        <v>5183.43</v>
      </c>
      <c r="AP21" s="13">
        <v>5187.71</v>
      </c>
      <c r="AQ21" s="13">
        <v>5186</v>
      </c>
      <c r="AR21" s="13">
        <v>5187</v>
      </c>
      <c r="AS21" s="13">
        <v>5189.22</v>
      </c>
      <c r="AT21" s="13">
        <v>5182.43</v>
      </c>
      <c r="AU21" s="13">
        <v>5175.22</v>
      </c>
      <c r="AV21" s="13">
        <v>5174.07</v>
      </c>
      <c r="AW21" s="13">
        <v>5181.22</v>
      </c>
      <c r="AX21" s="13">
        <v>5184</v>
      </c>
      <c r="AY21" s="13">
        <v>5178</v>
      </c>
      <c r="AZ21" s="13">
        <v>5181.2700000000004</v>
      </c>
      <c r="BA21" s="13">
        <v>5176.67</v>
      </c>
      <c r="BB21" s="13">
        <v>5176.57</v>
      </c>
      <c r="BC21" s="13">
        <v>5182.96</v>
      </c>
      <c r="BD21" s="13">
        <v>5184.33</v>
      </c>
      <c r="BE21" s="13">
        <v>5182.17</v>
      </c>
      <c r="BF21" s="13">
        <v>5175.5</v>
      </c>
      <c r="BG21" s="13">
        <v>5177.2</v>
      </c>
      <c r="BH21" s="13">
        <v>5177.72</v>
      </c>
      <c r="BI21" s="13">
        <v>5169.93</v>
      </c>
      <c r="BJ21" s="13">
        <v>5172.88</v>
      </c>
      <c r="BK21" s="13">
        <v>5172.83</v>
      </c>
      <c r="BL21" s="13">
        <v>5169.25</v>
      </c>
      <c r="BM21" s="13">
        <v>5176.5</v>
      </c>
      <c r="BN21" s="13">
        <v>5174.6899999999996</v>
      </c>
      <c r="BO21" s="13">
        <v>5172.9399999999996</v>
      </c>
      <c r="BP21" s="13">
        <v>5173.2700000000004</v>
      </c>
      <c r="BQ21" s="13">
        <v>5172.67</v>
      </c>
      <c r="BR21" s="13">
        <v>5174.84</v>
      </c>
      <c r="BS21" s="13">
        <v>5176.1400000000003</v>
      </c>
      <c r="BT21" s="13">
        <v>5176.29</v>
      </c>
      <c r="BU21" s="13">
        <v>5176</v>
      </c>
      <c r="BV21" s="13">
        <v>5179.16</v>
      </c>
      <c r="BW21" s="13">
        <v>5179.57</v>
      </c>
      <c r="BX21" s="13">
        <v>5178.03</v>
      </c>
      <c r="BY21" s="13">
        <v>5175.49</v>
      </c>
      <c r="BZ21" s="13">
        <v>5168.57</v>
      </c>
      <c r="CA21" s="13">
        <v>5163.49</v>
      </c>
      <c r="CB21" s="13">
        <v>5162.17</v>
      </c>
      <c r="CC21" s="13">
        <v>5162.3100000000004</v>
      </c>
      <c r="CD21" s="13">
        <v>5162.8</v>
      </c>
      <c r="CE21" s="13">
        <v>5160.57</v>
      </c>
      <c r="CF21" s="13">
        <v>5155.91</v>
      </c>
      <c r="CG21" s="13">
        <v>5151.8599999999997</v>
      </c>
      <c r="CH21" s="13">
        <v>5145.2299999999996</v>
      </c>
      <c r="CI21" s="13">
        <v>5145.67</v>
      </c>
      <c r="CJ21" s="13">
        <v>5147.2</v>
      </c>
      <c r="CK21" s="13">
        <v>5146.43</v>
      </c>
      <c r="CL21" s="13">
        <v>5150.3599999999997</v>
      </c>
      <c r="CM21" s="13">
        <v>5144.1400000000003</v>
      </c>
      <c r="CN21" s="13">
        <v>5150.3599999999997</v>
      </c>
      <c r="CO21" s="13">
        <v>5150.2700000000004</v>
      </c>
      <c r="CP21" s="13">
        <v>5143.1099999999997</v>
      </c>
      <c r="CQ21" s="13">
        <v>5151.18</v>
      </c>
      <c r="CR21" s="13">
        <v>5144.0600000000004</v>
      </c>
      <c r="CS21" s="13">
        <v>5143.7</v>
      </c>
      <c r="CT21" s="13">
        <v>5143.7</v>
      </c>
      <c r="CU21" s="13">
        <v>5146.96</v>
      </c>
      <c r="CV21" s="13">
        <v>5149.83</v>
      </c>
      <c r="CW21" s="13">
        <v>5152.72</v>
      </c>
      <c r="CX21" s="13">
        <v>5158.4799999999996</v>
      </c>
      <c r="CY21" s="13">
        <v>5154.4399999999996</v>
      </c>
      <c r="CZ21" s="13">
        <v>5150.3100000000004</v>
      </c>
      <c r="DA21" s="13">
        <v>5150.17</v>
      </c>
      <c r="DB21" s="13">
        <v>5152.7299999999996</v>
      </c>
      <c r="DC21" s="13">
        <v>5153.93</v>
      </c>
      <c r="DD21" s="13">
        <v>5153.84</v>
      </c>
      <c r="DE21" s="13">
        <v>5157.45</v>
      </c>
      <c r="DF21" s="13">
        <v>5165.07</v>
      </c>
      <c r="DG21" s="13">
        <v>5150.96</v>
      </c>
      <c r="DH21" s="13">
        <v>5164.2</v>
      </c>
      <c r="DI21" s="13">
        <v>5162.47</v>
      </c>
      <c r="DJ21" s="13">
        <v>5164.2700000000004</v>
      </c>
      <c r="DK21" s="13">
        <v>5170.1099999999997</v>
      </c>
      <c r="DL21" s="13">
        <v>5173.09</v>
      </c>
      <c r="DM21" s="32"/>
      <c r="DN21" s="33"/>
      <c r="DO21" s="32"/>
      <c r="DP21" s="33"/>
      <c r="DQ21" s="32"/>
      <c r="DR21" s="33"/>
      <c r="DS21" s="32"/>
      <c r="DT21" s="33"/>
      <c r="DU21" s="32"/>
      <c r="DV21" s="33"/>
    </row>
    <row r="22" spans="1:126" ht="15.75" x14ac:dyDescent="0.25">
      <c r="A22" s="14" t="s">
        <v>12</v>
      </c>
      <c r="B22" s="12" t="s">
        <v>9</v>
      </c>
      <c r="C22" s="13">
        <v>5103</v>
      </c>
      <c r="D22" s="13">
        <v>5132</v>
      </c>
      <c r="E22" s="13">
        <v>5140.3999999999996</v>
      </c>
      <c r="F22" s="13">
        <v>5125</v>
      </c>
      <c r="G22" s="13">
        <v>5130.5</v>
      </c>
      <c r="H22" s="13">
        <v>5123</v>
      </c>
      <c r="I22" s="13">
        <v>5137.25</v>
      </c>
      <c r="J22" s="13">
        <v>5137.13</v>
      </c>
      <c r="K22" s="13">
        <v>5140</v>
      </c>
      <c r="L22" s="13">
        <v>5135.17</v>
      </c>
      <c r="M22" s="13">
        <v>5138.75</v>
      </c>
      <c r="N22" s="13">
        <v>5150.75</v>
      </c>
      <c r="O22" s="13">
        <v>5158.1099999999997</v>
      </c>
      <c r="P22" s="13">
        <v>5159.22</v>
      </c>
      <c r="Q22" s="13">
        <v>5164.78</v>
      </c>
      <c r="R22" s="13">
        <v>5159.28</v>
      </c>
      <c r="S22" s="13">
        <v>5169.7</v>
      </c>
      <c r="T22" s="13">
        <v>5161.75</v>
      </c>
      <c r="U22" s="13">
        <v>5145.9399999999996</v>
      </c>
      <c r="V22" s="13">
        <v>5148.6400000000003</v>
      </c>
      <c r="W22" s="13">
        <v>5144.8599999999997</v>
      </c>
      <c r="X22" s="13">
        <v>5145.83</v>
      </c>
      <c r="Y22" s="13">
        <v>5156.71</v>
      </c>
      <c r="Z22" s="13">
        <v>5167.21</v>
      </c>
      <c r="AA22" s="13">
        <v>5161.83</v>
      </c>
      <c r="AB22" s="13">
        <v>5151.18</v>
      </c>
      <c r="AC22" s="13">
        <v>5148.03</v>
      </c>
      <c r="AD22" s="13">
        <v>5144.33</v>
      </c>
      <c r="AE22" s="13">
        <v>5146.58</v>
      </c>
      <c r="AF22" s="13">
        <v>5150.8</v>
      </c>
      <c r="AG22" s="13">
        <v>5150.2299999999996</v>
      </c>
      <c r="AH22" s="13">
        <v>5147.6899999999996</v>
      </c>
      <c r="AI22" s="13">
        <v>5147.17</v>
      </c>
      <c r="AJ22" s="13">
        <v>5146.8</v>
      </c>
      <c r="AK22" s="13">
        <v>5146.1099999999997</v>
      </c>
      <c r="AL22" s="13">
        <v>5151.4799999999996</v>
      </c>
      <c r="AM22" s="13">
        <v>5146.4799999999996</v>
      </c>
      <c r="AN22" s="13">
        <v>5156.33</v>
      </c>
      <c r="AO22" s="13">
        <v>5156.1400000000003</v>
      </c>
      <c r="AP22" s="13">
        <v>5147.43</v>
      </c>
      <c r="AQ22" s="13">
        <v>5162.66</v>
      </c>
      <c r="AR22" s="13">
        <v>5161.33</v>
      </c>
      <c r="AS22" s="13">
        <v>5162.88</v>
      </c>
      <c r="AT22" s="13">
        <v>5158.7</v>
      </c>
      <c r="AU22" s="13">
        <v>5153.12</v>
      </c>
      <c r="AV22" s="13">
        <v>5150.3599999999997</v>
      </c>
      <c r="AW22" s="13">
        <v>5157.43</v>
      </c>
      <c r="AX22" s="13">
        <v>5160.92</v>
      </c>
      <c r="AY22" s="13">
        <v>5157.24</v>
      </c>
      <c r="AZ22" s="13">
        <v>5156.3599999999997</v>
      </c>
      <c r="BA22" s="13">
        <v>5152.1400000000003</v>
      </c>
      <c r="BB22" s="13">
        <v>5150.25</v>
      </c>
      <c r="BC22" s="13">
        <v>5160.1099999999997</v>
      </c>
      <c r="BD22" s="13">
        <v>5154</v>
      </c>
      <c r="BE22" s="13">
        <v>5150.43</v>
      </c>
      <c r="BF22" s="13">
        <v>5148.32</v>
      </c>
      <c r="BG22" s="13">
        <v>5152.74</v>
      </c>
      <c r="BH22" s="13">
        <v>5152.03</v>
      </c>
      <c r="BI22" s="13">
        <v>5145.3</v>
      </c>
      <c r="BJ22" s="13">
        <v>5148.66</v>
      </c>
      <c r="BK22" s="13">
        <v>5149.3900000000003</v>
      </c>
      <c r="BL22" s="13">
        <v>5143.93</v>
      </c>
      <c r="BM22" s="13">
        <v>5149.71</v>
      </c>
      <c r="BN22" s="13">
        <v>5150.88</v>
      </c>
      <c r="BO22" s="13">
        <v>5148.79</v>
      </c>
      <c r="BP22" s="13">
        <v>5148.24</v>
      </c>
      <c r="BQ22" s="13">
        <v>5147.55</v>
      </c>
      <c r="BR22" s="13">
        <v>5150.87</v>
      </c>
      <c r="BS22" s="13">
        <v>5149.07</v>
      </c>
      <c r="BT22" s="13">
        <v>5149.43</v>
      </c>
      <c r="BU22" s="13">
        <v>5151.6400000000003</v>
      </c>
      <c r="BV22" s="13">
        <v>5153.7299999999996</v>
      </c>
      <c r="BW22" s="13">
        <v>5155.12</v>
      </c>
      <c r="BX22" s="13">
        <v>5153.03</v>
      </c>
      <c r="BY22" s="13">
        <v>5148.96</v>
      </c>
      <c r="BZ22" s="13">
        <v>5143.29</v>
      </c>
      <c r="CA22" s="13">
        <v>5141.18</v>
      </c>
      <c r="CB22" s="13">
        <v>5139.4799999999996</v>
      </c>
      <c r="CC22" s="13">
        <v>5138.96</v>
      </c>
      <c r="CD22" s="13">
        <v>5138.59</v>
      </c>
      <c r="CE22" s="13">
        <v>5141.9399999999996</v>
      </c>
      <c r="CF22" s="13">
        <v>5137.72</v>
      </c>
      <c r="CG22" s="13">
        <v>5125.25</v>
      </c>
      <c r="CH22" s="13">
        <v>5125.25</v>
      </c>
      <c r="CI22" s="13">
        <v>5124</v>
      </c>
      <c r="CJ22" s="13">
        <v>5125.25</v>
      </c>
      <c r="CK22" s="13">
        <v>5125</v>
      </c>
      <c r="CL22" s="13">
        <v>5125.6000000000004</v>
      </c>
      <c r="CM22" s="13">
        <v>5123.33</v>
      </c>
      <c r="CN22" s="13">
        <v>5125.8</v>
      </c>
      <c r="CO22" s="13">
        <v>5129.32</v>
      </c>
      <c r="CP22" s="13">
        <v>5122.25</v>
      </c>
      <c r="CQ22" s="13">
        <v>5125.6000000000004</v>
      </c>
      <c r="CR22" s="13">
        <v>5123.33</v>
      </c>
      <c r="CS22" s="13">
        <v>5121.3999999999996</v>
      </c>
      <c r="CT22" s="13">
        <v>5119.8</v>
      </c>
      <c r="CU22" s="13">
        <v>5120.3999999999996</v>
      </c>
      <c r="CV22" s="13">
        <v>5128.8</v>
      </c>
      <c r="CW22" s="13">
        <v>5130.3999999999996</v>
      </c>
      <c r="CX22" s="13">
        <v>5136.8</v>
      </c>
      <c r="CY22" s="13">
        <v>5131.33</v>
      </c>
      <c r="CZ22" s="13">
        <v>5130.53</v>
      </c>
      <c r="DA22" s="13">
        <v>5130.53</v>
      </c>
      <c r="DB22" s="13">
        <v>5131.8999999999996</v>
      </c>
      <c r="DC22" s="13">
        <v>5129.67</v>
      </c>
      <c r="DD22" s="13">
        <v>5130</v>
      </c>
      <c r="DE22" s="13">
        <v>5130.62</v>
      </c>
      <c r="DF22" s="13">
        <v>5134.2299999999996</v>
      </c>
      <c r="DG22" s="13">
        <v>5126</v>
      </c>
      <c r="DH22" s="13">
        <v>5132.33</v>
      </c>
      <c r="DI22" s="13">
        <v>5131.6099999999997</v>
      </c>
      <c r="DJ22" s="13">
        <v>5142</v>
      </c>
      <c r="DK22" s="13">
        <v>5147</v>
      </c>
      <c r="DL22" s="13">
        <v>5154</v>
      </c>
      <c r="DM22" s="32"/>
      <c r="DN22" s="33"/>
      <c r="DO22" s="32"/>
      <c r="DP22" s="33"/>
      <c r="DQ22" s="32"/>
      <c r="DR22" s="33"/>
      <c r="DS22" s="32"/>
      <c r="DT22" s="33"/>
      <c r="DU22" s="32"/>
      <c r="DV22" s="33"/>
    </row>
    <row r="23" spans="1:126" ht="15.75" x14ac:dyDescent="0.25">
      <c r="A23" s="14" t="s">
        <v>12</v>
      </c>
      <c r="B23" s="12" t="s">
        <v>7</v>
      </c>
      <c r="C23" s="13">
        <v>5103</v>
      </c>
      <c r="D23" s="13">
        <v>5107.5</v>
      </c>
      <c r="E23" s="13">
        <v>5130.33</v>
      </c>
      <c r="F23" s="13">
        <v>5125</v>
      </c>
      <c r="G23" s="13">
        <v>5124.33</v>
      </c>
      <c r="H23" s="13">
        <v>5122.33</v>
      </c>
      <c r="I23" s="13">
        <v>5124</v>
      </c>
      <c r="J23" s="13">
        <v>5133.28</v>
      </c>
      <c r="K23" s="13">
        <v>5137.28</v>
      </c>
      <c r="L23" s="13">
        <v>5133.29</v>
      </c>
      <c r="M23" s="13">
        <v>5134.57</v>
      </c>
      <c r="N23" s="13">
        <v>5141.17</v>
      </c>
      <c r="O23" s="13">
        <v>5149.1099999999997</v>
      </c>
      <c r="P23" s="13">
        <v>5156</v>
      </c>
      <c r="Q23" s="13">
        <v>5159</v>
      </c>
      <c r="R23" s="13">
        <v>5159.28</v>
      </c>
      <c r="S23" s="13">
        <v>5159.28</v>
      </c>
      <c r="T23" s="13">
        <v>5150.57</v>
      </c>
      <c r="U23" s="13">
        <v>5143.38</v>
      </c>
      <c r="V23" s="13">
        <v>5140.22</v>
      </c>
      <c r="W23" s="13">
        <v>5142.17</v>
      </c>
      <c r="X23" s="13">
        <v>5140.29</v>
      </c>
      <c r="Y23" s="13">
        <v>5145.83</v>
      </c>
      <c r="Z23" s="13">
        <v>5154.13</v>
      </c>
      <c r="AA23" s="13">
        <v>5161.83</v>
      </c>
      <c r="AB23" s="13">
        <v>5139.7</v>
      </c>
      <c r="AC23" s="13">
        <v>5144.82</v>
      </c>
      <c r="AD23" s="13">
        <v>5136.21</v>
      </c>
      <c r="AE23" s="13">
        <v>5143.8599999999997</v>
      </c>
      <c r="AF23" s="13">
        <v>5143.3599999999997</v>
      </c>
      <c r="AG23" s="13">
        <v>5147.5200000000004</v>
      </c>
      <c r="AH23" s="13">
        <v>5146.13</v>
      </c>
      <c r="AI23" s="13">
        <v>5141.8999999999996</v>
      </c>
      <c r="AJ23" s="13">
        <v>5138.7700000000004</v>
      </c>
      <c r="AK23" s="13">
        <v>5132.1400000000003</v>
      </c>
      <c r="AL23" s="13">
        <v>5142.18</v>
      </c>
      <c r="AM23" s="13">
        <v>5135.88</v>
      </c>
      <c r="AN23" s="13">
        <v>5136.1400000000003</v>
      </c>
      <c r="AO23" s="13">
        <v>5139.29</v>
      </c>
      <c r="AP23" s="13">
        <v>5139</v>
      </c>
      <c r="AQ23" s="13">
        <v>5139.57</v>
      </c>
      <c r="AR23" s="13">
        <v>5157.43</v>
      </c>
      <c r="AS23" s="13">
        <v>5146.57</v>
      </c>
      <c r="AT23" s="13">
        <v>5139</v>
      </c>
      <c r="AU23" s="13">
        <v>5137.57</v>
      </c>
      <c r="AV23" s="13">
        <v>5136.43</v>
      </c>
      <c r="AW23" s="13">
        <v>5150.3599999999997</v>
      </c>
      <c r="AX23" s="13">
        <v>5145.4399999999996</v>
      </c>
      <c r="AY23" s="13">
        <v>5144.5600000000004</v>
      </c>
      <c r="AZ23" s="13">
        <v>5145</v>
      </c>
      <c r="BA23" s="13">
        <v>5143.9399999999996</v>
      </c>
      <c r="BB23" s="13">
        <v>5149.2</v>
      </c>
      <c r="BC23" s="13">
        <v>5152.33</v>
      </c>
      <c r="BD23" s="13">
        <v>5146.79</v>
      </c>
      <c r="BE23" s="13">
        <v>5150.43</v>
      </c>
      <c r="BF23" s="13">
        <v>5145.3500000000004</v>
      </c>
      <c r="BG23" s="13">
        <v>5141.28</v>
      </c>
      <c r="BH23" s="13">
        <v>5149.43</v>
      </c>
      <c r="BI23" s="13">
        <v>5137.72</v>
      </c>
      <c r="BJ23" s="13">
        <v>5140.96</v>
      </c>
      <c r="BK23" s="13">
        <v>5145.21</v>
      </c>
      <c r="BL23" s="13">
        <v>5143.43</v>
      </c>
      <c r="BM23" s="13">
        <v>5149.71</v>
      </c>
      <c r="BN23" s="13">
        <v>5146.2</v>
      </c>
      <c r="BO23" s="13">
        <v>5144.3999999999996</v>
      </c>
      <c r="BP23" s="13">
        <v>5147.67</v>
      </c>
      <c r="BQ23" s="13">
        <v>5145.8599999999997</v>
      </c>
      <c r="BR23" s="13">
        <v>5143.43</v>
      </c>
      <c r="BS23" s="13">
        <v>5142.33</v>
      </c>
      <c r="BT23" s="13">
        <v>5147.17</v>
      </c>
      <c r="BU23" s="13">
        <v>5147.04</v>
      </c>
      <c r="BV23" s="13">
        <v>5142.17</v>
      </c>
      <c r="BW23" s="13">
        <v>5153.7299999999996</v>
      </c>
      <c r="BX23" s="13">
        <v>5143.9399999999996</v>
      </c>
      <c r="BY23" s="13">
        <v>5142.6099999999997</v>
      </c>
      <c r="BZ23" s="13">
        <v>5143.29</v>
      </c>
      <c r="CA23" s="13">
        <v>5134.8</v>
      </c>
      <c r="CB23" s="13">
        <v>5135.0600000000004</v>
      </c>
      <c r="CC23" s="13">
        <v>5135.0600000000004</v>
      </c>
      <c r="CD23" s="13">
        <v>5134.74</v>
      </c>
      <c r="CE23" s="13">
        <v>5134.78</v>
      </c>
      <c r="CF23" s="13">
        <v>5137.2299999999996</v>
      </c>
      <c r="CG23" s="13">
        <v>5120.33</v>
      </c>
      <c r="CH23" s="13">
        <v>5122.33</v>
      </c>
      <c r="CI23" s="13">
        <v>5122.33</v>
      </c>
      <c r="CJ23" s="13">
        <v>5122.33</v>
      </c>
      <c r="CK23" s="13">
        <v>5123.33</v>
      </c>
      <c r="CL23" s="13">
        <v>5122.33</v>
      </c>
      <c r="CM23" s="13">
        <v>5123.33</v>
      </c>
      <c r="CN23" s="13">
        <v>5123.33</v>
      </c>
      <c r="CO23" s="13">
        <v>5125</v>
      </c>
      <c r="CP23" s="13">
        <v>5121.33</v>
      </c>
      <c r="CQ23" s="13">
        <v>5121.33</v>
      </c>
      <c r="CR23" s="13">
        <v>5123.33</v>
      </c>
      <c r="CS23" s="13">
        <v>5115.63</v>
      </c>
      <c r="CT23" s="13">
        <v>5115.33</v>
      </c>
      <c r="CU23" s="13">
        <v>5118.6499999999996</v>
      </c>
      <c r="CV23" s="13">
        <v>5120.32</v>
      </c>
      <c r="CW23" s="13">
        <v>5127.25</v>
      </c>
      <c r="CX23" s="13">
        <v>5129.72</v>
      </c>
      <c r="CY23" s="13">
        <v>5131</v>
      </c>
      <c r="CZ23" s="13">
        <v>5130.3</v>
      </c>
      <c r="DA23" s="13">
        <v>5130.53</v>
      </c>
      <c r="DB23" s="13">
        <v>5129.53</v>
      </c>
      <c r="DC23" s="13">
        <v>5128</v>
      </c>
      <c r="DD23" s="13">
        <v>5130</v>
      </c>
      <c r="DE23" s="13">
        <v>5130</v>
      </c>
      <c r="DF23" s="13">
        <v>5130.62</v>
      </c>
      <c r="DG23" s="13">
        <v>5126</v>
      </c>
      <c r="DH23" s="13">
        <v>5126</v>
      </c>
      <c r="DI23" s="13">
        <v>5130.62</v>
      </c>
      <c r="DJ23" s="13">
        <v>5133.6099999999997</v>
      </c>
      <c r="DK23" s="13">
        <v>5140</v>
      </c>
      <c r="DL23" s="13">
        <v>5147</v>
      </c>
      <c r="DM23" s="32"/>
      <c r="DN23" s="33"/>
      <c r="DO23" s="32"/>
      <c r="DP23" s="33"/>
      <c r="DQ23" s="32"/>
      <c r="DR23" s="33"/>
      <c r="DS23" s="32"/>
      <c r="DT23" s="33"/>
      <c r="DU23" s="32"/>
      <c r="DV23" s="33"/>
    </row>
    <row r="24" spans="1:126" ht="15.75" x14ac:dyDescent="0.25">
      <c r="A24" s="14"/>
      <c r="B24" s="12"/>
      <c r="C24" s="13">
        <f t="shared" ref="C24:AH24" si="10">(C20+C21+C22+C23)/4</f>
        <v>5131.8850000000002</v>
      </c>
      <c r="D24" s="13">
        <f t="shared" si="10"/>
        <v>5143.7474999999995</v>
      </c>
      <c r="E24" s="13">
        <f t="shared" si="10"/>
        <v>5147.2674999999999</v>
      </c>
      <c r="F24" s="13">
        <f t="shared" si="10"/>
        <v>5137.2550000000001</v>
      </c>
      <c r="G24" s="13">
        <f t="shared" si="10"/>
        <v>5138.2350000000006</v>
      </c>
      <c r="H24" s="13">
        <f t="shared" si="10"/>
        <v>5133.18</v>
      </c>
      <c r="I24" s="13">
        <f t="shared" si="10"/>
        <v>5143.7674999999999</v>
      </c>
      <c r="J24" s="13">
        <f t="shared" si="10"/>
        <v>5146.5050000000001</v>
      </c>
      <c r="K24" s="13">
        <f t="shared" si="10"/>
        <v>5147.8824999999997</v>
      </c>
      <c r="L24" s="13">
        <f t="shared" si="10"/>
        <v>5143.6149999999998</v>
      </c>
      <c r="M24" s="13">
        <f t="shared" si="10"/>
        <v>5146.8074999999999</v>
      </c>
      <c r="N24" s="13">
        <f t="shared" si="10"/>
        <v>5156.6049999999996</v>
      </c>
      <c r="O24" s="13">
        <f t="shared" si="10"/>
        <v>5163.8550000000005</v>
      </c>
      <c r="P24" s="13">
        <f t="shared" si="10"/>
        <v>5165.4800000000005</v>
      </c>
      <c r="Q24" s="13">
        <f t="shared" si="10"/>
        <v>5169.6949999999997</v>
      </c>
      <c r="R24" s="13">
        <f t="shared" si="10"/>
        <v>5166.8349999999991</v>
      </c>
      <c r="S24" s="13">
        <f t="shared" si="10"/>
        <v>5172.7574999999997</v>
      </c>
      <c r="T24" s="13">
        <f t="shared" si="10"/>
        <v>5167.1399999999994</v>
      </c>
      <c r="U24" s="13">
        <f t="shared" si="10"/>
        <v>5157.1575000000003</v>
      </c>
      <c r="V24" s="13">
        <f t="shared" si="10"/>
        <v>5154.6400000000003</v>
      </c>
      <c r="W24" s="13">
        <f t="shared" si="10"/>
        <v>5152.7150000000001</v>
      </c>
      <c r="X24" s="13">
        <f t="shared" si="10"/>
        <v>5151.8599999999997</v>
      </c>
      <c r="Y24" s="13">
        <f t="shared" si="10"/>
        <v>5163.7824999999993</v>
      </c>
      <c r="Z24" s="13">
        <f t="shared" si="10"/>
        <v>5172.1725000000006</v>
      </c>
      <c r="AA24" s="13">
        <f t="shared" si="10"/>
        <v>5172.2075000000004</v>
      </c>
      <c r="AB24" s="13">
        <f t="shared" si="10"/>
        <v>5162.7624999999998</v>
      </c>
      <c r="AC24" s="13">
        <f t="shared" si="10"/>
        <v>5160.1975000000002</v>
      </c>
      <c r="AD24" s="13">
        <f t="shared" si="10"/>
        <v>5153.54</v>
      </c>
      <c r="AE24" s="13">
        <f t="shared" si="10"/>
        <v>5155.2674999999999</v>
      </c>
      <c r="AF24" s="13">
        <f t="shared" si="10"/>
        <v>5157.9000000000005</v>
      </c>
      <c r="AG24" s="13">
        <f t="shared" si="10"/>
        <v>5161.0775000000003</v>
      </c>
      <c r="AH24" s="13">
        <f t="shared" si="10"/>
        <v>5157.9975000000004</v>
      </c>
      <c r="AI24" s="13">
        <f t="shared" ref="AI24:BN24" si="11">(AI20+AI21+AI22+AI23)/4</f>
        <v>5156.7375000000002</v>
      </c>
      <c r="AJ24" s="13">
        <f t="shared" si="11"/>
        <v>5154.08</v>
      </c>
      <c r="AK24" s="13">
        <f t="shared" si="11"/>
        <v>5151.6724999999997</v>
      </c>
      <c r="AL24" s="13">
        <f t="shared" si="11"/>
        <v>5160.1499999999996</v>
      </c>
      <c r="AM24" s="13">
        <f t="shared" si="11"/>
        <v>5157.09</v>
      </c>
      <c r="AN24" s="13">
        <f t="shared" si="11"/>
        <v>5164.4225000000006</v>
      </c>
      <c r="AO24" s="13">
        <f t="shared" si="11"/>
        <v>5166.2150000000001</v>
      </c>
      <c r="AP24" s="13">
        <f t="shared" si="11"/>
        <v>5166.0349999999999</v>
      </c>
      <c r="AQ24" s="13">
        <f t="shared" si="11"/>
        <v>5168.5574999999999</v>
      </c>
      <c r="AR24" s="13">
        <f t="shared" si="11"/>
        <v>5173.1900000000005</v>
      </c>
      <c r="AS24" s="13">
        <f t="shared" si="11"/>
        <v>5172.1675000000005</v>
      </c>
      <c r="AT24" s="13">
        <f t="shared" si="11"/>
        <v>5167.3375000000005</v>
      </c>
      <c r="AU24" s="13">
        <f t="shared" si="11"/>
        <v>5161.2449999999999</v>
      </c>
      <c r="AV24" s="13">
        <f t="shared" si="11"/>
        <v>5159.4650000000001</v>
      </c>
      <c r="AW24" s="13">
        <f t="shared" si="11"/>
        <v>5167.7525000000005</v>
      </c>
      <c r="AX24" s="13">
        <f t="shared" si="11"/>
        <v>5168.59</v>
      </c>
      <c r="AY24" s="13">
        <f t="shared" si="11"/>
        <v>5166.2</v>
      </c>
      <c r="AZ24" s="13">
        <f t="shared" si="11"/>
        <v>5166.2174999999997</v>
      </c>
      <c r="BA24" s="13">
        <f t="shared" si="11"/>
        <v>5163.5050000000001</v>
      </c>
      <c r="BB24" s="13">
        <f t="shared" si="11"/>
        <v>5164.3850000000002</v>
      </c>
      <c r="BC24" s="13">
        <f t="shared" si="11"/>
        <v>5169.59</v>
      </c>
      <c r="BD24" s="13">
        <f t="shared" si="11"/>
        <v>5167.6125000000002</v>
      </c>
      <c r="BE24" s="13">
        <f t="shared" si="11"/>
        <v>5167.3575000000001</v>
      </c>
      <c r="BF24" s="13">
        <f t="shared" si="11"/>
        <v>5162.8875000000007</v>
      </c>
      <c r="BG24" s="13">
        <f t="shared" si="11"/>
        <v>5162.1049999999996</v>
      </c>
      <c r="BH24" s="13">
        <f t="shared" si="11"/>
        <v>5164.2250000000004</v>
      </c>
      <c r="BI24" s="13">
        <f t="shared" si="11"/>
        <v>5157.6675000000005</v>
      </c>
      <c r="BJ24" s="13">
        <f t="shared" si="11"/>
        <v>5158.8450000000003</v>
      </c>
      <c r="BK24" s="13">
        <f t="shared" si="11"/>
        <v>5160.6174999999994</v>
      </c>
      <c r="BL24" s="13">
        <f t="shared" si="11"/>
        <v>5157.5225</v>
      </c>
      <c r="BM24" s="13">
        <f t="shared" si="11"/>
        <v>5163.1049999999996</v>
      </c>
      <c r="BN24" s="13">
        <f t="shared" si="11"/>
        <v>5162.4225000000006</v>
      </c>
      <c r="BO24" s="13">
        <f t="shared" ref="BO24:CT24" si="12">(BO20+BO21+BO22+BO23)/4</f>
        <v>5161.0949999999993</v>
      </c>
      <c r="BP24" s="13">
        <f t="shared" si="12"/>
        <v>5160.6949999999997</v>
      </c>
      <c r="BQ24" s="13">
        <f t="shared" si="12"/>
        <v>5160.2300000000005</v>
      </c>
      <c r="BR24" s="13">
        <f t="shared" si="12"/>
        <v>5160.9949999999999</v>
      </c>
      <c r="BS24" s="13">
        <f t="shared" si="12"/>
        <v>5161.7824999999993</v>
      </c>
      <c r="BT24" s="13">
        <f t="shared" si="12"/>
        <v>5162.6900000000005</v>
      </c>
      <c r="BU24" s="13">
        <f t="shared" si="12"/>
        <v>5162.9450000000006</v>
      </c>
      <c r="BV24" s="13">
        <f t="shared" si="12"/>
        <v>5163.7350000000006</v>
      </c>
      <c r="BW24" s="13">
        <f t="shared" si="12"/>
        <v>5167.6875</v>
      </c>
      <c r="BX24" s="13">
        <f t="shared" si="12"/>
        <v>5163.642499999999</v>
      </c>
      <c r="BY24" s="13">
        <f t="shared" si="12"/>
        <v>5161.2725</v>
      </c>
      <c r="BZ24" s="13">
        <f t="shared" si="12"/>
        <v>5157.66</v>
      </c>
      <c r="CA24" s="13">
        <f t="shared" si="12"/>
        <v>5152.0574999999999</v>
      </c>
      <c r="CB24" s="13">
        <f t="shared" si="12"/>
        <v>5152.3100000000004</v>
      </c>
      <c r="CC24" s="13">
        <f t="shared" si="12"/>
        <v>5151.17</v>
      </c>
      <c r="CD24" s="13">
        <f t="shared" si="12"/>
        <v>5150.4225000000006</v>
      </c>
      <c r="CE24" s="13">
        <f t="shared" si="12"/>
        <v>5150.0224999999991</v>
      </c>
      <c r="CF24" s="13">
        <f t="shared" si="12"/>
        <v>5148.0950000000003</v>
      </c>
      <c r="CG24" s="13">
        <f t="shared" si="12"/>
        <v>5137.9225000000006</v>
      </c>
      <c r="CH24" s="13">
        <f t="shared" si="12"/>
        <v>5136.34</v>
      </c>
      <c r="CI24" s="13">
        <f t="shared" si="12"/>
        <v>5135.6399999999994</v>
      </c>
      <c r="CJ24" s="13">
        <f t="shared" si="12"/>
        <v>5137.2449999999999</v>
      </c>
      <c r="CK24" s="13">
        <f t="shared" si="12"/>
        <v>5136.1499999999996</v>
      </c>
      <c r="CL24" s="13">
        <f t="shared" si="12"/>
        <v>5137.7974999999997</v>
      </c>
      <c r="CM24" s="13">
        <f t="shared" si="12"/>
        <v>5135.29</v>
      </c>
      <c r="CN24" s="13">
        <f t="shared" si="12"/>
        <v>5138.1975000000002</v>
      </c>
      <c r="CO24" s="13">
        <f t="shared" si="12"/>
        <v>5141.13</v>
      </c>
      <c r="CP24" s="13">
        <f t="shared" si="12"/>
        <v>5134.3125</v>
      </c>
      <c r="CQ24" s="13">
        <f t="shared" si="12"/>
        <v>5137.3225000000002</v>
      </c>
      <c r="CR24" s="13">
        <f t="shared" si="12"/>
        <v>5135.9875000000002</v>
      </c>
      <c r="CS24" s="13">
        <f t="shared" si="12"/>
        <v>5131.4875000000002</v>
      </c>
      <c r="CT24" s="13">
        <f t="shared" si="12"/>
        <v>5131.4475000000002</v>
      </c>
      <c r="CU24" s="13">
        <f t="shared" ref="CU24:DL24" si="13">(CU20+CU21+CU22+CU23)/4</f>
        <v>5134.04</v>
      </c>
      <c r="CV24" s="13">
        <f t="shared" si="13"/>
        <v>5137.9174999999996</v>
      </c>
      <c r="CW24" s="13">
        <f t="shared" si="13"/>
        <v>5141.24</v>
      </c>
      <c r="CX24" s="13">
        <f t="shared" si="13"/>
        <v>5146.2624999999998</v>
      </c>
      <c r="CY24" s="13">
        <f t="shared" si="13"/>
        <v>5144.7549999999992</v>
      </c>
      <c r="CZ24" s="13">
        <f t="shared" si="13"/>
        <v>5143.7849999999999</v>
      </c>
      <c r="DA24" s="13">
        <f t="shared" si="13"/>
        <v>5143.6749999999993</v>
      </c>
      <c r="DB24" s="13">
        <f t="shared" si="13"/>
        <v>5142.9825000000001</v>
      </c>
      <c r="DC24" s="13">
        <f t="shared" si="13"/>
        <v>5141.3824999999997</v>
      </c>
      <c r="DD24" s="13">
        <f t="shared" si="13"/>
        <v>5143.5475000000006</v>
      </c>
      <c r="DE24" s="13">
        <f t="shared" si="13"/>
        <v>5145.4349999999995</v>
      </c>
      <c r="DF24" s="13">
        <f t="shared" si="13"/>
        <v>5149.7924999999996</v>
      </c>
      <c r="DG24" s="13">
        <f t="shared" si="13"/>
        <v>5143.26</v>
      </c>
      <c r="DH24" s="13">
        <f t="shared" si="13"/>
        <v>5147.84</v>
      </c>
      <c r="DI24" s="13">
        <f t="shared" si="13"/>
        <v>5147.2524999999996</v>
      </c>
      <c r="DJ24" s="13">
        <f t="shared" si="13"/>
        <v>5152.9575000000004</v>
      </c>
      <c r="DK24" s="13">
        <f t="shared" si="13"/>
        <v>5157.5050000000001</v>
      </c>
      <c r="DL24" s="13">
        <f t="shared" si="13"/>
        <v>5162.5524999999998</v>
      </c>
      <c r="DM24" s="26"/>
      <c r="DN24" s="25"/>
      <c r="DO24" s="27"/>
      <c r="DP24" s="25"/>
      <c r="DQ24" s="27"/>
      <c r="DR24" s="25"/>
      <c r="DS24" s="27"/>
      <c r="DT24" s="25"/>
    </row>
    <row r="25" spans="1:126" ht="15.75" x14ac:dyDescent="0.25">
      <c r="A25" s="11" t="s">
        <v>5</v>
      </c>
      <c r="B25" s="11" t="s">
        <v>11</v>
      </c>
      <c r="C25" s="15">
        <v>0.375</v>
      </c>
      <c r="D25" s="15">
        <v>0.37847222222222227</v>
      </c>
      <c r="E25" s="15">
        <v>0.38194444444444442</v>
      </c>
      <c r="F25" s="15">
        <v>0.38541666666666669</v>
      </c>
      <c r="G25" s="15">
        <v>0.3888888888888889</v>
      </c>
      <c r="H25" s="15">
        <v>0.3923611111111111</v>
      </c>
      <c r="I25" s="15">
        <v>0.39583333333333331</v>
      </c>
      <c r="J25" s="15">
        <v>0.39930555555555558</v>
      </c>
      <c r="K25" s="15">
        <v>0.40277777777777773</v>
      </c>
      <c r="L25" s="15">
        <v>0.40625</v>
      </c>
      <c r="M25" s="15">
        <v>0.40972222222222227</v>
      </c>
      <c r="N25" s="15">
        <v>0.41319444444444442</v>
      </c>
      <c r="O25" s="15">
        <v>0.41666666666666669</v>
      </c>
      <c r="P25" s="15">
        <v>0.4201388888888889</v>
      </c>
      <c r="Q25" s="15">
        <v>0.4236111111111111</v>
      </c>
      <c r="R25" s="15">
        <v>0.42708333333333331</v>
      </c>
      <c r="S25" s="15">
        <v>0.43055555555555558</v>
      </c>
      <c r="T25" s="15">
        <v>0.43402777777777773</v>
      </c>
      <c r="U25" s="15">
        <v>0.4375</v>
      </c>
      <c r="V25" s="15">
        <v>0.44097222222222227</v>
      </c>
      <c r="W25" s="15">
        <v>0.44444444444444442</v>
      </c>
      <c r="X25" s="15">
        <v>0.44791666666666669</v>
      </c>
      <c r="Y25" s="15">
        <v>0.4513888888888889</v>
      </c>
      <c r="Z25" s="15">
        <v>0.4548611111111111</v>
      </c>
      <c r="AA25" s="15">
        <v>0.45833333333333331</v>
      </c>
      <c r="AB25" s="15">
        <v>0.46180555555555558</v>
      </c>
      <c r="AC25" s="15">
        <v>0.46527777777777773</v>
      </c>
      <c r="AD25" s="15">
        <v>0.46875</v>
      </c>
      <c r="AE25" s="15">
        <v>0.47222222222222227</v>
      </c>
      <c r="AF25" s="15">
        <v>0.47569444444444442</v>
      </c>
      <c r="AG25" s="15">
        <v>0.47916666666666669</v>
      </c>
      <c r="AH25" s="15">
        <v>0.4826388888888889</v>
      </c>
      <c r="AI25" s="15">
        <v>0.4861111111111111</v>
      </c>
      <c r="AJ25" s="15">
        <v>0.48958333333333331</v>
      </c>
      <c r="AK25" s="15">
        <v>0.49305555555555558</v>
      </c>
      <c r="AL25" s="15">
        <v>0.49652777777777773</v>
      </c>
      <c r="AM25" s="15">
        <v>0.5</v>
      </c>
      <c r="AN25" s="15">
        <v>0.50347222222222221</v>
      </c>
      <c r="AO25" s="15">
        <v>0.50694444444444442</v>
      </c>
      <c r="AP25" s="15">
        <v>0.51041666666666663</v>
      </c>
      <c r="AQ25" s="15">
        <v>0.51388888888888895</v>
      </c>
      <c r="AR25" s="15">
        <v>0.51736111111111105</v>
      </c>
      <c r="AS25" s="15">
        <v>0.52083333333333337</v>
      </c>
      <c r="AT25" s="15">
        <v>0.52430555555555558</v>
      </c>
      <c r="AU25" s="15">
        <v>0.52777777777777779</v>
      </c>
      <c r="AV25" s="15">
        <v>0.53125</v>
      </c>
      <c r="AW25" s="15">
        <v>0.53472222222222221</v>
      </c>
      <c r="AX25" s="15">
        <v>0.53819444444444442</v>
      </c>
      <c r="AY25" s="15">
        <v>0.54166666666666663</v>
      </c>
      <c r="AZ25" s="15">
        <v>0.54513888888888895</v>
      </c>
      <c r="BA25" s="15">
        <v>0.54861111111111105</v>
      </c>
      <c r="BB25" s="15">
        <v>0.55208333333333337</v>
      </c>
      <c r="BC25" s="15">
        <v>0.55555555555555558</v>
      </c>
      <c r="BD25" s="15">
        <v>0.55902777777777779</v>
      </c>
      <c r="BE25" s="15">
        <v>0.5625</v>
      </c>
      <c r="BF25" s="15">
        <v>0.56597222222222221</v>
      </c>
      <c r="BG25" s="15">
        <v>0.56944444444444442</v>
      </c>
      <c r="BH25" s="15">
        <v>0.57291666666666663</v>
      </c>
      <c r="BI25" s="15">
        <v>0.57638888888888895</v>
      </c>
      <c r="BJ25" s="15">
        <v>0.57986111111111105</v>
      </c>
      <c r="BK25" s="15">
        <v>0.58333333333333337</v>
      </c>
      <c r="BL25" s="15">
        <v>0.58680555555555558</v>
      </c>
      <c r="BM25" s="15">
        <v>0.59027777777777779</v>
      </c>
      <c r="BN25" s="15">
        <v>0.59375</v>
      </c>
      <c r="BO25" s="15">
        <v>0.59722222222222221</v>
      </c>
      <c r="BP25" s="15">
        <v>0.60069444444444442</v>
      </c>
      <c r="BQ25" s="15">
        <v>0.60416666666666663</v>
      </c>
      <c r="BR25" s="15">
        <v>0.60763888888888895</v>
      </c>
      <c r="BS25" s="15">
        <v>0.61111111111111105</v>
      </c>
      <c r="BT25" s="15">
        <v>0.61458333333333337</v>
      </c>
      <c r="BU25" s="15">
        <v>0.61805555555555558</v>
      </c>
      <c r="BV25" s="15">
        <v>0.62152777777777779</v>
      </c>
      <c r="BW25" s="15">
        <v>0.625</v>
      </c>
      <c r="BX25" s="15">
        <v>0.62847222222222221</v>
      </c>
      <c r="BY25" s="15">
        <v>0.63194444444444442</v>
      </c>
      <c r="BZ25" s="15">
        <v>0.63541666666666663</v>
      </c>
      <c r="CA25" s="15">
        <v>0.63888888888888895</v>
      </c>
      <c r="CB25" s="15">
        <v>0.64236111111111105</v>
      </c>
      <c r="CC25" s="15">
        <v>0.64583333333333337</v>
      </c>
      <c r="CD25" s="15">
        <v>0.64930555555555558</v>
      </c>
      <c r="CE25" s="15">
        <v>0.65277777777777779</v>
      </c>
      <c r="CF25" s="15">
        <v>0.65625</v>
      </c>
      <c r="CG25" s="15">
        <v>0.65972222222222221</v>
      </c>
      <c r="CH25" s="15">
        <v>0.66319444444444442</v>
      </c>
      <c r="CI25" s="15">
        <v>0.66666666666666663</v>
      </c>
      <c r="CJ25" s="15">
        <v>0.67013888888888884</v>
      </c>
      <c r="CK25" s="15">
        <v>0.67361111111111116</v>
      </c>
      <c r="CL25" s="15">
        <v>0.67708333333333337</v>
      </c>
      <c r="CM25" s="15">
        <v>0.68055555555555547</v>
      </c>
      <c r="CN25" s="15">
        <v>0.68402777777777779</v>
      </c>
      <c r="CO25" s="15">
        <v>0.6875</v>
      </c>
      <c r="CP25" s="15">
        <v>0.69097222222222221</v>
      </c>
      <c r="CQ25" s="15">
        <v>0.69444444444444453</v>
      </c>
      <c r="CR25" s="15">
        <v>0.69791666666666663</v>
      </c>
      <c r="CS25" s="15">
        <v>0.70138888888888884</v>
      </c>
      <c r="CT25" s="15">
        <v>0.70486111111111116</v>
      </c>
      <c r="CU25" s="15">
        <v>0.70833333333333337</v>
      </c>
      <c r="CV25" s="15">
        <v>0.71180555555555547</v>
      </c>
      <c r="CW25" s="15">
        <v>0.71527777777777779</v>
      </c>
      <c r="CX25" s="15">
        <v>0.71875</v>
      </c>
      <c r="CY25" s="15">
        <v>0.72222222222222221</v>
      </c>
      <c r="CZ25" s="15">
        <v>0.72569444444444453</v>
      </c>
      <c r="DA25" s="15">
        <v>0.72916666666666663</v>
      </c>
      <c r="DB25" s="15">
        <v>0.73263888888888884</v>
      </c>
      <c r="DC25" s="15">
        <v>0.73611111111111116</v>
      </c>
      <c r="DD25" s="15">
        <v>0.73958333333333337</v>
      </c>
      <c r="DE25" s="15">
        <v>0.74305555555555547</v>
      </c>
      <c r="DF25" s="15">
        <v>0.74652777777777779</v>
      </c>
      <c r="DG25" s="15">
        <v>0.75</v>
      </c>
      <c r="DH25" s="15">
        <v>0.75347222222222221</v>
      </c>
      <c r="DI25" s="15">
        <v>0.75694444444444453</v>
      </c>
      <c r="DJ25" s="15">
        <v>0.76041666666666663</v>
      </c>
      <c r="DK25" s="15">
        <v>0.76388888888888884</v>
      </c>
      <c r="DL25" s="15">
        <v>0.76736111111111116</v>
      </c>
      <c r="DM25" s="23">
        <v>44351</v>
      </c>
    </row>
    <row r="26" spans="1:126" ht="15.75" x14ac:dyDescent="0.25">
      <c r="A26" s="14">
        <v>44172</v>
      </c>
      <c r="B26" s="12" t="s">
        <v>6</v>
      </c>
      <c r="C26" s="13">
        <v>5182</v>
      </c>
      <c r="D26" s="13">
        <v>5181</v>
      </c>
      <c r="E26" s="13">
        <v>5175</v>
      </c>
      <c r="F26" s="13">
        <v>5173</v>
      </c>
      <c r="G26" s="13">
        <v>5175.67</v>
      </c>
      <c r="H26" s="13">
        <v>5175.67</v>
      </c>
      <c r="I26" s="13">
        <v>5175.67</v>
      </c>
      <c r="J26" s="13">
        <v>5171</v>
      </c>
      <c r="K26" s="13">
        <v>5167.67</v>
      </c>
      <c r="L26" s="13">
        <v>5161.75</v>
      </c>
      <c r="M26" s="13">
        <v>5158.25</v>
      </c>
      <c r="N26" s="13">
        <v>5150</v>
      </c>
      <c r="O26" s="13">
        <v>5143.67</v>
      </c>
      <c r="P26" s="13">
        <v>5141.67</v>
      </c>
      <c r="Q26" s="13">
        <v>5135.67</v>
      </c>
      <c r="R26" s="13">
        <v>5130</v>
      </c>
      <c r="S26" s="13">
        <v>5130</v>
      </c>
      <c r="T26" s="13">
        <v>5121.8</v>
      </c>
      <c r="U26" s="13">
        <v>5112.75</v>
      </c>
      <c r="V26" s="13">
        <v>5110.43</v>
      </c>
      <c r="W26" s="13">
        <v>5111.22</v>
      </c>
      <c r="X26" s="13">
        <v>5104.5600000000004</v>
      </c>
      <c r="Y26" s="13">
        <v>5113.29</v>
      </c>
      <c r="Z26" s="13">
        <v>5113</v>
      </c>
      <c r="AA26" s="13">
        <v>5110.71</v>
      </c>
      <c r="AB26" s="13">
        <v>5109.1099999999997</v>
      </c>
      <c r="AC26" s="13">
        <v>5119.18</v>
      </c>
      <c r="AD26" s="13">
        <v>5138.83</v>
      </c>
      <c r="AE26" s="13">
        <v>5139.83</v>
      </c>
      <c r="AF26" s="13">
        <v>5140.83</v>
      </c>
      <c r="AG26" s="13">
        <v>5129</v>
      </c>
      <c r="AH26" s="13">
        <v>5130.42</v>
      </c>
      <c r="AI26" s="13">
        <v>5128.1000000000004</v>
      </c>
      <c r="AJ26" s="13">
        <v>5122.18</v>
      </c>
      <c r="AK26" s="13">
        <v>5134.1899999999996</v>
      </c>
      <c r="AL26" s="13">
        <v>5139.76</v>
      </c>
      <c r="AM26" s="13">
        <v>5132.74</v>
      </c>
      <c r="AN26" s="13">
        <v>5136.6099999999997</v>
      </c>
      <c r="AO26" s="13">
        <v>5142.5</v>
      </c>
      <c r="AP26" s="13">
        <v>5140.67</v>
      </c>
      <c r="AQ26" s="13">
        <v>5127.1400000000003</v>
      </c>
      <c r="AR26" s="13">
        <v>5123.6099999999997</v>
      </c>
      <c r="AS26" s="13">
        <v>5139.83</v>
      </c>
      <c r="AT26" s="13">
        <v>5122.18</v>
      </c>
      <c r="AU26" s="13">
        <v>5120.42</v>
      </c>
      <c r="AV26" s="13">
        <v>5119.6099999999997</v>
      </c>
      <c r="AW26" s="13">
        <v>5113.17</v>
      </c>
      <c r="AX26" s="13">
        <v>5107.03</v>
      </c>
      <c r="AY26" s="13">
        <v>5116.21</v>
      </c>
      <c r="AZ26" s="13">
        <v>5115.83</v>
      </c>
      <c r="BA26" s="13">
        <v>5106.83</v>
      </c>
      <c r="BB26" s="13">
        <v>5097.42</v>
      </c>
      <c r="BC26" s="13">
        <v>5123.1400000000003</v>
      </c>
      <c r="BD26" s="13">
        <v>5122.38</v>
      </c>
      <c r="BE26" s="13">
        <v>5095.42</v>
      </c>
      <c r="BF26" s="13">
        <v>5099.3500000000004</v>
      </c>
      <c r="BG26" s="13">
        <v>5109.25</v>
      </c>
      <c r="BH26" s="13">
        <v>5117.07</v>
      </c>
      <c r="BI26" s="13">
        <v>5108.9399999999996</v>
      </c>
      <c r="BJ26" s="13">
        <v>5117.46</v>
      </c>
      <c r="BK26" s="13">
        <v>5112.42</v>
      </c>
      <c r="BL26" s="13">
        <v>5111.09</v>
      </c>
      <c r="BM26" s="13">
        <v>5108.55</v>
      </c>
      <c r="BN26" s="13">
        <v>5111</v>
      </c>
      <c r="BO26" s="13">
        <v>5107.68</v>
      </c>
      <c r="BP26" s="13">
        <v>5117.3599999999997</v>
      </c>
      <c r="BQ26" s="13">
        <v>5115.6400000000003</v>
      </c>
      <c r="BR26" s="13">
        <v>5117.93</v>
      </c>
      <c r="BS26" s="13">
        <v>5111.6400000000003</v>
      </c>
      <c r="BT26" s="13">
        <v>5118.21</v>
      </c>
      <c r="BU26" s="13">
        <v>5111.4799999999996</v>
      </c>
      <c r="BV26" s="13">
        <v>5107.76</v>
      </c>
      <c r="BW26" s="13">
        <v>5106.26</v>
      </c>
      <c r="BX26" s="13">
        <v>5117.93</v>
      </c>
      <c r="BY26" s="13">
        <v>5111.79</v>
      </c>
      <c r="BZ26" s="13">
        <v>5111</v>
      </c>
      <c r="CA26" s="13">
        <v>5117.47</v>
      </c>
      <c r="CB26" s="13">
        <v>5119.46</v>
      </c>
      <c r="CC26" s="13">
        <v>5111.55</v>
      </c>
      <c r="CD26" s="13">
        <v>5120.32</v>
      </c>
      <c r="CE26" s="13">
        <v>5120.32</v>
      </c>
      <c r="CF26" s="13">
        <v>5117.09</v>
      </c>
      <c r="CG26" s="13">
        <v>5120.0600000000004</v>
      </c>
      <c r="CH26" s="13">
        <v>5117.63</v>
      </c>
      <c r="CI26" s="13">
        <v>5111.3999999999996</v>
      </c>
      <c r="CJ26" s="13">
        <v>5110.21</v>
      </c>
      <c r="CK26" s="13">
        <v>5107.28</v>
      </c>
      <c r="CL26" s="13">
        <v>5116.55</v>
      </c>
      <c r="CM26" s="13">
        <v>5112.87</v>
      </c>
      <c r="CN26" s="13">
        <v>5112.87</v>
      </c>
      <c r="CO26" s="13">
        <v>5117.2700000000004</v>
      </c>
      <c r="CP26" s="13">
        <v>5111.12</v>
      </c>
      <c r="CQ26" s="13">
        <v>5114.03</v>
      </c>
      <c r="CR26" s="13">
        <v>5118.24</v>
      </c>
      <c r="CS26" s="13">
        <v>5118.97</v>
      </c>
      <c r="CT26" s="13">
        <v>5125.6400000000003</v>
      </c>
      <c r="CU26" s="13">
        <v>5139.2299999999996</v>
      </c>
      <c r="CV26" s="13">
        <v>5139.71</v>
      </c>
      <c r="CW26" s="13">
        <v>5155.09</v>
      </c>
      <c r="CX26" s="13">
        <v>5146.43</v>
      </c>
      <c r="CY26" s="13">
        <v>5140.75</v>
      </c>
      <c r="CZ26" s="13">
        <v>5141.07</v>
      </c>
      <c r="DA26" s="13">
        <v>5141</v>
      </c>
      <c r="DB26" s="13">
        <v>5134</v>
      </c>
      <c r="DC26" s="13">
        <v>5119.5</v>
      </c>
      <c r="DD26" s="13">
        <v>5133.68</v>
      </c>
      <c r="DE26" s="13">
        <v>5132.6499999999996</v>
      </c>
      <c r="DF26" s="13">
        <v>5130.71</v>
      </c>
      <c r="DG26" s="13">
        <v>5127.88</v>
      </c>
      <c r="DH26" s="13">
        <v>5117.8100000000004</v>
      </c>
      <c r="DI26" s="13">
        <v>5122.96</v>
      </c>
      <c r="DJ26" s="13">
        <v>5123.8999999999996</v>
      </c>
      <c r="DK26" s="13">
        <v>5122.16</v>
      </c>
      <c r="DL26" s="13">
        <v>5115.2299999999996</v>
      </c>
      <c r="DM26" s="32"/>
      <c r="DN26" s="33"/>
      <c r="DO26" s="32"/>
      <c r="DP26" s="33"/>
      <c r="DQ26" s="32"/>
      <c r="DR26" s="33"/>
      <c r="DS26" s="32"/>
      <c r="DT26" s="33"/>
      <c r="DU26" s="32"/>
      <c r="DV26" s="33"/>
    </row>
    <row r="27" spans="1:126" ht="15.75" x14ac:dyDescent="0.25">
      <c r="A27" s="14" t="s">
        <v>12</v>
      </c>
      <c r="B27" s="12" t="s">
        <v>10</v>
      </c>
      <c r="C27" s="13">
        <v>5182</v>
      </c>
      <c r="D27" s="13">
        <v>5174</v>
      </c>
      <c r="E27" s="13">
        <v>5173.5</v>
      </c>
      <c r="F27" s="13">
        <v>5164</v>
      </c>
      <c r="G27" s="13">
        <v>5175.67</v>
      </c>
      <c r="H27" s="13">
        <v>5174.67</v>
      </c>
      <c r="I27" s="13">
        <v>5170</v>
      </c>
      <c r="J27" s="13">
        <v>5169.67</v>
      </c>
      <c r="K27" s="13">
        <v>5159.5</v>
      </c>
      <c r="L27" s="13">
        <v>5159.67</v>
      </c>
      <c r="M27" s="13">
        <v>5151.8</v>
      </c>
      <c r="N27" s="13">
        <v>5138.75</v>
      </c>
      <c r="O27" s="13">
        <v>5136.67</v>
      </c>
      <c r="P27" s="13">
        <v>5133.67</v>
      </c>
      <c r="Q27" s="13">
        <v>5129</v>
      </c>
      <c r="R27" s="13">
        <v>5130</v>
      </c>
      <c r="S27" s="13">
        <v>5120.8</v>
      </c>
      <c r="T27" s="13">
        <v>5113</v>
      </c>
      <c r="U27" s="13">
        <v>5107.2</v>
      </c>
      <c r="V27" s="13">
        <v>5109.6499999999996</v>
      </c>
      <c r="W27" s="13">
        <v>5107.25</v>
      </c>
      <c r="X27" s="13">
        <v>5104.5600000000004</v>
      </c>
      <c r="Y27" s="13">
        <v>5110.1099999999997</v>
      </c>
      <c r="Z27" s="13">
        <v>5111</v>
      </c>
      <c r="AA27" s="13">
        <v>5106.75</v>
      </c>
      <c r="AB27" s="13">
        <v>5108.78</v>
      </c>
      <c r="AC27" s="13">
        <v>5119.18</v>
      </c>
      <c r="AD27" s="13">
        <v>5125.7700000000004</v>
      </c>
      <c r="AE27" s="13">
        <v>5128.1000000000004</v>
      </c>
      <c r="AF27" s="13">
        <v>5121.13</v>
      </c>
      <c r="AG27" s="13">
        <v>5123.21</v>
      </c>
      <c r="AH27" s="13">
        <v>5124.76</v>
      </c>
      <c r="AI27" s="13">
        <v>5128.1000000000004</v>
      </c>
      <c r="AJ27" s="13">
        <v>5118.9399999999996</v>
      </c>
      <c r="AK27" s="13">
        <v>5120.47</v>
      </c>
      <c r="AL27" s="13">
        <v>5128.43</v>
      </c>
      <c r="AM27" s="13">
        <v>5126.1499999999996</v>
      </c>
      <c r="AN27" s="13">
        <v>5126.21</v>
      </c>
      <c r="AO27" s="13">
        <v>5129.18</v>
      </c>
      <c r="AP27" s="13">
        <v>5124.8900000000003</v>
      </c>
      <c r="AQ27" s="13">
        <v>5122.68</v>
      </c>
      <c r="AR27" s="13">
        <v>5118.18</v>
      </c>
      <c r="AS27" s="13">
        <v>5121.2700000000004</v>
      </c>
      <c r="AT27" s="13">
        <v>5120.42</v>
      </c>
      <c r="AU27" s="13">
        <v>5114.97</v>
      </c>
      <c r="AV27" s="13">
        <v>5113.1499999999996</v>
      </c>
      <c r="AW27" s="13">
        <v>5103.92</v>
      </c>
      <c r="AX27" s="13">
        <v>5101.8500000000004</v>
      </c>
      <c r="AY27" s="13">
        <v>5100.45</v>
      </c>
      <c r="AZ27" s="13">
        <v>5093.3900000000003</v>
      </c>
      <c r="BA27" s="13">
        <v>5097.42</v>
      </c>
      <c r="BB27" s="13">
        <v>5097.04</v>
      </c>
      <c r="BC27" s="13">
        <v>5094.7299999999996</v>
      </c>
      <c r="BD27" s="13">
        <v>5098.8599999999997</v>
      </c>
      <c r="BE27" s="13">
        <v>5090.66</v>
      </c>
      <c r="BF27" s="13">
        <v>5098.96</v>
      </c>
      <c r="BG27" s="13">
        <v>5098.6899999999996</v>
      </c>
      <c r="BH27" s="13">
        <v>5102.21</v>
      </c>
      <c r="BI27" s="13">
        <v>5106.6099999999997</v>
      </c>
      <c r="BJ27" s="13">
        <v>5104.88</v>
      </c>
      <c r="BK27" s="13">
        <v>5104.88</v>
      </c>
      <c r="BL27" s="13">
        <v>5105.95</v>
      </c>
      <c r="BM27" s="13">
        <v>5100.2700000000004</v>
      </c>
      <c r="BN27" s="13">
        <v>5100.96</v>
      </c>
      <c r="BO27" s="13">
        <v>5102.74</v>
      </c>
      <c r="BP27" s="13">
        <v>5105.79</v>
      </c>
      <c r="BQ27" s="13">
        <v>5106</v>
      </c>
      <c r="BR27" s="13">
        <v>5103.58</v>
      </c>
      <c r="BS27" s="13">
        <v>5099.4799999999996</v>
      </c>
      <c r="BT27" s="13">
        <v>5103.47</v>
      </c>
      <c r="BU27" s="13">
        <v>5105.45</v>
      </c>
      <c r="BV27" s="13">
        <v>5103.47</v>
      </c>
      <c r="BW27" s="13">
        <v>5106.26</v>
      </c>
      <c r="BX27" s="13">
        <v>5108.16</v>
      </c>
      <c r="BY27" s="13">
        <v>5100.2700000000004</v>
      </c>
      <c r="BZ27" s="13">
        <v>5111</v>
      </c>
      <c r="CA27" s="13">
        <v>5104.9399999999996</v>
      </c>
      <c r="CB27" s="13">
        <v>5104.5200000000004</v>
      </c>
      <c r="CC27" s="13">
        <v>5111.55</v>
      </c>
      <c r="CD27" s="13">
        <v>5111.55</v>
      </c>
      <c r="CE27" s="13">
        <v>5110.84</v>
      </c>
      <c r="CF27" s="13">
        <v>5112.0200000000004</v>
      </c>
      <c r="CG27" s="13">
        <v>5117.63</v>
      </c>
      <c r="CH27" s="13">
        <v>5108.8500000000004</v>
      </c>
      <c r="CI27" s="13">
        <v>5110.21</v>
      </c>
      <c r="CJ27" s="13">
        <v>5106.08</v>
      </c>
      <c r="CK27" s="13">
        <v>5107.28</v>
      </c>
      <c r="CL27" s="13">
        <v>5109.8599999999997</v>
      </c>
      <c r="CM27" s="13">
        <v>5107.4799999999996</v>
      </c>
      <c r="CN27" s="13">
        <v>5110.28</v>
      </c>
      <c r="CO27" s="13">
        <v>5111.12</v>
      </c>
      <c r="CP27" s="13">
        <v>5106.17</v>
      </c>
      <c r="CQ27" s="13">
        <v>5109.3999999999996</v>
      </c>
      <c r="CR27" s="13">
        <v>5106.7</v>
      </c>
      <c r="CS27" s="13">
        <v>5118.97</v>
      </c>
      <c r="CT27" s="13">
        <v>5121.8900000000003</v>
      </c>
      <c r="CU27" s="13">
        <v>5136.79</v>
      </c>
      <c r="CV27" s="13">
        <v>5139.71</v>
      </c>
      <c r="CW27" s="13">
        <v>5144.2299999999996</v>
      </c>
      <c r="CX27" s="13">
        <v>5144.07</v>
      </c>
      <c r="CY27" s="13">
        <v>5137.57</v>
      </c>
      <c r="CZ27" s="13">
        <v>5140.43</v>
      </c>
      <c r="DA27" s="13">
        <v>5131.54</v>
      </c>
      <c r="DB27" s="13">
        <v>5111.67</v>
      </c>
      <c r="DC27" s="13">
        <v>5119.5</v>
      </c>
      <c r="DD27" s="13">
        <v>5130.6400000000003</v>
      </c>
      <c r="DE27" s="13">
        <v>5130.18</v>
      </c>
      <c r="DF27" s="13">
        <v>5125.1099999999997</v>
      </c>
      <c r="DG27" s="13">
        <v>5114.3599999999997</v>
      </c>
      <c r="DH27" s="13">
        <v>5117.42</v>
      </c>
      <c r="DI27" s="13">
        <v>5122.96</v>
      </c>
      <c r="DJ27" s="13">
        <v>5121.63</v>
      </c>
      <c r="DK27" s="13">
        <v>5114.2299999999996</v>
      </c>
      <c r="DL27" s="13">
        <v>5112</v>
      </c>
      <c r="DM27" s="32"/>
      <c r="DN27" s="33"/>
      <c r="DO27" s="32"/>
      <c r="DP27" s="33"/>
      <c r="DQ27" s="32"/>
      <c r="DR27" s="33"/>
      <c r="DS27" s="32"/>
      <c r="DT27" s="33"/>
      <c r="DU27" s="32"/>
      <c r="DV27" s="33"/>
    </row>
    <row r="28" spans="1:126" ht="15.75" x14ac:dyDescent="0.25">
      <c r="A28" s="14" t="s">
        <v>12</v>
      </c>
      <c r="B28" s="12" t="s">
        <v>9</v>
      </c>
      <c r="C28" s="13">
        <v>5160</v>
      </c>
      <c r="D28" s="13">
        <v>5164</v>
      </c>
      <c r="E28" s="13">
        <v>5163.25</v>
      </c>
      <c r="F28" s="13">
        <v>5154.33</v>
      </c>
      <c r="G28" s="13">
        <v>5164.75</v>
      </c>
      <c r="H28" s="13">
        <v>5164</v>
      </c>
      <c r="I28" s="13">
        <v>5159.33</v>
      </c>
      <c r="J28" s="13">
        <v>5159.33</v>
      </c>
      <c r="K28" s="13">
        <v>5149.25</v>
      </c>
      <c r="L28" s="13">
        <v>5150</v>
      </c>
      <c r="M28" s="13">
        <v>5141.5</v>
      </c>
      <c r="N28" s="13">
        <v>5129.33</v>
      </c>
      <c r="O28" s="13">
        <v>5126.67</v>
      </c>
      <c r="P28" s="13">
        <v>5125</v>
      </c>
      <c r="Q28" s="13">
        <v>5118.67</v>
      </c>
      <c r="R28" s="13">
        <v>5118.18</v>
      </c>
      <c r="S28" s="13">
        <v>5107.58</v>
      </c>
      <c r="T28" s="13">
        <v>5101.6099999999997</v>
      </c>
      <c r="U28" s="13">
        <v>5097.1400000000003</v>
      </c>
      <c r="V28" s="13">
        <v>5098.97</v>
      </c>
      <c r="W28" s="13">
        <v>5096.17</v>
      </c>
      <c r="X28" s="13">
        <v>5094.29</v>
      </c>
      <c r="Y28" s="13">
        <v>5100.22</v>
      </c>
      <c r="Z28" s="13">
        <v>5102</v>
      </c>
      <c r="AA28" s="13">
        <v>5097.46</v>
      </c>
      <c r="AB28" s="13">
        <v>5098.03</v>
      </c>
      <c r="AC28" s="13">
        <v>5095.5600000000004</v>
      </c>
      <c r="AD28" s="13">
        <v>5091.6099999999997</v>
      </c>
      <c r="AE28" s="13">
        <v>5093.93</v>
      </c>
      <c r="AF28" s="13">
        <v>5094.12</v>
      </c>
      <c r="AG28" s="13">
        <v>5094.5600000000004</v>
      </c>
      <c r="AH28" s="13">
        <v>5095.8</v>
      </c>
      <c r="AI28" s="13">
        <v>5094.41</v>
      </c>
      <c r="AJ28" s="13">
        <v>5091.88</v>
      </c>
      <c r="AK28" s="13">
        <v>5090.1499999999996</v>
      </c>
      <c r="AL28" s="13">
        <v>5097.17</v>
      </c>
      <c r="AM28" s="13">
        <v>5098.5</v>
      </c>
      <c r="AN28" s="13">
        <v>5095.49</v>
      </c>
      <c r="AO28" s="13">
        <v>5099.5200000000004</v>
      </c>
      <c r="AP28" s="13">
        <v>5095.9799999999996</v>
      </c>
      <c r="AQ28" s="13">
        <v>5087.7</v>
      </c>
      <c r="AR28" s="13">
        <v>5091.3100000000004</v>
      </c>
      <c r="AS28" s="13">
        <v>5084.4799999999996</v>
      </c>
      <c r="AT28" s="13">
        <v>5088.9399999999996</v>
      </c>
      <c r="AU28" s="13">
        <v>5084.29</v>
      </c>
      <c r="AV28" s="13">
        <v>5081.97</v>
      </c>
      <c r="AW28" s="13">
        <v>5073.76</v>
      </c>
      <c r="AX28" s="13">
        <v>5069.62</v>
      </c>
      <c r="AY28" s="13">
        <v>5066.13</v>
      </c>
      <c r="AZ28" s="13">
        <v>5056.95</v>
      </c>
      <c r="BA28" s="13">
        <v>5062.83</v>
      </c>
      <c r="BB28" s="13">
        <v>5054.45</v>
      </c>
      <c r="BC28" s="13">
        <v>5058.72</v>
      </c>
      <c r="BD28" s="13">
        <v>5058.92</v>
      </c>
      <c r="BE28" s="13">
        <v>5054.6899999999996</v>
      </c>
      <c r="BF28" s="13">
        <v>5058.8900000000003</v>
      </c>
      <c r="BG28" s="13">
        <v>5053.55</v>
      </c>
      <c r="BH28" s="13">
        <v>5053.55</v>
      </c>
      <c r="BI28" s="13">
        <v>5062.43</v>
      </c>
      <c r="BJ28" s="13">
        <v>5066.5</v>
      </c>
      <c r="BK28" s="13">
        <v>5062</v>
      </c>
      <c r="BL28" s="13">
        <v>5059.3999999999996</v>
      </c>
      <c r="BM28" s="13">
        <v>5055.3999999999996</v>
      </c>
      <c r="BN28" s="13">
        <v>5056.75</v>
      </c>
      <c r="BO28" s="13">
        <v>5059.71</v>
      </c>
      <c r="BP28" s="13">
        <v>5061.1099999999997</v>
      </c>
      <c r="BQ28" s="13">
        <v>5062.25</v>
      </c>
      <c r="BR28" s="13">
        <v>5061.92</v>
      </c>
      <c r="BS28" s="13">
        <v>5054.3500000000004</v>
      </c>
      <c r="BT28" s="13">
        <v>5064.24</v>
      </c>
      <c r="BU28" s="13">
        <v>5063.97</v>
      </c>
      <c r="BV28" s="13">
        <v>5061.2</v>
      </c>
      <c r="BW28" s="13">
        <v>5062.43</v>
      </c>
      <c r="BX28" s="13">
        <v>5065.68</v>
      </c>
      <c r="BY28" s="13">
        <v>5055.8599999999997</v>
      </c>
      <c r="BZ28" s="13">
        <v>5070.76</v>
      </c>
      <c r="CA28" s="13">
        <v>5065.05</v>
      </c>
      <c r="CB28" s="13">
        <v>5061.55</v>
      </c>
      <c r="CC28" s="13">
        <v>5072.29</v>
      </c>
      <c r="CD28" s="13">
        <v>5073.57</v>
      </c>
      <c r="CE28" s="13">
        <v>5072.63</v>
      </c>
      <c r="CF28" s="13">
        <v>5079.54</v>
      </c>
      <c r="CG28" s="13">
        <v>5084.71</v>
      </c>
      <c r="CH28" s="13">
        <v>5068.75</v>
      </c>
      <c r="CI28" s="13">
        <v>5070</v>
      </c>
      <c r="CJ28" s="13">
        <v>5066.5</v>
      </c>
      <c r="CK28" s="13">
        <v>5065.3100000000004</v>
      </c>
      <c r="CL28" s="13">
        <v>5066.3599999999997</v>
      </c>
      <c r="CM28" s="13">
        <v>5070.93</v>
      </c>
      <c r="CN28" s="13">
        <v>5071.03</v>
      </c>
      <c r="CO28" s="13">
        <v>5073.62</v>
      </c>
      <c r="CP28" s="13">
        <v>5062.29</v>
      </c>
      <c r="CQ28" s="13">
        <v>5074.5200000000004</v>
      </c>
      <c r="CR28" s="13">
        <v>5062.43</v>
      </c>
      <c r="CS28" s="13">
        <v>5078.83</v>
      </c>
      <c r="CT28" s="13">
        <v>5088.7299999999996</v>
      </c>
      <c r="CU28" s="13">
        <v>5112.04</v>
      </c>
      <c r="CV28" s="13">
        <v>5112.57</v>
      </c>
      <c r="CW28" s="13">
        <v>5113.05</v>
      </c>
      <c r="CX28" s="13">
        <v>5117.75</v>
      </c>
      <c r="CY28" s="13">
        <v>5119.07</v>
      </c>
      <c r="CZ28" s="13">
        <v>5121.43</v>
      </c>
      <c r="DA28" s="13">
        <v>5111.0600000000004</v>
      </c>
      <c r="DB28" s="13">
        <v>5098.6400000000003</v>
      </c>
      <c r="DC28" s="13">
        <v>5107.54</v>
      </c>
      <c r="DD28" s="13">
        <v>5111.83</v>
      </c>
      <c r="DE28" s="13">
        <v>5113.6099999999997</v>
      </c>
      <c r="DF28" s="13">
        <v>5108.13</v>
      </c>
      <c r="DG28" s="13">
        <v>5096.1099999999997</v>
      </c>
      <c r="DH28" s="13">
        <v>5101.93</v>
      </c>
      <c r="DI28" s="13">
        <v>5108.68</v>
      </c>
      <c r="DJ28" s="13">
        <v>5104.7</v>
      </c>
      <c r="DK28" s="13">
        <v>5094.7700000000004</v>
      </c>
      <c r="DL28" s="13">
        <v>5076</v>
      </c>
      <c r="DM28" s="32"/>
      <c r="DN28" s="33"/>
      <c r="DO28" s="32"/>
      <c r="DP28" s="33"/>
      <c r="DQ28" s="32"/>
      <c r="DR28" s="33"/>
      <c r="DS28" s="32"/>
      <c r="DT28" s="33"/>
      <c r="DU28" s="32"/>
      <c r="DV28" s="33"/>
    </row>
    <row r="29" spans="1:126" ht="15.75" x14ac:dyDescent="0.25">
      <c r="A29" s="14" t="s">
        <v>12</v>
      </c>
      <c r="B29" s="12" t="s">
        <v>7</v>
      </c>
      <c r="C29" s="13">
        <v>5160</v>
      </c>
      <c r="D29" s="13">
        <v>5156.5</v>
      </c>
      <c r="E29" s="13">
        <v>5162.25</v>
      </c>
      <c r="F29" s="13">
        <v>5154.33</v>
      </c>
      <c r="G29" s="13">
        <v>5154.33</v>
      </c>
      <c r="H29" s="13">
        <v>5161.33</v>
      </c>
      <c r="I29" s="13">
        <v>5159.33</v>
      </c>
      <c r="J29" s="13">
        <v>5158.33</v>
      </c>
      <c r="K29" s="13">
        <v>5147.25</v>
      </c>
      <c r="L29" s="13">
        <v>5147</v>
      </c>
      <c r="M29" s="13">
        <v>5141.5</v>
      </c>
      <c r="N29" s="13">
        <v>5128.75</v>
      </c>
      <c r="O29" s="13">
        <v>5126</v>
      </c>
      <c r="P29" s="13">
        <v>5123.67</v>
      </c>
      <c r="Q29" s="13">
        <v>5115.67</v>
      </c>
      <c r="R29" s="13">
        <v>5116.67</v>
      </c>
      <c r="S29" s="13">
        <v>5105.24</v>
      </c>
      <c r="T29" s="13">
        <v>5098.57</v>
      </c>
      <c r="U29" s="13">
        <v>5096.88</v>
      </c>
      <c r="V29" s="13">
        <v>5095.71</v>
      </c>
      <c r="W29" s="13">
        <v>5096.17</v>
      </c>
      <c r="X29" s="13">
        <v>5087</v>
      </c>
      <c r="Y29" s="13">
        <v>5096.6400000000003</v>
      </c>
      <c r="Z29" s="13">
        <v>5097.3</v>
      </c>
      <c r="AA29" s="13">
        <v>5094.28</v>
      </c>
      <c r="AB29" s="13">
        <v>5095.8500000000004</v>
      </c>
      <c r="AC29" s="13">
        <v>5095</v>
      </c>
      <c r="AD29" s="13">
        <v>5087.0600000000004</v>
      </c>
      <c r="AE29" s="13">
        <v>5090.76</v>
      </c>
      <c r="AF29" s="13">
        <v>5089.08</v>
      </c>
      <c r="AG29" s="13">
        <v>5090.0200000000004</v>
      </c>
      <c r="AH29" s="13">
        <v>5088.8599999999997</v>
      </c>
      <c r="AI29" s="13">
        <v>5087.47</v>
      </c>
      <c r="AJ29" s="13">
        <v>5086.3</v>
      </c>
      <c r="AK29" s="13">
        <v>5090.1499999999996</v>
      </c>
      <c r="AL29" s="13">
        <v>5091.34</v>
      </c>
      <c r="AM29" s="13">
        <v>5085.72</v>
      </c>
      <c r="AN29" s="13">
        <v>5091.0200000000004</v>
      </c>
      <c r="AO29" s="13">
        <v>5092.34</v>
      </c>
      <c r="AP29" s="13">
        <v>5093.16</v>
      </c>
      <c r="AQ29" s="13">
        <v>5085.72</v>
      </c>
      <c r="AR29" s="13">
        <v>5079.91</v>
      </c>
      <c r="AS29" s="13">
        <v>5080.2299999999996</v>
      </c>
      <c r="AT29" s="13">
        <v>5073.5</v>
      </c>
      <c r="AU29" s="13">
        <v>5072.3</v>
      </c>
      <c r="AV29" s="13">
        <v>5075.26</v>
      </c>
      <c r="AW29" s="13">
        <v>5062.29</v>
      </c>
      <c r="AX29" s="13">
        <v>5056.3500000000004</v>
      </c>
      <c r="AY29" s="13">
        <v>5056.67</v>
      </c>
      <c r="AZ29" s="13">
        <v>5049.45</v>
      </c>
      <c r="BA29" s="13">
        <v>5054.24</v>
      </c>
      <c r="BB29" s="13">
        <v>5038.6899999999996</v>
      </c>
      <c r="BC29" s="13">
        <v>5044.58</v>
      </c>
      <c r="BD29" s="13">
        <v>5046.08</v>
      </c>
      <c r="BE29" s="13">
        <v>5043</v>
      </c>
      <c r="BF29" s="13">
        <v>5044.22</v>
      </c>
      <c r="BG29" s="13">
        <v>5052.18</v>
      </c>
      <c r="BH29" s="13">
        <v>5041.1499999999996</v>
      </c>
      <c r="BI29" s="13">
        <v>5053.55</v>
      </c>
      <c r="BJ29" s="13">
        <v>5056.75</v>
      </c>
      <c r="BK29" s="13">
        <v>5062</v>
      </c>
      <c r="BL29" s="13">
        <v>5058.12</v>
      </c>
      <c r="BM29" s="13">
        <v>5047.6899999999996</v>
      </c>
      <c r="BN29" s="13">
        <v>5044.62</v>
      </c>
      <c r="BO29" s="13">
        <v>5045.46</v>
      </c>
      <c r="BP29" s="13">
        <v>5042.7700000000004</v>
      </c>
      <c r="BQ29" s="13">
        <v>5044.1899999999996</v>
      </c>
      <c r="BR29" s="13">
        <v>5054.47</v>
      </c>
      <c r="BS29" s="13">
        <v>5044.2299999999996</v>
      </c>
      <c r="BT29" s="13">
        <v>5046.08</v>
      </c>
      <c r="BU29" s="13">
        <v>5059.6000000000004</v>
      </c>
      <c r="BV29" s="13">
        <v>5055.22</v>
      </c>
      <c r="BW29" s="13">
        <v>5047.0600000000004</v>
      </c>
      <c r="BX29" s="13">
        <v>5061.5200000000004</v>
      </c>
      <c r="BY29" s="13">
        <v>5052.16</v>
      </c>
      <c r="BZ29" s="13">
        <v>5055.8599999999997</v>
      </c>
      <c r="CA29" s="13">
        <v>5061.3900000000003</v>
      </c>
      <c r="CB29" s="13">
        <v>5060.59</v>
      </c>
      <c r="CC29" s="13">
        <v>5061.55</v>
      </c>
      <c r="CD29" s="13">
        <v>5067.05</v>
      </c>
      <c r="CE29" s="13">
        <v>5064.88</v>
      </c>
      <c r="CF29" s="13">
        <v>5065.6499999999996</v>
      </c>
      <c r="CG29" s="13">
        <v>5070.53</v>
      </c>
      <c r="CH29" s="13">
        <v>5055.3100000000004</v>
      </c>
      <c r="CI29" s="13">
        <v>5052.2299999999996</v>
      </c>
      <c r="CJ29" s="13">
        <v>5049.1499999999996</v>
      </c>
      <c r="CK29" s="13">
        <v>5046.08</v>
      </c>
      <c r="CL29" s="13">
        <v>5062.59</v>
      </c>
      <c r="CM29" s="13">
        <v>5057.9399999999996</v>
      </c>
      <c r="CN29" s="13">
        <v>5067.74</v>
      </c>
      <c r="CO29" s="13">
        <v>5065.2700000000004</v>
      </c>
      <c r="CP29" s="13">
        <v>5056.68</v>
      </c>
      <c r="CQ29" s="13">
        <v>5060.28</v>
      </c>
      <c r="CR29" s="13">
        <v>5054.53</v>
      </c>
      <c r="CS29" s="13">
        <v>5047.93</v>
      </c>
      <c r="CT29" s="13">
        <v>5075.41</v>
      </c>
      <c r="CU29" s="13">
        <v>5068.2299999999996</v>
      </c>
      <c r="CV29" s="13">
        <v>5079.92</v>
      </c>
      <c r="CW29" s="13">
        <v>5100.4399999999996</v>
      </c>
      <c r="CX29" s="13">
        <v>5085</v>
      </c>
      <c r="CY29" s="13">
        <v>5106.32</v>
      </c>
      <c r="CZ29" s="13">
        <v>5115.13</v>
      </c>
      <c r="DA29" s="13">
        <v>5104.71</v>
      </c>
      <c r="DB29" s="13">
        <v>5085.07</v>
      </c>
      <c r="DC29" s="13">
        <v>5081.91</v>
      </c>
      <c r="DD29" s="13">
        <v>5106.96</v>
      </c>
      <c r="DE29" s="13">
        <v>5108.8</v>
      </c>
      <c r="DF29" s="13">
        <v>5099.25</v>
      </c>
      <c r="DG29" s="13">
        <v>5096.1099999999997</v>
      </c>
      <c r="DH29" s="13">
        <v>5090.63</v>
      </c>
      <c r="DI29" s="13">
        <v>5101.74</v>
      </c>
      <c r="DJ29" s="13">
        <v>5068.71</v>
      </c>
      <c r="DK29" s="13">
        <v>5040</v>
      </c>
      <c r="DL29" s="13">
        <v>5040</v>
      </c>
      <c r="DM29" s="32"/>
      <c r="DN29" s="33"/>
      <c r="DO29" s="32"/>
      <c r="DP29" s="33"/>
      <c r="DQ29" s="32"/>
      <c r="DR29" s="33"/>
      <c r="DS29" s="32"/>
      <c r="DT29" s="33"/>
      <c r="DU29" s="32"/>
      <c r="DV29" s="33"/>
    </row>
    <row r="30" spans="1:126" ht="15.75" x14ac:dyDescent="0.25">
      <c r="A30" s="14"/>
      <c r="B30" s="12"/>
      <c r="C30" s="13">
        <f t="shared" ref="C30:AH30" si="14">(C26+C27+C28+C29)/4</f>
        <v>5171</v>
      </c>
      <c r="D30" s="13">
        <f t="shared" si="14"/>
        <v>5168.875</v>
      </c>
      <c r="E30" s="13">
        <f t="shared" si="14"/>
        <v>5168.5</v>
      </c>
      <c r="F30" s="13">
        <f t="shared" si="14"/>
        <v>5161.415</v>
      </c>
      <c r="G30" s="13">
        <f t="shared" si="14"/>
        <v>5167.6049999999996</v>
      </c>
      <c r="H30" s="13">
        <f t="shared" si="14"/>
        <v>5168.9174999999996</v>
      </c>
      <c r="I30" s="13">
        <f t="shared" si="14"/>
        <v>5166.0825000000004</v>
      </c>
      <c r="J30" s="13">
        <f t="shared" si="14"/>
        <v>5164.5825000000004</v>
      </c>
      <c r="K30" s="13">
        <f t="shared" si="14"/>
        <v>5155.9174999999996</v>
      </c>
      <c r="L30" s="13">
        <f t="shared" si="14"/>
        <v>5154.6049999999996</v>
      </c>
      <c r="M30" s="13">
        <f t="shared" si="14"/>
        <v>5148.2624999999998</v>
      </c>
      <c r="N30" s="13">
        <f t="shared" si="14"/>
        <v>5136.7075000000004</v>
      </c>
      <c r="O30" s="13">
        <f t="shared" si="14"/>
        <v>5133.2525000000005</v>
      </c>
      <c r="P30" s="13">
        <f t="shared" si="14"/>
        <v>5131.0025000000005</v>
      </c>
      <c r="Q30" s="13">
        <f t="shared" si="14"/>
        <v>5124.7525000000005</v>
      </c>
      <c r="R30" s="13">
        <f t="shared" si="14"/>
        <v>5123.7124999999996</v>
      </c>
      <c r="S30" s="13">
        <f t="shared" si="14"/>
        <v>5115.9049999999997</v>
      </c>
      <c r="T30" s="13">
        <f t="shared" si="14"/>
        <v>5108.7449999999999</v>
      </c>
      <c r="U30" s="13">
        <f t="shared" si="14"/>
        <v>5103.4925000000003</v>
      </c>
      <c r="V30" s="13">
        <f t="shared" si="14"/>
        <v>5103.6899999999996</v>
      </c>
      <c r="W30" s="13">
        <f t="shared" si="14"/>
        <v>5102.7025000000003</v>
      </c>
      <c r="X30" s="13">
        <f t="shared" si="14"/>
        <v>5097.6025</v>
      </c>
      <c r="Y30" s="13">
        <f t="shared" si="14"/>
        <v>5105.0649999999996</v>
      </c>
      <c r="Z30" s="13">
        <f t="shared" si="14"/>
        <v>5105.8249999999998</v>
      </c>
      <c r="AA30" s="13">
        <f t="shared" si="14"/>
        <v>5102.2999999999993</v>
      </c>
      <c r="AB30" s="13">
        <f t="shared" si="14"/>
        <v>5102.9424999999992</v>
      </c>
      <c r="AC30" s="13">
        <f t="shared" si="14"/>
        <v>5107.2300000000005</v>
      </c>
      <c r="AD30" s="13">
        <f t="shared" si="14"/>
        <v>5110.8175000000001</v>
      </c>
      <c r="AE30" s="13">
        <f t="shared" si="14"/>
        <v>5113.1550000000007</v>
      </c>
      <c r="AF30" s="13">
        <f t="shared" si="14"/>
        <v>5111.2899999999991</v>
      </c>
      <c r="AG30" s="13">
        <f t="shared" si="14"/>
        <v>5109.1975000000002</v>
      </c>
      <c r="AH30" s="13">
        <f t="shared" si="14"/>
        <v>5109.96</v>
      </c>
      <c r="AI30" s="13">
        <f t="shared" ref="AI30:BN30" si="15">(AI26+AI27+AI28+AI29)/4</f>
        <v>5109.5200000000004</v>
      </c>
      <c r="AJ30" s="13">
        <f t="shared" si="15"/>
        <v>5104.8249999999998</v>
      </c>
      <c r="AK30" s="13">
        <f t="shared" si="15"/>
        <v>5108.74</v>
      </c>
      <c r="AL30" s="13">
        <f t="shared" si="15"/>
        <v>5114.1750000000002</v>
      </c>
      <c r="AM30" s="13">
        <f t="shared" si="15"/>
        <v>5110.7775000000001</v>
      </c>
      <c r="AN30" s="13">
        <f t="shared" si="15"/>
        <v>5112.3325000000004</v>
      </c>
      <c r="AO30" s="13">
        <f t="shared" si="15"/>
        <v>5115.8850000000002</v>
      </c>
      <c r="AP30" s="13">
        <f t="shared" si="15"/>
        <v>5113.6750000000002</v>
      </c>
      <c r="AQ30" s="13">
        <f t="shared" si="15"/>
        <v>5105.8100000000004</v>
      </c>
      <c r="AR30" s="13">
        <f t="shared" si="15"/>
        <v>5103.2525000000005</v>
      </c>
      <c r="AS30" s="13">
        <f t="shared" si="15"/>
        <v>5106.4524999999994</v>
      </c>
      <c r="AT30" s="13">
        <f t="shared" si="15"/>
        <v>5101.26</v>
      </c>
      <c r="AU30" s="13">
        <f t="shared" si="15"/>
        <v>5097.9949999999999</v>
      </c>
      <c r="AV30" s="13">
        <f t="shared" si="15"/>
        <v>5097.4974999999995</v>
      </c>
      <c r="AW30" s="13">
        <f t="shared" si="15"/>
        <v>5088.2849999999999</v>
      </c>
      <c r="AX30" s="13">
        <f t="shared" si="15"/>
        <v>5083.7124999999996</v>
      </c>
      <c r="AY30" s="13">
        <f t="shared" si="15"/>
        <v>5084.8649999999998</v>
      </c>
      <c r="AZ30" s="13">
        <f t="shared" si="15"/>
        <v>5078.9050000000007</v>
      </c>
      <c r="BA30" s="13">
        <f t="shared" si="15"/>
        <v>5080.33</v>
      </c>
      <c r="BB30" s="13">
        <f t="shared" si="15"/>
        <v>5071.8999999999996</v>
      </c>
      <c r="BC30" s="13">
        <f t="shared" si="15"/>
        <v>5080.2924999999996</v>
      </c>
      <c r="BD30" s="13">
        <f t="shared" si="15"/>
        <v>5081.5599999999995</v>
      </c>
      <c r="BE30" s="13">
        <f t="shared" si="15"/>
        <v>5070.9425000000001</v>
      </c>
      <c r="BF30" s="13">
        <f t="shared" si="15"/>
        <v>5075.3550000000005</v>
      </c>
      <c r="BG30" s="13">
        <f t="shared" si="15"/>
        <v>5078.4174999999996</v>
      </c>
      <c r="BH30" s="13">
        <f t="shared" si="15"/>
        <v>5078.494999999999</v>
      </c>
      <c r="BI30" s="13">
        <f t="shared" si="15"/>
        <v>5082.8824999999997</v>
      </c>
      <c r="BJ30" s="13">
        <f t="shared" si="15"/>
        <v>5086.3975</v>
      </c>
      <c r="BK30" s="13">
        <f t="shared" si="15"/>
        <v>5085.3249999999998</v>
      </c>
      <c r="BL30" s="13">
        <f t="shared" si="15"/>
        <v>5083.6400000000003</v>
      </c>
      <c r="BM30" s="13">
        <f t="shared" si="15"/>
        <v>5077.9775</v>
      </c>
      <c r="BN30" s="13">
        <f t="shared" si="15"/>
        <v>5078.3324999999995</v>
      </c>
      <c r="BO30" s="13">
        <f t="shared" ref="BO30:CT30" si="16">(BO26+BO27+BO28+BO29)/4</f>
        <v>5078.8975</v>
      </c>
      <c r="BP30" s="13">
        <f t="shared" si="16"/>
        <v>5081.7574999999997</v>
      </c>
      <c r="BQ30" s="13">
        <f t="shared" si="16"/>
        <v>5082.0199999999995</v>
      </c>
      <c r="BR30" s="13">
        <f t="shared" si="16"/>
        <v>5084.4750000000004</v>
      </c>
      <c r="BS30" s="13">
        <f t="shared" si="16"/>
        <v>5077.4249999999993</v>
      </c>
      <c r="BT30" s="13">
        <f t="shared" si="16"/>
        <v>5083</v>
      </c>
      <c r="BU30" s="13">
        <f t="shared" si="16"/>
        <v>5085.125</v>
      </c>
      <c r="BV30" s="13">
        <f t="shared" si="16"/>
        <v>5081.9125000000004</v>
      </c>
      <c r="BW30" s="13">
        <f t="shared" si="16"/>
        <v>5080.5025000000005</v>
      </c>
      <c r="BX30" s="13">
        <f t="shared" si="16"/>
        <v>5088.3225000000002</v>
      </c>
      <c r="BY30" s="13">
        <f t="shared" si="16"/>
        <v>5080.0200000000004</v>
      </c>
      <c r="BZ30" s="13">
        <f t="shared" si="16"/>
        <v>5087.1549999999997</v>
      </c>
      <c r="CA30" s="13">
        <f t="shared" si="16"/>
        <v>5087.2124999999996</v>
      </c>
      <c r="CB30" s="13">
        <f t="shared" si="16"/>
        <v>5086.53</v>
      </c>
      <c r="CC30" s="13">
        <f t="shared" si="16"/>
        <v>5089.2349999999997</v>
      </c>
      <c r="CD30" s="13">
        <f t="shared" si="16"/>
        <v>5093.1224999999995</v>
      </c>
      <c r="CE30" s="13">
        <f t="shared" si="16"/>
        <v>5092.1675000000005</v>
      </c>
      <c r="CF30" s="13">
        <f t="shared" si="16"/>
        <v>5093.5750000000007</v>
      </c>
      <c r="CG30" s="13">
        <f t="shared" si="16"/>
        <v>5098.2325000000001</v>
      </c>
      <c r="CH30" s="13">
        <f t="shared" si="16"/>
        <v>5087.6350000000002</v>
      </c>
      <c r="CI30" s="13">
        <f t="shared" si="16"/>
        <v>5085.96</v>
      </c>
      <c r="CJ30" s="13">
        <f t="shared" si="16"/>
        <v>5082.9850000000006</v>
      </c>
      <c r="CK30" s="13">
        <f t="shared" si="16"/>
        <v>5081.4874999999993</v>
      </c>
      <c r="CL30" s="13">
        <f t="shared" si="16"/>
        <v>5088.84</v>
      </c>
      <c r="CM30" s="13">
        <f t="shared" si="16"/>
        <v>5087.3049999999994</v>
      </c>
      <c r="CN30" s="13">
        <f t="shared" si="16"/>
        <v>5090.4799999999996</v>
      </c>
      <c r="CO30" s="13">
        <f t="shared" si="16"/>
        <v>5091.82</v>
      </c>
      <c r="CP30" s="13">
        <f t="shared" si="16"/>
        <v>5084.0650000000005</v>
      </c>
      <c r="CQ30" s="13">
        <f t="shared" si="16"/>
        <v>5089.5574999999999</v>
      </c>
      <c r="CR30" s="13">
        <f t="shared" si="16"/>
        <v>5085.4749999999995</v>
      </c>
      <c r="CS30" s="13">
        <f t="shared" si="16"/>
        <v>5091.1750000000002</v>
      </c>
      <c r="CT30" s="13">
        <f t="shared" si="16"/>
        <v>5102.9174999999996</v>
      </c>
      <c r="CU30" s="13">
        <f t="shared" ref="CU30:DL30" si="17">(CU26+CU27+CU28+CU29)/4</f>
        <v>5114.0725000000002</v>
      </c>
      <c r="CV30" s="13">
        <f t="shared" si="17"/>
        <v>5117.9775</v>
      </c>
      <c r="CW30" s="13">
        <f t="shared" si="17"/>
        <v>5128.2024999999994</v>
      </c>
      <c r="CX30" s="13">
        <f t="shared" si="17"/>
        <v>5123.3125</v>
      </c>
      <c r="CY30" s="13">
        <f t="shared" si="17"/>
        <v>5125.9274999999998</v>
      </c>
      <c r="CZ30" s="13">
        <f t="shared" si="17"/>
        <v>5129.5150000000003</v>
      </c>
      <c r="DA30" s="13">
        <f t="shared" si="17"/>
        <v>5122.0775000000003</v>
      </c>
      <c r="DB30" s="13">
        <f t="shared" si="17"/>
        <v>5107.3450000000003</v>
      </c>
      <c r="DC30" s="13">
        <f t="shared" si="17"/>
        <v>5107.1125000000002</v>
      </c>
      <c r="DD30" s="13">
        <f t="shared" si="17"/>
        <v>5120.7775000000001</v>
      </c>
      <c r="DE30" s="13">
        <f t="shared" si="17"/>
        <v>5121.3099999999995</v>
      </c>
      <c r="DF30" s="13">
        <f t="shared" si="17"/>
        <v>5115.8</v>
      </c>
      <c r="DG30" s="13">
        <f t="shared" si="17"/>
        <v>5108.6149999999998</v>
      </c>
      <c r="DH30" s="13">
        <f t="shared" si="17"/>
        <v>5106.9475000000002</v>
      </c>
      <c r="DI30" s="13">
        <f t="shared" si="17"/>
        <v>5114.085</v>
      </c>
      <c r="DJ30" s="13">
        <f t="shared" si="17"/>
        <v>5104.7349999999997</v>
      </c>
      <c r="DK30" s="13">
        <f t="shared" si="17"/>
        <v>5092.79</v>
      </c>
      <c r="DL30" s="13">
        <f t="shared" si="17"/>
        <v>5085.8074999999999</v>
      </c>
      <c r="DM30" s="26"/>
      <c r="DN30" s="25"/>
      <c r="DO30" s="27"/>
      <c r="DP30" s="25"/>
      <c r="DQ30" s="27"/>
      <c r="DR30" s="25"/>
      <c r="DS30" s="27"/>
      <c r="DT30" s="25"/>
    </row>
    <row r="31" spans="1:126" ht="15.75" x14ac:dyDescent="0.25">
      <c r="A31" s="11" t="s">
        <v>5</v>
      </c>
      <c r="B31" s="11" t="s">
        <v>11</v>
      </c>
      <c r="C31" s="15">
        <v>0.375</v>
      </c>
      <c r="D31" s="15">
        <v>0.37847222222222227</v>
      </c>
      <c r="E31" s="15">
        <v>0.38194444444444442</v>
      </c>
      <c r="F31" s="15">
        <v>0.38541666666666669</v>
      </c>
      <c r="G31" s="15">
        <v>0.3888888888888889</v>
      </c>
      <c r="H31" s="15">
        <v>0.3923611111111111</v>
      </c>
      <c r="I31" s="15">
        <v>0.39583333333333331</v>
      </c>
      <c r="J31" s="15">
        <v>0.39930555555555558</v>
      </c>
      <c r="K31" s="15">
        <v>0.40277777777777773</v>
      </c>
      <c r="L31" s="15">
        <v>0.40625</v>
      </c>
      <c r="M31" s="15">
        <v>0.40972222222222227</v>
      </c>
      <c r="N31" s="15">
        <v>0.41319444444444442</v>
      </c>
      <c r="O31" s="15">
        <v>0.41666666666666669</v>
      </c>
      <c r="P31" s="15">
        <v>0.4201388888888889</v>
      </c>
      <c r="Q31" s="15">
        <v>0.4236111111111111</v>
      </c>
      <c r="R31" s="15">
        <v>0.42708333333333331</v>
      </c>
      <c r="S31" s="15">
        <v>0.43055555555555558</v>
      </c>
      <c r="T31" s="15">
        <v>0.43402777777777773</v>
      </c>
      <c r="U31" s="15">
        <v>0.4375</v>
      </c>
      <c r="V31" s="15">
        <v>0.44097222222222227</v>
      </c>
      <c r="W31" s="15">
        <v>0.44444444444444442</v>
      </c>
      <c r="X31" s="15">
        <v>0.44791666666666669</v>
      </c>
      <c r="Y31" s="15">
        <v>0.4513888888888889</v>
      </c>
      <c r="Z31" s="15">
        <v>0.4548611111111111</v>
      </c>
      <c r="AA31" s="15">
        <v>0.45833333333333331</v>
      </c>
      <c r="AB31" s="15">
        <v>0.46180555555555558</v>
      </c>
      <c r="AC31" s="15">
        <v>0.46527777777777773</v>
      </c>
      <c r="AD31" s="15">
        <v>0.46875</v>
      </c>
      <c r="AE31" s="15">
        <v>0.47222222222222227</v>
      </c>
      <c r="AF31" s="15">
        <v>0.47569444444444442</v>
      </c>
      <c r="AG31" s="15">
        <v>0.47916666666666669</v>
      </c>
      <c r="AH31" s="15">
        <v>0.4826388888888889</v>
      </c>
      <c r="AI31" s="15">
        <v>0.4861111111111111</v>
      </c>
      <c r="AJ31" s="15">
        <v>0.48958333333333331</v>
      </c>
      <c r="AK31" s="15">
        <v>0.49305555555555558</v>
      </c>
      <c r="AL31" s="15">
        <v>0.49652777777777773</v>
      </c>
      <c r="AM31" s="15">
        <v>0.5</v>
      </c>
      <c r="AN31" s="15">
        <v>0.50347222222222221</v>
      </c>
      <c r="AO31" s="15">
        <v>0.50694444444444442</v>
      </c>
      <c r="AP31" s="15">
        <v>0.51041666666666663</v>
      </c>
      <c r="AQ31" s="15">
        <v>0.51388888888888895</v>
      </c>
      <c r="AR31" s="15">
        <v>0.51736111111111105</v>
      </c>
      <c r="AS31" s="15">
        <v>0.52083333333333337</v>
      </c>
      <c r="AT31" s="15">
        <v>0.52430555555555558</v>
      </c>
      <c r="AU31" s="15">
        <v>0.52777777777777779</v>
      </c>
      <c r="AV31" s="15">
        <v>0.53125</v>
      </c>
      <c r="AW31" s="15">
        <v>0.53472222222222221</v>
      </c>
      <c r="AX31" s="15">
        <v>0.53819444444444442</v>
      </c>
      <c r="AY31" s="15">
        <v>0.54166666666666663</v>
      </c>
      <c r="AZ31" s="15">
        <v>0.54513888888888895</v>
      </c>
      <c r="BA31" s="15">
        <v>0.54861111111111105</v>
      </c>
      <c r="BB31" s="15">
        <v>0.55208333333333337</v>
      </c>
      <c r="BC31" s="15">
        <v>0.55555555555555558</v>
      </c>
      <c r="BD31" s="15">
        <v>0.55902777777777779</v>
      </c>
      <c r="BE31" s="15">
        <v>0.5625</v>
      </c>
      <c r="BF31" s="15">
        <v>0.56597222222222221</v>
      </c>
      <c r="BG31" s="15">
        <v>0.56944444444444442</v>
      </c>
      <c r="BH31" s="15">
        <v>0.57291666666666663</v>
      </c>
      <c r="BI31" s="15">
        <v>0.57638888888888895</v>
      </c>
      <c r="BJ31" s="15">
        <v>0.57986111111111105</v>
      </c>
      <c r="BK31" s="15">
        <v>0.58333333333333337</v>
      </c>
      <c r="BL31" s="15">
        <v>0.58680555555555558</v>
      </c>
      <c r="BM31" s="15">
        <v>0.59027777777777779</v>
      </c>
      <c r="BN31" s="15">
        <v>0.59375</v>
      </c>
      <c r="BO31" s="15">
        <v>0.59722222222222221</v>
      </c>
      <c r="BP31" s="15">
        <v>0.60069444444444442</v>
      </c>
      <c r="BQ31" s="15">
        <v>0.60416666666666663</v>
      </c>
      <c r="BR31" s="15">
        <v>0.60763888888888895</v>
      </c>
      <c r="BS31" s="15">
        <v>0.61111111111111105</v>
      </c>
      <c r="BT31" s="15">
        <v>0.61458333333333337</v>
      </c>
      <c r="BU31" s="15">
        <v>0.61805555555555558</v>
      </c>
      <c r="BV31" s="15">
        <v>0.62152777777777779</v>
      </c>
      <c r="BW31" s="15">
        <v>0.625</v>
      </c>
      <c r="BX31" s="15">
        <v>0.62847222222222221</v>
      </c>
      <c r="BY31" s="15">
        <v>0.63194444444444442</v>
      </c>
      <c r="BZ31" s="15">
        <v>0.63541666666666663</v>
      </c>
      <c r="CA31" s="15">
        <v>0.63888888888888895</v>
      </c>
      <c r="CB31" s="15">
        <v>0.64236111111111105</v>
      </c>
      <c r="CC31" s="15">
        <v>0.64583333333333337</v>
      </c>
      <c r="CD31" s="15">
        <v>0.64930555555555558</v>
      </c>
      <c r="CE31" s="15">
        <v>0.65277777777777779</v>
      </c>
      <c r="CF31" s="15">
        <v>0.65625</v>
      </c>
      <c r="CG31" s="15">
        <v>0.65972222222222221</v>
      </c>
      <c r="CH31" s="15">
        <v>0.66319444444444442</v>
      </c>
      <c r="CI31" s="15">
        <v>0.66666666666666663</v>
      </c>
      <c r="CJ31" s="15">
        <v>0.67013888888888884</v>
      </c>
      <c r="CK31" s="15">
        <v>0.67361111111111116</v>
      </c>
      <c r="CL31" s="15">
        <v>0.67708333333333337</v>
      </c>
      <c r="CM31" s="15">
        <v>0.68055555555555547</v>
      </c>
      <c r="CN31" s="15">
        <v>0.68402777777777779</v>
      </c>
      <c r="CO31" s="15">
        <v>0.6875</v>
      </c>
      <c r="CP31" s="15">
        <v>0.69097222222222221</v>
      </c>
      <c r="CQ31" s="15">
        <v>0.69444444444444453</v>
      </c>
      <c r="CR31" s="15">
        <v>0.69791666666666663</v>
      </c>
      <c r="CS31" s="15">
        <v>0.70138888888888884</v>
      </c>
      <c r="CT31" s="15">
        <v>0.70486111111111116</v>
      </c>
      <c r="CU31" s="15">
        <v>0.70833333333333337</v>
      </c>
      <c r="CV31" s="15">
        <v>0.71180555555555547</v>
      </c>
      <c r="CW31" s="15">
        <v>0.71527777777777779</v>
      </c>
      <c r="CX31" s="15">
        <v>0.71875</v>
      </c>
      <c r="CY31" s="15">
        <v>0.72222222222222221</v>
      </c>
      <c r="CZ31" s="15">
        <v>0.72569444444444453</v>
      </c>
      <c r="DA31" s="15">
        <v>0.72916666666666663</v>
      </c>
      <c r="DB31" s="15">
        <v>0.73263888888888884</v>
      </c>
      <c r="DC31" s="15">
        <v>0.73611111111111116</v>
      </c>
      <c r="DD31" s="15">
        <v>0.73958333333333337</v>
      </c>
      <c r="DE31" s="15">
        <v>0.74305555555555547</v>
      </c>
      <c r="DF31" s="15">
        <v>0.74652777777777779</v>
      </c>
      <c r="DG31" s="15">
        <v>0.75</v>
      </c>
      <c r="DH31" s="15">
        <v>0.75347222222222221</v>
      </c>
      <c r="DI31" s="15">
        <v>0.75694444444444453</v>
      </c>
      <c r="DJ31" s="15">
        <v>0.76041666666666663</v>
      </c>
      <c r="DK31" s="15">
        <v>0.76388888888888884</v>
      </c>
      <c r="DL31" s="15">
        <v>0.76736111111111116</v>
      </c>
      <c r="DM31" s="23">
        <v>44354</v>
      </c>
    </row>
    <row r="32" spans="1:126" ht="15.75" x14ac:dyDescent="0.25">
      <c r="A32" s="14">
        <v>44173</v>
      </c>
      <c r="B32" s="12" t="s">
        <v>6</v>
      </c>
      <c r="C32" s="13">
        <v>5133.5</v>
      </c>
      <c r="D32" s="13">
        <v>5133.5</v>
      </c>
      <c r="E32" s="13">
        <v>5132.04</v>
      </c>
      <c r="F32" s="13">
        <v>5135.96</v>
      </c>
      <c r="G32" s="13">
        <v>5133.62</v>
      </c>
      <c r="H32" s="13">
        <v>5128.08</v>
      </c>
      <c r="I32" s="13">
        <v>5115.79</v>
      </c>
      <c r="J32" s="13">
        <v>5119.3599999999997</v>
      </c>
      <c r="K32" s="13">
        <v>5126.21</v>
      </c>
      <c r="L32" s="13">
        <v>5123.93</v>
      </c>
      <c r="M32" s="13">
        <v>5117.6099999999997</v>
      </c>
      <c r="N32" s="13">
        <v>5122.79</v>
      </c>
      <c r="O32" s="13">
        <v>5116.04</v>
      </c>
      <c r="P32" s="13">
        <v>5116.38</v>
      </c>
      <c r="Q32" s="13">
        <v>5121.07</v>
      </c>
      <c r="R32" s="13">
        <v>5126.21</v>
      </c>
      <c r="S32" s="13">
        <v>5122.29</v>
      </c>
      <c r="T32" s="13">
        <v>5126.7299999999996</v>
      </c>
      <c r="U32" s="13">
        <v>5127.78</v>
      </c>
      <c r="V32" s="13">
        <v>5122.42</v>
      </c>
      <c r="W32" s="13">
        <v>5124.07</v>
      </c>
      <c r="X32" s="13">
        <v>5120.3</v>
      </c>
      <c r="Y32" s="13">
        <v>5126.7299999999996</v>
      </c>
      <c r="Z32" s="13">
        <v>5129.3999999999996</v>
      </c>
      <c r="AA32" s="13">
        <v>5130.47</v>
      </c>
      <c r="AB32" s="13">
        <v>5119.4799999999996</v>
      </c>
      <c r="AC32" s="13">
        <v>5118.21</v>
      </c>
      <c r="AD32" s="13">
        <v>5112.68</v>
      </c>
      <c r="AE32" s="13">
        <v>5119.2700000000004</v>
      </c>
      <c r="AF32" s="13">
        <v>5116.3999999999996</v>
      </c>
      <c r="AG32" s="13">
        <v>5123.6899999999996</v>
      </c>
      <c r="AH32" s="13">
        <v>5121.24</v>
      </c>
      <c r="AI32" s="13">
        <v>5116.3999999999996</v>
      </c>
      <c r="AJ32" s="13">
        <v>5117.32</v>
      </c>
      <c r="AK32" s="13">
        <v>5123.6899999999996</v>
      </c>
      <c r="AL32" s="13">
        <v>5117.32</v>
      </c>
      <c r="AM32" s="13">
        <v>5117.37</v>
      </c>
      <c r="AN32" s="13">
        <v>5111.88</v>
      </c>
      <c r="AO32" s="13">
        <v>5116.93</v>
      </c>
      <c r="AP32" s="13">
        <v>5117.67</v>
      </c>
      <c r="AQ32" s="13">
        <v>5121.6899999999996</v>
      </c>
      <c r="AR32" s="13">
        <v>5117.04</v>
      </c>
      <c r="AS32" s="13">
        <v>5124.59</v>
      </c>
      <c r="AT32" s="13">
        <v>5105.88</v>
      </c>
      <c r="AU32" s="13">
        <v>5108.6000000000004</v>
      </c>
      <c r="AV32" s="13">
        <v>5094</v>
      </c>
      <c r="AW32" s="13">
        <v>5089.55</v>
      </c>
      <c r="AX32" s="13">
        <v>5111.1899999999996</v>
      </c>
      <c r="AY32" s="13">
        <v>5087.5200000000004</v>
      </c>
      <c r="AZ32" s="13">
        <v>5116.6000000000004</v>
      </c>
      <c r="BA32" s="13">
        <v>5109.33</v>
      </c>
      <c r="BB32" s="13">
        <v>5102</v>
      </c>
      <c r="BC32" s="13">
        <v>5102.25</v>
      </c>
      <c r="BD32" s="13">
        <v>5098.08</v>
      </c>
      <c r="BE32" s="13">
        <v>5098</v>
      </c>
      <c r="BF32" s="13">
        <v>5102.25</v>
      </c>
      <c r="BG32" s="13">
        <v>5102.9399999999996</v>
      </c>
      <c r="BH32" s="13">
        <v>5106.03</v>
      </c>
      <c r="BI32" s="13">
        <v>5104.12</v>
      </c>
      <c r="BJ32" s="13">
        <v>5104.12</v>
      </c>
      <c r="BK32" s="13">
        <v>5102.4399999999996</v>
      </c>
      <c r="BL32" s="13">
        <v>5109.33</v>
      </c>
      <c r="BM32" s="13">
        <v>5107.63</v>
      </c>
      <c r="BN32" s="13">
        <v>5110.68</v>
      </c>
      <c r="BO32" s="13">
        <v>5111.75</v>
      </c>
      <c r="BP32" s="13">
        <v>5107.7700000000004</v>
      </c>
      <c r="BQ32" s="13">
        <v>5115.21</v>
      </c>
      <c r="BR32" s="13">
        <v>5121.66</v>
      </c>
      <c r="BS32" s="13">
        <v>5126.13</v>
      </c>
      <c r="BT32" s="13">
        <v>5121.42</v>
      </c>
      <c r="BU32" s="13">
        <v>5125.4799999999996</v>
      </c>
      <c r="BV32" s="13">
        <v>5124.13</v>
      </c>
      <c r="BW32" s="13">
        <v>5125.3900000000003</v>
      </c>
      <c r="BX32" s="13">
        <v>5128.82</v>
      </c>
      <c r="BY32" s="13">
        <v>5128</v>
      </c>
      <c r="BZ32" s="13">
        <v>5124.3500000000004</v>
      </c>
      <c r="CA32" s="13">
        <v>5122.25</v>
      </c>
      <c r="CB32" s="13">
        <v>5129.2299999999996</v>
      </c>
      <c r="CC32" s="13">
        <v>5123.75</v>
      </c>
      <c r="CD32" s="13">
        <v>5129.8500000000004</v>
      </c>
      <c r="CE32" s="13">
        <v>5127.3599999999997</v>
      </c>
      <c r="CF32" s="13">
        <v>5127.93</v>
      </c>
      <c r="CG32" s="13">
        <v>5128.93</v>
      </c>
      <c r="CH32" s="13">
        <v>5136</v>
      </c>
      <c r="CI32" s="13">
        <v>5133.79</v>
      </c>
      <c r="CJ32" s="13">
        <v>5133.79</v>
      </c>
      <c r="CK32" s="13">
        <v>5133.1000000000004</v>
      </c>
      <c r="CL32" s="13">
        <v>5144.8900000000003</v>
      </c>
      <c r="CM32" s="13">
        <v>5142.79</v>
      </c>
      <c r="CN32" s="13">
        <v>5143.09</v>
      </c>
      <c r="CO32" s="13">
        <v>5143.57</v>
      </c>
      <c r="CP32" s="13">
        <v>5139.97</v>
      </c>
      <c r="CQ32" s="13">
        <v>5137.88</v>
      </c>
      <c r="CR32" s="13">
        <v>5138.3500000000004</v>
      </c>
      <c r="CS32" s="13">
        <v>5136.41</v>
      </c>
      <c r="CT32" s="13">
        <v>5136.9399999999996</v>
      </c>
      <c r="CU32" s="13">
        <v>5136.22</v>
      </c>
      <c r="CV32" s="13">
        <v>5136.22</v>
      </c>
      <c r="CW32" s="13">
        <v>5135.43</v>
      </c>
      <c r="CX32" s="13">
        <v>5134.05</v>
      </c>
      <c r="CY32" s="13">
        <v>5134.87</v>
      </c>
      <c r="CZ32" s="13">
        <v>5135.43</v>
      </c>
      <c r="DA32" s="13">
        <v>5135.1400000000003</v>
      </c>
      <c r="DB32" s="13">
        <v>5133.3500000000004</v>
      </c>
      <c r="DC32" s="13">
        <v>5132.4399999999996</v>
      </c>
      <c r="DD32" s="13">
        <v>5132.5200000000004</v>
      </c>
      <c r="DE32" s="13">
        <v>5134</v>
      </c>
      <c r="DF32" s="13">
        <v>5133.43</v>
      </c>
      <c r="DG32" s="13">
        <v>5131.59</v>
      </c>
      <c r="DH32" s="13">
        <v>5131.1400000000003</v>
      </c>
      <c r="DI32" s="13">
        <v>5129.04</v>
      </c>
      <c r="DJ32" s="13">
        <v>5129.04</v>
      </c>
      <c r="DK32" s="13">
        <v>5129.4399999999996</v>
      </c>
      <c r="DL32" s="13">
        <v>5129.28</v>
      </c>
      <c r="DM32" s="32"/>
      <c r="DN32" s="33"/>
      <c r="DO32" s="32"/>
      <c r="DP32" s="33"/>
      <c r="DQ32" s="32"/>
      <c r="DR32" s="33"/>
      <c r="DS32" s="32"/>
      <c r="DT32" s="33"/>
      <c r="DU32" s="32"/>
      <c r="DV32" s="33"/>
    </row>
    <row r="33" spans="1:126" ht="15.75" x14ac:dyDescent="0.25">
      <c r="A33" s="14" t="s">
        <v>12</v>
      </c>
      <c r="B33" s="12" t="s">
        <v>10</v>
      </c>
      <c r="C33" s="13">
        <v>5133.5</v>
      </c>
      <c r="D33" s="13">
        <v>5131.16</v>
      </c>
      <c r="E33" s="13">
        <v>5131.04</v>
      </c>
      <c r="F33" s="13">
        <v>5129.57</v>
      </c>
      <c r="G33" s="13">
        <v>5123</v>
      </c>
      <c r="H33" s="13">
        <v>5115.79</v>
      </c>
      <c r="I33" s="13">
        <v>5112.13</v>
      </c>
      <c r="J33" s="13">
        <v>5117.96</v>
      </c>
      <c r="K33" s="13">
        <v>5119.17</v>
      </c>
      <c r="L33" s="13">
        <v>5116.04</v>
      </c>
      <c r="M33" s="13">
        <v>5116.04</v>
      </c>
      <c r="N33" s="13">
        <v>5105.87</v>
      </c>
      <c r="O33" s="13">
        <v>5114.4799999999996</v>
      </c>
      <c r="P33" s="13">
        <v>5112.91</v>
      </c>
      <c r="Q33" s="13">
        <v>5112.13</v>
      </c>
      <c r="R33" s="13">
        <v>5121.5200000000004</v>
      </c>
      <c r="S33" s="13">
        <v>5117.0600000000004</v>
      </c>
      <c r="T33" s="13">
        <v>5120.79</v>
      </c>
      <c r="U33" s="13">
        <v>5117.0600000000004</v>
      </c>
      <c r="V33" s="13">
        <v>5116.71</v>
      </c>
      <c r="W33" s="13">
        <v>5114.1400000000003</v>
      </c>
      <c r="X33" s="13">
        <v>5108.58</v>
      </c>
      <c r="Y33" s="13">
        <v>5120.3</v>
      </c>
      <c r="Z33" s="13">
        <v>5122.3599999999997</v>
      </c>
      <c r="AA33" s="13">
        <v>5122.45</v>
      </c>
      <c r="AB33" s="13">
        <v>5114.96</v>
      </c>
      <c r="AC33" s="13">
        <v>5112.5</v>
      </c>
      <c r="AD33" s="13">
        <v>5106.66</v>
      </c>
      <c r="AE33" s="13">
        <v>5110.29</v>
      </c>
      <c r="AF33" s="13">
        <v>5114.76</v>
      </c>
      <c r="AG33" s="13">
        <v>5112.66</v>
      </c>
      <c r="AH33" s="13">
        <v>5113.79</v>
      </c>
      <c r="AI33" s="13">
        <v>5112.96</v>
      </c>
      <c r="AJ33" s="13">
        <v>5111.59</v>
      </c>
      <c r="AK33" s="13">
        <v>5117.32</v>
      </c>
      <c r="AL33" s="13">
        <v>5111.8599999999997</v>
      </c>
      <c r="AM33" s="13">
        <v>5108.88</v>
      </c>
      <c r="AN33" s="13">
        <v>5101.7</v>
      </c>
      <c r="AO33" s="13">
        <v>5103.83</v>
      </c>
      <c r="AP33" s="13">
        <v>5107.92</v>
      </c>
      <c r="AQ33" s="13">
        <v>5114.04</v>
      </c>
      <c r="AR33" s="13">
        <v>5111.5</v>
      </c>
      <c r="AS33" s="13">
        <v>5109.4799999999996</v>
      </c>
      <c r="AT33" s="13">
        <v>5091.96</v>
      </c>
      <c r="AU33" s="13">
        <v>5096.46</v>
      </c>
      <c r="AV33" s="13">
        <v>5086.3900000000003</v>
      </c>
      <c r="AW33" s="13">
        <v>5089.21</v>
      </c>
      <c r="AX33" s="13">
        <v>5087.5200000000004</v>
      </c>
      <c r="AY33" s="13">
        <v>5081.7299999999996</v>
      </c>
      <c r="AZ33" s="13">
        <v>5093.09</v>
      </c>
      <c r="BA33" s="13">
        <v>5095.28</v>
      </c>
      <c r="BB33" s="13">
        <v>5098.1400000000003</v>
      </c>
      <c r="BC33" s="13">
        <v>5092.13</v>
      </c>
      <c r="BD33" s="13">
        <v>5096.55</v>
      </c>
      <c r="BE33" s="13">
        <v>5096.8599999999997</v>
      </c>
      <c r="BF33" s="13">
        <v>5097.71</v>
      </c>
      <c r="BG33" s="13">
        <v>5098.17</v>
      </c>
      <c r="BH33" s="13">
        <v>5102.2299999999996</v>
      </c>
      <c r="BI33" s="13">
        <v>5101.3599999999997</v>
      </c>
      <c r="BJ33" s="13">
        <v>5099</v>
      </c>
      <c r="BK33" s="13">
        <v>5099</v>
      </c>
      <c r="BL33" s="13">
        <v>5101.66</v>
      </c>
      <c r="BM33" s="13">
        <v>5107.63</v>
      </c>
      <c r="BN33" s="13">
        <v>5105.13</v>
      </c>
      <c r="BO33" s="13">
        <v>5105.13</v>
      </c>
      <c r="BP33" s="13">
        <v>5107.1099999999997</v>
      </c>
      <c r="BQ33" s="13">
        <v>5110.29</v>
      </c>
      <c r="BR33" s="13">
        <v>5113.59</v>
      </c>
      <c r="BS33" s="13">
        <v>5121.28</v>
      </c>
      <c r="BT33" s="13">
        <v>5118.95</v>
      </c>
      <c r="BU33" s="13">
        <v>5125.45</v>
      </c>
      <c r="BV33" s="13">
        <v>5122.96</v>
      </c>
      <c r="BW33" s="13">
        <v>5125.3900000000003</v>
      </c>
      <c r="BX33" s="13">
        <v>5128</v>
      </c>
      <c r="BY33" s="13">
        <v>5121.5</v>
      </c>
      <c r="BZ33" s="13">
        <v>5121.1400000000003</v>
      </c>
      <c r="CA33" s="13">
        <v>5120.82</v>
      </c>
      <c r="CB33" s="13">
        <v>5121.6400000000003</v>
      </c>
      <c r="CC33" s="13">
        <v>5121.6400000000003</v>
      </c>
      <c r="CD33" s="13">
        <v>5120.2299999999996</v>
      </c>
      <c r="CE33" s="13">
        <v>5127.3599999999997</v>
      </c>
      <c r="CF33" s="13">
        <v>5123.09</v>
      </c>
      <c r="CG33" s="13">
        <v>5125</v>
      </c>
      <c r="CH33" s="13">
        <v>5125.8900000000003</v>
      </c>
      <c r="CI33" s="13">
        <v>5129.7</v>
      </c>
      <c r="CJ33" s="13">
        <v>5128.74</v>
      </c>
      <c r="CK33" s="13">
        <v>5132.3900000000003</v>
      </c>
      <c r="CL33" s="13">
        <v>5139.16</v>
      </c>
      <c r="CM33" s="13">
        <v>5139</v>
      </c>
      <c r="CN33" s="13">
        <v>5141.1099999999997</v>
      </c>
      <c r="CO33" s="13">
        <v>5140.6499999999996</v>
      </c>
      <c r="CP33" s="13">
        <v>5135.26</v>
      </c>
      <c r="CQ33" s="13">
        <v>5135.4399999999996</v>
      </c>
      <c r="CR33" s="13">
        <v>5136.41</v>
      </c>
      <c r="CS33" s="13">
        <v>5135.6499999999996</v>
      </c>
      <c r="CT33" s="13">
        <v>5133.74</v>
      </c>
      <c r="CU33" s="13">
        <v>5136.22</v>
      </c>
      <c r="CV33" s="13">
        <v>5135.43</v>
      </c>
      <c r="CW33" s="13">
        <v>5131.59</v>
      </c>
      <c r="CX33" s="13">
        <v>5133.29</v>
      </c>
      <c r="CY33" s="13">
        <v>5134.04</v>
      </c>
      <c r="CZ33" s="13">
        <v>5133.3</v>
      </c>
      <c r="DA33" s="13">
        <v>5132.87</v>
      </c>
      <c r="DB33" s="13">
        <v>5132.4399999999996</v>
      </c>
      <c r="DC33" s="13">
        <v>5130.63</v>
      </c>
      <c r="DD33" s="13">
        <v>5132.5200000000004</v>
      </c>
      <c r="DE33" s="13">
        <v>5133.43</v>
      </c>
      <c r="DF33" s="13">
        <v>5131.59</v>
      </c>
      <c r="DG33" s="13">
        <v>5128.6099999999997</v>
      </c>
      <c r="DH33" s="13">
        <v>5128.26</v>
      </c>
      <c r="DI33" s="13">
        <v>5129.04</v>
      </c>
      <c r="DJ33" s="13">
        <v>5126.3500000000004</v>
      </c>
      <c r="DK33" s="13">
        <v>5127.1099999999997</v>
      </c>
      <c r="DL33" s="13">
        <v>5127.1099999999997</v>
      </c>
      <c r="DM33" s="32"/>
      <c r="DN33" s="33"/>
      <c r="DO33" s="32"/>
      <c r="DP33" s="33"/>
      <c r="DQ33" s="32"/>
      <c r="DR33" s="33"/>
      <c r="DS33" s="32"/>
      <c r="DT33" s="33"/>
      <c r="DU33" s="32"/>
      <c r="DV33" s="33"/>
    </row>
    <row r="34" spans="1:126" ht="15.75" x14ac:dyDescent="0.25">
      <c r="A34" s="14" t="s">
        <v>12</v>
      </c>
      <c r="B34" s="12" t="s">
        <v>9</v>
      </c>
      <c r="C34" s="13">
        <v>5119</v>
      </c>
      <c r="D34" s="13">
        <v>5117.8100000000004</v>
      </c>
      <c r="E34" s="13">
        <v>5117.6499999999996</v>
      </c>
      <c r="F34" s="13">
        <v>5114.7299999999996</v>
      </c>
      <c r="G34" s="13">
        <v>5108.3500000000004</v>
      </c>
      <c r="H34" s="13">
        <v>5101.3100000000004</v>
      </c>
      <c r="I34" s="13">
        <v>5094.78</v>
      </c>
      <c r="J34" s="13">
        <v>5085.76</v>
      </c>
      <c r="K34" s="13">
        <v>5090.2700000000004</v>
      </c>
      <c r="L34" s="13">
        <v>5088</v>
      </c>
      <c r="M34" s="13">
        <v>5078.38</v>
      </c>
      <c r="N34" s="13">
        <v>5078.3100000000004</v>
      </c>
      <c r="O34" s="13">
        <v>5085.2299999999996</v>
      </c>
      <c r="P34" s="13">
        <v>5076.38</v>
      </c>
      <c r="Q34" s="13">
        <v>5086.3900000000003</v>
      </c>
      <c r="R34" s="13">
        <v>5092.3500000000004</v>
      </c>
      <c r="S34" s="13">
        <v>5083.3500000000004</v>
      </c>
      <c r="T34" s="13">
        <v>5091.8999999999996</v>
      </c>
      <c r="U34" s="13">
        <v>5083.1899999999996</v>
      </c>
      <c r="V34" s="13">
        <v>5089.6400000000003</v>
      </c>
      <c r="W34" s="13">
        <v>5089.1899999999996</v>
      </c>
      <c r="X34" s="13">
        <v>5082.6499999999996</v>
      </c>
      <c r="Y34" s="13">
        <v>5094.55</v>
      </c>
      <c r="Z34" s="13">
        <v>5095.87</v>
      </c>
      <c r="AA34" s="13">
        <v>5080.07</v>
      </c>
      <c r="AB34" s="13">
        <v>5087.8100000000004</v>
      </c>
      <c r="AC34" s="13">
        <v>5088.72</v>
      </c>
      <c r="AD34" s="13">
        <v>5081.1000000000004</v>
      </c>
      <c r="AE34" s="13">
        <v>5083.05</v>
      </c>
      <c r="AF34" s="13">
        <v>5086.05</v>
      </c>
      <c r="AG34" s="13">
        <v>5087.07</v>
      </c>
      <c r="AH34" s="13">
        <v>5088.3999999999996</v>
      </c>
      <c r="AI34" s="13">
        <v>5081.5200000000004</v>
      </c>
      <c r="AJ34" s="13">
        <v>5085.1099999999997</v>
      </c>
      <c r="AK34" s="13">
        <v>5088.6000000000004</v>
      </c>
      <c r="AL34" s="13">
        <v>5080.38</v>
      </c>
      <c r="AM34" s="13">
        <v>5083.2700000000004</v>
      </c>
      <c r="AN34" s="13">
        <v>5065.66</v>
      </c>
      <c r="AO34" s="13">
        <v>5078.5</v>
      </c>
      <c r="AP34" s="13">
        <v>5080.63</v>
      </c>
      <c r="AQ34" s="13">
        <v>5085.59</v>
      </c>
      <c r="AR34" s="13">
        <v>5083.72</v>
      </c>
      <c r="AS34" s="13">
        <v>5083.72</v>
      </c>
      <c r="AT34" s="13">
        <v>5063.5600000000004</v>
      </c>
      <c r="AU34" s="13">
        <v>5065.6899999999996</v>
      </c>
      <c r="AV34" s="13">
        <v>5062.5200000000004</v>
      </c>
      <c r="AW34" s="13">
        <v>5063.21</v>
      </c>
      <c r="AX34" s="13">
        <v>5065.12</v>
      </c>
      <c r="AY34" s="13">
        <v>5057.53</v>
      </c>
      <c r="AZ34" s="13">
        <v>5064.2299999999996</v>
      </c>
      <c r="BA34" s="13">
        <v>5064.83</v>
      </c>
      <c r="BB34" s="13">
        <v>5067.13</v>
      </c>
      <c r="BC34" s="13">
        <v>5058.68</v>
      </c>
      <c r="BD34" s="13">
        <v>5061.95</v>
      </c>
      <c r="BE34" s="13">
        <v>5065.8500000000004</v>
      </c>
      <c r="BF34" s="13">
        <v>5067.13</v>
      </c>
      <c r="BG34" s="13">
        <v>5070.05</v>
      </c>
      <c r="BH34" s="13">
        <v>5066.46</v>
      </c>
      <c r="BI34" s="13">
        <v>5064.8</v>
      </c>
      <c r="BJ34" s="13">
        <v>5065.8599999999997</v>
      </c>
      <c r="BK34" s="13">
        <v>5065.57</v>
      </c>
      <c r="BL34" s="13">
        <v>5072.2</v>
      </c>
      <c r="BM34" s="13">
        <v>5082.2299999999996</v>
      </c>
      <c r="BN34" s="13">
        <v>5070.2</v>
      </c>
      <c r="BO34" s="13">
        <v>5069.6899999999996</v>
      </c>
      <c r="BP34" s="13">
        <v>5082.09</v>
      </c>
      <c r="BQ34" s="13">
        <v>5086.8900000000003</v>
      </c>
      <c r="BR34" s="13">
        <v>5088.17</v>
      </c>
      <c r="BS34" s="13">
        <v>5094.8999999999996</v>
      </c>
      <c r="BT34" s="13">
        <v>5097.46</v>
      </c>
      <c r="BU34" s="13">
        <v>5102.37</v>
      </c>
      <c r="BV34" s="13">
        <v>5098.47</v>
      </c>
      <c r="BW34" s="13">
        <v>5100.2700000000004</v>
      </c>
      <c r="BX34" s="13">
        <v>5102.3</v>
      </c>
      <c r="BY34" s="13">
        <v>5094.84</v>
      </c>
      <c r="BZ34" s="13">
        <v>5094.1400000000003</v>
      </c>
      <c r="CA34" s="13">
        <v>5083.1899999999996</v>
      </c>
      <c r="CB34" s="13">
        <v>5081.0600000000004</v>
      </c>
      <c r="CC34" s="13">
        <v>5083.6899999999996</v>
      </c>
      <c r="CD34" s="13">
        <v>5084.57</v>
      </c>
      <c r="CE34" s="13">
        <v>5082.17</v>
      </c>
      <c r="CF34" s="13">
        <v>5084.57</v>
      </c>
      <c r="CG34" s="13">
        <v>5083.8900000000003</v>
      </c>
      <c r="CH34" s="13">
        <v>5086.07</v>
      </c>
      <c r="CI34" s="13">
        <v>5080.9799999999996</v>
      </c>
      <c r="CJ34" s="13">
        <v>5087.5600000000004</v>
      </c>
      <c r="CK34" s="13">
        <v>5088.17</v>
      </c>
      <c r="CL34" s="13">
        <v>5085.88</v>
      </c>
      <c r="CM34" s="13">
        <v>5088.8100000000004</v>
      </c>
      <c r="CN34" s="13">
        <v>5087.7</v>
      </c>
      <c r="CO34" s="13">
        <v>5089.8</v>
      </c>
      <c r="CP34" s="13">
        <v>5087.43</v>
      </c>
      <c r="CQ34" s="13">
        <v>5088.3100000000004</v>
      </c>
      <c r="CR34" s="13">
        <v>5090.97</v>
      </c>
      <c r="CS34" s="13">
        <v>5089.9799999999996</v>
      </c>
      <c r="CT34" s="13">
        <v>5083.2</v>
      </c>
      <c r="CU34" s="13">
        <v>5090.29</v>
      </c>
      <c r="CV34" s="13">
        <v>5090.3999999999996</v>
      </c>
      <c r="CW34" s="13">
        <v>5085.08</v>
      </c>
      <c r="CX34" s="13">
        <v>5087.9399999999996</v>
      </c>
      <c r="CY34" s="13">
        <v>5087.9399999999996</v>
      </c>
      <c r="CZ34" s="13">
        <v>5087.82</v>
      </c>
      <c r="DA34" s="13">
        <v>5085.63</v>
      </c>
      <c r="DB34" s="13">
        <v>5085.3999999999996</v>
      </c>
      <c r="DC34" s="13">
        <v>5084.8500000000004</v>
      </c>
      <c r="DD34" s="13">
        <v>5085.24</v>
      </c>
      <c r="DE34" s="13">
        <v>5083.2700000000004</v>
      </c>
      <c r="DF34" s="13">
        <v>5087.38</v>
      </c>
      <c r="DG34" s="13">
        <v>5086.1400000000003</v>
      </c>
      <c r="DH34" s="13">
        <v>5088.0200000000004</v>
      </c>
      <c r="DI34" s="13">
        <v>5086.53</v>
      </c>
      <c r="DJ34" s="13">
        <v>5083.95</v>
      </c>
      <c r="DK34" s="13">
        <v>5081.8500000000004</v>
      </c>
      <c r="DL34" s="13">
        <v>5081.68</v>
      </c>
      <c r="DM34" s="32"/>
      <c r="DN34" s="33"/>
      <c r="DO34" s="32"/>
      <c r="DP34" s="33"/>
      <c r="DQ34" s="32"/>
      <c r="DR34" s="33"/>
      <c r="DS34" s="32"/>
      <c r="DT34" s="33"/>
      <c r="DU34" s="32"/>
      <c r="DV34" s="33"/>
    </row>
    <row r="35" spans="1:126" ht="15.75" x14ac:dyDescent="0.25">
      <c r="A35" s="14" t="s">
        <v>12</v>
      </c>
      <c r="B35" s="12" t="s">
        <v>7</v>
      </c>
      <c r="C35" s="13">
        <v>5119</v>
      </c>
      <c r="D35" s="13">
        <v>5082</v>
      </c>
      <c r="E35" s="13">
        <v>5109.71</v>
      </c>
      <c r="F35" s="13">
        <v>5113.82</v>
      </c>
      <c r="G35" s="13">
        <v>5108.3500000000004</v>
      </c>
      <c r="H35" s="13">
        <v>5101.3100000000004</v>
      </c>
      <c r="I35" s="13">
        <v>5094.72</v>
      </c>
      <c r="J35" s="13">
        <v>5061</v>
      </c>
      <c r="K35" s="13">
        <v>5078.88</v>
      </c>
      <c r="L35" s="13">
        <v>5078.38</v>
      </c>
      <c r="M35" s="13">
        <v>5073</v>
      </c>
      <c r="N35" s="13">
        <v>5070.4799999999996</v>
      </c>
      <c r="O35" s="13">
        <v>5066.6099999999997</v>
      </c>
      <c r="P35" s="13">
        <v>5071.8599999999997</v>
      </c>
      <c r="Q35" s="13">
        <v>5060.29</v>
      </c>
      <c r="R35" s="13">
        <v>5071.8599999999997</v>
      </c>
      <c r="S35" s="13">
        <v>5080.08</v>
      </c>
      <c r="T35" s="13">
        <v>5068.7700000000004</v>
      </c>
      <c r="U35" s="13">
        <v>5069.5</v>
      </c>
      <c r="V35" s="13">
        <v>5068.58</v>
      </c>
      <c r="W35" s="13">
        <v>5067.96</v>
      </c>
      <c r="X35" s="13">
        <v>5077.3900000000003</v>
      </c>
      <c r="Y35" s="13">
        <v>5077</v>
      </c>
      <c r="Z35" s="13">
        <v>5081.6899999999996</v>
      </c>
      <c r="AA35" s="13">
        <v>5080.07</v>
      </c>
      <c r="AB35" s="13">
        <v>5078.5</v>
      </c>
      <c r="AC35" s="13">
        <v>5065.03</v>
      </c>
      <c r="AD35" s="13">
        <v>5067.3500000000004</v>
      </c>
      <c r="AE35" s="13">
        <v>5066.88</v>
      </c>
      <c r="AF35" s="13">
        <v>5079.76</v>
      </c>
      <c r="AG35" s="13">
        <v>5083.5600000000004</v>
      </c>
      <c r="AH35" s="13">
        <v>5075.1099999999997</v>
      </c>
      <c r="AI35" s="13">
        <v>5073.04</v>
      </c>
      <c r="AJ35" s="13">
        <v>5074.04</v>
      </c>
      <c r="AK35" s="13">
        <v>5079.47</v>
      </c>
      <c r="AL35" s="13">
        <v>5080.38</v>
      </c>
      <c r="AM35" s="13">
        <v>5083.2700000000004</v>
      </c>
      <c r="AN35" s="13">
        <v>5065.66</v>
      </c>
      <c r="AO35" s="13">
        <v>5068.25</v>
      </c>
      <c r="AP35" s="13">
        <v>5075.46</v>
      </c>
      <c r="AQ35" s="13">
        <v>5080.09</v>
      </c>
      <c r="AR35" s="13">
        <v>5080.8599999999997</v>
      </c>
      <c r="AS35" s="13">
        <v>5081.3100000000004</v>
      </c>
      <c r="AT35" s="13">
        <v>5062.88</v>
      </c>
      <c r="AU35" s="13">
        <v>5056.21</v>
      </c>
      <c r="AV35" s="13">
        <v>5057.5600000000004</v>
      </c>
      <c r="AW35" s="13">
        <v>5058.6400000000003</v>
      </c>
      <c r="AX35" s="13">
        <v>5059.75</v>
      </c>
      <c r="AY35" s="13">
        <v>5057.53</v>
      </c>
      <c r="AZ35" s="13">
        <v>5059.5600000000004</v>
      </c>
      <c r="BA35" s="13">
        <v>5060.8</v>
      </c>
      <c r="BB35" s="13">
        <v>5062.9399999999996</v>
      </c>
      <c r="BC35" s="13">
        <v>5057.33</v>
      </c>
      <c r="BD35" s="13">
        <v>5056.9799999999996</v>
      </c>
      <c r="BE35" s="13">
        <v>5058.68</v>
      </c>
      <c r="BF35" s="13">
        <v>5055.46</v>
      </c>
      <c r="BG35" s="13">
        <v>5060.17</v>
      </c>
      <c r="BH35" s="13">
        <v>5066.46</v>
      </c>
      <c r="BI35" s="13">
        <v>5064.3</v>
      </c>
      <c r="BJ35" s="13">
        <v>5063.46</v>
      </c>
      <c r="BK35" s="13">
        <v>5065.57</v>
      </c>
      <c r="BL35" s="13">
        <v>5058.5</v>
      </c>
      <c r="BM35" s="13">
        <v>5064.3</v>
      </c>
      <c r="BN35" s="13">
        <v>5067.7700000000004</v>
      </c>
      <c r="BO35" s="13">
        <v>5060.8999999999996</v>
      </c>
      <c r="BP35" s="13">
        <v>5069.3999999999996</v>
      </c>
      <c r="BQ35" s="13">
        <v>5077.43</v>
      </c>
      <c r="BR35" s="13">
        <v>5066.92</v>
      </c>
      <c r="BS35" s="13">
        <v>5089.32</v>
      </c>
      <c r="BT35" s="13">
        <v>5082.33</v>
      </c>
      <c r="BU35" s="13">
        <v>5093.32</v>
      </c>
      <c r="BV35" s="13">
        <v>5092</v>
      </c>
      <c r="BW35" s="13">
        <v>5091.2</v>
      </c>
      <c r="BX35" s="13">
        <v>5092.8999999999996</v>
      </c>
      <c r="BY35" s="13">
        <v>5071.72</v>
      </c>
      <c r="BZ35" s="13">
        <v>5074.75</v>
      </c>
      <c r="CA35" s="13">
        <v>5074.67</v>
      </c>
      <c r="CB35" s="13">
        <v>5079.78</v>
      </c>
      <c r="CC35" s="13">
        <v>5075.05</v>
      </c>
      <c r="CD35" s="13">
        <v>5080.9399999999996</v>
      </c>
      <c r="CE35" s="13">
        <v>5075.2</v>
      </c>
      <c r="CF35" s="13">
        <v>5081.0600000000004</v>
      </c>
      <c r="CG35" s="13">
        <v>5081.92</v>
      </c>
      <c r="CH35" s="13">
        <v>5079.2</v>
      </c>
      <c r="CI35" s="13">
        <v>5079.42</v>
      </c>
      <c r="CJ35" s="13">
        <v>5080.07</v>
      </c>
      <c r="CK35" s="13">
        <v>5087.5600000000004</v>
      </c>
      <c r="CL35" s="13">
        <v>5082.72</v>
      </c>
      <c r="CM35" s="13">
        <v>5078.25</v>
      </c>
      <c r="CN35" s="13">
        <v>5086.4799999999996</v>
      </c>
      <c r="CO35" s="13">
        <v>5078.55</v>
      </c>
      <c r="CP35" s="13">
        <v>5083.16</v>
      </c>
      <c r="CQ35" s="13">
        <v>5077.67</v>
      </c>
      <c r="CR35" s="13">
        <v>5083.3100000000004</v>
      </c>
      <c r="CS35" s="13">
        <v>5080.3100000000004</v>
      </c>
      <c r="CT35" s="13">
        <v>5083.2</v>
      </c>
      <c r="CU35" s="13">
        <v>5083.03</v>
      </c>
      <c r="CV35" s="13">
        <v>5083.4399999999996</v>
      </c>
      <c r="CW35" s="13">
        <v>5080.3100000000004</v>
      </c>
      <c r="CX35" s="13">
        <v>5085.08</v>
      </c>
      <c r="CY35" s="13">
        <v>5085.08</v>
      </c>
      <c r="CZ35" s="13">
        <v>5085.91</v>
      </c>
      <c r="DA35" s="13">
        <v>5080.54</v>
      </c>
      <c r="DB35" s="13">
        <v>5080.3100000000004</v>
      </c>
      <c r="DC35" s="13">
        <v>5080.2</v>
      </c>
      <c r="DD35" s="13">
        <v>5084.21</v>
      </c>
      <c r="DE35" s="13">
        <v>5083.2700000000004</v>
      </c>
      <c r="DF35" s="13">
        <v>5083.03</v>
      </c>
      <c r="DG35" s="13">
        <v>5082.37</v>
      </c>
      <c r="DH35" s="13">
        <v>5082.33</v>
      </c>
      <c r="DI35" s="13">
        <v>5082.16</v>
      </c>
      <c r="DJ35" s="13">
        <v>5079.63</v>
      </c>
      <c r="DK35" s="13">
        <v>5080.43</v>
      </c>
      <c r="DL35" s="13">
        <v>5076.66</v>
      </c>
      <c r="DM35" s="32"/>
      <c r="DN35" s="33"/>
      <c r="DO35" s="32"/>
      <c r="DP35" s="33"/>
      <c r="DQ35" s="32"/>
      <c r="DR35" s="33"/>
      <c r="DS35" s="32"/>
      <c r="DT35" s="33"/>
      <c r="DU35" s="32"/>
      <c r="DV35" s="33"/>
    </row>
    <row r="36" spans="1:126" ht="15.75" x14ac:dyDescent="0.25">
      <c r="A36" s="14"/>
      <c r="B36" s="12"/>
      <c r="C36" s="13">
        <f t="shared" ref="C36:AH36" si="18">(C32+C33+C34+C35)/4</f>
        <v>5126.25</v>
      </c>
      <c r="D36" s="13">
        <f t="shared" si="18"/>
        <v>5116.1175000000003</v>
      </c>
      <c r="E36" s="13">
        <f t="shared" si="18"/>
        <v>5122.6099999999997</v>
      </c>
      <c r="F36" s="13">
        <f t="shared" si="18"/>
        <v>5123.5199999999995</v>
      </c>
      <c r="G36" s="13">
        <f t="shared" si="18"/>
        <v>5118.33</v>
      </c>
      <c r="H36" s="13">
        <f t="shared" si="18"/>
        <v>5111.6225000000004</v>
      </c>
      <c r="I36" s="13">
        <f t="shared" si="18"/>
        <v>5104.3550000000005</v>
      </c>
      <c r="J36" s="13">
        <f t="shared" si="18"/>
        <v>5096.0200000000004</v>
      </c>
      <c r="K36" s="13">
        <f t="shared" si="18"/>
        <v>5103.6325000000006</v>
      </c>
      <c r="L36" s="13">
        <f t="shared" si="18"/>
        <v>5101.5875000000005</v>
      </c>
      <c r="M36" s="13">
        <f t="shared" si="18"/>
        <v>5096.2574999999997</v>
      </c>
      <c r="N36" s="13">
        <f t="shared" si="18"/>
        <v>5094.3625000000002</v>
      </c>
      <c r="O36" s="13">
        <f t="shared" si="18"/>
        <v>5095.59</v>
      </c>
      <c r="P36" s="13">
        <f t="shared" si="18"/>
        <v>5094.3825000000006</v>
      </c>
      <c r="Q36" s="13">
        <f t="shared" si="18"/>
        <v>5094.97</v>
      </c>
      <c r="R36" s="13">
        <f t="shared" si="18"/>
        <v>5102.9849999999997</v>
      </c>
      <c r="S36" s="13">
        <f t="shared" si="18"/>
        <v>5100.6949999999997</v>
      </c>
      <c r="T36" s="13">
        <f t="shared" si="18"/>
        <v>5102.0475000000006</v>
      </c>
      <c r="U36" s="13">
        <f t="shared" si="18"/>
        <v>5099.3824999999997</v>
      </c>
      <c r="V36" s="13">
        <f t="shared" si="18"/>
        <v>5099.3374999999996</v>
      </c>
      <c r="W36" s="13">
        <f t="shared" si="18"/>
        <v>5098.8399999999992</v>
      </c>
      <c r="X36" s="13">
        <f t="shared" si="18"/>
        <v>5097.2300000000005</v>
      </c>
      <c r="Y36" s="13">
        <f t="shared" si="18"/>
        <v>5104.6449999999995</v>
      </c>
      <c r="Z36" s="13">
        <f t="shared" si="18"/>
        <v>5107.329999999999</v>
      </c>
      <c r="AA36" s="13">
        <f t="shared" si="18"/>
        <v>5103.2649999999994</v>
      </c>
      <c r="AB36" s="13">
        <f t="shared" si="18"/>
        <v>5100.1875</v>
      </c>
      <c r="AC36" s="13">
        <f t="shared" si="18"/>
        <v>5096.1149999999998</v>
      </c>
      <c r="AD36" s="13">
        <f t="shared" si="18"/>
        <v>5091.9475000000002</v>
      </c>
      <c r="AE36" s="13">
        <f t="shared" si="18"/>
        <v>5094.8725000000004</v>
      </c>
      <c r="AF36" s="13">
        <f t="shared" si="18"/>
        <v>5099.2425000000003</v>
      </c>
      <c r="AG36" s="13">
        <f t="shared" si="18"/>
        <v>5101.7449999999999</v>
      </c>
      <c r="AH36" s="13">
        <f t="shared" si="18"/>
        <v>5099.6349999999993</v>
      </c>
      <c r="AI36" s="13">
        <f t="shared" ref="AI36:BN36" si="19">(AI32+AI33+AI34+AI35)/4</f>
        <v>5095.9800000000005</v>
      </c>
      <c r="AJ36" s="13">
        <f t="shared" si="19"/>
        <v>5097.0150000000003</v>
      </c>
      <c r="AK36" s="13">
        <f t="shared" si="19"/>
        <v>5102.2699999999995</v>
      </c>
      <c r="AL36" s="13">
        <f t="shared" si="19"/>
        <v>5097.4850000000006</v>
      </c>
      <c r="AM36" s="13">
        <f t="shared" si="19"/>
        <v>5098.1975000000002</v>
      </c>
      <c r="AN36" s="13">
        <f t="shared" si="19"/>
        <v>5086.2250000000004</v>
      </c>
      <c r="AO36" s="13">
        <f t="shared" si="19"/>
        <v>5091.8775000000005</v>
      </c>
      <c r="AP36" s="13">
        <f t="shared" si="19"/>
        <v>5095.42</v>
      </c>
      <c r="AQ36" s="13">
        <f t="shared" si="19"/>
        <v>5100.3525</v>
      </c>
      <c r="AR36" s="13">
        <f t="shared" si="19"/>
        <v>5098.2800000000007</v>
      </c>
      <c r="AS36" s="13">
        <f t="shared" si="19"/>
        <v>5099.7750000000005</v>
      </c>
      <c r="AT36" s="13">
        <f t="shared" si="19"/>
        <v>5081.0700000000006</v>
      </c>
      <c r="AU36" s="13">
        <f t="shared" si="19"/>
        <v>5081.74</v>
      </c>
      <c r="AV36" s="13">
        <f t="shared" si="19"/>
        <v>5075.1175000000003</v>
      </c>
      <c r="AW36" s="13">
        <f t="shared" si="19"/>
        <v>5075.1525000000001</v>
      </c>
      <c r="AX36" s="13">
        <f t="shared" si="19"/>
        <v>5080.8949999999995</v>
      </c>
      <c r="AY36" s="13">
        <f t="shared" si="19"/>
        <v>5071.0774999999994</v>
      </c>
      <c r="AZ36" s="13">
        <f t="shared" si="19"/>
        <v>5083.37</v>
      </c>
      <c r="BA36" s="13">
        <f t="shared" si="19"/>
        <v>5082.5600000000004</v>
      </c>
      <c r="BB36" s="13">
        <f t="shared" si="19"/>
        <v>5082.5524999999998</v>
      </c>
      <c r="BC36" s="13">
        <f t="shared" si="19"/>
        <v>5077.5974999999999</v>
      </c>
      <c r="BD36" s="13">
        <f t="shared" si="19"/>
        <v>5078.3900000000003</v>
      </c>
      <c r="BE36" s="13">
        <f t="shared" si="19"/>
        <v>5079.8474999999999</v>
      </c>
      <c r="BF36" s="13">
        <f t="shared" si="19"/>
        <v>5080.6374999999998</v>
      </c>
      <c r="BG36" s="13">
        <f t="shared" si="19"/>
        <v>5082.8325000000004</v>
      </c>
      <c r="BH36" s="13">
        <f t="shared" si="19"/>
        <v>5085.2949999999992</v>
      </c>
      <c r="BI36" s="13">
        <f t="shared" si="19"/>
        <v>5083.6449999999995</v>
      </c>
      <c r="BJ36" s="13">
        <f t="shared" si="19"/>
        <v>5083.1099999999997</v>
      </c>
      <c r="BK36" s="13">
        <f t="shared" si="19"/>
        <v>5083.1449999999995</v>
      </c>
      <c r="BL36" s="13">
        <f t="shared" si="19"/>
        <v>5085.4224999999997</v>
      </c>
      <c r="BM36" s="13">
        <f t="shared" si="19"/>
        <v>5090.4475000000002</v>
      </c>
      <c r="BN36" s="13">
        <f t="shared" si="19"/>
        <v>5088.4450000000006</v>
      </c>
      <c r="BO36" s="13">
        <f t="shared" ref="BO36:CT36" si="20">(BO32+BO33+BO34+BO35)/4</f>
        <v>5086.8675000000003</v>
      </c>
      <c r="BP36" s="13">
        <f t="shared" si="20"/>
        <v>5091.5925000000007</v>
      </c>
      <c r="BQ36" s="13">
        <f t="shared" si="20"/>
        <v>5097.4549999999999</v>
      </c>
      <c r="BR36" s="13">
        <f t="shared" si="20"/>
        <v>5097.585</v>
      </c>
      <c r="BS36" s="13">
        <f t="shared" si="20"/>
        <v>5107.9074999999993</v>
      </c>
      <c r="BT36" s="13">
        <f t="shared" si="20"/>
        <v>5105.0399999999991</v>
      </c>
      <c r="BU36" s="13">
        <f t="shared" si="20"/>
        <v>5111.6549999999997</v>
      </c>
      <c r="BV36" s="13">
        <f t="shared" si="20"/>
        <v>5109.3900000000003</v>
      </c>
      <c r="BW36" s="13">
        <f t="shared" si="20"/>
        <v>5110.5625</v>
      </c>
      <c r="BX36" s="13">
        <f t="shared" si="20"/>
        <v>5113.0049999999992</v>
      </c>
      <c r="BY36" s="13">
        <f t="shared" si="20"/>
        <v>5104.0150000000003</v>
      </c>
      <c r="BZ36" s="13">
        <f t="shared" si="20"/>
        <v>5103.5950000000003</v>
      </c>
      <c r="CA36" s="13">
        <f t="shared" si="20"/>
        <v>5100.2325000000001</v>
      </c>
      <c r="CB36" s="13">
        <f t="shared" si="20"/>
        <v>5102.9274999999998</v>
      </c>
      <c r="CC36" s="13">
        <f t="shared" si="20"/>
        <v>5101.0324999999993</v>
      </c>
      <c r="CD36" s="13">
        <f t="shared" si="20"/>
        <v>5103.8975</v>
      </c>
      <c r="CE36" s="13">
        <f t="shared" si="20"/>
        <v>5103.0225</v>
      </c>
      <c r="CF36" s="13">
        <f t="shared" si="20"/>
        <v>5104.1625000000004</v>
      </c>
      <c r="CG36" s="13">
        <f t="shared" si="20"/>
        <v>5104.9349999999995</v>
      </c>
      <c r="CH36" s="13">
        <f t="shared" si="20"/>
        <v>5106.79</v>
      </c>
      <c r="CI36" s="13">
        <f t="shared" si="20"/>
        <v>5105.9724999999999</v>
      </c>
      <c r="CJ36" s="13">
        <f t="shared" si="20"/>
        <v>5107.54</v>
      </c>
      <c r="CK36" s="13">
        <f t="shared" si="20"/>
        <v>5110.3050000000003</v>
      </c>
      <c r="CL36" s="13">
        <f t="shared" si="20"/>
        <v>5113.1625000000004</v>
      </c>
      <c r="CM36" s="13">
        <f t="shared" si="20"/>
        <v>5112.2125000000005</v>
      </c>
      <c r="CN36" s="13">
        <f t="shared" si="20"/>
        <v>5114.5950000000003</v>
      </c>
      <c r="CO36" s="13">
        <f t="shared" si="20"/>
        <v>5113.1424999999999</v>
      </c>
      <c r="CP36" s="13">
        <f t="shared" si="20"/>
        <v>5111.4549999999999</v>
      </c>
      <c r="CQ36" s="13">
        <f t="shared" si="20"/>
        <v>5109.8250000000007</v>
      </c>
      <c r="CR36" s="13">
        <f t="shared" si="20"/>
        <v>5112.26</v>
      </c>
      <c r="CS36" s="13">
        <f t="shared" si="20"/>
        <v>5110.5874999999996</v>
      </c>
      <c r="CT36" s="13">
        <f t="shared" si="20"/>
        <v>5109.2700000000004</v>
      </c>
      <c r="CU36" s="13">
        <f t="shared" ref="CU36:DL36" si="21">(CU32+CU33+CU34+CU35)/4</f>
        <v>5111.4399999999996</v>
      </c>
      <c r="CV36" s="13">
        <f t="shared" si="21"/>
        <v>5111.3725000000004</v>
      </c>
      <c r="CW36" s="13">
        <f t="shared" si="21"/>
        <v>5108.1025</v>
      </c>
      <c r="CX36" s="13">
        <f t="shared" si="21"/>
        <v>5110.09</v>
      </c>
      <c r="CY36" s="13">
        <f t="shared" si="21"/>
        <v>5110.4825000000001</v>
      </c>
      <c r="CZ36" s="13">
        <f t="shared" si="21"/>
        <v>5110.6149999999998</v>
      </c>
      <c r="DA36" s="13">
        <f t="shared" si="21"/>
        <v>5108.5450000000001</v>
      </c>
      <c r="DB36" s="13">
        <f t="shared" si="21"/>
        <v>5107.875</v>
      </c>
      <c r="DC36" s="13">
        <f t="shared" si="21"/>
        <v>5107.03</v>
      </c>
      <c r="DD36" s="13">
        <f t="shared" si="21"/>
        <v>5108.6225000000004</v>
      </c>
      <c r="DE36" s="13">
        <f t="shared" si="21"/>
        <v>5108.4925000000003</v>
      </c>
      <c r="DF36" s="13">
        <f t="shared" si="21"/>
        <v>5108.8575000000001</v>
      </c>
      <c r="DG36" s="13">
        <f t="shared" si="21"/>
        <v>5107.1774999999998</v>
      </c>
      <c r="DH36" s="13">
        <f t="shared" si="21"/>
        <v>5107.4375</v>
      </c>
      <c r="DI36" s="13">
        <f t="shared" si="21"/>
        <v>5106.6925000000001</v>
      </c>
      <c r="DJ36" s="13">
        <f t="shared" si="21"/>
        <v>5104.7425000000003</v>
      </c>
      <c r="DK36" s="13">
        <f t="shared" si="21"/>
        <v>5104.7075000000004</v>
      </c>
      <c r="DL36" s="13">
        <f t="shared" si="21"/>
        <v>5103.6824999999999</v>
      </c>
      <c r="DM36" s="26"/>
      <c r="DN36" s="25"/>
      <c r="DO36" s="27"/>
      <c r="DP36" s="25"/>
      <c r="DQ36" s="27"/>
      <c r="DR36" s="25"/>
      <c r="DS36" s="27"/>
      <c r="DT36" s="25"/>
    </row>
    <row r="37" spans="1:126" ht="15.75" x14ac:dyDescent="0.25">
      <c r="A37" s="11" t="s">
        <v>5</v>
      </c>
      <c r="B37" s="11" t="s">
        <v>11</v>
      </c>
      <c r="C37" s="15">
        <v>0.375</v>
      </c>
      <c r="D37" s="15">
        <v>0.37847222222222227</v>
      </c>
      <c r="E37" s="15">
        <v>0.38194444444444442</v>
      </c>
      <c r="F37" s="15">
        <v>0.38541666666666669</v>
      </c>
      <c r="G37" s="15">
        <v>0.3888888888888889</v>
      </c>
      <c r="H37" s="15">
        <v>0.3923611111111111</v>
      </c>
      <c r="I37" s="15">
        <v>0.39583333333333331</v>
      </c>
      <c r="J37" s="15">
        <v>0.39930555555555558</v>
      </c>
      <c r="K37" s="15">
        <v>0.40277777777777773</v>
      </c>
      <c r="L37" s="15">
        <v>0.40625</v>
      </c>
      <c r="M37" s="15">
        <v>0.40972222222222227</v>
      </c>
      <c r="N37" s="15">
        <v>0.41319444444444442</v>
      </c>
      <c r="O37" s="15">
        <v>0.41666666666666669</v>
      </c>
      <c r="P37" s="15">
        <v>0.4201388888888889</v>
      </c>
      <c r="Q37" s="15">
        <v>0.4236111111111111</v>
      </c>
      <c r="R37" s="15">
        <v>0.42708333333333331</v>
      </c>
      <c r="S37" s="15">
        <v>0.43055555555555558</v>
      </c>
      <c r="T37" s="15">
        <v>0.43402777777777773</v>
      </c>
      <c r="U37" s="15">
        <v>0.4375</v>
      </c>
      <c r="V37" s="15">
        <v>0.44097222222222227</v>
      </c>
      <c r="W37" s="15">
        <v>0.44444444444444442</v>
      </c>
      <c r="X37" s="15">
        <v>0.44791666666666669</v>
      </c>
      <c r="Y37" s="15">
        <v>0.4513888888888889</v>
      </c>
      <c r="Z37" s="15">
        <v>0.4548611111111111</v>
      </c>
      <c r="AA37" s="15">
        <v>0.45833333333333331</v>
      </c>
      <c r="AB37" s="15">
        <v>0.46180555555555558</v>
      </c>
      <c r="AC37" s="15">
        <v>0.46527777777777773</v>
      </c>
      <c r="AD37" s="15">
        <v>0.46875</v>
      </c>
      <c r="AE37" s="15">
        <v>0.47222222222222227</v>
      </c>
      <c r="AF37" s="15">
        <v>0.47569444444444442</v>
      </c>
      <c r="AG37" s="15">
        <v>0.47916666666666669</v>
      </c>
      <c r="AH37" s="15">
        <v>0.4826388888888889</v>
      </c>
      <c r="AI37" s="15">
        <v>0.4861111111111111</v>
      </c>
      <c r="AJ37" s="15">
        <v>0.48958333333333331</v>
      </c>
      <c r="AK37" s="15">
        <v>0.49305555555555558</v>
      </c>
      <c r="AL37" s="15">
        <v>0.49652777777777773</v>
      </c>
      <c r="AM37" s="15">
        <v>0.5</v>
      </c>
      <c r="AN37" s="15">
        <v>0.50347222222222221</v>
      </c>
      <c r="AO37" s="15">
        <v>0.50694444444444442</v>
      </c>
      <c r="AP37" s="15">
        <v>0.51041666666666663</v>
      </c>
      <c r="AQ37" s="15">
        <v>0.51388888888888895</v>
      </c>
      <c r="AR37" s="15">
        <v>0.51736111111111105</v>
      </c>
      <c r="AS37" s="15">
        <v>0.52083333333333337</v>
      </c>
      <c r="AT37" s="15">
        <v>0.52430555555555558</v>
      </c>
      <c r="AU37" s="15">
        <v>0.52777777777777779</v>
      </c>
      <c r="AV37" s="15">
        <v>0.53125</v>
      </c>
      <c r="AW37" s="15">
        <v>0.53472222222222221</v>
      </c>
      <c r="AX37" s="15">
        <v>0.53819444444444442</v>
      </c>
      <c r="AY37" s="15">
        <v>0.54166666666666663</v>
      </c>
      <c r="AZ37" s="15">
        <v>0.54513888888888895</v>
      </c>
      <c r="BA37" s="15">
        <v>0.54861111111111105</v>
      </c>
      <c r="BB37" s="15">
        <v>0.55208333333333337</v>
      </c>
      <c r="BC37" s="15">
        <v>0.55555555555555558</v>
      </c>
      <c r="BD37" s="15">
        <v>0.55902777777777779</v>
      </c>
      <c r="BE37" s="15">
        <v>0.5625</v>
      </c>
      <c r="BF37" s="15">
        <v>0.56597222222222221</v>
      </c>
      <c r="BG37" s="15">
        <v>0.56944444444444442</v>
      </c>
      <c r="BH37" s="15">
        <v>0.57291666666666663</v>
      </c>
      <c r="BI37" s="15">
        <v>0.57638888888888895</v>
      </c>
      <c r="BJ37" s="15">
        <v>0.57986111111111105</v>
      </c>
      <c r="BK37" s="15">
        <v>0.58333333333333337</v>
      </c>
      <c r="BL37" s="15">
        <v>0.58680555555555558</v>
      </c>
      <c r="BM37" s="15">
        <v>0.59027777777777779</v>
      </c>
      <c r="BN37" s="15">
        <v>0.59375</v>
      </c>
      <c r="BO37" s="15">
        <v>0.59722222222222221</v>
      </c>
      <c r="BP37" s="15">
        <v>0.60069444444444442</v>
      </c>
      <c r="BQ37" s="15">
        <v>0.60416666666666663</v>
      </c>
      <c r="BR37" s="15">
        <v>0.60763888888888895</v>
      </c>
      <c r="BS37" s="15">
        <v>0.61111111111111105</v>
      </c>
      <c r="BT37" s="15">
        <v>0.61458333333333337</v>
      </c>
      <c r="BU37" s="15">
        <v>0.61805555555555558</v>
      </c>
      <c r="BV37" s="15">
        <v>0.62152777777777779</v>
      </c>
      <c r="BW37" s="15">
        <v>0.625</v>
      </c>
      <c r="BX37" s="15">
        <v>0.62847222222222221</v>
      </c>
      <c r="BY37" s="15">
        <v>0.63194444444444442</v>
      </c>
      <c r="BZ37" s="15">
        <v>0.63541666666666663</v>
      </c>
      <c r="CA37" s="15">
        <v>0.63888888888888895</v>
      </c>
      <c r="CB37" s="15">
        <v>0.64236111111111105</v>
      </c>
      <c r="CC37" s="15">
        <v>0.64583333333333337</v>
      </c>
      <c r="CD37" s="15">
        <v>0.64930555555555558</v>
      </c>
      <c r="CE37" s="15">
        <v>0.65277777777777779</v>
      </c>
      <c r="CF37" s="15">
        <v>0.65625</v>
      </c>
      <c r="CG37" s="15">
        <v>0.65972222222222221</v>
      </c>
      <c r="CH37" s="15">
        <v>0.66319444444444442</v>
      </c>
      <c r="CI37" s="15">
        <v>0.66666666666666663</v>
      </c>
      <c r="CJ37" s="15">
        <v>0.67013888888888884</v>
      </c>
      <c r="CK37" s="15">
        <v>0.67361111111111116</v>
      </c>
      <c r="CL37" s="15">
        <v>0.67708333333333337</v>
      </c>
      <c r="CM37" s="15">
        <v>0.68055555555555547</v>
      </c>
      <c r="CN37" s="15">
        <v>0.68402777777777779</v>
      </c>
      <c r="CO37" s="15">
        <v>0.6875</v>
      </c>
      <c r="CP37" s="15">
        <v>0.69097222222222221</v>
      </c>
      <c r="CQ37" s="15">
        <v>0.69444444444444453</v>
      </c>
      <c r="CR37" s="15">
        <v>0.69791666666666663</v>
      </c>
      <c r="CS37" s="15">
        <v>0.70138888888888884</v>
      </c>
      <c r="CT37" s="15">
        <v>0.70486111111111116</v>
      </c>
      <c r="CU37" s="15">
        <v>0.70833333333333337</v>
      </c>
      <c r="CV37" s="15">
        <v>0.71180555555555547</v>
      </c>
      <c r="CW37" s="15">
        <v>0.71527777777777779</v>
      </c>
      <c r="CX37" s="15">
        <v>0.71875</v>
      </c>
      <c r="CY37" s="15">
        <v>0.72222222222222221</v>
      </c>
      <c r="CZ37" s="15">
        <v>0.72569444444444453</v>
      </c>
      <c r="DA37" s="15">
        <v>0.72916666666666663</v>
      </c>
      <c r="DB37" s="15">
        <v>0.73263888888888884</v>
      </c>
      <c r="DC37" s="15">
        <v>0.73611111111111116</v>
      </c>
      <c r="DD37" s="15">
        <v>0.73958333333333337</v>
      </c>
      <c r="DE37" s="15">
        <v>0.74305555555555547</v>
      </c>
      <c r="DF37" s="15">
        <v>0.74652777777777779</v>
      </c>
      <c r="DG37" s="15">
        <v>0.75</v>
      </c>
      <c r="DH37" s="15">
        <v>0.75347222222222221</v>
      </c>
      <c r="DI37" s="15">
        <v>0.75694444444444453</v>
      </c>
      <c r="DJ37" s="15">
        <v>0.76041666666666663</v>
      </c>
      <c r="DK37" s="15">
        <v>0.76388888888888884</v>
      </c>
      <c r="DL37" s="15">
        <v>0.76736111111111116</v>
      </c>
      <c r="DM37" s="23">
        <v>44355</v>
      </c>
    </row>
    <row r="38" spans="1:126" ht="15.75" x14ac:dyDescent="0.25">
      <c r="A38" s="14">
        <v>44174</v>
      </c>
      <c r="B38" s="12" t="s">
        <v>6</v>
      </c>
      <c r="C38" s="13">
        <v>5127</v>
      </c>
      <c r="D38" s="13">
        <v>5127</v>
      </c>
      <c r="E38" s="13">
        <v>5102.6000000000004</v>
      </c>
      <c r="F38" s="13">
        <v>5110.72</v>
      </c>
      <c r="G38" s="13">
        <v>5112.72</v>
      </c>
      <c r="H38" s="13">
        <v>5108.3900000000003</v>
      </c>
      <c r="I38" s="13">
        <v>5109.72</v>
      </c>
      <c r="J38" s="13">
        <v>5114.8900000000003</v>
      </c>
      <c r="K38" s="13">
        <v>5112.72</v>
      </c>
      <c r="L38" s="13">
        <v>5117.8900000000003</v>
      </c>
      <c r="M38" s="13">
        <v>5119.8900000000003</v>
      </c>
      <c r="N38" s="13">
        <v>5142.72</v>
      </c>
      <c r="O38" s="13">
        <v>5141.21</v>
      </c>
      <c r="P38" s="13">
        <v>5139.17</v>
      </c>
      <c r="Q38" s="13">
        <v>5129.4799999999996</v>
      </c>
      <c r="R38" s="13">
        <v>5127.3500000000004</v>
      </c>
      <c r="S38" s="13">
        <v>5126.21</v>
      </c>
      <c r="T38" s="13">
        <v>5123.28</v>
      </c>
      <c r="U38" s="13">
        <v>5120.3</v>
      </c>
      <c r="V38" s="13">
        <v>5121</v>
      </c>
      <c r="W38" s="13">
        <v>5122.46</v>
      </c>
      <c r="X38" s="13">
        <v>5122.96</v>
      </c>
      <c r="Y38" s="13">
        <v>5115.76</v>
      </c>
      <c r="Z38" s="13">
        <v>5115.62</v>
      </c>
      <c r="AA38" s="13">
        <v>5116.82</v>
      </c>
      <c r="AB38" s="13">
        <v>5110</v>
      </c>
      <c r="AC38" s="13">
        <v>5113</v>
      </c>
      <c r="AD38" s="13">
        <v>5112</v>
      </c>
      <c r="AE38" s="13">
        <v>5109</v>
      </c>
      <c r="AF38" s="13">
        <v>5111</v>
      </c>
      <c r="AG38" s="13">
        <v>5115.13</v>
      </c>
      <c r="AH38" s="13">
        <v>5119.4799999999996</v>
      </c>
      <c r="AI38" s="13">
        <v>5121.82</v>
      </c>
      <c r="AJ38" s="13">
        <v>5111.8599999999997</v>
      </c>
      <c r="AK38" s="13">
        <v>5111.82</v>
      </c>
      <c r="AL38" s="13">
        <v>5113.8100000000004</v>
      </c>
      <c r="AM38" s="13">
        <v>5108.18</v>
      </c>
      <c r="AN38" s="13">
        <v>5108.3500000000004</v>
      </c>
      <c r="AO38" s="13">
        <v>5107.55</v>
      </c>
      <c r="AP38" s="13">
        <v>5120.17</v>
      </c>
      <c r="AQ38" s="13">
        <v>5119.1400000000003</v>
      </c>
      <c r="AR38" s="13">
        <v>5120.17</v>
      </c>
      <c r="AS38" s="13">
        <v>5120.13</v>
      </c>
      <c r="AT38" s="13">
        <v>5118.17</v>
      </c>
      <c r="AU38" s="13">
        <v>5129.1099999999997</v>
      </c>
      <c r="AV38" s="13">
        <v>5132.82</v>
      </c>
      <c r="AW38" s="13">
        <v>5136.78</v>
      </c>
      <c r="AX38" s="13">
        <v>5136.46</v>
      </c>
      <c r="AY38" s="13">
        <v>5135.8100000000004</v>
      </c>
      <c r="AZ38" s="13">
        <v>5139</v>
      </c>
      <c r="BA38" s="13">
        <v>5134.82</v>
      </c>
      <c r="BB38" s="13">
        <v>5133.33</v>
      </c>
      <c r="BC38" s="13">
        <v>5133.68</v>
      </c>
      <c r="BD38" s="13">
        <v>5135.58</v>
      </c>
      <c r="BE38" s="13">
        <v>5153.46</v>
      </c>
      <c r="BF38" s="13">
        <v>5157.2700000000004</v>
      </c>
      <c r="BG38" s="13">
        <v>5158.45</v>
      </c>
      <c r="BH38" s="13">
        <v>5157.05</v>
      </c>
      <c r="BI38" s="13">
        <v>5160.58</v>
      </c>
      <c r="BJ38" s="13">
        <v>5174.67</v>
      </c>
      <c r="BK38" s="13">
        <v>5170.75</v>
      </c>
      <c r="BL38" s="13">
        <v>5171.88</v>
      </c>
      <c r="BM38" s="13">
        <v>5168.55</v>
      </c>
      <c r="BN38" s="13">
        <v>5168.57</v>
      </c>
      <c r="BO38" s="13">
        <v>5180</v>
      </c>
      <c r="BP38" s="13">
        <v>5173.33</v>
      </c>
      <c r="BQ38" s="13">
        <v>5171.21</v>
      </c>
      <c r="BR38" s="13">
        <v>5177.5</v>
      </c>
      <c r="BS38" s="13">
        <v>5180.5600000000004</v>
      </c>
      <c r="BT38" s="13">
        <v>5187.71</v>
      </c>
      <c r="BU38" s="13">
        <v>5174.93</v>
      </c>
      <c r="BV38" s="13">
        <v>5174.93</v>
      </c>
      <c r="BW38" s="13">
        <v>5182</v>
      </c>
      <c r="BX38" s="13">
        <v>5178.75</v>
      </c>
      <c r="BY38" s="13">
        <v>5174</v>
      </c>
      <c r="BZ38" s="13">
        <v>5176.88</v>
      </c>
      <c r="CA38" s="13">
        <v>5189</v>
      </c>
      <c r="CB38" s="13">
        <v>5190</v>
      </c>
      <c r="CC38" s="13">
        <v>5188.8900000000003</v>
      </c>
      <c r="CD38" s="13">
        <v>5187.22</v>
      </c>
      <c r="CE38" s="13">
        <v>5190</v>
      </c>
      <c r="CF38" s="13">
        <v>5191.3599999999997</v>
      </c>
      <c r="CG38" s="13">
        <v>5192.22</v>
      </c>
      <c r="CH38" s="13">
        <v>5193.55</v>
      </c>
      <c r="CI38" s="13">
        <v>5198</v>
      </c>
      <c r="CJ38" s="13">
        <v>5202</v>
      </c>
      <c r="CK38" s="13">
        <v>5200.38</v>
      </c>
      <c r="CL38" s="13">
        <v>5200.29</v>
      </c>
      <c r="CM38" s="13">
        <v>5201.08</v>
      </c>
      <c r="CN38" s="13">
        <v>5202</v>
      </c>
      <c r="CO38" s="13">
        <v>5197.63</v>
      </c>
      <c r="CP38" s="13">
        <v>5203.13</v>
      </c>
      <c r="CQ38" s="13">
        <v>5199.46</v>
      </c>
      <c r="CR38" s="13">
        <v>5194.28</v>
      </c>
      <c r="CS38" s="13">
        <v>5192.84</v>
      </c>
      <c r="CT38" s="13">
        <v>5191.8500000000004</v>
      </c>
      <c r="CU38" s="13">
        <v>5190.55</v>
      </c>
      <c r="CV38" s="13">
        <v>5199.46</v>
      </c>
      <c r="CW38" s="13">
        <v>5192.3100000000004</v>
      </c>
      <c r="CX38" s="13">
        <v>5200.79</v>
      </c>
      <c r="CY38" s="13">
        <v>5201.79</v>
      </c>
      <c r="CZ38" s="13">
        <v>5200.67</v>
      </c>
      <c r="DA38" s="13">
        <v>5196.96</v>
      </c>
      <c r="DB38" s="13">
        <v>5194.25</v>
      </c>
      <c r="DC38" s="13">
        <v>5193.17</v>
      </c>
      <c r="DD38" s="13">
        <v>5189.42</v>
      </c>
      <c r="DE38" s="13">
        <v>5199.46</v>
      </c>
      <c r="DF38" s="13">
        <v>5187.13</v>
      </c>
      <c r="DG38" s="13">
        <v>5197.67</v>
      </c>
      <c r="DH38" s="13">
        <v>5198</v>
      </c>
      <c r="DI38" s="13">
        <v>5196.1099999999997</v>
      </c>
      <c r="DJ38" s="13">
        <v>5188.59</v>
      </c>
      <c r="DK38" s="13">
        <v>5194.84</v>
      </c>
      <c r="DL38" s="13">
        <v>5183.71</v>
      </c>
      <c r="DM38" s="32"/>
      <c r="DN38" s="33"/>
      <c r="DO38" s="32"/>
      <c r="DP38" s="33"/>
      <c r="DQ38" s="32"/>
      <c r="DR38" s="33"/>
      <c r="DS38" s="32"/>
      <c r="DT38" s="33"/>
      <c r="DU38" s="32"/>
      <c r="DV38" s="33"/>
    </row>
    <row r="39" spans="1:126" ht="15.75" x14ac:dyDescent="0.25">
      <c r="A39" s="14" t="s">
        <v>12</v>
      </c>
      <c r="B39" s="12" t="s">
        <v>10</v>
      </c>
      <c r="C39" s="13">
        <v>5127</v>
      </c>
      <c r="D39" s="13">
        <v>5095.67</v>
      </c>
      <c r="E39" s="13">
        <v>5102.6000000000004</v>
      </c>
      <c r="F39" s="13">
        <v>5110.72</v>
      </c>
      <c r="G39" s="13">
        <v>5103.1899999999996</v>
      </c>
      <c r="H39" s="13">
        <v>5105.55</v>
      </c>
      <c r="I39" s="13">
        <v>5103.8900000000003</v>
      </c>
      <c r="J39" s="13">
        <v>5114.8900000000003</v>
      </c>
      <c r="K39" s="13">
        <v>5108.72</v>
      </c>
      <c r="L39" s="13">
        <v>5117.8900000000003</v>
      </c>
      <c r="M39" s="13">
        <v>5114.17</v>
      </c>
      <c r="N39" s="13">
        <v>5141.72</v>
      </c>
      <c r="O39" s="13">
        <v>5130.17</v>
      </c>
      <c r="P39" s="13">
        <v>5127.13</v>
      </c>
      <c r="Q39" s="13">
        <v>5127.75</v>
      </c>
      <c r="R39" s="13">
        <v>5125.3100000000004</v>
      </c>
      <c r="S39" s="13">
        <v>5122.8500000000004</v>
      </c>
      <c r="T39" s="13">
        <v>5119.18</v>
      </c>
      <c r="U39" s="13">
        <v>5113.46</v>
      </c>
      <c r="V39" s="13">
        <v>5119.82</v>
      </c>
      <c r="W39" s="13">
        <v>5120.88</v>
      </c>
      <c r="X39" s="13">
        <v>5110</v>
      </c>
      <c r="Y39" s="13">
        <v>5114</v>
      </c>
      <c r="Z39" s="13">
        <v>5115.43</v>
      </c>
      <c r="AA39" s="13">
        <v>5106.18</v>
      </c>
      <c r="AB39" s="13">
        <v>5108</v>
      </c>
      <c r="AC39" s="13">
        <v>5112</v>
      </c>
      <c r="AD39" s="13">
        <v>5109.67</v>
      </c>
      <c r="AE39" s="13">
        <v>5109</v>
      </c>
      <c r="AF39" s="13">
        <v>5110.25</v>
      </c>
      <c r="AG39" s="13">
        <v>5115.13</v>
      </c>
      <c r="AH39" s="13">
        <v>5119.4799999999996</v>
      </c>
      <c r="AI39" s="13">
        <v>5111.54</v>
      </c>
      <c r="AJ39" s="13">
        <v>5105.57</v>
      </c>
      <c r="AK39" s="13">
        <v>5111.57</v>
      </c>
      <c r="AL39" s="13">
        <v>5108</v>
      </c>
      <c r="AM39" s="13">
        <v>5103.18</v>
      </c>
      <c r="AN39" s="13">
        <v>5107.87</v>
      </c>
      <c r="AO39" s="13">
        <v>5107.55</v>
      </c>
      <c r="AP39" s="13">
        <v>5117.57</v>
      </c>
      <c r="AQ39" s="13">
        <v>5114.82</v>
      </c>
      <c r="AR39" s="13">
        <v>5120.13</v>
      </c>
      <c r="AS39" s="13">
        <v>5116</v>
      </c>
      <c r="AT39" s="13">
        <v>5113.57</v>
      </c>
      <c r="AU39" s="13">
        <v>5128.78</v>
      </c>
      <c r="AV39" s="13">
        <v>5128.75</v>
      </c>
      <c r="AW39" s="13">
        <v>5135.82</v>
      </c>
      <c r="AX39" s="13">
        <v>5135.6400000000003</v>
      </c>
      <c r="AY39" s="13">
        <v>5130</v>
      </c>
      <c r="AZ39" s="13">
        <v>5134.82</v>
      </c>
      <c r="BA39" s="13">
        <v>5131.12</v>
      </c>
      <c r="BB39" s="13">
        <v>5133.33</v>
      </c>
      <c r="BC39" s="13">
        <v>5132.93</v>
      </c>
      <c r="BD39" s="13">
        <v>5134.3500000000004</v>
      </c>
      <c r="BE39" s="13">
        <v>5152.78</v>
      </c>
      <c r="BF39" s="13">
        <v>5156.6499999999996</v>
      </c>
      <c r="BG39" s="13">
        <v>5156.6499999999996</v>
      </c>
      <c r="BH39" s="13">
        <v>5155.6000000000004</v>
      </c>
      <c r="BI39" s="13">
        <v>5160.4799999999996</v>
      </c>
      <c r="BJ39" s="13">
        <v>5171.75</v>
      </c>
      <c r="BK39" s="13">
        <v>5164.58</v>
      </c>
      <c r="BL39" s="13">
        <v>5170</v>
      </c>
      <c r="BM39" s="13">
        <v>5167.2</v>
      </c>
      <c r="BN39" s="13">
        <v>5167.47</v>
      </c>
      <c r="BO39" s="13">
        <v>5171.58</v>
      </c>
      <c r="BP39" s="13">
        <v>5172.1099999999997</v>
      </c>
      <c r="BQ39" s="13">
        <v>5171.21</v>
      </c>
      <c r="BR39" s="13">
        <v>5172.8900000000003</v>
      </c>
      <c r="BS39" s="13">
        <v>5180.5600000000004</v>
      </c>
      <c r="BT39" s="13">
        <v>5182.6400000000003</v>
      </c>
      <c r="BU39" s="13">
        <v>5174.16</v>
      </c>
      <c r="BV39" s="13">
        <v>5167.71</v>
      </c>
      <c r="BW39" s="13">
        <v>5173.7</v>
      </c>
      <c r="BX39" s="13">
        <v>5177.3999999999996</v>
      </c>
      <c r="BY39" s="13">
        <v>5172.08</v>
      </c>
      <c r="BZ39" s="13">
        <v>5173.46</v>
      </c>
      <c r="CA39" s="13">
        <v>5182.87</v>
      </c>
      <c r="CB39" s="13">
        <v>5186.2</v>
      </c>
      <c r="CC39" s="13">
        <v>5180.8900000000003</v>
      </c>
      <c r="CD39" s="13">
        <v>5186.2</v>
      </c>
      <c r="CE39" s="13">
        <v>5187.53</v>
      </c>
      <c r="CF39" s="13">
        <v>5191.3599999999997</v>
      </c>
      <c r="CG39" s="13">
        <v>5190.13</v>
      </c>
      <c r="CH39" s="13">
        <v>5192</v>
      </c>
      <c r="CI39" s="13">
        <v>5196.92</v>
      </c>
      <c r="CJ39" s="13">
        <v>5198.8599999999997</v>
      </c>
      <c r="CK39" s="13">
        <v>5200.09</v>
      </c>
      <c r="CL39" s="13">
        <v>5195.1899999999996</v>
      </c>
      <c r="CM39" s="13">
        <v>5196.6899999999996</v>
      </c>
      <c r="CN39" s="13">
        <v>5191.62</v>
      </c>
      <c r="CO39" s="13">
        <v>5197.63</v>
      </c>
      <c r="CP39" s="13">
        <v>5195.24</v>
      </c>
      <c r="CQ39" s="13">
        <v>5194.28</v>
      </c>
      <c r="CR39" s="13">
        <v>5189.1499999999996</v>
      </c>
      <c r="CS39" s="13">
        <v>5186.1499999999996</v>
      </c>
      <c r="CT39" s="13">
        <v>5187.3100000000004</v>
      </c>
      <c r="CU39" s="13">
        <v>5190.55</v>
      </c>
      <c r="CV39" s="13">
        <v>5191.1000000000004</v>
      </c>
      <c r="CW39" s="13">
        <v>5188.72</v>
      </c>
      <c r="CX39" s="13">
        <v>5196.1400000000003</v>
      </c>
      <c r="CY39" s="13">
        <v>5188.29</v>
      </c>
      <c r="CZ39" s="13">
        <v>5190.83</v>
      </c>
      <c r="DA39" s="13">
        <v>5186.59</v>
      </c>
      <c r="DB39" s="13">
        <v>5186.1499999999996</v>
      </c>
      <c r="DC39" s="13">
        <v>5191.34</v>
      </c>
      <c r="DD39" s="13">
        <v>5188.21</v>
      </c>
      <c r="DE39" s="13">
        <v>5192.41</v>
      </c>
      <c r="DF39" s="13">
        <v>5185.03</v>
      </c>
      <c r="DG39" s="13">
        <v>5197.67</v>
      </c>
      <c r="DH39" s="13">
        <v>5181.1400000000003</v>
      </c>
      <c r="DI39" s="13">
        <v>5183.24</v>
      </c>
      <c r="DJ39" s="13">
        <v>5180.24</v>
      </c>
      <c r="DK39" s="13">
        <v>5183.92</v>
      </c>
      <c r="DL39" s="13">
        <v>5179.42</v>
      </c>
      <c r="DM39" s="32"/>
      <c r="DN39" s="33"/>
      <c r="DO39" s="32"/>
      <c r="DP39" s="33"/>
      <c r="DQ39" s="32"/>
      <c r="DR39" s="33"/>
      <c r="DS39" s="32"/>
      <c r="DT39" s="33"/>
      <c r="DU39" s="32"/>
      <c r="DV39" s="33"/>
    </row>
    <row r="40" spans="1:126" ht="15.75" x14ac:dyDescent="0.25">
      <c r="A40" s="14" t="s">
        <v>12</v>
      </c>
      <c r="B40" s="12" t="s">
        <v>9</v>
      </c>
      <c r="C40" s="13">
        <v>5097</v>
      </c>
      <c r="D40" s="13">
        <v>5084.6899999999996</v>
      </c>
      <c r="E40" s="13">
        <v>5092.8599999999997</v>
      </c>
      <c r="F40" s="13">
        <v>5099.74</v>
      </c>
      <c r="G40" s="13">
        <v>5091.2700000000004</v>
      </c>
      <c r="H40" s="13">
        <v>5095.42</v>
      </c>
      <c r="I40" s="13">
        <v>5093.26</v>
      </c>
      <c r="J40" s="13">
        <v>5104.37</v>
      </c>
      <c r="K40" s="13">
        <v>5097.05</v>
      </c>
      <c r="L40" s="13">
        <v>5106.26</v>
      </c>
      <c r="M40" s="13">
        <v>5103.21</v>
      </c>
      <c r="N40" s="13">
        <v>5129.26</v>
      </c>
      <c r="O40" s="13">
        <v>5111.59</v>
      </c>
      <c r="P40" s="13">
        <v>5110.41</v>
      </c>
      <c r="Q40" s="13">
        <v>5112.1899999999996</v>
      </c>
      <c r="R40" s="13">
        <v>5109.26</v>
      </c>
      <c r="S40" s="13">
        <v>5107.1899999999996</v>
      </c>
      <c r="T40" s="13">
        <v>5102</v>
      </c>
      <c r="U40" s="13">
        <v>5098.3</v>
      </c>
      <c r="V40" s="13">
        <v>5105.1099999999997</v>
      </c>
      <c r="W40" s="13">
        <v>5105.1099999999997</v>
      </c>
      <c r="X40" s="13">
        <v>5095.2299999999996</v>
      </c>
      <c r="Y40" s="13">
        <v>5098.5</v>
      </c>
      <c r="Z40" s="13">
        <v>5100.8500000000004</v>
      </c>
      <c r="AA40" s="13">
        <v>5090.76</v>
      </c>
      <c r="AB40" s="13">
        <v>5086.1499999999996</v>
      </c>
      <c r="AC40" s="13">
        <v>5088.8500000000004</v>
      </c>
      <c r="AD40" s="13">
        <v>5083.13</v>
      </c>
      <c r="AE40" s="13">
        <v>5088.33</v>
      </c>
      <c r="AF40" s="13">
        <v>5094.3500000000004</v>
      </c>
      <c r="AG40" s="13">
        <v>5100.97</v>
      </c>
      <c r="AH40" s="13">
        <v>5104.92</v>
      </c>
      <c r="AI40" s="13">
        <v>5096.1000000000004</v>
      </c>
      <c r="AJ40" s="13">
        <v>5092.42</v>
      </c>
      <c r="AK40" s="13">
        <v>5093.63</v>
      </c>
      <c r="AL40" s="13">
        <v>5088.8100000000004</v>
      </c>
      <c r="AM40" s="13">
        <v>5088.1400000000003</v>
      </c>
      <c r="AN40" s="13">
        <v>5093.8100000000004</v>
      </c>
      <c r="AO40" s="13">
        <v>5093.8100000000004</v>
      </c>
      <c r="AP40" s="13">
        <v>5102.46</v>
      </c>
      <c r="AQ40" s="13">
        <v>5099.29</v>
      </c>
      <c r="AR40" s="13">
        <v>5104.2299999999996</v>
      </c>
      <c r="AS40" s="13">
        <v>5095.75</v>
      </c>
      <c r="AT40" s="13">
        <v>5097.8100000000004</v>
      </c>
      <c r="AU40" s="13">
        <v>5113.7700000000004</v>
      </c>
      <c r="AV40" s="13">
        <v>5114.3500000000004</v>
      </c>
      <c r="AW40" s="13">
        <v>5120.42</v>
      </c>
      <c r="AX40" s="13">
        <v>5117.8900000000003</v>
      </c>
      <c r="AY40" s="13">
        <v>5111.82</v>
      </c>
      <c r="AZ40" s="13">
        <v>5117.04</v>
      </c>
      <c r="BA40" s="13">
        <v>5113.93</v>
      </c>
      <c r="BB40" s="13">
        <v>5117.8100000000004</v>
      </c>
      <c r="BC40" s="13">
        <v>5114.58</v>
      </c>
      <c r="BD40" s="13">
        <v>5117.8900000000003</v>
      </c>
      <c r="BE40" s="13">
        <v>5134.91</v>
      </c>
      <c r="BF40" s="13">
        <v>5136.1899999999996</v>
      </c>
      <c r="BG40" s="13">
        <v>5136.5</v>
      </c>
      <c r="BH40" s="13">
        <v>5135.47</v>
      </c>
      <c r="BI40" s="13">
        <v>5138.62</v>
      </c>
      <c r="BJ40" s="13">
        <v>5092</v>
      </c>
      <c r="BK40" s="13">
        <v>5124.29</v>
      </c>
      <c r="BL40" s="13">
        <v>5137.09</v>
      </c>
      <c r="BM40" s="13">
        <v>5136.6400000000003</v>
      </c>
      <c r="BN40" s="13">
        <v>5140.95</v>
      </c>
      <c r="BO40" s="13">
        <v>5138.47</v>
      </c>
      <c r="BP40" s="13">
        <v>5137.12</v>
      </c>
      <c r="BQ40" s="13">
        <v>5137.59</v>
      </c>
      <c r="BR40" s="13">
        <v>5129.92</v>
      </c>
      <c r="BS40" s="13">
        <v>5141.18</v>
      </c>
      <c r="BT40" s="13">
        <v>5148.32</v>
      </c>
      <c r="BU40" s="13">
        <v>5131.92</v>
      </c>
      <c r="BV40" s="13">
        <v>5127.25</v>
      </c>
      <c r="BW40" s="13">
        <v>5140.7299999999996</v>
      </c>
      <c r="BX40" s="13">
        <v>5144.2299999999996</v>
      </c>
      <c r="BY40" s="13">
        <v>5135.29</v>
      </c>
      <c r="BZ40" s="13">
        <v>5142.3599999999997</v>
      </c>
      <c r="CA40" s="13">
        <v>5146.12</v>
      </c>
      <c r="CB40" s="13">
        <v>5148.29</v>
      </c>
      <c r="CC40" s="13">
        <v>5135.92</v>
      </c>
      <c r="CD40" s="13">
        <v>5152.7700000000004</v>
      </c>
      <c r="CE40" s="13">
        <v>5150.12</v>
      </c>
      <c r="CF40" s="13">
        <v>5158.3599999999997</v>
      </c>
      <c r="CG40" s="13">
        <v>5151.9399999999996</v>
      </c>
      <c r="CH40" s="13">
        <v>5115.42</v>
      </c>
      <c r="CI40" s="13">
        <v>5165.3599999999997</v>
      </c>
      <c r="CJ40" s="13">
        <v>5151.07</v>
      </c>
      <c r="CK40" s="13">
        <v>5135</v>
      </c>
      <c r="CL40" s="13">
        <v>5151.8500000000004</v>
      </c>
      <c r="CM40" s="13">
        <v>5166.5600000000004</v>
      </c>
      <c r="CN40" s="13">
        <v>5159.05</v>
      </c>
      <c r="CO40" s="13">
        <v>5165.9399999999996</v>
      </c>
      <c r="CP40" s="13">
        <v>5168.72</v>
      </c>
      <c r="CQ40" s="13">
        <v>5142.3</v>
      </c>
      <c r="CR40" s="13">
        <v>5145.6000000000004</v>
      </c>
      <c r="CS40" s="13">
        <v>5155.93</v>
      </c>
      <c r="CT40" s="13">
        <v>5157.63</v>
      </c>
      <c r="CU40" s="13">
        <v>5155.74</v>
      </c>
      <c r="CV40" s="13">
        <v>5161.33</v>
      </c>
      <c r="CW40" s="13">
        <v>5159.8599999999997</v>
      </c>
      <c r="CX40" s="13">
        <v>5155.33</v>
      </c>
      <c r="CY40" s="13">
        <v>5142.08</v>
      </c>
      <c r="CZ40" s="13">
        <v>5163.3100000000004</v>
      </c>
      <c r="DA40" s="13">
        <v>5157.4399999999996</v>
      </c>
      <c r="DB40" s="13">
        <v>5142.72</v>
      </c>
      <c r="DC40" s="13">
        <v>5159.41</v>
      </c>
      <c r="DD40" s="13">
        <v>5157.4399999999996</v>
      </c>
      <c r="DE40" s="13">
        <v>5153.45</v>
      </c>
      <c r="DF40" s="13">
        <v>5155.07</v>
      </c>
      <c r="DG40" s="13">
        <v>5154.5600000000004</v>
      </c>
      <c r="DH40" s="13">
        <v>5131.25</v>
      </c>
      <c r="DI40" s="13">
        <v>5155.59</v>
      </c>
      <c r="DJ40" s="13">
        <v>5136.96</v>
      </c>
      <c r="DK40" s="13">
        <v>5149.2299999999996</v>
      </c>
      <c r="DL40" s="13">
        <v>5144.32</v>
      </c>
      <c r="DM40" s="32"/>
      <c r="DN40" s="33"/>
      <c r="DO40" s="32"/>
      <c r="DP40" s="33"/>
      <c r="DQ40" s="32"/>
      <c r="DR40" s="33"/>
      <c r="DS40" s="32"/>
      <c r="DT40" s="33"/>
      <c r="DU40" s="32"/>
      <c r="DV40" s="33"/>
    </row>
    <row r="41" spans="1:126" ht="15.75" x14ac:dyDescent="0.25">
      <c r="A41" s="14" t="s">
        <v>12</v>
      </c>
      <c r="B41" s="12" t="s">
        <v>7</v>
      </c>
      <c r="C41" s="13">
        <v>5097</v>
      </c>
      <c r="D41" s="13">
        <v>5084.17</v>
      </c>
      <c r="E41" s="13">
        <v>5085.63</v>
      </c>
      <c r="F41" s="13">
        <v>5090.45</v>
      </c>
      <c r="G41" s="13">
        <v>5091.2700000000004</v>
      </c>
      <c r="H41" s="13">
        <v>5088.47</v>
      </c>
      <c r="I41" s="13">
        <v>5092.79</v>
      </c>
      <c r="J41" s="13">
        <v>5097.78</v>
      </c>
      <c r="K41" s="13">
        <v>5093.26</v>
      </c>
      <c r="L41" s="13">
        <v>5091.37</v>
      </c>
      <c r="M41" s="13">
        <v>5101.3599999999997</v>
      </c>
      <c r="N41" s="13">
        <v>5121.79</v>
      </c>
      <c r="O41" s="13">
        <v>5080</v>
      </c>
      <c r="P41" s="13">
        <v>5105.92</v>
      </c>
      <c r="Q41" s="13">
        <v>5093.1400000000003</v>
      </c>
      <c r="R41" s="13">
        <v>5092.7299999999996</v>
      </c>
      <c r="S41" s="13">
        <v>5097.5</v>
      </c>
      <c r="T41" s="13">
        <v>5092.2</v>
      </c>
      <c r="U41" s="13">
        <v>5089.53</v>
      </c>
      <c r="V41" s="13">
        <v>5100.3100000000004</v>
      </c>
      <c r="W41" s="13">
        <v>5098.58</v>
      </c>
      <c r="X41" s="13">
        <v>5088.13</v>
      </c>
      <c r="Y41" s="13">
        <v>5093.25</v>
      </c>
      <c r="Z41" s="13">
        <v>5094.58</v>
      </c>
      <c r="AA41" s="13">
        <v>5086.53</v>
      </c>
      <c r="AB41" s="13">
        <v>5065</v>
      </c>
      <c r="AC41" s="13">
        <v>5078.6400000000003</v>
      </c>
      <c r="AD41" s="13">
        <v>5065</v>
      </c>
      <c r="AE41" s="13">
        <v>5080.63</v>
      </c>
      <c r="AF41" s="13">
        <v>5090.38</v>
      </c>
      <c r="AG41" s="13">
        <v>5090</v>
      </c>
      <c r="AH41" s="13">
        <v>5095.88</v>
      </c>
      <c r="AI41" s="13">
        <v>5086.5</v>
      </c>
      <c r="AJ41" s="13">
        <v>5082.5</v>
      </c>
      <c r="AK41" s="13">
        <v>5093.63</v>
      </c>
      <c r="AL41" s="13">
        <v>5083.8599999999997</v>
      </c>
      <c r="AM41" s="13">
        <v>5083.32</v>
      </c>
      <c r="AN41" s="13">
        <v>5083.75</v>
      </c>
      <c r="AO41" s="13">
        <v>5087.55</v>
      </c>
      <c r="AP41" s="13">
        <v>5091.1899999999996</v>
      </c>
      <c r="AQ41" s="13">
        <v>5092.79</v>
      </c>
      <c r="AR41" s="13">
        <v>5089.38</v>
      </c>
      <c r="AS41" s="13">
        <v>5089.57</v>
      </c>
      <c r="AT41" s="13">
        <v>5087.6400000000003</v>
      </c>
      <c r="AU41" s="13">
        <v>5093.93</v>
      </c>
      <c r="AV41" s="13">
        <v>5095.1400000000003</v>
      </c>
      <c r="AW41" s="13">
        <v>5107</v>
      </c>
      <c r="AX41" s="13">
        <v>5104.68</v>
      </c>
      <c r="AY41" s="13">
        <v>5102.6499999999996</v>
      </c>
      <c r="AZ41" s="13">
        <v>5108.18</v>
      </c>
      <c r="BA41" s="13">
        <v>5097.7299999999996</v>
      </c>
      <c r="BB41" s="13">
        <v>5113.3599999999997</v>
      </c>
      <c r="BC41" s="13">
        <v>5114.18</v>
      </c>
      <c r="BD41" s="13">
        <v>5114.8599999999997</v>
      </c>
      <c r="BE41" s="13">
        <v>5114.18</v>
      </c>
      <c r="BF41" s="13">
        <v>5121.84</v>
      </c>
      <c r="BG41" s="13">
        <v>5102.0600000000004</v>
      </c>
      <c r="BH41" s="13">
        <v>5123.28</v>
      </c>
      <c r="BI41" s="13">
        <v>5132.18</v>
      </c>
      <c r="BJ41" s="13">
        <v>5092</v>
      </c>
      <c r="BK41" s="13">
        <v>5068.5</v>
      </c>
      <c r="BL41" s="13">
        <v>5068.5</v>
      </c>
      <c r="BM41" s="13">
        <v>5112.13</v>
      </c>
      <c r="BN41" s="13">
        <v>5130.3599999999997</v>
      </c>
      <c r="BO41" s="13">
        <v>5116.93</v>
      </c>
      <c r="BP41" s="13">
        <v>5127.92</v>
      </c>
      <c r="BQ41" s="13">
        <v>5128.58</v>
      </c>
      <c r="BR41" s="13">
        <v>5121.1099999999997</v>
      </c>
      <c r="BS41" s="13">
        <v>5095.8</v>
      </c>
      <c r="BT41" s="13">
        <v>5139.41</v>
      </c>
      <c r="BU41" s="13">
        <v>5100</v>
      </c>
      <c r="BV41" s="13">
        <v>5105.83</v>
      </c>
      <c r="BW41" s="13">
        <v>5094.3</v>
      </c>
      <c r="BX41" s="13">
        <v>5105.42</v>
      </c>
      <c r="BY41" s="13">
        <v>5098.33</v>
      </c>
      <c r="BZ41" s="13">
        <v>5125.67</v>
      </c>
      <c r="CA41" s="13">
        <v>5137.41</v>
      </c>
      <c r="CB41" s="13">
        <v>5103</v>
      </c>
      <c r="CC41" s="13">
        <v>5110.83</v>
      </c>
      <c r="CD41" s="13">
        <v>5136.58</v>
      </c>
      <c r="CE41" s="13">
        <v>5147.82</v>
      </c>
      <c r="CF41" s="13">
        <v>5139.92</v>
      </c>
      <c r="CG41" s="13">
        <v>5101.5</v>
      </c>
      <c r="CH41" s="13">
        <v>5115.42</v>
      </c>
      <c r="CI41" s="13">
        <v>5145.25</v>
      </c>
      <c r="CJ41" s="13">
        <v>5070</v>
      </c>
      <c r="CK41" s="13">
        <v>5133.33</v>
      </c>
      <c r="CL41" s="13">
        <v>5070</v>
      </c>
      <c r="CM41" s="13">
        <v>5115.67</v>
      </c>
      <c r="CN41" s="13">
        <v>5129.2</v>
      </c>
      <c r="CO41" s="13">
        <v>5117.17</v>
      </c>
      <c r="CP41" s="13">
        <v>5159.55</v>
      </c>
      <c r="CQ41" s="13">
        <v>5142.3</v>
      </c>
      <c r="CR41" s="13">
        <v>5116.28</v>
      </c>
      <c r="CS41" s="13">
        <v>5129</v>
      </c>
      <c r="CT41" s="13">
        <v>5107.67</v>
      </c>
      <c r="CU41" s="13">
        <v>5122.6000000000004</v>
      </c>
      <c r="CV41" s="13">
        <v>5139.55</v>
      </c>
      <c r="CW41" s="13">
        <v>5128.26</v>
      </c>
      <c r="CX41" s="13">
        <v>5152</v>
      </c>
      <c r="CY41" s="13">
        <v>5107</v>
      </c>
      <c r="CZ41" s="13">
        <v>5078.09</v>
      </c>
      <c r="DA41" s="13">
        <v>5121.3500000000004</v>
      </c>
      <c r="DB41" s="13">
        <v>5142.72</v>
      </c>
      <c r="DC41" s="13">
        <v>5113.6099999999997</v>
      </c>
      <c r="DD41" s="13">
        <v>5125.87</v>
      </c>
      <c r="DE41" s="13">
        <v>5123.13</v>
      </c>
      <c r="DF41" s="13">
        <v>5152.8599999999997</v>
      </c>
      <c r="DG41" s="13">
        <v>5110.78</v>
      </c>
      <c r="DH41" s="13">
        <v>5110.9399999999996</v>
      </c>
      <c r="DI41" s="13">
        <v>5136.96</v>
      </c>
      <c r="DJ41" s="13">
        <v>5110.9399999999996</v>
      </c>
      <c r="DK41" s="13">
        <v>5119.6000000000004</v>
      </c>
      <c r="DL41" s="13">
        <v>5089.8500000000004</v>
      </c>
      <c r="DM41" s="32"/>
      <c r="DN41" s="33"/>
      <c r="DO41" s="32"/>
      <c r="DP41" s="33"/>
      <c r="DQ41" s="32"/>
      <c r="DR41" s="33"/>
      <c r="DS41" s="32"/>
      <c r="DT41" s="33"/>
      <c r="DU41" s="32"/>
      <c r="DV41" s="33"/>
    </row>
    <row r="42" spans="1:126" ht="15.75" x14ac:dyDescent="0.25">
      <c r="A42" s="14"/>
      <c r="B42" s="12"/>
      <c r="C42" s="13">
        <f t="shared" ref="C42:AH42" si="22">(C38+C39+C40+C41)/4</f>
        <v>5112</v>
      </c>
      <c r="D42" s="13">
        <f t="shared" si="22"/>
        <v>5097.8824999999997</v>
      </c>
      <c r="E42" s="13">
        <f t="shared" si="22"/>
        <v>5095.9225000000006</v>
      </c>
      <c r="F42" s="13">
        <f t="shared" si="22"/>
        <v>5102.9075000000003</v>
      </c>
      <c r="G42" s="13">
        <f t="shared" si="22"/>
        <v>5099.6125000000002</v>
      </c>
      <c r="H42" s="13">
        <f t="shared" si="22"/>
        <v>5099.4575000000004</v>
      </c>
      <c r="I42" s="13">
        <f t="shared" si="22"/>
        <v>5099.915</v>
      </c>
      <c r="J42" s="13">
        <f t="shared" si="22"/>
        <v>5107.9825000000001</v>
      </c>
      <c r="K42" s="13">
        <f t="shared" si="22"/>
        <v>5102.9375</v>
      </c>
      <c r="L42" s="13">
        <f t="shared" si="22"/>
        <v>5108.3525</v>
      </c>
      <c r="M42" s="13">
        <f t="shared" si="22"/>
        <v>5109.6575000000003</v>
      </c>
      <c r="N42" s="13">
        <f t="shared" si="22"/>
        <v>5133.8725000000004</v>
      </c>
      <c r="O42" s="13">
        <f t="shared" si="22"/>
        <v>5115.7425000000003</v>
      </c>
      <c r="P42" s="13">
        <f t="shared" si="22"/>
        <v>5120.6574999999993</v>
      </c>
      <c r="Q42" s="13">
        <f t="shared" si="22"/>
        <v>5115.6399999999994</v>
      </c>
      <c r="R42" s="13">
        <f t="shared" si="22"/>
        <v>5113.6625000000004</v>
      </c>
      <c r="S42" s="13">
        <f t="shared" si="22"/>
        <v>5113.4375</v>
      </c>
      <c r="T42" s="13">
        <f t="shared" si="22"/>
        <v>5109.165</v>
      </c>
      <c r="U42" s="13">
        <f t="shared" si="22"/>
        <v>5105.3975</v>
      </c>
      <c r="V42" s="13">
        <f t="shared" si="22"/>
        <v>5111.5600000000004</v>
      </c>
      <c r="W42" s="13">
        <f t="shared" si="22"/>
        <v>5111.7574999999997</v>
      </c>
      <c r="X42" s="13">
        <f t="shared" si="22"/>
        <v>5104.08</v>
      </c>
      <c r="Y42" s="13">
        <f t="shared" si="22"/>
        <v>5105.3775000000005</v>
      </c>
      <c r="Z42" s="13">
        <f t="shared" si="22"/>
        <v>5106.62</v>
      </c>
      <c r="AA42" s="13">
        <f t="shared" si="22"/>
        <v>5100.0725000000002</v>
      </c>
      <c r="AB42" s="13">
        <f t="shared" si="22"/>
        <v>5092.2875000000004</v>
      </c>
      <c r="AC42" s="13">
        <f t="shared" si="22"/>
        <v>5098.1225000000004</v>
      </c>
      <c r="AD42" s="13">
        <f t="shared" si="22"/>
        <v>5092.45</v>
      </c>
      <c r="AE42" s="13">
        <f t="shared" si="22"/>
        <v>5096.74</v>
      </c>
      <c r="AF42" s="13">
        <f t="shared" si="22"/>
        <v>5101.4949999999999</v>
      </c>
      <c r="AG42" s="13">
        <f t="shared" si="22"/>
        <v>5105.3074999999999</v>
      </c>
      <c r="AH42" s="13">
        <f t="shared" si="22"/>
        <v>5109.9399999999996</v>
      </c>
      <c r="AI42" s="13">
        <f t="shared" ref="AI42:BN42" si="23">(AI38+AI39+AI40+AI41)/4</f>
        <v>5103.99</v>
      </c>
      <c r="AJ42" s="13">
        <f t="shared" si="23"/>
        <v>5098.0874999999996</v>
      </c>
      <c r="AK42" s="13">
        <f t="shared" si="23"/>
        <v>5102.6625000000004</v>
      </c>
      <c r="AL42" s="13">
        <f t="shared" si="23"/>
        <v>5098.6200000000008</v>
      </c>
      <c r="AM42" s="13">
        <f t="shared" si="23"/>
        <v>5095.7049999999999</v>
      </c>
      <c r="AN42" s="13">
        <f t="shared" si="23"/>
        <v>5098.4450000000006</v>
      </c>
      <c r="AO42" s="13">
        <f t="shared" si="23"/>
        <v>5099.1149999999998</v>
      </c>
      <c r="AP42" s="13">
        <f t="shared" si="23"/>
        <v>5107.8474999999999</v>
      </c>
      <c r="AQ42" s="13">
        <f t="shared" si="23"/>
        <v>5106.51</v>
      </c>
      <c r="AR42" s="13">
        <f t="shared" si="23"/>
        <v>5108.4775</v>
      </c>
      <c r="AS42" s="13">
        <f t="shared" si="23"/>
        <v>5105.3625000000002</v>
      </c>
      <c r="AT42" s="13">
        <f t="shared" si="23"/>
        <v>5104.2974999999997</v>
      </c>
      <c r="AU42" s="13">
        <f t="shared" si="23"/>
        <v>5116.3975</v>
      </c>
      <c r="AV42" s="13">
        <f t="shared" si="23"/>
        <v>5117.7650000000003</v>
      </c>
      <c r="AW42" s="13">
        <f t="shared" si="23"/>
        <v>5125.0049999999992</v>
      </c>
      <c r="AX42" s="13">
        <f t="shared" si="23"/>
        <v>5123.6675000000005</v>
      </c>
      <c r="AY42" s="13">
        <f t="shared" si="23"/>
        <v>5120.07</v>
      </c>
      <c r="AZ42" s="13">
        <f t="shared" si="23"/>
        <v>5124.76</v>
      </c>
      <c r="BA42" s="13">
        <f t="shared" si="23"/>
        <v>5119.3999999999996</v>
      </c>
      <c r="BB42" s="13">
        <f t="shared" si="23"/>
        <v>5124.4575000000004</v>
      </c>
      <c r="BC42" s="13">
        <f t="shared" si="23"/>
        <v>5123.8425000000007</v>
      </c>
      <c r="BD42" s="13">
        <f t="shared" si="23"/>
        <v>5125.67</v>
      </c>
      <c r="BE42" s="13">
        <f t="shared" si="23"/>
        <v>5138.8325000000004</v>
      </c>
      <c r="BF42" s="13">
        <f t="shared" si="23"/>
        <v>5142.9875000000002</v>
      </c>
      <c r="BG42" s="13">
        <f t="shared" si="23"/>
        <v>5138.415</v>
      </c>
      <c r="BH42" s="13">
        <f t="shared" si="23"/>
        <v>5142.8500000000004</v>
      </c>
      <c r="BI42" s="13">
        <f t="shared" si="23"/>
        <v>5147.9650000000001</v>
      </c>
      <c r="BJ42" s="13">
        <f t="shared" si="23"/>
        <v>5132.6049999999996</v>
      </c>
      <c r="BK42" s="13">
        <f t="shared" si="23"/>
        <v>5132.03</v>
      </c>
      <c r="BL42" s="13">
        <f t="shared" si="23"/>
        <v>5136.8675000000003</v>
      </c>
      <c r="BM42" s="13">
        <f t="shared" si="23"/>
        <v>5146.13</v>
      </c>
      <c r="BN42" s="13">
        <f t="shared" si="23"/>
        <v>5151.8375000000005</v>
      </c>
      <c r="BO42" s="13">
        <f t="shared" ref="BO42:CT42" si="24">(BO38+BO39+BO40+BO41)/4</f>
        <v>5151.7449999999999</v>
      </c>
      <c r="BP42" s="13">
        <f t="shared" si="24"/>
        <v>5152.619999999999</v>
      </c>
      <c r="BQ42" s="13">
        <f t="shared" si="24"/>
        <v>5152.1475</v>
      </c>
      <c r="BR42" s="13">
        <f t="shared" si="24"/>
        <v>5150.3549999999996</v>
      </c>
      <c r="BS42" s="13">
        <f t="shared" si="24"/>
        <v>5149.5250000000005</v>
      </c>
      <c r="BT42" s="13">
        <f t="shared" si="24"/>
        <v>5164.5200000000004</v>
      </c>
      <c r="BU42" s="13">
        <f t="shared" si="24"/>
        <v>5145.2525000000005</v>
      </c>
      <c r="BV42" s="13">
        <f t="shared" si="24"/>
        <v>5143.93</v>
      </c>
      <c r="BW42" s="13">
        <f t="shared" si="24"/>
        <v>5147.6824999999999</v>
      </c>
      <c r="BX42" s="13">
        <f t="shared" si="24"/>
        <v>5151.45</v>
      </c>
      <c r="BY42" s="13">
        <f t="shared" si="24"/>
        <v>5144.9249999999993</v>
      </c>
      <c r="BZ42" s="13">
        <f t="shared" si="24"/>
        <v>5154.5925000000007</v>
      </c>
      <c r="CA42" s="13">
        <f t="shared" si="24"/>
        <v>5163.8499999999995</v>
      </c>
      <c r="CB42" s="13">
        <f t="shared" si="24"/>
        <v>5156.8725000000004</v>
      </c>
      <c r="CC42" s="13">
        <f t="shared" si="24"/>
        <v>5154.1324999999997</v>
      </c>
      <c r="CD42" s="13">
        <f t="shared" si="24"/>
        <v>5165.6925000000001</v>
      </c>
      <c r="CE42" s="13">
        <f t="shared" si="24"/>
        <v>5168.8674999999994</v>
      </c>
      <c r="CF42" s="13">
        <f t="shared" si="24"/>
        <v>5170.25</v>
      </c>
      <c r="CG42" s="13">
        <f t="shared" si="24"/>
        <v>5158.9475000000002</v>
      </c>
      <c r="CH42" s="13">
        <f t="shared" si="24"/>
        <v>5154.0974999999999</v>
      </c>
      <c r="CI42" s="13">
        <f t="shared" si="24"/>
        <v>5176.3824999999997</v>
      </c>
      <c r="CJ42" s="13">
        <f t="shared" si="24"/>
        <v>5155.4825000000001</v>
      </c>
      <c r="CK42" s="13">
        <f t="shared" si="24"/>
        <v>5167.2000000000007</v>
      </c>
      <c r="CL42" s="13">
        <f t="shared" si="24"/>
        <v>5154.3325000000004</v>
      </c>
      <c r="CM42" s="13">
        <f t="shared" si="24"/>
        <v>5170</v>
      </c>
      <c r="CN42" s="13">
        <f t="shared" si="24"/>
        <v>5170.4674999999997</v>
      </c>
      <c r="CO42" s="13">
        <f t="shared" si="24"/>
        <v>5169.5925000000007</v>
      </c>
      <c r="CP42" s="13">
        <f t="shared" si="24"/>
        <v>5181.66</v>
      </c>
      <c r="CQ42" s="13">
        <f t="shared" si="24"/>
        <v>5169.585</v>
      </c>
      <c r="CR42" s="13">
        <f t="shared" si="24"/>
        <v>5161.3275000000003</v>
      </c>
      <c r="CS42" s="13">
        <f t="shared" si="24"/>
        <v>5165.9799999999996</v>
      </c>
      <c r="CT42" s="13">
        <f t="shared" si="24"/>
        <v>5161.1149999999998</v>
      </c>
      <c r="CU42" s="13">
        <f t="shared" ref="CU42:DL42" si="25">(CU38+CU39+CU40+CU41)/4</f>
        <v>5164.8600000000006</v>
      </c>
      <c r="CV42" s="13">
        <f t="shared" si="25"/>
        <v>5172.8600000000006</v>
      </c>
      <c r="CW42" s="13">
        <f t="shared" si="25"/>
        <v>5167.2875000000004</v>
      </c>
      <c r="CX42" s="13">
        <f t="shared" si="25"/>
        <v>5176.0650000000005</v>
      </c>
      <c r="CY42" s="13">
        <f t="shared" si="25"/>
        <v>5159.79</v>
      </c>
      <c r="CZ42" s="13">
        <f t="shared" si="25"/>
        <v>5158.2250000000004</v>
      </c>
      <c r="DA42" s="13">
        <f t="shared" si="25"/>
        <v>5165.5849999999991</v>
      </c>
      <c r="DB42" s="13">
        <f t="shared" si="25"/>
        <v>5166.46</v>
      </c>
      <c r="DC42" s="13">
        <f t="shared" si="25"/>
        <v>5164.3824999999997</v>
      </c>
      <c r="DD42" s="13">
        <f t="shared" si="25"/>
        <v>5165.2349999999997</v>
      </c>
      <c r="DE42" s="13">
        <f t="shared" si="25"/>
        <v>5167.1125000000002</v>
      </c>
      <c r="DF42" s="13">
        <f t="shared" si="25"/>
        <v>5170.0225</v>
      </c>
      <c r="DG42" s="13">
        <f t="shared" si="25"/>
        <v>5165.17</v>
      </c>
      <c r="DH42" s="13">
        <f t="shared" si="25"/>
        <v>5155.3324999999995</v>
      </c>
      <c r="DI42" s="13">
        <f t="shared" si="25"/>
        <v>5167.9749999999995</v>
      </c>
      <c r="DJ42" s="13">
        <f t="shared" si="25"/>
        <v>5154.1824999999999</v>
      </c>
      <c r="DK42" s="13">
        <f t="shared" si="25"/>
        <v>5161.8975</v>
      </c>
      <c r="DL42" s="13">
        <f t="shared" si="25"/>
        <v>5149.3250000000007</v>
      </c>
      <c r="DM42" s="26"/>
      <c r="DN42" s="25"/>
      <c r="DO42" s="27"/>
      <c r="DP42" s="25"/>
      <c r="DQ42" s="27"/>
      <c r="DR42" s="25"/>
      <c r="DS42" s="27"/>
      <c r="DT42" s="25"/>
    </row>
    <row r="43" spans="1:126" ht="15.75" x14ac:dyDescent="0.25">
      <c r="A43" s="11" t="s">
        <v>5</v>
      </c>
      <c r="B43" s="11" t="s">
        <v>11</v>
      </c>
      <c r="C43" s="15">
        <v>0.375</v>
      </c>
      <c r="D43" s="15">
        <v>0.37847222222222227</v>
      </c>
      <c r="E43" s="15">
        <v>0.38194444444444442</v>
      </c>
      <c r="F43" s="15">
        <v>0.38541666666666669</v>
      </c>
      <c r="G43" s="15">
        <v>0.3888888888888889</v>
      </c>
      <c r="H43" s="15">
        <v>0.3923611111111111</v>
      </c>
      <c r="I43" s="15">
        <v>0.39583333333333331</v>
      </c>
      <c r="J43" s="15">
        <v>0.39930555555555558</v>
      </c>
      <c r="K43" s="15">
        <v>0.40277777777777773</v>
      </c>
      <c r="L43" s="15">
        <v>0.40625</v>
      </c>
      <c r="M43" s="15">
        <v>0.40972222222222227</v>
      </c>
      <c r="N43" s="15">
        <v>0.41319444444444442</v>
      </c>
      <c r="O43" s="15">
        <v>0.41666666666666669</v>
      </c>
      <c r="P43" s="15">
        <v>0.4201388888888889</v>
      </c>
      <c r="Q43" s="15">
        <v>0.4236111111111111</v>
      </c>
      <c r="R43" s="15">
        <v>0.42708333333333331</v>
      </c>
      <c r="S43" s="15">
        <v>0.43055555555555558</v>
      </c>
      <c r="T43" s="15">
        <v>0.43402777777777773</v>
      </c>
      <c r="U43" s="15">
        <v>0.4375</v>
      </c>
      <c r="V43" s="15">
        <v>0.44097222222222227</v>
      </c>
      <c r="W43" s="15">
        <v>0.44444444444444442</v>
      </c>
      <c r="X43" s="15">
        <v>0.44791666666666669</v>
      </c>
      <c r="Y43" s="15">
        <v>0.4513888888888889</v>
      </c>
      <c r="Z43" s="15">
        <v>0.4548611111111111</v>
      </c>
      <c r="AA43" s="15">
        <v>0.45833333333333331</v>
      </c>
      <c r="AB43" s="15">
        <v>0.46180555555555558</v>
      </c>
      <c r="AC43" s="15">
        <v>0.46527777777777773</v>
      </c>
      <c r="AD43" s="15">
        <v>0.46875</v>
      </c>
      <c r="AE43" s="15">
        <v>0.47222222222222227</v>
      </c>
      <c r="AF43" s="15">
        <v>0.47569444444444442</v>
      </c>
      <c r="AG43" s="15">
        <v>0.47916666666666669</v>
      </c>
      <c r="AH43" s="15">
        <v>0.4826388888888889</v>
      </c>
      <c r="AI43" s="15">
        <v>0.4861111111111111</v>
      </c>
      <c r="AJ43" s="15">
        <v>0.48958333333333331</v>
      </c>
      <c r="AK43" s="15">
        <v>0.49305555555555558</v>
      </c>
      <c r="AL43" s="15">
        <v>0.49652777777777773</v>
      </c>
      <c r="AM43" s="15">
        <v>0.5</v>
      </c>
      <c r="AN43" s="15">
        <v>0.50347222222222221</v>
      </c>
      <c r="AO43" s="15">
        <v>0.50694444444444442</v>
      </c>
      <c r="AP43" s="15">
        <v>0.51041666666666663</v>
      </c>
      <c r="AQ43" s="15">
        <v>0.51388888888888895</v>
      </c>
      <c r="AR43" s="15">
        <v>0.51736111111111105</v>
      </c>
      <c r="AS43" s="15">
        <v>0.52083333333333337</v>
      </c>
      <c r="AT43" s="15">
        <v>0.52430555555555558</v>
      </c>
      <c r="AU43" s="15">
        <v>0.52777777777777779</v>
      </c>
      <c r="AV43" s="15">
        <v>0.53125</v>
      </c>
      <c r="AW43" s="15">
        <v>0.53472222222222221</v>
      </c>
      <c r="AX43" s="15">
        <v>0.53819444444444442</v>
      </c>
      <c r="AY43" s="15">
        <v>0.54166666666666663</v>
      </c>
      <c r="AZ43" s="15">
        <v>0.54513888888888895</v>
      </c>
      <c r="BA43" s="15">
        <v>0.54861111111111105</v>
      </c>
      <c r="BB43" s="15">
        <v>0.55208333333333337</v>
      </c>
      <c r="BC43" s="15">
        <v>0.55555555555555558</v>
      </c>
      <c r="BD43" s="15">
        <v>0.55902777777777779</v>
      </c>
      <c r="BE43" s="15">
        <v>0.5625</v>
      </c>
      <c r="BF43" s="15">
        <v>0.56597222222222221</v>
      </c>
      <c r="BG43" s="15">
        <v>0.56944444444444442</v>
      </c>
      <c r="BH43" s="15">
        <v>0.57291666666666663</v>
      </c>
      <c r="BI43" s="15">
        <v>0.57638888888888895</v>
      </c>
      <c r="BJ43" s="15">
        <v>0.57986111111111105</v>
      </c>
      <c r="BK43" s="15">
        <v>0.58333333333333337</v>
      </c>
      <c r="BL43" s="15">
        <v>0.58680555555555558</v>
      </c>
      <c r="BM43" s="15">
        <v>0.59027777777777779</v>
      </c>
      <c r="BN43" s="15">
        <v>0.59375</v>
      </c>
      <c r="BO43" s="15">
        <v>0.59722222222222221</v>
      </c>
      <c r="BP43" s="15">
        <v>0.60069444444444442</v>
      </c>
      <c r="BQ43" s="15">
        <v>0.60416666666666663</v>
      </c>
      <c r="BR43" s="15">
        <v>0.60763888888888895</v>
      </c>
      <c r="BS43" s="15">
        <v>0.61111111111111105</v>
      </c>
      <c r="BT43" s="15">
        <v>0.61458333333333337</v>
      </c>
      <c r="BU43" s="15">
        <v>0.61805555555555558</v>
      </c>
      <c r="BV43" s="15">
        <v>0.62152777777777779</v>
      </c>
      <c r="BW43" s="15">
        <v>0.625</v>
      </c>
      <c r="BX43" s="15">
        <v>0.62847222222222221</v>
      </c>
      <c r="BY43" s="15">
        <v>0.63194444444444442</v>
      </c>
      <c r="BZ43" s="15">
        <v>0.63541666666666663</v>
      </c>
      <c r="CA43" s="15">
        <v>0.63888888888888895</v>
      </c>
      <c r="CB43" s="15">
        <v>0.64236111111111105</v>
      </c>
      <c r="CC43" s="15">
        <v>0.64583333333333337</v>
      </c>
      <c r="CD43" s="15">
        <v>0.64930555555555558</v>
      </c>
      <c r="CE43" s="15">
        <v>0.65277777777777779</v>
      </c>
      <c r="CF43" s="15">
        <v>0.65625</v>
      </c>
      <c r="CG43" s="15">
        <v>0.65972222222222221</v>
      </c>
      <c r="CH43" s="15">
        <v>0.66319444444444442</v>
      </c>
      <c r="CI43" s="15">
        <v>0.66666666666666663</v>
      </c>
      <c r="CJ43" s="15">
        <v>0.67013888888888884</v>
      </c>
      <c r="CK43" s="15">
        <v>0.67361111111111116</v>
      </c>
      <c r="CL43" s="15">
        <v>0.67708333333333337</v>
      </c>
      <c r="CM43" s="15">
        <v>0.68055555555555547</v>
      </c>
      <c r="CN43" s="15">
        <v>0.68402777777777779</v>
      </c>
      <c r="CO43" s="15">
        <v>0.6875</v>
      </c>
      <c r="CP43" s="15">
        <v>0.69097222222222221</v>
      </c>
      <c r="CQ43" s="15">
        <v>0.69444444444444453</v>
      </c>
      <c r="CR43" s="15">
        <v>0.69791666666666663</v>
      </c>
      <c r="CS43" s="15">
        <v>0.70138888888888884</v>
      </c>
      <c r="CT43" s="15">
        <v>0.70486111111111116</v>
      </c>
      <c r="CU43" s="15">
        <v>0.70833333333333337</v>
      </c>
      <c r="CV43" s="15">
        <v>0.71180555555555547</v>
      </c>
      <c r="CW43" s="15">
        <v>0.71527777777777779</v>
      </c>
      <c r="CX43" s="15">
        <v>0.71875</v>
      </c>
      <c r="CY43" s="15">
        <v>0.72222222222222221</v>
      </c>
      <c r="CZ43" s="15">
        <v>0.72569444444444453</v>
      </c>
      <c r="DA43" s="15">
        <v>0.72916666666666663</v>
      </c>
      <c r="DB43" s="15">
        <v>0.73263888888888884</v>
      </c>
      <c r="DC43" s="15">
        <v>0.73611111111111116</v>
      </c>
      <c r="DD43" s="15">
        <v>0.73958333333333337</v>
      </c>
      <c r="DE43" s="15">
        <v>0.74305555555555547</v>
      </c>
      <c r="DF43" s="15">
        <v>0.74652777777777779</v>
      </c>
      <c r="DG43" s="15">
        <v>0.75</v>
      </c>
      <c r="DH43" s="15">
        <v>0.75347222222222221</v>
      </c>
      <c r="DI43" s="16">
        <v>0.75694444444444453</v>
      </c>
      <c r="DJ43" s="15">
        <v>0.76041666666666663</v>
      </c>
      <c r="DK43" s="15">
        <v>0.76388888888888884</v>
      </c>
      <c r="DL43" s="15">
        <v>0.76736111111111116</v>
      </c>
      <c r="DM43" s="23">
        <v>44356</v>
      </c>
    </row>
    <row r="44" spans="1:126" ht="15.75" x14ac:dyDescent="0.25">
      <c r="A44" s="14">
        <v>44175</v>
      </c>
      <c r="B44" s="12" t="s">
        <v>6</v>
      </c>
      <c r="C44" s="13">
        <v>5161</v>
      </c>
      <c r="D44" s="13">
        <v>5145</v>
      </c>
      <c r="E44" s="13">
        <v>5134</v>
      </c>
      <c r="F44" s="13">
        <v>5135.46</v>
      </c>
      <c r="G44" s="13">
        <v>5130</v>
      </c>
      <c r="H44" s="13">
        <v>5116</v>
      </c>
      <c r="I44" s="13">
        <v>5123.57</v>
      </c>
      <c r="J44" s="13">
        <v>5132.75</v>
      </c>
      <c r="K44" s="13">
        <v>5140.1099999999997</v>
      </c>
      <c r="L44" s="13">
        <v>5139.2</v>
      </c>
      <c r="M44" s="13">
        <v>5133.47</v>
      </c>
      <c r="N44" s="13">
        <v>5129.8999999999996</v>
      </c>
      <c r="O44" s="13">
        <v>5126.2</v>
      </c>
      <c r="P44" s="13">
        <v>5114.5</v>
      </c>
      <c r="Q44" s="13">
        <v>5101.93</v>
      </c>
      <c r="R44" s="13">
        <v>5106.3999999999996</v>
      </c>
      <c r="S44" s="13">
        <v>5109.6000000000004</v>
      </c>
      <c r="T44" s="13">
        <v>5112.7299999999996</v>
      </c>
      <c r="U44" s="13">
        <v>5120.67</v>
      </c>
      <c r="V44" s="13">
        <v>5118.55</v>
      </c>
      <c r="W44" s="13">
        <v>5120</v>
      </c>
      <c r="X44" s="13">
        <v>5112.22</v>
      </c>
      <c r="Y44" s="13">
        <v>5113.42</v>
      </c>
      <c r="Z44" s="13">
        <v>5127.33</v>
      </c>
      <c r="AA44" s="13">
        <v>5132.92</v>
      </c>
      <c r="AB44" s="13">
        <v>5125.8599999999997</v>
      </c>
      <c r="AC44" s="13">
        <v>5143.1000000000004</v>
      </c>
      <c r="AD44" s="13">
        <v>5152.38</v>
      </c>
      <c r="AE44" s="13">
        <v>5173.92</v>
      </c>
      <c r="AF44" s="13">
        <v>5163.78</v>
      </c>
      <c r="AG44" s="13">
        <v>5159.76</v>
      </c>
      <c r="AH44" s="13">
        <v>5166.66</v>
      </c>
      <c r="AI44" s="13">
        <v>5162.53</v>
      </c>
      <c r="AJ44" s="13">
        <v>5164.13</v>
      </c>
      <c r="AK44" s="13">
        <v>5173.92</v>
      </c>
      <c r="AL44" s="13">
        <v>5134.5200000000004</v>
      </c>
      <c r="AM44" s="13">
        <v>5134.5200000000004</v>
      </c>
      <c r="AN44" s="13">
        <v>5144.5</v>
      </c>
      <c r="AO44" s="13">
        <v>5153.28</v>
      </c>
      <c r="AP44" s="13">
        <v>5127.6400000000003</v>
      </c>
      <c r="AQ44" s="13">
        <v>5131.33</v>
      </c>
      <c r="AR44" s="13">
        <v>5127.6400000000003</v>
      </c>
      <c r="AS44" s="13">
        <v>5125.78</v>
      </c>
      <c r="AT44" s="13">
        <v>5125.6099999999997</v>
      </c>
      <c r="AU44" s="13">
        <v>5121.3599999999997</v>
      </c>
      <c r="AV44" s="13">
        <v>5130.07</v>
      </c>
      <c r="AW44" s="13">
        <v>5122.96</v>
      </c>
      <c r="AX44" s="13">
        <v>5130.6099999999997</v>
      </c>
      <c r="AY44" s="13">
        <v>5124.18</v>
      </c>
      <c r="AZ44" s="13">
        <v>5116.83</v>
      </c>
      <c r="BA44" s="13">
        <v>5127.45</v>
      </c>
      <c r="BB44" s="13">
        <v>5127.8900000000003</v>
      </c>
      <c r="BC44" s="13">
        <v>5121.43</v>
      </c>
      <c r="BD44" s="13">
        <v>5119.43</v>
      </c>
      <c r="BE44" s="13">
        <v>5119.57</v>
      </c>
      <c r="BF44" s="13">
        <v>5127.8900000000003</v>
      </c>
      <c r="BG44" s="13">
        <v>5121.6899999999996</v>
      </c>
      <c r="BH44" s="13">
        <v>5129.7</v>
      </c>
      <c r="BI44" s="13">
        <v>5130.25</v>
      </c>
      <c r="BJ44" s="13">
        <v>5130.43</v>
      </c>
      <c r="BK44" s="13">
        <v>5125.41</v>
      </c>
      <c r="BL44" s="13">
        <v>5121.0200000000004</v>
      </c>
      <c r="BM44" s="13">
        <v>5123.0200000000004</v>
      </c>
      <c r="BN44" s="13">
        <v>5129.5200000000004</v>
      </c>
      <c r="BO44" s="13">
        <v>5114.17</v>
      </c>
      <c r="BP44" s="13">
        <v>5118.5</v>
      </c>
      <c r="BQ44" s="13">
        <v>5109.41</v>
      </c>
      <c r="BR44" s="13">
        <v>5128.43</v>
      </c>
      <c r="BS44" s="13">
        <v>5128.9799999999996</v>
      </c>
      <c r="BT44" s="13">
        <v>5122.8599999999997</v>
      </c>
      <c r="BU44" s="13">
        <v>5115.8900000000003</v>
      </c>
      <c r="BV44" s="13">
        <v>5128.3100000000004</v>
      </c>
      <c r="BW44" s="13">
        <v>5129.91</v>
      </c>
      <c r="BX44" s="13">
        <v>5130.09</v>
      </c>
      <c r="BY44" s="13">
        <v>5124.0200000000004</v>
      </c>
      <c r="BZ44" s="13">
        <v>5114.38</v>
      </c>
      <c r="CA44" s="13">
        <v>5123.3999999999996</v>
      </c>
      <c r="CB44" s="13">
        <v>5117.47</v>
      </c>
      <c r="CC44" s="13">
        <v>5122.46</v>
      </c>
      <c r="CD44" s="13">
        <v>5122.1000000000004</v>
      </c>
      <c r="CE44" s="13">
        <v>5120.21</v>
      </c>
      <c r="CF44" s="13">
        <v>5122.3599999999997</v>
      </c>
      <c r="CG44" s="13">
        <v>5121.16</v>
      </c>
      <c r="CH44" s="13">
        <v>5127.96</v>
      </c>
      <c r="CI44" s="13">
        <v>5113.26</v>
      </c>
      <c r="CJ44" s="13">
        <v>5116.46</v>
      </c>
      <c r="CK44" s="13">
        <v>5113.22</v>
      </c>
      <c r="CL44" s="13">
        <v>5118.04</v>
      </c>
      <c r="CM44" s="13">
        <v>5110.6899999999996</v>
      </c>
      <c r="CN44" s="13">
        <v>5125.29</v>
      </c>
      <c r="CO44" s="13">
        <v>5110.9799999999996</v>
      </c>
      <c r="CP44" s="13">
        <v>5110.6000000000004</v>
      </c>
      <c r="CQ44" s="13">
        <v>5109.05</v>
      </c>
      <c r="CR44" s="13">
        <v>5111.3100000000004</v>
      </c>
      <c r="CS44" s="13">
        <v>5105.57</v>
      </c>
      <c r="CT44" s="13">
        <v>5125.6400000000003</v>
      </c>
      <c r="CU44" s="13">
        <v>5126</v>
      </c>
      <c r="CV44" s="13">
        <v>5111.2</v>
      </c>
      <c r="CW44" s="13">
        <v>5108.9799999999996</v>
      </c>
      <c r="CX44" s="13">
        <v>5115.18</v>
      </c>
      <c r="CY44" s="13">
        <v>5114.1400000000003</v>
      </c>
      <c r="CZ44" s="13">
        <v>5122.9799999999996</v>
      </c>
      <c r="DA44" s="13">
        <v>5124.29</v>
      </c>
      <c r="DB44" s="13">
        <v>5102.1499999999996</v>
      </c>
      <c r="DC44" s="13">
        <v>5107.78</v>
      </c>
      <c r="DD44" s="13">
        <v>5123.16</v>
      </c>
      <c r="DE44" s="13">
        <v>5113.3599999999997</v>
      </c>
      <c r="DF44" s="13">
        <v>5104.33</v>
      </c>
      <c r="DG44" s="13">
        <v>5105.09</v>
      </c>
      <c r="DH44" s="13">
        <v>5123.16</v>
      </c>
      <c r="DI44" s="17">
        <v>5125.1099999999997</v>
      </c>
      <c r="DJ44" s="13">
        <v>5116.4799999999996</v>
      </c>
      <c r="DK44" s="13">
        <v>5124.93</v>
      </c>
      <c r="DL44" s="13">
        <v>5125.6400000000003</v>
      </c>
      <c r="DM44" s="32"/>
      <c r="DN44" s="33"/>
      <c r="DO44" s="32"/>
      <c r="DP44" s="33"/>
      <c r="DQ44" s="32"/>
      <c r="DR44" s="33"/>
      <c r="DS44" s="32"/>
      <c r="DT44" s="33"/>
      <c r="DU44" s="32"/>
      <c r="DV44" s="33"/>
    </row>
    <row r="45" spans="1:126" ht="15.75" x14ac:dyDescent="0.25">
      <c r="A45" s="14" t="s">
        <v>12</v>
      </c>
      <c r="B45" s="12" t="s">
        <v>10</v>
      </c>
      <c r="C45" s="13">
        <v>5161</v>
      </c>
      <c r="D45" s="13">
        <v>5129.5</v>
      </c>
      <c r="E45" s="13">
        <v>5132</v>
      </c>
      <c r="F45" s="13">
        <v>5130</v>
      </c>
      <c r="G45" s="13">
        <v>5110</v>
      </c>
      <c r="H45" s="13">
        <v>5113.72</v>
      </c>
      <c r="I45" s="13">
        <v>5123.57</v>
      </c>
      <c r="J45" s="13">
        <v>5131.32</v>
      </c>
      <c r="K45" s="13">
        <v>5140.1099999999997</v>
      </c>
      <c r="L45" s="13">
        <v>5132.53</v>
      </c>
      <c r="M45" s="13">
        <v>5123.74</v>
      </c>
      <c r="N45" s="13">
        <v>5121.84</v>
      </c>
      <c r="O45" s="13">
        <v>5113.32</v>
      </c>
      <c r="P45" s="13">
        <v>5102.21</v>
      </c>
      <c r="Q45" s="13">
        <v>5094.63</v>
      </c>
      <c r="R45" s="13">
        <v>5096.53</v>
      </c>
      <c r="S45" s="13">
        <v>5099.08</v>
      </c>
      <c r="T45" s="13">
        <v>5106</v>
      </c>
      <c r="U45" s="13">
        <v>5104.63</v>
      </c>
      <c r="V45" s="13">
        <v>5118.55</v>
      </c>
      <c r="W45" s="13">
        <v>5110.5</v>
      </c>
      <c r="X45" s="13">
        <v>5104.68</v>
      </c>
      <c r="Y45" s="13">
        <v>5105.92</v>
      </c>
      <c r="Z45" s="13">
        <v>5118</v>
      </c>
      <c r="AA45" s="13">
        <v>5118.3100000000004</v>
      </c>
      <c r="AB45" s="13">
        <v>5122.6000000000004</v>
      </c>
      <c r="AC45" s="13">
        <v>5140.84</v>
      </c>
      <c r="AD45" s="13">
        <v>5147.74</v>
      </c>
      <c r="AE45" s="13">
        <v>5163.03</v>
      </c>
      <c r="AF45" s="13">
        <v>5151.3599999999997</v>
      </c>
      <c r="AG45" s="13">
        <v>5148.93</v>
      </c>
      <c r="AH45" s="13">
        <v>5149.3599999999997</v>
      </c>
      <c r="AI45" s="13">
        <v>5144.1899999999996</v>
      </c>
      <c r="AJ45" s="13">
        <v>5134.74</v>
      </c>
      <c r="AK45" s="13">
        <v>5128.04</v>
      </c>
      <c r="AL45" s="13">
        <v>5131.1400000000003</v>
      </c>
      <c r="AM45" s="13">
        <v>5129.3599999999997</v>
      </c>
      <c r="AN45" s="13">
        <v>5123.93</v>
      </c>
      <c r="AO45" s="13">
        <v>5127.6400000000003</v>
      </c>
      <c r="AP45" s="13">
        <v>5126.6400000000003</v>
      </c>
      <c r="AQ45" s="13">
        <v>5127.6400000000003</v>
      </c>
      <c r="AR45" s="13">
        <v>5119.71</v>
      </c>
      <c r="AS45" s="13">
        <v>5121.78</v>
      </c>
      <c r="AT45" s="13">
        <v>5119.71</v>
      </c>
      <c r="AU45" s="13">
        <v>5114.6400000000003</v>
      </c>
      <c r="AV45" s="13">
        <v>5111.3900000000003</v>
      </c>
      <c r="AW45" s="13">
        <v>5116.42</v>
      </c>
      <c r="AX45" s="13">
        <v>5112.63</v>
      </c>
      <c r="AY45" s="13">
        <v>5108.7700000000004</v>
      </c>
      <c r="AZ45" s="13">
        <v>5109.88</v>
      </c>
      <c r="BA45" s="13">
        <v>5115.3500000000004</v>
      </c>
      <c r="BB45" s="13">
        <v>5116.0200000000004</v>
      </c>
      <c r="BC45" s="13">
        <v>5109.75</v>
      </c>
      <c r="BD45" s="13">
        <v>5107.6099999999997</v>
      </c>
      <c r="BE45" s="13">
        <v>5118.55</v>
      </c>
      <c r="BF45" s="13">
        <v>5116.6899999999996</v>
      </c>
      <c r="BG45" s="13">
        <v>5117.0200000000004</v>
      </c>
      <c r="BH45" s="13">
        <v>5115.51</v>
      </c>
      <c r="BI45" s="13">
        <v>5112.1899999999996</v>
      </c>
      <c r="BJ45" s="13">
        <v>5120.6899999999996</v>
      </c>
      <c r="BK45" s="13">
        <v>5117.37</v>
      </c>
      <c r="BL45" s="13">
        <v>5109.13</v>
      </c>
      <c r="BM45" s="13">
        <v>5112.6099999999997</v>
      </c>
      <c r="BN45" s="13">
        <v>5119.17</v>
      </c>
      <c r="BO45" s="13">
        <v>5113.6899999999996</v>
      </c>
      <c r="BP45" s="13">
        <v>5109.13</v>
      </c>
      <c r="BQ45" s="13">
        <v>5108.97</v>
      </c>
      <c r="BR45" s="13">
        <v>5111.75</v>
      </c>
      <c r="BS45" s="13">
        <v>5113.3900000000003</v>
      </c>
      <c r="BT45" s="13">
        <v>5107.8900000000003</v>
      </c>
      <c r="BU45" s="13">
        <v>5115.8900000000003</v>
      </c>
      <c r="BV45" s="13">
        <v>5117.8500000000004</v>
      </c>
      <c r="BW45" s="13">
        <v>5110.97</v>
      </c>
      <c r="BX45" s="13">
        <v>5119.49</v>
      </c>
      <c r="BY45" s="13">
        <v>5114.38</v>
      </c>
      <c r="BZ45" s="13">
        <v>5111.55</v>
      </c>
      <c r="CA45" s="13">
        <v>5109.4799999999996</v>
      </c>
      <c r="CB45" s="13">
        <v>5117.47</v>
      </c>
      <c r="CC45" s="13">
        <v>5112.08</v>
      </c>
      <c r="CD45" s="13">
        <v>5107.63</v>
      </c>
      <c r="CE45" s="13">
        <v>5108.82</v>
      </c>
      <c r="CF45" s="13">
        <v>5106.8500000000004</v>
      </c>
      <c r="CG45" s="13">
        <v>5106.2299999999996</v>
      </c>
      <c r="CH45" s="13">
        <v>5110.5</v>
      </c>
      <c r="CI45" s="13">
        <v>5102.9399999999996</v>
      </c>
      <c r="CJ45" s="13">
        <v>5116.46</v>
      </c>
      <c r="CK45" s="13">
        <v>5100.26</v>
      </c>
      <c r="CL45" s="13">
        <v>5100.28</v>
      </c>
      <c r="CM45" s="13">
        <v>5104.75</v>
      </c>
      <c r="CN45" s="13">
        <v>5105.13</v>
      </c>
      <c r="CO45" s="13">
        <v>5110.9799999999996</v>
      </c>
      <c r="CP45" s="13">
        <v>5105.13</v>
      </c>
      <c r="CQ45" s="13">
        <v>5100.78</v>
      </c>
      <c r="CR45" s="13">
        <v>5105.57</v>
      </c>
      <c r="CS45" s="13">
        <v>5099.57</v>
      </c>
      <c r="CT45" s="13">
        <v>5111.6400000000003</v>
      </c>
      <c r="CU45" s="13">
        <v>5111.96</v>
      </c>
      <c r="CV45" s="13">
        <v>5105.57</v>
      </c>
      <c r="CW45" s="13">
        <v>5100.0200000000004</v>
      </c>
      <c r="CX45" s="13">
        <v>5095.26</v>
      </c>
      <c r="CY45" s="13">
        <v>5101.3500000000004</v>
      </c>
      <c r="CZ45" s="13">
        <v>5106.91</v>
      </c>
      <c r="DA45" s="13">
        <v>5102.1499999999996</v>
      </c>
      <c r="DB45" s="13">
        <v>5096.43</v>
      </c>
      <c r="DC45" s="13">
        <v>5098.83</v>
      </c>
      <c r="DD45" s="13">
        <v>5106.7299999999996</v>
      </c>
      <c r="DE45" s="13">
        <v>5099.43</v>
      </c>
      <c r="DF45" s="13">
        <v>5097.9799999999996</v>
      </c>
      <c r="DG45" s="13">
        <v>5105.09</v>
      </c>
      <c r="DH45" s="13">
        <v>5108.3100000000004</v>
      </c>
      <c r="DI45" s="17">
        <v>5110</v>
      </c>
      <c r="DJ45" s="13">
        <v>5109.67</v>
      </c>
      <c r="DK45" s="13">
        <v>5110.9799999999996</v>
      </c>
      <c r="DL45" s="13">
        <v>5104.8</v>
      </c>
      <c r="DM45" s="32"/>
      <c r="DN45" s="33"/>
      <c r="DO45" s="32"/>
      <c r="DP45" s="33"/>
      <c r="DQ45" s="32"/>
      <c r="DR45" s="33"/>
      <c r="DS45" s="32"/>
      <c r="DT45" s="33"/>
      <c r="DU45" s="32"/>
      <c r="DV45" s="33"/>
    </row>
    <row r="46" spans="1:126" ht="15.75" x14ac:dyDescent="0.25">
      <c r="A46" s="14" t="s">
        <v>12</v>
      </c>
      <c r="B46" s="12" t="s">
        <v>9</v>
      </c>
      <c r="C46" s="13">
        <v>5118</v>
      </c>
      <c r="D46" s="13">
        <v>5110</v>
      </c>
      <c r="E46" s="13">
        <v>5118.16</v>
      </c>
      <c r="F46" s="13">
        <v>5117.05</v>
      </c>
      <c r="G46" s="13">
        <v>5099.38</v>
      </c>
      <c r="H46" s="13">
        <v>5103.6000000000004</v>
      </c>
      <c r="I46" s="13">
        <v>5110.3500000000004</v>
      </c>
      <c r="J46" s="13">
        <v>5117.83</v>
      </c>
      <c r="K46" s="13">
        <v>5123.55</v>
      </c>
      <c r="L46" s="13">
        <v>5118.3999999999996</v>
      </c>
      <c r="M46" s="13">
        <v>5110.96</v>
      </c>
      <c r="N46" s="13">
        <v>5108.25</v>
      </c>
      <c r="O46" s="13">
        <v>5101</v>
      </c>
      <c r="P46" s="13">
        <v>5086.71</v>
      </c>
      <c r="Q46" s="13">
        <v>5081.59</v>
      </c>
      <c r="R46" s="13">
        <v>5083.05</v>
      </c>
      <c r="S46" s="13">
        <v>5085.7700000000004</v>
      </c>
      <c r="T46" s="13">
        <v>5088.43</v>
      </c>
      <c r="U46" s="13">
        <v>5090.09</v>
      </c>
      <c r="V46" s="13">
        <v>5091.3100000000004</v>
      </c>
      <c r="W46" s="13">
        <v>5091.93</v>
      </c>
      <c r="X46" s="13">
        <v>5088.97</v>
      </c>
      <c r="Y46" s="13">
        <v>5089.91</v>
      </c>
      <c r="Z46" s="13">
        <v>5096.68</v>
      </c>
      <c r="AA46" s="13">
        <v>5097.93</v>
      </c>
      <c r="AB46" s="13">
        <v>5101.8599999999997</v>
      </c>
      <c r="AC46" s="13">
        <v>5102.41</v>
      </c>
      <c r="AD46" s="13">
        <v>5108.79</v>
      </c>
      <c r="AE46" s="13">
        <v>5110.6099999999997</v>
      </c>
      <c r="AF46" s="13">
        <v>5112.46</v>
      </c>
      <c r="AG46" s="13">
        <v>5111</v>
      </c>
      <c r="AH46" s="13">
        <v>5108.87</v>
      </c>
      <c r="AI46" s="13">
        <v>5099.03</v>
      </c>
      <c r="AJ46" s="13">
        <v>5093.4799999999996</v>
      </c>
      <c r="AK46" s="13">
        <v>5088.7299999999996</v>
      </c>
      <c r="AL46" s="13">
        <v>5082.55</v>
      </c>
      <c r="AM46" s="13">
        <v>5080.38</v>
      </c>
      <c r="AN46" s="13">
        <v>5074.49</v>
      </c>
      <c r="AO46" s="13">
        <v>5072.18</v>
      </c>
      <c r="AP46" s="13">
        <v>5068.0600000000004</v>
      </c>
      <c r="AQ46" s="13">
        <v>5068.1499999999996</v>
      </c>
      <c r="AR46" s="13">
        <v>5066.71</v>
      </c>
      <c r="AS46" s="13">
        <v>5065.63</v>
      </c>
      <c r="AT46" s="13">
        <v>5067.21</v>
      </c>
      <c r="AU46" s="13">
        <v>5060.34</v>
      </c>
      <c r="AV46" s="13">
        <v>5060.26</v>
      </c>
      <c r="AW46" s="13">
        <v>5062.55</v>
      </c>
      <c r="AX46" s="13">
        <v>5060.79</v>
      </c>
      <c r="AY46" s="13">
        <v>5057.96</v>
      </c>
      <c r="AZ46" s="13">
        <v>5054.7</v>
      </c>
      <c r="BA46" s="13">
        <v>5054.74</v>
      </c>
      <c r="BB46" s="13">
        <v>5056.1000000000004</v>
      </c>
      <c r="BC46" s="13">
        <v>5053.09</v>
      </c>
      <c r="BD46" s="13">
        <v>5055.21</v>
      </c>
      <c r="BE46" s="13">
        <v>5054.3599999999997</v>
      </c>
      <c r="BF46" s="13">
        <v>5056.42</v>
      </c>
      <c r="BG46" s="13">
        <v>5056.75</v>
      </c>
      <c r="BH46" s="13">
        <v>5059.84</v>
      </c>
      <c r="BI46" s="13">
        <v>5060.09</v>
      </c>
      <c r="BJ46" s="13">
        <v>5062.55</v>
      </c>
      <c r="BK46" s="13">
        <v>5062.28</v>
      </c>
      <c r="BL46" s="13">
        <v>5055.4399999999996</v>
      </c>
      <c r="BM46" s="13">
        <v>5055.8500000000004</v>
      </c>
      <c r="BN46" s="13">
        <v>5060.3500000000004</v>
      </c>
      <c r="BO46" s="13">
        <v>5057.13</v>
      </c>
      <c r="BP46" s="13">
        <v>5056</v>
      </c>
      <c r="BQ46" s="13">
        <v>5056.22</v>
      </c>
      <c r="BR46" s="13">
        <v>5054.8599999999997</v>
      </c>
      <c r="BS46" s="13">
        <v>5056.84</v>
      </c>
      <c r="BT46" s="13">
        <v>5054.38</v>
      </c>
      <c r="BU46" s="13">
        <v>5051.08</v>
      </c>
      <c r="BV46" s="13">
        <v>5056.8</v>
      </c>
      <c r="BW46" s="13">
        <v>5057.4399999999996</v>
      </c>
      <c r="BX46" s="13">
        <v>5059.3500000000004</v>
      </c>
      <c r="BY46" s="13">
        <v>5057.75</v>
      </c>
      <c r="BZ46" s="13">
        <v>5054.66</v>
      </c>
      <c r="CA46" s="13">
        <v>5054.66</v>
      </c>
      <c r="CB46" s="13">
        <v>5055.53</v>
      </c>
      <c r="CC46" s="13">
        <v>5053.53</v>
      </c>
      <c r="CD46" s="13">
        <v>5052.41</v>
      </c>
      <c r="CE46" s="13">
        <v>5054.25</v>
      </c>
      <c r="CF46" s="13">
        <v>5051.28</v>
      </c>
      <c r="CG46" s="13">
        <v>5050.92</v>
      </c>
      <c r="CH46" s="13">
        <v>5051.0600000000004</v>
      </c>
      <c r="CI46" s="13">
        <v>5044.76</v>
      </c>
      <c r="CJ46" s="13">
        <v>5047</v>
      </c>
      <c r="CK46" s="13">
        <v>5042.78</v>
      </c>
      <c r="CL46" s="13">
        <v>5039.33</v>
      </c>
      <c r="CM46" s="13">
        <v>5039.33</v>
      </c>
      <c r="CN46" s="13">
        <v>5038.57</v>
      </c>
      <c r="CO46" s="13">
        <v>5039.33</v>
      </c>
      <c r="CP46" s="13">
        <v>5038.57</v>
      </c>
      <c r="CQ46" s="13">
        <v>5038.57</v>
      </c>
      <c r="CR46" s="13">
        <v>5039.93</v>
      </c>
      <c r="CS46" s="13">
        <v>5036.8599999999997</v>
      </c>
      <c r="CT46" s="13">
        <v>5041.03</v>
      </c>
      <c r="CU46" s="13">
        <v>5042.7299999999996</v>
      </c>
      <c r="CV46" s="13">
        <v>5039.83</v>
      </c>
      <c r="CW46" s="13">
        <v>5031.1400000000003</v>
      </c>
      <c r="CX46" s="13">
        <v>5027.29</v>
      </c>
      <c r="CY46" s="13">
        <v>5029.07</v>
      </c>
      <c r="CZ46" s="13">
        <v>5026.7</v>
      </c>
      <c r="DA46" s="13">
        <v>5031.6000000000004</v>
      </c>
      <c r="DB46" s="13">
        <v>5029.96</v>
      </c>
      <c r="DC46" s="13">
        <v>5022.97</v>
      </c>
      <c r="DD46" s="13">
        <v>5027.2</v>
      </c>
      <c r="DE46" s="13">
        <v>5024.83</v>
      </c>
      <c r="DF46" s="13">
        <v>5020.83</v>
      </c>
      <c r="DG46" s="13">
        <v>5022.5600000000004</v>
      </c>
      <c r="DH46" s="13">
        <v>5031.03</v>
      </c>
      <c r="DI46" s="17">
        <v>5031.78</v>
      </c>
      <c r="DJ46" s="13">
        <v>5035.87</v>
      </c>
      <c r="DK46" s="13">
        <v>5034.57</v>
      </c>
      <c r="DL46" s="13">
        <v>5033</v>
      </c>
      <c r="DM46" s="32"/>
      <c r="DN46" s="33"/>
      <c r="DO46" s="32"/>
      <c r="DP46" s="33"/>
      <c r="DQ46" s="32"/>
      <c r="DR46" s="33"/>
      <c r="DS46" s="32"/>
      <c r="DT46" s="33"/>
      <c r="DU46" s="32"/>
      <c r="DV46" s="33"/>
    </row>
    <row r="47" spans="1:126" ht="15.75" x14ac:dyDescent="0.25">
      <c r="A47" s="14" t="s">
        <v>12</v>
      </c>
      <c r="B47" s="12" t="s">
        <v>7</v>
      </c>
      <c r="C47" s="13">
        <v>5118</v>
      </c>
      <c r="D47" s="13">
        <v>5104</v>
      </c>
      <c r="E47" s="13">
        <v>5112</v>
      </c>
      <c r="F47" s="13">
        <v>5116.05</v>
      </c>
      <c r="G47" s="13">
        <v>5096.9399999999996</v>
      </c>
      <c r="H47" s="13">
        <v>5097.0600000000004</v>
      </c>
      <c r="I47" s="13">
        <v>5102.8500000000004</v>
      </c>
      <c r="J47" s="13">
        <v>5109.37</v>
      </c>
      <c r="K47" s="13">
        <v>5108.68</v>
      </c>
      <c r="L47" s="13">
        <v>5109.92</v>
      </c>
      <c r="M47" s="13">
        <v>5100.2</v>
      </c>
      <c r="N47" s="13">
        <v>5108.25</v>
      </c>
      <c r="O47" s="13">
        <v>5099.6899999999996</v>
      </c>
      <c r="P47" s="13">
        <v>5086.71</v>
      </c>
      <c r="Q47" s="13">
        <v>5080.12</v>
      </c>
      <c r="R47" s="13">
        <v>5079.53</v>
      </c>
      <c r="S47" s="13">
        <v>5082.18</v>
      </c>
      <c r="T47" s="13">
        <v>5082.84</v>
      </c>
      <c r="U47" s="13">
        <v>5087.1099999999997</v>
      </c>
      <c r="V47" s="13">
        <v>5087.82</v>
      </c>
      <c r="W47" s="13">
        <v>5089.6400000000003</v>
      </c>
      <c r="X47" s="13">
        <v>5088.22</v>
      </c>
      <c r="Y47" s="13">
        <v>5089.1499999999996</v>
      </c>
      <c r="Z47" s="13">
        <v>5090.05</v>
      </c>
      <c r="AA47" s="13">
        <v>5095.66</v>
      </c>
      <c r="AB47" s="13">
        <v>5093.45</v>
      </c>
      <c r="AC47" s="13">
        <v>5093.96</v>
      </c>
      <c r="AD47" s="13">
        <v>5097.83</v>
      </c>
      <c r="AE47" s="13">
        <v>5086.53</v>
      </c>
      <c r="AF47" s="13">
        <v>5102.25</v>
      </c>
      <c r="AG47" s="13">
        <v>5103.21</v>
      </c>
      <c r="AH47" s="13">
        <v>5096.68</v>
      </c>
      <c r="AI47" s="13">
        <v>5095.84</v>
      </c>
      <c r="AJ47" s="13">
        <v>5089.97</v>
      </c>
      <c r="AK47" s="13">
        <v>5086.8599999999997</v>
      </c>
      <c r="AL47" s="13">
        <v>5082.55</v>
      </c>
      <c r="AM47" s="13">
        <v>5076.4399999999996</v>
      </c>
      <c r="AN47" s="13">
        <v>5070.66</v>
      </c>
      <c r="AO47" s="13">
        <v>5064.7</v>
      </c>
      <c r="AP47" s="13">
        <v>5064.8500000000004</v>
      </c>
      <c r="AQ47" s="13">
        <v>5065.84</v>
      </c>
      <c r="AR47" s="13">
        <v>5065.08</v>
      </c>
      <c r="AS47" s="13">
        <v>5064.13</v>
      </c>
      <c r="AT47" s="13">
        <v>5064.57</v>
      </c>
      <c r="AU47" s="13">
        <v>5060.34</v>
      </c>
      <c r="AV47" s="13">
        <v>5060.07</v>
      </c>
      <c r="AW47" s="13">
        <v>5060.79</v>
      </c>
      <c r="AX47" s="13">
        <v>5060.47</v>
      </c>
      <c r="AY47" s="13">
        <v>5057.96</v>
      </c>
      <c r="AZ47" s="13">
        <v>5054.0200000000004</v>
      </c>
      <c r="BA47" s="13">
        <v>5053.5</v>
      </c>
      <c r="BB47" s="13">
        <v>5054.42</v>
      </c>
      <c r="BC47" s="13">
        <v>5053.04</v>
      </c>
      <c r="BD47" s="13">
        <v>5053.58</v>
      </c>
      <c r="BE47" s="13">
        <v>5051.74</v>
      </c>
      <c r="BF47" s="13">
        <v>5053.58</v>
      </c>
      <c r="BG47" s="13">
        <v>5055.6400000000003</v>
      </c>
      <c r="BH47" s="13">
        <v>5056.75</v>
      </c>
      <c r="BI47" s="13">
        <v>5059.7299999999996</v>
      </c>
      <c r="BJ47" s="13">
        <v>5058.97</v>
      </c>
      <c r="BK47" s="13">
        <v>5061.0600000000004</v>
      </c>
      <c r="BL47" s="13">
        <v>5055.4399999999996</v>
      </c>
      <c r="BM47" s="13">
        <v>5055.03</v>
      </c>
      <c r="BN47" s="13">
        <v>5054.7299999999996</v>
      </c>
      <c r="BO47" s="13">
        <v>5057.13</v>
      </c>
      <c r="BP47" s="13">
        <v>5056</v>
      </c>
      <c r="BQ47" s="13">
        <v>5055.03</v>
      </c>
      <c r="BR47" s="13">
        <v>5053.21</v>
      </c>
      <c r="BS47" s="13">
        <v>5055.22</v>
      </c>
      <c r="BT47" s="13">
        <v>5054.2299999999996</v>
      </c>
      <c r="BU47" s="13">
        <v>5049.59</v>
      </c>
      <c r="BV47" s="13">
        <v>5052.0200000000004</v>
      </c>
      <c r="BW47" s="13">
        <v>5056.3500000000004</v>
      </c>
      <c r="BX47" s="13">
        <v>5057.4799999999996</v>
      </c>
      <c r="BY47" s="13">
        <v>5055.78</v>
      </c>
      <c r="BZ47" s="13">
        <v>5054.66</v>
      </c>
      <c r="CA47" s="13">
        <v>5053.53</v>
      </c>
      <c r="CB47" s="13">
        <v>5054.66</v>
      </c>
      <c r="CC47" s="13">
        <v>5053.53</v>
      </c>
      <c r="CD47" s="13">
        <v>5052.33</v>
      </c>
      <c r="CE47" s="13">
        <v>5053.47</v>
      </c>
      <c r="CF47" s="13">
        <v>5051.28</v>
      </c>
      <c r="CG47" s="13">
        <v>5050.16</v>
      </c>
      <c r="CH47" s="13">
        <v>5050.16</v>
      </c>
      <c r="CI47" s="13">
        <v>5044.76</v>
      </c>
      <c r="CJ47" s="13">
        <v>5043.54</v>
      </c>
      <c r="CK47" s="13">
        <v>5042.78</v>
      </c>
      <c r="CL47" s="13">
        <v>5039.32</v>
      </c>
      <c r="CM47" s="13">
        <v>5038.2299999999996</v>
      </c>
      <c r="CN47" s="13">
        <v>5036.38</v>
      </c>
      <c r="CO47" s="13">
        <v>5037.1099999999997</v>
      </c>
      <c r="CP47" s="13">
        <v>5038.1400000000003</v>
      </c>
      <c r="CQ47" s="13">
        <v>5038.57</v>
      </c>
      <c r="CR47" s="13">
        <v>5037.1099999999997</v>
      </c>
      <c r="CS47" s="13">
        <v>5036.8599999999997</v>
      </c>
      <c r="CT47" s="13">
        <v>5036.21</v>
      </c>
      <c r="CU47" s="13">
        <v>5041.03</v>
      </c>
      <c r="CV47" s="13">
        <v>5038.63</v>
      </c>
      <c r="CW47" s="13">
        <v>5031.1400000000003</v>
      </c>
      <c r="CX47" s="13">
        <v>5027.29</v>
      </c>
      <c r="CY47" s="13">
        <v>5025.57</v>
      </c>
      <c r="CZ47" s="13">
        <v>5024.6899999999996</v>
      </c>
      <c r="DA47" s="13">
        <v>5026.1000000000004</v>
      </c>
      <c r="DB47" s="13">
        <v>5029.59</v>
      </c>
      <c r="DC47" s="13">
        <v>5022.97</v>
      </c>
      <c r="DD47" s="13">
        <v>5022.97</v>
      </c>
      <c r="DE47" s="13">
        <v>5023.5</v>
      </c>
      <c r="DF47" s="13">
        <v>5020.7299999999996</v>
      </c>
      <c r="DG47" s="13">
        <v>5019.8999999999996</v>
      </c>
      <c r="DH47" s="13">
        <v>5020.93</v>
      </c>
      <c r="DI47" s="17">
        <v>5028.8900000000003</v>
      </c>
      <c r="DJ47" s="13">
        <v>5033.8999999999996</v>
      </c>
      <c r="DK47" s="13">
        <v>5032.58</v>
      </c>
      <c r="DL47" s="13">
        <v>5031.32</v>
      </c>
      <c r="DM47" s="32"/>
      <c r="DN47" s="33"/>
      <c r="DO47" s="32"/>
      <c r="DP47" s="33"/>
      <c r="DQ47" s="32"/>
      <c r="DR47" s="33"/>
      <c r="DS47" s="32"/>
      <c r="DT47" s="33"/>
      <c r="DU47" s="32"/>
      <c r="DV47" s="33"/>
    </row>
    <row r="48" spans="1:126" ht="15.75" x14ac:dyDescent="0.25">
      <c r="A48" s="14"/>
      <c r="B48" s="12"/>
      <c r="C48" s="13">
        <f t="shared" ref="C48:AH48" si="26">(C44+C45+C46+C47)/4</f>
        <v>5139.5</v>
      </c>
      <c r="D48" s="13">
        <f t="shared" si="26"/>
        <v>5122.125</v>
      </c>
      <c r="E48" s="13">
        <f t="shared" si="26"/>
        <v>5124.04</v>
      </c>
      <c r="F48" s="13">
        <f t="shared" si="26"/>
        <v>5124.6399999999994</v>
      </c>
      <c r="G48" s="13">
        <f t="shared" si="26"/>
        <v>5109.08</v>
      </c>
      <c r="H48" s="13">
        <f t="shared" si="26"/>
        <v>5107.5950000000003</v>
      </c>
      <c r="I48" s="13">
        <f t="shared" si="26"/>
        <v>5115.085</v>
      </c>
      <c r="J48" s="13">
        <f t="shared" si="26"/>
        <v>5122.8175000000001</v>
      </c>
      <c r="K48" s="13">
        <f t="shared" si="26"/>
        <v>5128.1125000000002</v>
      </c>
      <c r="L48" s="13">
        <f t="shared" si="26"/>
        <v>5125.0124999999998</v>
      </c>
      <c r="M48" s="13">
        <f t="shared" si="26"/>
        <v>5117.0924999999997</v>
      </c>
      <c r="N48" s="13">
        <f t="shared" si="26"/>
        <v>5117.0599999999995</v>
      </c>
      <c r="O48" s="13">
        <f t="shared" si="26"/>
        <v>5110.0524999999998</v>
      </c>
      <c r="P48" s="13">
        <f t="shared" si="26"/>
        <v>5097.5324999999993</v>
      </c>
      <c r="Q48" s="13">
        <f t="shared" si="26"/>
        <v>5089.5675000000001</v>
      </c>
      <c r="R48" s="13">
        <f t="shared" si="26"/>
        <v>5091.3774999999996</v>
      </c>
      <c r="S48" s="13">
        <f t="shared" si="26"/>
        <v>5094.1575000000003</v>
      </c>
      <c r="T48" s="13">
        <f t="shared" si="26"/>
        <v>5097.5</v>
      </c>
      <c r="U48" s="13">
        <f t="shared" si="26"/>
        <v>5100.625</v>
      </c>
      <c r="V48" s="13">
        <f t="shared" si="26"/>
        <v>5104.0574999999999</v>
      </c>
      <c r="W48" s="13">
        <f t="shared" si="26"/>
        <v>5103.0174999999999</v>
      </c>
      <c r="X48" s="13">
        <f t="shared" si="26"/>
        <v>5098.5225000000009</v>
      </c>
      <c r="Y48" s="13">
        <f t="shared" si="26"/>
        <v>5099.6000000000004</v>
      </c>
      <c r="Z48" s="13">
        <f t="shared" si="26"/>
        <v>5108.0150000000003</v>
      </c>
      <c r="AA48" s="13">
        <f t="shared" si="26"/>
        <v>5111.2049999999999</v>
      </c>
      <c r="AB48" s="13">
        <f t="shared" si="26"/>
        <v>5110.9425000000001</v>
      </c>
      <c r="AC48" s="13">
        <f t="shared" si="26"/>
        <v>5120.0775000000003</v>
      </c>
      <c r="AD48" s="13">
        <f t="shared" si="26"/>
        <v>5126.6849999999995</v>
      </c>
      <c r="AE48" s="13">
        <f t="shared" si="26"/>
        <v>5133.5225</v>
      </c>
      <c r="AF48" s="13">
        <f t="shared" si="26"/>
        <v>5132.4624999999996</v>
      </c>
      <c r="AG48" s="13">
        <f t="shared" si="26"/>
        <v>5130.7250000000004</v>
      </c>
      <c r="AH48" s="13">
        <f t="shared" si="26"/>
        <v>5130.3924999999999</v>
      </c>
      <c r="AI48" s="13">
        <f t="shared" ref="AI48:BN48" si="27">(AI44+AI45+AI46+AI47)/4</f>
        <v>5125.3975</v>
      </c>
      <c r="AJ48" s="13">
        <f t="shared" si="27"/>
        <v>5120.58</v>
      </c>
      <c r="AK48" s="13">
        <f t="shared" si="27"/>
        <v>5119.3874999999998</v>
      </c>
      <c r="AL48" s="13">
        <f t="shared" si="27"/>
        <v>5107.6899999999996</v>
      </c>
      <c r="AM48" s="13">
        <f t="shared" si="27"/>
        <v>5105.1750000000002</v>
      </c>
      <c r="AN48" s="13">
        <f t="shared" si="27"/>
        <v>5103.3950000000004</v>
      </c>
      <c r="AO48" s="13">
        <f t="shared" si="27"/>
        <v>5104.45</v>
      </c>
      <c r="AP48" s="13">
        <f t="shared" si="27"/>
        <v>5096.7975000000006</v>
      </c>
      <c r="AQ48" s="13">
        <f t="shared" si="27"/>
        <v>5098.24</v>
      </c>
      <c r="AR48" s="13">
        <f t="shared" si="27"/>
        <v>5094.7849999999999</v>
      </c>
      <c r="AS48" s="13">
        <f t="shared" si="27"/>
        <v>5094.33</v>
      </c>
      <c r="AT48" s="13">
        <f t="shared" si="27"/>
        <v>5094.2749999999996</v>
      </c>
      <c r="AU48" s="13">
        <f t="shared" si="27"/>
        <v>5089.17</v>
      </c>
      <c r="AV48" s="13">
        <f t="shared" si="27"/>
        <v>5090.4475000000002</v>
      </c>
      <c r="AW48" s="13">
        <f t="shared" si="27"/>
        <v>5090.68</v>
      </c>
      <c r="AX48" s="13">
        <f t="shared" si="27"/>
        <v>5091.125</v>
      </c>
      <c r="AY48" s="13">
        <f t="shared" si="27"/>
        <v>5087.2174999999997</v>
      </c>
      <c r="AZ48" s="13">
        <f t="shared" si="27"/>
        <v>5083.8575000000001</v>
      </c>
      <c r="BA48" s="13">
        <f t="shared" si="27"/>
        <v>5087.76</v>
      </c>
      <c r="BB48" s="13">
        <f t="shared" si="27"/>
        <v>5088.6075000000001</v>
      </c>
      <c r="BC48" s="13">
        <f t="shared" si="27"/>
        <v>5084.3275000000003</v>
      </c>
      <c r="BD48" s="13">
        <f t="shared" si="27"/>
        <v>5083.9575000000004</v>
      </c>
      <c r="BE48" s="13">
        <f t="shared" si="27"/>
        <v>5086.0550000000003</v>
      </c>
      <c r="BF48" s="13">
        <f t="shared" si="27"/>
        <v>5088.6450000000004</v>
      </c>
      <c r="BG48" s="13">
        <f t="shared" si="27"/>
        <v>5087.7749999999996</v>
      </c>
      <c r="BH48" s="13">
        <f t="shared" si="27"/>
        <v>5090.45</v>
      </c>
      <c r="BI48" s="13">
        <f t="shared" si="27"/>
        <v>5090.5649999999996</v>
      </c>
      <c r="BJ48" s="13">
        <f t="shared" si="27"/>
        <v>5093.16</v>
      </c>
      <c r="BK48" s="13">
        <f t="shared" si="27"/>
        <v>5091.53</v>
      </c>
      <c r="BL48" s="13">
        <f t="shared" si="27"/>
        <v>5085.2574999999997</v>
      </c>
      <c r="BM48" s="13">
        <f t="shared" si="27"/>
        <v>5086.6275000000005</v>
      </c>
      <c r="BN48" s="13">
        <f t="shared" si="27"/>
        <v>5090.9425000000001</v>
      </c>
      <c r="BO48" s="13">
        <f t="shared" ref="BO48:CT48" si="28">(BO44+BO45+BO46+BO47)/4</f>
        <v>5085.5300000000007</v>
      </c>
      <c r="BP48" s="13">
        <f t="shared" si="28"/>
        <v>5084.9075000000003</v>
      </c>
      <c r="BQ48" s="13">
        <f t="shared" si="28"/>
        <v>5082.4075000000003</v>
      </c>
      <c r="BR48" s="13">
        <f t="shared" si="28"/>
        <v>5087.0625</v>
      </c>
      <c r="BS48" s="13">
        <f t="shared" si="28"/>
        <v>5088.6075000000001</v>
      </c>
      <c r="BT48" s="13">
        <f t="shared" si="28"/>
        <v>5084.84</v>
      </c>
      <c r="BU48" s="13">
        <f t="shared" si="28"/>
        <v>5083.1125000000002</v>
      </c>
      <c r="BV48" s="13">
        <f t="shared" si="28"/>
        <v>5088.7449999999999</v>
      </c>
      <c r="BW48" s="13">
        <f t="shared" si="28"/>
        <v>5088.6674999999996</v>
      </c>
      <c r="BX48" s="13">
        <f t="shared" si="28"/>
        <v>5091.6025</v>
      </c>
      <c r="BY48" s="13">
        <f t="shared" si="28"/>
        <v>5087.9825000000001</v>
      </c>
      <c r="BZ48" s="13">
        <f t="shared" si="28"/>
        <v>5083.8125</v>
      </c>
      <c r="CA48" s="13">
        <f t="shared" si="28"/>
        <v>5085.2674999999999</v>
      </c>
      <c r="CB48" s="13">
        <f t="shared" si="28"/>
        <v>5086.2825000000003</v>
      </c>
      <c r="CC48" s="13">
        <f t="shared" si="28"/>
        <v>5085.3999999999996</v>
      </c>
      <c r="CD48" s="13">
        <f t="shared" si="28"/>
        <v>5083.6175000000003</v>
      </c>
      <c r="CE48" s="13">
        <f t="shared" si="28"/>
        <v>5084.1875</v>
      </c>
      <c r="CF48" s="13">
        <f t="shared" si="28"/>
        <v>5082.9424999999992</v>
      </c>
      <c r="CG48" s="13">
        <f t="shared" si="28"/>
        <v>5082.1175000000003</v>
      </c>
      <c r="CH48" s="13">
        <f t="shared" si="28"/>
        <v>5084.92</v>
      </c>
      <c r="CI48" s="13">
        <f t="shared" si="28"/>
        <v>5076.43</v>
      </c>
      <c r="CJ48" s="13">
        <f t="shared" si="28"/>
        <v>5080.8649999999998</v>
      </c>
      <c r="CK48" s="13">
        <f t="shared" si="28"/>
        <v>5074.7599999999993</v>
      </c>
      <c r="CL48" s="13">
        <f t="shared" si="28"/>
        <v>5074.2425000000003</v>
      </c>
      <c r="CM48" s="13">
        <f t="shared" si="28"/>
        <v>5073.25</v>
      </c>
      <c r="CN48" s="13">
        <f t="shared" si="28"/>
        <v>5076.3424999999997</v>
      </c>
      <c r="CO48" s="13">
        <f t="shared" si="28"/>
        <v>5074.5999999999995</v>
      </c>
      <c r="CP48" s="13">
        <f t="shared" si="28"/>
        <v>5073.1099999999997</v>
      </c>
      <c r="CQ48" s="13">
        <f t="shared" si="28"/>
        <v>5071.7425000000003</v>
      </c>
      <c r="CR48" s="13">
        <f t="shared" si="28"/>
        <v>5073.4800000000005</v>
      </c>
      <c r="CS48" s="13">
        <f t="shared" si="28"/>
        <v>5069.7150000000001</v>
      </c>
      <c r="CT48" s="13">
        <f t="shared" si="28"/>
        <v>5078.63</v>
      </c>
      <c r="CU48" s="13">
        <f t="shared" ref="CU48:DL48" si="29">(CU44+CU45+CU46+CU47)/4</f>
        <v>5080.4299999999994</v>
      </c>
      <c r="CV48" s="13">
        <f t="shared" si="29"/>
        <v>5073.8074999999999</v>
      </c>
      <c r="CW48" s="13">
        <f t="shared" si="29"/>
        <v>5067.82</v>
      </c>
      <c r="CX48" s="13">
        <f t="shared" si="29"/>
        <v>5066.2550000000001</v>
      </c>
      <c r="CY48" s="13">
        <f t="shared" si="29"/>
        <v>5067.5325000000003</v>
      </c>
      <c r="CZ48" s="13">
        <f t="shared" si="29"/>
        <v>5070.32</v>
      </c>
      <c r="DA48" s="13">
        <f t="shared" si="29"/>
        <v>5071.0349999999999</v>
      </c>
      <c r="DB48" s="13">
        <f t="shared" si="29"/>
        <v>5064.5325000000003</v>
      </c>
      <c r="DC48" s="13">
        <f t="shared" si="29"/>
        <v>5063.1375000000007</v>
      </c>
      <c r="DD48" s="13">
        <f t="shared" si="29"/>
        <v>5070.0150000000003</v>
      </c>
      <c r="DE48" s="13">
        <f t="shared" si="29"/>
        <v>5065.2800000000007</v>
      </c>
      <c r="DF48" s="13">
        <f t="shared" si="29"/>
        <v>5060.9674999999997</v>
      </c>
      <c r="DG48" s="13">
        <f t="shared" si="29"/>
        <v>5063.16</v>
      </c>
      <c r="DH48" s="13">
        <f t="shared" si="29"/>
        <v>5070.8575000000001</v>
      </c>
      <c r="DI48" s="13">
        <f t="shared" si="29"/>
        <v>5073.9449999999997</v>
      </c>
      <c r="DJ48" s="13">
        <f t="shared" si="29"/>
        <v>5073.9799999999996</v>
      </c>
      <c r="DK48" s="13">
        <f t="shared" si="29"/>
        <v>5075.7649999999994</v>
      </c>
      <c r="DL48" s="13">
        <f t="shared" si="29"/>
        <v>5073.6900000000005</v>
      </c>
      <c r="DM48" s="26"/>
      <c r="DN48" s="25"/>
      <c r="DO48" s="27"/>
      <c r="DP48" s="25"/>
      <c r="DQ48" s="27"/>
      <c r="DR48" s="25"/>
      <c r="DS48" s="27"/>
      <c r="DT48" s="25"/>
    </row>
    <row r="49" spans="1:126" ht="15.75" x14ac:dyDescent="0.25">
      <c r="A49" s="11" t="s">
        <v>5</v>
      </c>
      <c r="B49" s="11" t="s">
        <v>11</v>
      </c>
      <c r="C49" s="15">
        <v>0.375</v>
      </c>
      <c r="D49" s="15">
        <v>0.37847222222222227</v>
      </c>
      <c r="E49" s="15">
        <v>0.38194444444444442</v>
      </c>
      <c r="F49" s="15">
        <v>0.38541666666666669</v>
      </c>
      <c r="G49" s="15">
        <v>0.3888888888888889</v>
      </c>
      <c r="H49" s="15">
        <v>0.3923611111111111</v>
      </c>
      <c r="I49" s="15">
        <v>0.39583333333333331</v>
      </c>
      <c r="J49" s="15">
        <v>0.39930555555555558</v>
      </c>
      <c r="K49" s="15">
        <v>0.40277777777777773</v>
      </c>
      <c r="L49" s="15">
        <v>0.40625</v>
      </c>
      <c r="M49" s="15">
        <v>0.40972222222222227</v>
      </c>
      <c r="N49" s="15">
        <v>0.41319444444444442</v>
      </c>
      <c r="O49" s="15">
        <v>0.41666666666666669</v>
      </c>
      <c r="P49" s="15">
        <v>0.4201388888888889</v>
      </c>
      <c r="Q49" s="15">
        <v>0.4236111111111111</v>
      </c>
      <c r="R49" s="15">
        <v>0.42708333333333331</v>
      </c>
      <c r="S49" s="15">
        <v>0.43055555555555558</v>
      </c>
      <c r="T49" s="15">
        <v>0.43402777777777773</v>
      </c>
      <c r="U49" s="15">
        <v>0.4375</v>
      </c>
      <c r="V49" s="15">
        <v>0.44097222222222227</v>
      </c>
      <c r="W49" s="15">
        <v>0.44444444444444442</v>
      </c>
      <c r="X49" s="15">
        <v>0.44791666666666669</v>
      </c>
      <c r="Y49" s="15">
        <v>0.4513888888888889</v>
      </c>
      <c r="Z49" s="15">
        <v>0.4548611111111111</v>
      </c>
      <c r="AA49" s="15">
        <v>0.45833333333333331</v>
      </c>
      <c r="AB49" s="15">
        <v>0.46180555555555558</v>
      </c>
      <c r="AC49" s="15">
        <v>0.46527777777777773</v>
      </c>
      <c r="AD49" s="15">
        <v>0.46875</v>
      </c>
      <c r="AE49" s="15">
        <v>0.47222222222222227</v>
      </c>
      <c r="AF49" s="15">
        <v>0.47569444444444442</v>
      </c>
      <c r="AG49" s="15">
        <v>0.47916666666666669</v>
      </c>
      <c r="AH49" s="15">
        <v>0.4826388888888889</v>
      </c>
      <c r="AI49" s="15">
        <v>0.4861111111111111</v>
      </c>
      <c r="AJ49" s="15">
        <v>0.48958333333333331</v>
      </c>
      <c r="AK49" s="15">
        <v>0.49305555555555558</v>
      </c>
      <c r="AL49" s="15">
        <v>0.49652777777777773</v>
      </c>
      <c r="AM49" s="15">
        <v>0.5</v>
      </c>
      <c r="AN49" s="15">
        <v>0.50347222222222221</v>
      </c>
      <c r="AO49" s="15">
        <v>0.50694444444444442</v>
      </c>
      <c r="AP49" s="15">
        <v>0.51041666666666663</v>
      </c>
      <c r="AQ49" s="15">
        <v>0.51388888888888895</v>
      </c>
      <c r="AR49" s="15">
        <v>0.51736111111111105</v>
      </c>
      <c r="AS49" s="15">
        <v>0.52083333333333337</v>
      </c>
      <c r="AT49" s="15">
        <v>0.52430555555555558</v>
      </c>
      <c r="AU49" s="15">
        <v>0.52777777777777779</v>
      </c>
      <c r="AV49" s="15">
        <v>0.53125</v>
      </c>
      <c r="AW49" s="15">
        <v>0.53472222222222221</v>
      </c>
      <c r="AX49" s="15">
        <v>0.53819444444444442</v>
      </c>
      <c r="AY49" s="15">
        <v>0.54166666666666663</v>
      </c>
      <c r="AZ49" s="15">
        <v>0.54513888888888895</v>
      </c>
      <c r="BA49" s="15">
        <v>0.54861111111111105</v>
      </c>
      <c r="BB49" s="15">
        <v>0.55208333333333337</v>
      </c>
      <c r="BC49" s="15">
        <v>0.55555555555555558</v>
      </c>
      <c r="BD49" s="15">
        <v>0.55902777777777779</v>
      </c>
      <c r="BE49" s="15">
        <v>0.5625</v>
      </c>
      <c r="BF49" s="15">
        <v>0.56597222222222221</v>
      </c>
      <c r="BG49" s="15">
        <v>0.56944444444444442</v>
      </c>
      <c r="BH49" s="15">
        <v>0.57291666666666663</v>
      </c>
      <c r="BI49" s="15">
        <v>0.57638888888888895</v>
      </c>
      <c r="BJ49" s="15">
        <v>0.57986111111111105</v>
      </c>
      <c r="BK49" s="15">
        <v>0.58333333333333337</v>
      </c>
      <c r="BL49" s="15">
        <v>0.58680555555555558</v>
      </c>
      <c r="BM49" s="15">
        <v>0.59027777777777779</v>
      </c>
      <c r="BN49" s="15">
        <v>0.59375</v>
      </c>
      <c r="BO49" s="15">
        <v>0.59722222222222221</v>
      </c>
      <c r="BP49" s="15">
        <v>0.60069444444444442</v>
      </c>
      <c r="BQ49" s="15">
        <v>0.60416666666666663</v>
      </c>
      <c r="BR49" s="15">
        <v>0.60763888888888895</v>
      </c>
      <c r="BS49" s="15">
        <v>0.61111111111111105</v>
      </c>
      <c r="BT49" s="15">
        <v>0.61458333333333337</v>
      </c>
      <c r="BU49" s="15">
        <v>0.61805555555555558</v>
      </c>
      <c r="BV49" s="15">
        <v>0.62152777777777779</v>
      </c>
      <c r="BW49" s="15">
        <v>0.625</v>
      </c>
      <c r="BX49" s="15">
        <v>0.62847222222222221</v>
      </c>
      <c r="BY49" s="15">
        <v>0.63194444444444442</v>
      </c>
      <c r="BZ49" s="15">
        <v>0.63541666666666663</v>
      </c>
      <c r="CA49" s="15">
        <v>0.63888888888888895</v>
      </c>
      <c r="CB49" s="15">
        <v>0.64236111111111105</v>
      </c>
      <c r="CC49" s="15">
        <v>0.64583333333333337</v>
      </c>
      <c r="CD49" s="15">
        <v>0.64930555555555558</v>
      </c>
      <c r="CE49" s="15">
        <v>0.65277777777777779</v>
      </c>
      <c r="CF49" s="15">
        <v>0.65625</v>
      </c>
      <c r="CG49" s="15">
        <v>0.65972222222222221</v>
      </c>
      <c r="CH49" s="15">
        <v>0.66319444444444442</v>
      </c>
      <c r="CI49" s="15">
        <v>0.66666666666666663</v>
      </c>
      <c r="CJ49" s="15">
        <v>0.67013888888888884</v>
      </c>
      <c r="CK49" s="15">
        <v>0.67361111111111116</v>
      </c>
      <c r="CL49" s="15">
        <v>0.67708333333333337</v>
      </c>
      <c r="CM49" s="15">
        <v>0.68055555555555547</v>
      </c>
      <c r="CN49" s="15">
        <v>0.68402777777777779</v>
      </c>
      <c r="CO49" s="15">
        <v>0.6875</v>
      </c>
      <c r="CP49" s="15">
        <v>0.69097222222222221</v>
      </c>
      <c r="CQ49" s="15">
        <v>0.69444444444444453</v>
      </c>
      <c r="CR49" s="15">
        <v>0.69791666666666663</v>
      </c>
      <c r="CS49" s="15">
        <v>0.70138888888888884</v>
      </c>
      <c r="CT49" s="15">
        <v>0.70486111111111116</v>
      </c>
      <c r="CU49" s="15">
        <v>0.70833333333333337</v>
      </c>
      <c r="CV49" s="15">
        <v>0.71180555555555547</v>
      </c>
      <c r="CW49" s="15">
        <v>0.71527777777777779</v>
      </c>
      <c r="CX49" s="15">
        <v>0.71875</v>
      </c>
      <c r="CY49" s="15">
        <v>0.72222222222222221</v>
      </c>
      <c r="CZ49" s="15">
        <v>0.72569444444444453</v>
      </c>
      <c r="DA49" s="15">
        <v>0.72916666666666663</v>
      </c>
      <c r="DB49" s="15">
        <v>0.73263888888888884</v>
      </c>
      <c r="DC49" s="15">
        <v>0.73611111111111116</v>
      </c>
      <c r="DD49" s="15">
        <v>0.73958333333333337</v>
      </c>
      <c r="DE49" s="15">
        <v>0.74305555555555547</v>
      </c>
      <c r="DF49" s="15">
        <v>0.74652777777777779</v>
      </c>
      <c r="DG49" s="15">
        <v>0.75</v>
      </c>
      <c r="DH49" s="15">
        <v>0.75347222222222221</v>
      </c>
      <c r="DI49" s="15">
        <v>0.75694444444444453</v>
      </c>
      <c r="DJ49" s="15">
        <v>0.76041666666666663</v>
      </c>
      <c r="DK49" s="15">
        <v>0.76388888888888884</v>
      </c>
      <c r="DL49" s="15">
        <v>0.76736111111111116</v>
      </c>
      <c r="DM49" s="23">
        <v>44357</v>
      </c>
    </row>
    <row r="50" spans="1:126" ht="15.75" x14ac:dyDescent="0.25">
      <c r="A50" s="14">
        <v>44176</v>
      </c>
      <c r="B50" s="12" t="s">
        <v>6</v>
      </c>
      <c r="C50" s="13">
        <v>5048</v>
      </c>
      <c r="D50" s="13">
        <v>5062.09</v>
      </c>
      <c r="E50" s="13">
        <v>5070</v>
      </c>
      <c r="F50" s="13">
        <v>5075</v>
      </c>
      <c r="G50" s="13">
        <v>5075</v>
      </c>
      <c r="H50" s="13">
        <v>5078.18</v>
      </c>
      <c r="I50" s="13">
        <v>5075.62</v>
      </c>
      <c r="J50" s="13">
        <v>5080</v>
      </c>
      <c r="K50" s="13">
        <v>5087</v>
      </c>
      <c r="L50" s="13">
        <v>5073.16</v>
      </c>
      <c r="M50" s="13">
        <v>5080.5600000000004</v>
      </c>
      <c r="N50" s="13">
        <v>5080</v>
      </c>
      <c r="O50" s="13">
        <v>5082</v>
      </c>
      <c r="P50" s="13">
        <v>5078.21</v>
      </c>
      <c r="Q50" s="13">
        <v>5087.78</v>
      </c>
      <c r="R50" s="13">
        <v>5083.57</v>
      </c>
      <c r="S50" s="13">
        <v>5088.8900000000003</v>
      </c>
      <c r="T50" s="13">
        <v>5093.33</v>
      </c>
      <c r="U50" s="13">
        <v>5087.5</v>
      </c>
      <c r="V50" s="13">
        <v>5084.4399999999996</v>
      </c>
      <c r="W50" s="13">
        <v>5093.5</v>
      </c>
      <c r="X50" s="13">
        <v>5095.5</v>
      </c>
      <c r="Y50" s="13">
        <v>5096.5</v>
      </c>
      <c r="Z50" s="13">
        <v>5096.5</v>
      </c>
      <c r="AA50" s="13">
        <v>5105</v>
      </c>
      <c r="AB50" s="13">
        <v>5117.22</v>
      </c>
      <c r="AC50" s="13">
        <v>5101.25</v>
      </c>
      <c r="AD50" s="13">
        <v>5112.5</v>
      </c>
      <c r="AE50" s="13">
        <v>5113.8900000000003</v>
      </c>
      <c r="AF50" s="13">
        <v>5101.54</v>
      </c>
      <c r="AG50" s="13">
        <v>5097.6899999999996</v>
      </c>
      <c r="AH50" s="13">
        <v>5109.4399999999996</v>
      </c>
      <c r="AI50" s="13">
        <v>5092.1400000000003</v>
      </c>
      <c r="AJ50" s="13">
        <v>5098.8900000000003</v>
      </c>
      <c r="AK50" s="13">
        <v>5101.25</v>
      </c>
      <c r="AL50" s="13">
        <v>5094.29</v>
      </c>
      <c r="AM50" s="13">
        <v>5099.17</v>
      </c>
      <c r="AN50" s="13">
        <v>5114.4399999999996</v>
      </c>
      <c r="AO50" s="13">
        <v>5092.95</v>
      </c>
      <c r="AP50" s="13">
        <v>5088.82</v>
      </c>
      <c r="AQ50" s="13">
        <v>5093.8500000000004</v>
      </c>
      <c r="AR50" s="13">
        <v>5081.92</v>
      </c>
      <c r="AS50" s="13">
        <v>5100.5600000000004</v>
      </c>
      <c r="AT50" s="13">
        <v>5103.33</v>
      </c>
      <c r="AU50" s="13">
        <v>5102.22</v>
      </c>
      <c r="AV50" s="13">
        <v>5075</v>
      </c>
      <c r="AW50" s="13">
        <v>5081.92</v>
      </c>
      <c r="AX50" s="13">
        <v>5103.33</v>
      </c>
      <c r="AY50" s="13">
        <v>5104.4399999999996</v>
      </c>
      <c r="AZ50" s="13">
        <v>5105</v>
      </c>
      <c r="BA50" s="13">
        <v>5098.33</v>
      </c>
      <c r="BB50" s="13">
        <v>5080.7700000000004</v>
      </c>
      <c r="BC50" s="13">
        <v>5070.71</v>
      </c>
      <c r="BD50" s="13">
        <v>5086.25</v>
      </c>
      <c r="BE50" s="13">
        <v>5087.5</v>
      </c>
      <c r="BF50" s="13">
        <v>5069.17</v>
      </c>
      <c r="BG50" s="13">
        <v>5076.92</v>
      </c>
      <c r="BH50" s="13">
        <v>5096.67</v>
      </c>
      <c r="BI50" s="13">
        <v>5100</v>
      </c>
      <c r="BJ50" s="13">
        <v>5098.33</v>
      </c>
      <c r="BK50" s="13">
        <v>5094.38</v>
      </c>
      <c r="BL50" s="13">
        <v>5082.3100000000004</v>
      </c>
      <c r="BM50" s="13">
        <v>5101.67</v>
      </c>
      <c r="BN50" s="13">
        <v>5084.6400000000003</v>
      </c>
      <c r="BO50" s="13">
        <v>5100.5600000000004</v>
      </c>
      <c r="BP50" s="13">
        <v>5083.08</v>
      </c>
      <c r="BQ50" s="13">
        <v>5080.38</v>
      </c>
      <c r="BR50" s="13">
        <v>5081.54</v>
      </c>
      <c r="BS50" s="13">
        <v>5076.67</v>
      </c>
      <c r="BT50" s="13">
        <v>5099.4399999999996</v>
      </c>
      <c r="BU50" s="13">
        <v>5076.67</v>
      </c>
      <c r="BV50" s="13">
        <v>5100.5600000000004</v>
      </c>
      <c r="BW50" s="13">
        <v>5103.8900000000003</v>
      </c>
      <c r="BX50" s="13">
        <v>5110</v>
      </c>
      <c r="BY50" s="13">
        <v>5095</v>
      </c>
      <c r="BZ50" s="13">
        <v>5090.38</v>
      </c>
      <c r="CA50" s="13">
        <v>5089.2299999999996</v>
      </c>
      <c r="CB50" s="13">
        <v>5077.7299999999996</v>
      </c>
      <c r="CC50" s="13">
        <v>5092.5</v>
      </c>
      <c r="CD50" s="13">
        <v>5086.38</v>
      </c>
      <c r="CE50" s="13">
        <v>5092.1099999999997</v>
      </c>
      <c r="CF50" s="13">
        <v>5092.8900000000003</v>
      </c>
      <c r="CG50" s="13">
        <v>5093.16</v>
      </c>
      <c r="CH50" s="13">
        <v>5088.4799999999996</v>
      </c>
      <c r="CI50" s="13">
        <v>5083.3900000000003</v>
      </c>
      <c r="CJ50" s="13">
        <v>5093.5</v>
      </c>
      <c r="CK50" s="13">
        <v>5090.79</v>
      </c>
      <c r="CL50" s="13">
        <v>5087.5</v>
      </c>
      <c r="CM50" s="13">
        <v>5094.75</v>
      </c>
      <c r="CN50" s="13">
        <v>5085.43</v>
      </c>
      <c r="CO50" s="13">
        <v>5081.96</v>
      </c>
      <c r="CP50" s="13">
        <v>5089.21</v>
      </c>
      <c r="CQ50" s="13">
        <v>5089.21</v>
      </c>
      <c r="CR50" s="13">
        <v>5077.8599999999997</v>
      </c>
      <c r="CS50" s="13">
        <v>5074.82</v>
      </c>
      <c r="CT50" s="13">
        <v>5070.79</v>
      </c>
      <c r="CU50" s="13">
        <v>5074.1099999999997</v>
      </c>
      <c r="CV50" s="13">
        <v>5086.84</v>
      </c>
      <c r="CW50" s="13">
        <v>5077.17</v>
      </c>
      <c r="CX50" s="13">
        <v>5080.63</v>
      </c>
      <c r="CY50" s="13">
        <v>5077.3900000000003</v>
      </c>
      <c r="CZ50" s="13">
        <v>5087.1099999999997</v>
      </c>
      <c r="DA50" s="13">
        <v>5077.17</v>
      </c>
      <c r="DB50" s="13">
        <v>5086.32</v>
      </c>
      <c r="DC50" s="13">
        <v>5086.84</v>
      </c>
      <c r="DD50" s="13">
        <v>5090</v>
      </c>
      <c r="DE50" s="13">
        <v>5090.26</v>
      </c>
      <c r="DF50" s="13">
        <v>5089.74</v>
      </c>
      <c r="DG50" s="13">
        <v>5090.79</v>
      </c>
      <c r="DH50" s="13">
        <v>5078.21</v>
      </c>
      <c r="DI50" s="13">
        <v>5090.26</v>
      </c>
      <c r="DJ50" s="13">
        <v>5101.33</v>
      </c>
      <c r="DK50" s="13">
        <v>5089.17</v>
      </c>
      <c r="DL50" s="13">
        <v>5101.33</v>
      </c>
      <c r="DM50" s="32"/>
      <c r="DN50" s="33"/>
      <c r="DO50" s="32"/>
      <c r="DP50" s="33"/>
      <c r="DQ50" s="32"/>
      <c r="DR50" s="33"/>
      <c r="DS50" s="32"/>
      <c r="DT50" s="33"/>
      <c r="DU50" s="32"/>
      <c r="DV50" s="33"/>
    </row>
    <row r="51" spans="1:126" ht="15.75" x14ac:dyDescent="0.25">
      <c r="A51" s="14" t="s">
        <v>12</v>
      </c>
      <c r="B51" s="12" t="s">
        <v>10</v>
      </c>
      <c r="C51" s="13">
        <v>5048</v>
      </c>
      <c r="D51" s="13">
        <v>5061.92</v>
      </c>
      <c r="E51" s="13">
        <v>5070</v>
      </c>
      <c r="F51" s="13">
        <v>5074.25</v>
      </c>
      <c r="G51" s="13">
        <v>5061.67</v>
      </c>
      <c r="H51" s="13">
        <v>5073.95</v>
      </c>
      <c r="I51" s="13">
        <v>5075.62</v>
      </c>
      <c r="J51" s="13">
        <v>5071.67</v>
      </c>
      <c r="K51" s="13">
        <v>5065.18</v>
      </c>
      <c r="L51" s="13">
        <v>5070</v>
      </c>
      <c r="M51" s="13">
        <v>5056.74</v>
      </c>
      <c r="N51" s="13">
        <v>5060.5600000000004</v>
      </c>
      <c r="O51" s="13">
        <v>5070.5600000000004</v>
      </c>
      <c r="P51" s="13">
        <v>5074.78</v>
      </c>
      <c r="Q51" s="13">
        <v>5081.09</v>
      </c>
      <c r="R51" s="13">
        <v>5076.96</v>
      </c>
      <c r="S51" s="13">
        <v>5075.71</v>
      </c>
      <c r="T51" s="13">
        <v>5086.9399999999996</v>
      </c>
      <c r="U51" s="13">
        <v>5085.7700000000004</v>
      </c>
      <c r="V51" s="13">
        <v>5084.29</v>
      </c>
      <c r="W51" s="13">
        <v>5079.82</v>
      </c>
      <c r="X51" s="13">
        <v>5085.5600000000004</v>
      </c>
      <c r="Y51" s="13">
        <v>5088.42</v>
      </c>
      <c r="Z51" s="13">
        <v>5086.96</v>
      </c>
      <c r="AA51" s="13">
        <v>5098.53</v>
      </c>
      <c r="AB51" s="13">
        <v>5097.95</v>
      </c>
      <c r="AC51" s="13">
        <v>5087.59</v>
      </c>
      <c r="AD51" s="13">
        <v>5092.04</v>
      </c>
      <c r="AE51" s="13">
        <v>5091.3</v>
      </c>
      <c r="AF51" s="13">
        <v>5085</v>
      </c>
      <c r="AG51" s="13">
        <v>5083.9399999999996</v>
      </c>
      <c r="AH51" s="13">
        <v>5089.8100000000004</v>
      </c>
      <c r="AI51" s="13">
        <v>5089.8100000000004</v>
      </c>
      <c r="AJ51" s="13">
        <v>5096.6099999999997</v>
      </c>
      <c r="AK51" s="13">
        <v>5089.1899999999996</v>
      </c>
      <c r="AL51" s="13">
        <v>5090.78</v>
      </c>
      <c r="AM51" s="13">
        <v>5094.17</v>
      </c>
      <c r="AN51" s="13">
        <v>5098.33</v>
      </c>
      <c r="AO51" s="13">
        <v>5087.78</v>
      </c>
      <c r="AP51" s="13">
        <v>5085.37</v>
      </c>
      <c r="AQ51" s="13">
        <v>5075.37</v>
      </c>
      <c r="AR51" s="13">
        <v>5067.22</v>
      </c>
      <c r="AS51" s="13">
        <v>5069.26</v>
      </c>
      <c r="AT51" s="13">
        <v>5100</v>
      </c>
      <c r="AU51" s="13">
        <v>5075</v>
      </c>
      <c r="AV51" s="13">
        <v>5073.18</v>
      </c>
      <c r="AW51" s="13">
        <v>5079.17</v>
      </c>
      <c r="AX51" s="13">
        <v>5074.7700000000004</v>
      </c>
      <c r="AY51" s="13">
        <v>5074.8100000000004</v>
      </c>
      <c r="AZ51" s="13">
        <v>5068.7</v>
      </c>
      <c r="BA51" s="13">
        <v>5068.41</v>
      </c>
      <c r="BB51" s="13">
        <v>5068.33</v>
      </c>
      <c r="BC51" s="13">
        <v>5051.18</v>
      </c>
      <c r="BD51" s="13">
        <v>5057.7299999999996</v>
      </c>
      <c r="BE51" s="13">
        <v>5061.1400000000003</v>
      </c>
      <c r="BF51" s="13">
        <v>5063.8599999999997</v>
      </c>
      <c r="BG51" s="13">
        <v>5067.6499999999996</v>
      </c>
      <c r="BH51" s="13">
        <v>5071.67</v>
      </c>
      <c r="BI51" s="13">
        <v>5065</v>
      </c>
      <c r="BJ51" s="13">
        <v>5069.41</v>
      </c>
      <c r="BK51" s="13">
        <v>5068.7</v>
      </c>
      <c r="BL51" s="13">
        <v>5082.3100000000004</v>
      </c>
      <c r="BM51" s="13">
        <v>5070.1899999999996</v>
      </c>
      <c r="BN51" s="13">
        <v>5084.6400000000003</v>
      </c>
      <c r="BO51" s="13">
        <v>5069.55</v>
      </c>
      <c r="BP51" s="13">
        <v>5068.5200000000004</v>
      </c>
      <c r="BQ51" s="13">
        <v>5066.4799999999996</v>
      </c>
      <c r="BR51" s="13">
        <v>5081.54</v>
      </c>
      <c r="BS51" s="13">
        <v>5068.6400000000003</v>
      </c>
      <c r="BT51" s="13">
        <v>5068.6400000000003</v>
      </c>
      <c r="BU51" s="13">
        <v>5066.1099999999997</v>
      </c>
      <c r="BV51" s="13">
        <v>5078.8900000000003</v>
      </c>
      <c r="BW51" s="13">
        <v>5078.91</v>
      </c>
      <c r="BX51" s="13">
        <v>5081.8500000000004</v>
      </c>
      <c r="BY51" s="13">
        <v>5084.41</v>
      </c>
      <c r="BZ51" s="13">
        <v>5077.59</v>
      </c>
      <c r="CA51" s="13">
        <v>5085</v>
      </c>
      <c r="CB51" s="13">
        <v>5077.6499999999996</v>
      </c>
      <c r="CC51" s="13">
        <v>5074.26</v>
      </c>
      <c r="CD51" s="13">
        <v>5077.57</v>
      </c>
      <c r="CE51" s="13">
        <v>5079.6400000000003</v>
      </c>
      <c r="CF51" s="13">
        <v>5081.25</v>
      </c>
      <c r="CG51" s="13">
        <v>5079.8599999999997</v>
      </c>
      <c r="CH51" s="13">
        <v>5080.79</v>
      </c>
      <c r="CI51" s="13">
        <v>5075.13</v>
      </c>
      <c r="CJ51" s="13">
        <v>5081.25</v>
      </c>
      <c r="CK51" s="13">
        <v>5080.6099999999997</v>
      </c>
      <c r="CL51" s="13">
        <v>5081.0600000000004</v>
      </c>
      <c r="CM51" s="13">
        <v>5083.3900000000003</v>
      </c>
      <c r="CN51" s="13">
        <v>5075</v>
      </c>
      <c r="CO51" s="13">
        <v>5075.53</v>
      </c>
      <c r="CP51" s="13">
        <v>5076.0600000000004</v>
      </c>
      <c r="CQ51" s="13">
        <v>5074.21</v>
      </c>
      <c r="CR51" s="13">
        <v>5074.09</v>
      </c>
      <c r="CS51" s="13">
        <v>5070.79</v>
      </c>
      <c r="CT51" s="13">
        <v>5069.34</v>
      </c>
      <c r="CU51" s="13">
        <v>5069.55</v>
      </c>
      <c r="CV51" s="13">
        <v>5074.29</v>
      </c>
      <c r="CW51" s="13">
        <v>5071.21</v>
      </c>
      <c r="CX51" s="13">
        <v>5070.76</v>
      </c>
      <c r="CY51" s="13">
        <v>5074.29</v>
      </c>
      <c r="CZ51" s="13">
        <v>5071.21</v>
      </c>
      <c r="DA51" s="13">
        <v>5076.3</v>
      </c>
      <c r="DB51" s="13">
        <v>5073.57</v>
      </c>
      <c r="DC51" s="13">
        <v>5071.0600000000004</v>
      </c>
      <c r="DD51" s="13">
        <v>5072.58</v>
      </c>
      <c r="DE51" s="13">
        <v>5076.97</v>
      </c>
      <c r="DF51" s="13">
        <v>5080</v>
      </c>
      <c r="DG51" s="13">
        <v>5076.71</v>
      </c>
      <c r="DH51" s="13">
        <v>5076.67</v>
      </c>
      <c r="DI51" s="13">
        <v>5085.43</v>
      </c>
      <c r="DJ51" s="13">
        <v>5089.17</v>
      </c>
      <c r="DK51" s="13">
        <v>5084.24</v>
      </c>
      <c r="DL51" s="13">
        <v>5086.1099999999997</v>
      </c>
      <c r="DM51" s="32"/>
      <c r="DN51" s="33"/>
      <c r="DO51" s="32"/>
      <c r="DP51" s="33"/>
      <c r="DQ51" s="32"/>
      <c r="DR51" s="33"/>
      <c r="DS51" s="32"/>
      <c r="DT51" s="33"/>
      <c r="DU51" s="32"/>
      <c r="DV51" s="33"/>
    </row>
    <row r="52" spans="1:126" ht="15.75" x14ac:dyDescent="0.25">
      <c r="A52" s="14" t="s">
        <v>12</v>
      </c>
      <c r="B52" s="12" t="s">
        <v>9</v>
      </c>
      <c r="C52" s="13">
        <v>5027</v>
      </c>
      <c r="D52" s="13">
        <v>5050</v>
      </c>
      <c r="E52" s="13">
        <v>5059</v>
      </c>
      <c r="F52" s="13">
        <v>5064.33</v>
      </c>
      <c r="G52" s="13">
        <v>5045.68</v>
      </c>
      <c r="H52" s="13">
        <v>5059.42</v>
      </c>
      <c r="I52" s="13">
        <v>5058.57</v>
      </c>
      <c r="J52" s="13">
        <v>5058.6400000000003</v>
      </c>
      <c r="K52" s="13">
        <v>5047.5</v>
      </c>
      <c r="L52" s="13">
        <v>5049.68</v>
      </c>
      <c r="M52" s="13">
        <v>5035</v>
      </c>
      <c r="N52" s="13">
        <v>5041.7299999999996</v>
      </c>
      <c r="O52" s="13">
        <v>5053.2700000000004</v>
      </c>
      <c r="P52" s="13">
        <v>5058.57</v>
      </c>
      <c r="Q52" s="13">
        <v>5060</v>
      </c>
      <c r="R52" s="13">
        <v>5056.67</v>
      </c>
      <c r="S52" s="13">
        <v>5045</v>
      </c>
      <c r="T52" s="13">
        <v>5070</v>
      </c>
      <c r="U52" s="13">
        <v>5062.5</v>
      </c>
      <c r="V52" s="13">
        <v>5063.46</v>
      </c>
      <c r="W52" s="13">
        <v>5064.5200000000004</v>
      </c>
      <c r="X52" s="13">
        <v>5070.7700000000004</v>
      </c>
      <c r="Y52" s="13">
        <v>5071.54</v>
      </c>
      <c r="Z52" s="13">
        <v>5069.7700000000004</v>
      </c>
      <c r="AA52" s="13">
        <v>5078.07</v>
      </c>
      <c r="AB52" s="13">
        <v>5079.74</v>
      </c>
      <c r="AC52" s="13">
        <v>5064.33</v>
      </c>
      <c r="AD52" s="13">
        <v>5069.33</v>
      </c>
      <c r="AE52" s="13">
        <v>5072.8599999999997</v>
      </c>
      <c r="AF52" s="13">
        <v>5055.57</v>
      </c>
      <c r="AG52" s="13">
        <v>5069</v>
      </c>
      <c r="AH52" s="13">
        <v>5069</v>
      </c>
      <c r="AI52" s="13">
        <v>5069</v>
      </c>
      <c r="AJ52" s="13">
        <v>5079</v>
      </c>
      <c r="AK52" s="13">
        <v>5063.05</v>
      </c>
      <c r="AL52" s="13">
        <v>5067.1099999999997</v>
      </c>
      <c r="AM52" s="13">
        <v>5069.59</v>
      </c>
      <c r="AN52" s="13">
        <v>5071.9399999999996</v>
      </c>
      <c r="AO52" s="13">
        <v>5068.8100000000004</v>
      </c>
      <c r="AP52" s="13">
        <v>5062.3900000000003</v>
      </c>
      <c r="AQ52" s="13">
        <v>5054.0600000000004</v>
      </c>
      <c r="AR52" s="13">
        <v>5046.5600000000004</v>
      </c>
      <c r="AS52" s="13">
        <v>5051.78</v>
      </c>
      <c r="AT52" s="13">
        <v>5050.67</v>
      </c>
      <c r="AU52" s="13">
        <v>5055.59</v>
      </c>
      <c r="AV52" s="13">
        <v>5053.55</v>
      </c>
      <c r="AW52" s="13">
        <v>5053.4399999999996</v>
      </c>
      <c r="AX52" s="13">
        <v>5055.8500000000004</v>
      </c>
      <c r="AY52" s="13">
        <v>5053.5</v>
      </c>
      <c r="AZ52" s="13">
        <v>5044.5</v>
      </c>
      <c r="BA52" s="13">
        <v>5049</v>
      </c>
      <c r="BB52" s="13">
        <v>5041.3500000000004</v>
      </c>
      <c r="BC52" s="13">
        <v>5028.8100000000004</v>
      </c>
      <c r="BD52" s="13">
        <v>5038.46</v>
      </c>
      <c r="BE52" s="13">
        <v>5041.92</v>
      </c>
      <c r="BF52" s="13">
        <v>5042.3500000000004</v>
      </c>
      <c r="BG52" s="13">
        <v>5046.3500000000004</v>
      </c>
      <c r="BH52" s="13">
        <v>5046.1499999999996</v>
      </c>
      <c r="BI52" s="13">
        <v>5036.25</v>
      </c>
      <c r="BJ52" s="13">
        <v>5047.6899999999996</v>
      </c>
      <c r="BK52" s="13">
        <v>5046.1099999999997</v>
      </c>
      <c r="BL52" s="13">
        <v>5049.32</v>
      </c>
      <c r="BM52" s="13">
        <v>5050.45</v>
      </c>
      <c r="BN52" s="13">
        <v>5048.17</v>
      </c>
      <c r="BO52" s="13">
        <v>5049.4399999999996</v>
      </c>
      <c r="BP52" s="13">
        <v>5049.32</v>
      </c>
      <c r="BQ52" s="13">
        <v>5046.82</v>
      </c>
      <c r="BR52" s="13">
        <v>5048.41</v>
      </c>
      <c r="BS52" s="13">
        <v>5048.41</v>
      </c>
      <c r="BT52" s="13">
        <v>5049.07</v>
      </c>
      <c r="BU52" s="13">
        <v>5043.0600000000004</v>
      </c>
      <c r="BV52" s="13">
        <v>5052.78</v>
      </c>
      <c r="BW52" s="13">
        <v>5055.1899999999996</v>
      </c>
      <c r="BX52" s="13">
        <v>5058.0600000000004</v>
      </c>
      <c r="BY52" s="13">
        <v>5057.22</v>
      </c>
      <c r="BZ52" s="13">
        <v>5058.6400000000003</v>
      </c>
      <c r="CA52" s="13">
        <v>5058.41</v>
      </c>
      <c r="CB52" s="13">
        <v>5049.6099999999997</v>
      </c>
      <c r="CC52" s="13">
        <v>5052.3</v>
      </c>
      <c r="CD52" s="13">
        <v>5052.3</v>
      </c>
      <c r="CE52" s="13">
        <v>5047.6099999999997</v>
      </c>
      <c r="CF52" s="13">
        <v>5050.46</v>
      </c>
      <c r="CG52" s="13">
        <v>5053.78</v>
      </c>
      <c r="CH52" s="13">
        <v>5057.3</v>
      </c>
      <c r="CI52" s="13">
        <v>5041.7</v>
      </c>
      <c r="CJ52" s="13">
        <v>5054.93</v>
      </c>
      <c r="CK52" s="13">
        <v>5052.33</v>
      </c>
      <c r="CL52" s="13">
        <v>5055.78</v>
      </c>
      <c r="CM52" s="13">
        <v>5057.3</v>
      </c>
      <c r="CN52" s="13">
        <v>5044.26</v>
      </c>
      <c r="CO52" s="13">
        <v>5041.1400000000003</v>
      </c>
      <c r="CP52" s="13">
        <v>5048.6099999999997</v>
      </c>
      <c r="CQ52" s="13">
        <v>5043.21</v>
      </c>
      <c r="CR52" s="13">
        <v>5042.96</v>
      </c>
      <c r="CS52" s="13">
        <v>5036.2</v>
      </c>
      <c r="CT52" s="13">
        <v>5033.95</v>
      </c>
      <c r="CU52" s="13">
        <v>5039.75</v>
      </c>
      <c r="CV52" s="13">
        <v>5043.1400000000003</v>
      </c>
      <c r="CW52" s="13">
        <v>5041.54</v>
      </c>
      <c r="CX52" s="13">
        <v>5033.95</v>
      </c>
      <c r="CY52" s="13">
        <v>5041.43</v>
      </c>
      <c r="CZ52" s="13">
        <v>5041.6499999999996</v>
      </c>
      <c r="DA52" s="13">
        <v>5039.26</v>
      </c>
      <c r="DB52" s="13">
        <v>5041.54</v>
      </c>
      <c r="DC52" s="13">
        <v>5041</v>
      </c>
      <c r="DD52" s="13">
        <v>5031.93</v>
      </c>
      <c r="DE52" s="13">
        <v>5046.92</v>
      </c>
      <c r="DF52" s="13">
        <v>5051.71</v>
      </c>
      <c r="DG52" s="13">
        <v>5042.95</v>
      </c>
      <c r="DH52" s="13">
        <v>5050.1099999999997</v>
      </c>
      <c r="DI52" s="13">
        <v>5046.38</v>
      </c>
      <c r="DJ52" s="13">
        <v>5049.8500000000004</v>
      </c>
      <c r="DK52" s="13">
        <v>5062.07</v>
      </c>
      <c r="DL52" s="13">
        <v>5034</v>
      </c>
      <c r="DM52" s="32"/>
      <c r="DN52" s="33"/>
      <c r="DO52" s="32"/>
      <c r="DP52" s="33"/>
      <c r="DQ52" s="32"/>
      <c r="DR52" s="33"/>
      <c r="DS52" s="32"/>
      <c r="DT52" s="33"/>
      <c r="DU52" s="32"/>
      <c r="DV52" s="33"/>
    </row>
    <row r="53" spans="1:126" ht="15.75" x14ac:dyDescent="0.25">
      <c r="A53" s="14" t="s">
        <v>12</v>
      </c>
      <c r="B53" s="12" t="s">
        <v>7</v>
      </c>
      <c r="C53" s="13">
        <v>5027</v>
      </c>
      <c r="D53" s="13">
        <v>5042</v>
      </c>
      <c r="E53" s="13">
        <v>5050.75</v>
      </c>
      <c r="F53" s="13">
        <v>5060.8</v>
      </c>
      <c r="G53" s="13">
        <v>5042.92</v>
      </c>
      <c r="H53" s="13">
        <v>5039.17</v>
      </c>
      <c r="I53" s="13">
        <v>5043.13</v>
      </c>
      <c r="J53" s="13">
        <v>5048.75</v>
      </c>
      <c r="K53" s="13">
        <v>5024</v>
      </c>
      <c r="L53" s="13">
        <v>5034.4399999999996</v>
      </c>
      <c r="M53" s="13">
        <v>5031.88</v>
      </c>
      <c r="N53" s="13">
        <v>5034.41</v>
      </c>
      <c r="O53" s="13">
        <v>5040.9399999999996</v>
      </c>
      <c r="P53" s="13">
        <v>5048.8900000000003</v>
      </c>
      <c r="Q53" s="13">
        <v>5044.38</v>
      </c>
      <c r="R53" s="13">
        <v>5056.67</v>
      </c>
      <c r="S53" s="13">
        <v>5042.78</v>
      </c>
      <c r="T53" s="13">
        <v>5041.1099999999997</v>
      </c>
      <c r="U53" s="13">
        <v>5058.8500000000004</v>
      </c>
      <c r="V53" s="13">
        <v>5055.7700000000004</v>
      </c>
      <c r="W53" s="13">
        <v>5055.38</v>
      </c>
      <c r="X53" s="13">
        <v>5064.38</v>
      </c>
      <c r="Y53" s="13">
        <v>5062.5</v>
      </c>
      <c r="Z53" s="13">
        <v>5053.13</v>
      </c>
      <c r="AA53" s="13">
        <v>5047.67</v>
      </c>
      <c r="AB53" s="13">
        <v>5069.08</v>
      </c>
      <c r="AC53" s="13">
        <v>5055.8900000000003</v>
      </c>
      <c r="AD53" s="13">
        <v>5048.67</v>
      </c>
      <c r="AE53" s="13">
        <v>5052</v>
      </c>
      <c r="AF53" s="13">
        <v>5052</v>
      </c>
      <c r="AG53" s="13">
        <v>5061.83</v>
      </c>
      <c r="AH53" s="13">
        <v>5052</v>
      </c>
      <c r="AI53" s="13">
        <v>5045.3</v>
      </c>
      <c r="AJ53" s="13">
        <v>5053.1099999999997</v>
      </c>
      <c r="AK53" s="13">
        <v>5051.6000000000004</v>
      </c>
      <c r="AL53" s="13">
        <v>5050.8900000000003</v>
      </c>
      <c r="AM53" s="13">
        <v>5063.3100000000004</v>
      </c>
      <c r="AN53" s="13">
        <v>5061.7700000000004</v>
      </c>
      <c r="AO53" s="13">
        <v>5053.1099999999997</v>
      </c>
      <c r="AP53" s="13">
        <v>5055.46</v>
      </c>
      <c r="AQ53" s="13">
        <v>5044.22</v>
      </c>
      <c r="AR53" s="13">
        <v>5039.78</v>
      </c>
      <c r="AS53" s="13">
        <v>5034.1400000000003</v>
      </c>
      <c r="AT53" s="13">
        <v>5037</v>
      </c>
      <c r="AU53" s="13">
        <v>5050.67</v>
      </c>
      <c r="AV53" s="13">
        <v>5049.08</v>
      </c>
      <c r="AW53" s="13">
        <v>5039.22</v>
      </c>
      <c r="AX53" s="13">
        <v>5053.41</v>
      </c>
      <c r="AY53" s="13">
        <v>5044.22</v>
      </c>
      <c r="AZ53" s="13">
        <v>5042.5600000000004</v>
      </c>
      <c r="BA53" s="13">
        <v>5035.8900000000003</v>
      </c>
      <c r="BB53" s="13">
        <v>5033.67</v>
      </c>
      <c r="BC53" s="13">
        <v>5015</v>
      </c>
      <c r="BD53" s="13">
        <v>5029.0600000000004</v>
      </c>
      <c r="BE53" s="13">
        <v>5038.46</v>
      </c>
      <c r="BF53" s="13">
        <v>5038.08</v>
      </c>
      <c r="BG53" s="13">
        <v>5039.2299999999996</v>
      </c>
      <c r="BH53" s="13">
        <v>5031.1099999999997</v>
      </c>
      <c r="BI53" s="13">
        <v>5036.25</v>
      </c>
      <c r="BJ53" s="13">
        <v>5034.38</v>
      </c>
      <c r="BK53" s="13">
        <v>5045.38</v>
      </c>
      <c r="BL53" s="13">
        <v>5043.8500000000004</v>
      </c>
      <c r="BM53" s="13">
        <v>5043.08</v>
      </c>
      <c r="BN53" s="13">
        <v>5039.4399999999996</v>
      </c>
      <c r="BO53" s="13">
        <v>5037.5</v>
      </c>
      <c r="BP53" s="13">
        <v>5034.4399999999996</v>
      </c>
      <c r="BQ53" s="13">
        <v>5041.92</v>
      </c>
      <c r="BR53" s="13">
        <v>5042.6899999999996</v>
      </c>
      <c r="BS53" s="13">
        <v>5047.9399999999996</v>
      </c>
      <c r="BT53" s="13">
        <v>5032.22</v>
      </c>
      <c r="BU53" s="13">
        <v>5033.33</v>
      </c>
      <c r="BV53" s="13">
        <v>5047.5</v>
      </c>
      <c r="BW53" s="13">
        <v>5046.92</v>
      </c>
      <c r="BX53" s="13">
        <v>5051.3</v>
      </c>
      <c r="BY53" s="13">
        <v>5039.63</v>
      </c>
      <c r="BZ53" s="13">
        <v>5040.5600000000004</v>
      </c>
      <c r="CA53" s="13">
        <v>5040</v>
      </c>
      <c r="CB53" s="13">
        <v>5047.1499999999996</v>
      </c>
      <c r="CC53" s="13">
        <v>5046.63</v>
      </c>
      <c r="CD53" s="13">
        <v>5049.83</v>
      </c>
      <c r="CE53" s="13">
        <v>5024</v>
      </c>
      <c r="CF53" s="13">
        <v>5047.09</v>
      </c>
      <c r="CG53" s="13">
        <v>5047.54</v>
      </c>
      <c r="CH53" s="13">
        <v>5046.8599999999997</v>
      </c>
      <c r="CI53" s="13">
        <v>5027.45</v>
      </c>
      <c r="CJ53" s="13">
        <v>5024.7299999999996</v>
      </c>
      <c r="CK53" s="13">
        <v>5052.33</v>
      </c>
      <c r="CL53" s="13">
        <v>5052.33</v>
      </c>
      <c r="CM53" s="13">
        <v>5052.42</v>
      </c>
      <c r="CN53" s="13">
        <v>5029.3999999999996</v>
      </c>
      <c r="CO53" s="13">
        <v>5041.1400000000003</v>
      </c>
      <c r="CP53" s="13">
        <v>5039.53</v>
      </c>
      <c r="CQ53" s="13">
        <v>5038.6400000000003</v>
      </c>
      <c r="CR53" s="13">
        <v>5022</v>
      </c>
      <c r="CS53" s="13">
        <v>5021.09</v>
      </c>
      <c r="CT53" s="13">
        <v>5019.7299999999996</v>
      </c>
      <c r="CU53" s="13">
        <v>5017.45</v>
      </c>
      <c r="CV53" s="13">
        <v>5019.8999999999996</v>
      </c>
      <c r="CW53" s="13">
        <v>5035.32</v>
      </c>
      <c r="CX53" s="13">
        <v>5030.2700000000004</v>
      </c>
      <c r="CY53" s="13">
        <v>5033.95</v>
      </c>
      <c r="CZ53" s="13">
        <v>5032.93</v>
      </c>
      <c r="DA53" s="13">
        <v>5020.8999999999996</v>
      </c>
      <c r="DB53" s="13">
        <v>5031.8599999999997</v>
      </c>
      <c r="DC53" s="13">
        <v>5036.1099999999997</v>
      </c>
      <c r="DD53" s="13">
        <v>5028.93</v>
      </c>
      <c r="DE53" s="13">
        <v>5037.93</v>
      </c>
      <c r="DF53" s="13">
        <v>5047.33</v>
      </c>
      <c r="DG53" s="13">
        <v>5042.95</v>
      </c>
      <c r="DH53" s="13">
        <v>5022.91</v>
      </c>
      <c r="DI53" s="13">
        <v>5032.33</v>
      </c>
      <c r="DJ53" s="13">
        <v>5030.67</v>
      </c>
      <c r="DK53" s="13">
        <v>5034</v>
      </c>
      <c r="DL53" s="13">
        <v>4997.8</v>
      </c>
      <c r="DM53" s="32"/>
      <c r="DN53" s="33"/>
      <c r="DO53" s="32"/>
      <c r="DP53" s="33"/>
      <c r="DQ53" s="32"/>
      <c r="DR53" s="33"/>
      <c r="DS53" s="32"/>
      <c r="DT53" s="33"/>
      <c r="DU53" s="32"/>
      <c r="DV53" s="33"/>
    </row>
    <row r="54" spans="1:126" ht="15.75" x14ac:dyDescent="0.25">
      <c r="A54" s="14"/>
      <c r="B54" s="12"/>
      <c r="C54" s="13">
        <f t="shared" ref="C54:AH54" si="30">(C50+C51+C52+C53)/4</f>
        <v>5037.5</v>
      </c>
      <c r="D54" s="13">
        <f t="shared" si="30"/>
        <v>5054.0025000000005</v>
      </c>
      <c r="E54" s="13">
        <f t="shared" si="30"/>
        <v>5062.4375</v>
      </c>
      <c r="F54" s="13">
        <f t="shared" si="30"/>
        <v>5068.5950000000003</v>
      </c>
      <c r="G54" s="13">
        <f t="shared" si="30"/>
        <v>5056.3175000000001</v>
      </c>
      <c r="H54" s="13">
        <f t="shared" si="30"/>
        <v>5062.68</v>
      </c>
      <c r="I54" s="13">
        <f t="shared" si="30"/>
        <v>5063.2349999999997</v>
      </c>
      <c r="J54" s="13">
        <f t="shared" si="30"/>
        <v>5064.7650000000003</v>
      </c>
      <c r="K54" s="13">
        <f t="shared" si="30"/>
        <v>5055.92</v>
      </c>
      <c r="L54" s="13">
        <f t="shared" si="30"/>
        <v>5056.82</v>
      </c>
      <c r="M54" s="13">
        <f t="shared" si="30"/>
        <v>5051.0450000000001</v>
      </c>
      <c r="N54" s="13">
        <f t="shared" si="30"/>
        <v>5054.1750000000002</v>
      </c>
      <c r="O54" s="13">
        <f t="shared" si="30"/>
        <v>5061.6925000000001</v>
      </c>
      <c r="P54" s="13">
        <f t="shared" si="30"/>
        <v>5065.1125000000002</v>
      </c>
      <c r="Q54" s="13">
        <f t="shared" si="30"/>
        <v>5068.3125</v>
      </c>
      <c r="R54" s="13">
        <f t="shared" si="30"/>
        <v>5068.4674999999997</v>
      </c>
      <c r="S54" s="13">
        <f t="shared" si="30"/>
        <v>5063.0950000000003</v>
      </c>
      <c r="T54" s="13">
        <f t="shared" si="30"/>
        <v>5072.8450000000003</v>
      </c>
      <c r="U54" s="13">
        <f t="shared" si="30"/>
        <v>5073.6550000000007</v>
      </c>
      <c r="V54" s="13">
        <f t="shared" si="30"/>
        <v>5071.99</v>
      </c>
      <c r="W54" s="13">
        <f t="shared" si="30"/>
        <v>5073.3050000000003</v>
      </c>
      <c r="X54" s="13">
        <f t="shared" si="30"/>
        <v>5079.0525000000007</v>
      </c>
      <c r="Y54" s="13">
        <f t="shared" si="30"/>
        <v>5079.74</v>
      </c>
      <c r="Z54" s="13">
        <f t="shared" si="30"/>
        <v>5076.59</v>
      </c>
      <c r="AA54" s="13">
        <f t="shared" si="30"/>
        <v>5082.3174999999992</v>
      </c>
      <c r="AB54" s="13">
        <f t="shared" si="30"/>
        <v>5090.9974999999995</v>
      </c>
      <c r="AC54" s="13">
        <f t="shared" si="30"/>
        <v>5077.2650000000003</v>
      </c>
      <c r="AD54" s="13">
        <f t="shared" si="30"/>
        <v>5080.6350000000002</v>
      </c>
      <c r="AE54" s="13">
        <f t="shared" si="30"/>
        <v>5082.5124999999998</v>
      </c>
      <c r="AF54" s="13">
        <f t="shared" si="30"/>
        <v>5073.5275000000001</v>
      </c>
      <c r="AG54" s="13">
        <f t="shared" si="30"/>
        <v>5078.1149999999998</v>
      </c>
      <c r="AH54" s="13">
        <f t="shared" si="30"/>
        <v>5080.0625</v>
      </c>
      <c r="AI54" s="13">
        <f t="shared" ref="AI54:BN54" si="31">(AI50+AI51+AI52+AI53)/4</f>
        <v>5074.0625</v>
      </c>
      <c r="AJ54" s="13">
        <f t="shared" si="31"/>
        <v>5081.9025000000001</v>
      </c>
      <c r="AK54" s="13">
        <f t="shared" si="31"/>
        <v>5076.2724999999991</v>
      </c>
      <c r="AL54" s="13">
        <f t="shared" si="31"/>
        <v>5075.7674999999999</v>
      </c>
      <c r="AM54" s="13">
        <f t="shared" si="31"/>
        <v>5081.5600000000004</v>
      </c>
      <c r="AN54" s="13">
        <f t="shared" si="31"/>
        <v>5086.62</v>
      </c>
      <c r="AO54" s="13">
        <f t="shared" si="31"/>
        <v>5075.6625000000004</v>
      </c>
      <c r="AP54" s="13">
        <f t="shared" si="31"/>
        <v>5073.0099999999993</v>
      </c>
      <c r="AQ54" s="13">
        <f t="shared" si="31"/>
        <v>5066.8750000000009</v>
      </c>
      <c r="AR54" s="13">
        <f t="shared" si="31"/>
        <v>5058.87</v>
      </c>
      <c r="AS54" s="13">
        <f t="shared" si="31"/>
        <v>5063.9349999999995</v>
      </c>
      <c r="AT54" s="13">
        <f t="shared" si="31"/>
        <v>5072.75</v>
      </c>
      <c r="AU54" s="13">
        <f t="shared" si="31"/>
        <v>5070.8700000000008</v>
      </c>
      <c r="AV54" s="13">
        <f t="shared" si="31"/>
        <v>5062.7024999999994</v>
      </c>
      <c r="AW54" s="13">
        <f t="shared" si="31"/>
        <v>5063.4375</v>
      </c>
      <c r="AX54" s="13">
        <f t="shared" si="31"/>
        <v>5071.84</v>
      </c>
      <c r="AY54" s="13">
        <f t="shared" si="31"/>
        <v>5069.2425000000003</v>
      </c>
      <c r="AZ54" s="13">
        <f t="shared" si="31"/>
        <v>5065.1900000000005</v>
      </c>
      <c r="BA54" s="13">
        <f t="shared" si="31"/>
        <v>5062.9075000000003</v>
      </c>
      <c r="BB54" s="13">
        <f t="shared" si="31"/>
        <v>5056.0300000000007</v>
      </c>
      <c r="BC54" s="13">
        <f t="shared" si="31"/>
        <v>5041.4250000000002</v>
      </c>
      <c r="BD54" s="13">
        <f t="shared" si="31"/>
        <v>5052.875</v>
      </c>
      <c r="BE54" s="13">
        <f t="shared" si="31"/>
        <v>5057.2550000000001</v>
      </c>
      <c r="BF54" s="13">
        <f t="shared" si="31"/>
        <v>5053.3649999999998</v>
      </c>
      <c r="BG54" s="13">
        <f t="shared" si="31"/>
        <v>5057.5375000000004</v>
      </c>
      <c r="BH54" s="13">
        <f t="shared" si="31"/>
        <v>5061.3999999999996</v>
      </c>
      <c r="BI54" s="13">
        <f t="shared" si="31"/>
        <v>5059.375</v>
      </c>
      <c r="BJ54" s="13">
        <f t="shared" si="31"/>
        <v>5062.4525000000003</v>
      </c>
      <c r="BK54" s="13">
        <f t="shared" si="31"/>
        <v>5063.6424999999999</v>
      </c>
      <c r="BL54" s="13">
        <f t="shared" si="31"/>
        <v>5064.4475000000002</v>
      </c>
      <c r="BM54" s="13">
        <f t="shared" si="31"/>
        <v>5066.3474999999999</v>
      </c>
      <c r="BN54" s="13">
        <f t="shared" si="31"/>
        <v>5064.2224999999999</v>
      </c>
      <c r="BO54" s="13">
        <f t="shared" ref="BO54:CT54" si="32">(BO50+BO51+BO52+BO53)/4</f>
        <v>5064.2624999999998</v>
      </c>
      <c r="BP54" s="13">
        <f t="shared" si="32"/>
        <v>5058.84</v>
      </c>
      <c r="BQ54" s="13">
        <f t="shared" si="32"/>
        <v>5058.8999999999996</v>
      </c>
      <c r="BR54" s="13">
        <f t="shared" si="32"/>
        <v>5063.5450000000001</v>
      </c>
      <c r="BS54" s="13">
        <f t="shared" si="32"/>
        <v>5060.415</v>
      </c>
      <c r="BT54" s="13">
        <f t="shared" si="32"/>
        <v>5062.3424999999997</v>
      </c>
      <c r="BU54" s="13">
        <f t="shared" si="32"/>
        <v>5054.7924999999996</v>
      </c>
      <c r="BV54" s="13">
        <f t="shared" si="32"/>
        <v>5069.9324999999999</v>
      </c>
      <c r="BW54" s="13">
        <f t="shared" si="32"/>
        <v>5071.2274999999991</v>
      </c>
      <c r="BX54" s="13">
        <f t="shared" si="32"/>
        <v>5075.3024999999998</v>
      </c>
      <c r="BY54" s="13">
        <f t="shared" si="32"/>
        <v>5069.0650000000005</v>
      </c>
      <c r="BZ54" s="13">
        <f t="shared" si="32"/>
        <v>5066.7925000000005</v>
      </c>
      <c r="CA54" s="13">
        <f t="shared" si="32"/>
        <v>5068.16</v>
      </c>
      <c r="CB54" s="13">
        <f t="shared" si="32"/>
        <v>5063.0349999999999</v>
      </c>
      <c r="CC54" s="13">
        <f t="shared" si="32"/>
        <v>5066.4225000000006</v>
      </c>
      <c r="CD54" s="13">
        <f t="shared" si="32"/>
        <v>5066.5200000000004</v>
      </c>
      <c r="CE54" s="13">
        <f t="shared" si="32"/>
        <v>5060.84</v>
      </c>
      <c r="CF54" s="13">
        <f t="shared" si="32"/>
        <v>5067.9224999999997</v>
      </c>
      <c r="CG54" s="13">
        <f t="shared" si="32"/>
        <v>5068.585</v>
      </c>
      <c r="CH54" s="13">
        <f t="shared" si="32"/>
        <v>5068.3575000000001</v>
      </c>
      <c r="CI54" s="13">
        <f t="shared" si="32"/>
        <v>5056.9175000000005</v>
      </c>
      <c r="CJ54" s="13">
        <f t="shared" si="32"/>
        <v>5063.6025</v>
      </c>
      <c r="CK54" s="13">
        <f t="shared" si="32"/>
        <v>5069.0149999999994</v>
      </c>
      <c r="CL54" s="13">
        <f t="shared" si="32"/>
        <v>5069.1674999999996</v>
      </c>
      <c r="CM54" s="13">
        <f t="shared" si="32"/>
        <v>5071.9650000000001</v>
      </c>
      <c r="CN54" s="13">
        <f t="shared" si="32"/>
        <v>5058.5225</v>
      </c>
      <c r="CO54" s="13">
        <f t="shared" si="32"/>
        <v>5059.9425000000001</v>
      </c>
      <c r="CP54" s="13">
        <f t="shared" si="32"/>
        <v>5063.3525</v>
      </c>
      <c r="CQ54" s="13">
        <f t="shared" si="32"/>
        <v>5061.3175000000001</v>
      </c>
      <c r="CR54" s="13">
        <f t="shared" si="32"/>
        <v>5054.2275</v>
      </c>
      <c r="CS54" s="13">
        <f t="shared" si="32"/>
        <v>5050.7250000000004</v>
      </c>
      <c r="CT54" s="13">
        <f t="shared" si="32"/>
        <v>5048.4525000000003</v>
      </c>
      <c r="CU54" s="13">
        <f t="shared" ref="CU54:DL54" si="33">(CU50+CU51+CU52+CU53)/4</f>
        <v>5050.2150000000001</v>
      </c>
      <c r="CV54" s="13">
        <f t="shared" si="33"/>
        <v>5056.0424999999996</v>
      </c>
      <c r="CW54" s="13">
        <f t="shared" si="33"/>
        <v>5056.3100000000004</v>
      </c>
      <c r="CX54" s="13">
        <f t="shared" si="33"/>
        <v>5053.9025000000001</v>
      </c>
      <c r="CY54" s="13">
        <f t="shared" si="33"/>
        <v>5056.7650000000003</v>
      </c>
      <c r="CZ54" s="13">
        <f t="shared" si="33"/>
        <v>5058.2250000000004</v>
      </c>
      <c r="DA54" s="13">
        <f t="shared" si="33"/>
        <v>5053.4075000000003</v>
      </c>
      <c r="DB54" s="13">
        <f t="shared" si="33"/>
        <v>5058.3225000000002</v>
      </c>
      <c r="DC54" s="13">
        <f t="shared" si="33"/>
        <v>5058.7525000000005</v>
      </c>
      <c r="DD54" s="13">
        <f t="shared" si="33"/>
        <v>5055.8600000000006</v>
      </c>
      <c r="DE54" s="13">
        <f t="shared" si="33"/>
        <v>5063.0200000000004</v>
      </c>
      <c r="DF54" s="13">
        <f t="shared" si="33"/>
        <v>5067.1949999999997</v>
      </c>
      <c r="DG54" s="13">
        <f t="shared" si="33"/>
        <v>5063.3500000000004</v>
      </c>
      <c r="DH54" s="13">
        <f t="shared" si="33"/>
        <v>5056.9750000000004</v>
      </c>
      <c r="DI54" s="13">
        <f t="shared" si="33"/>
        <v>5063.6000000000004</v>
      </c>
      <c r="DJ54" s="13">
        <f t="shared" si="33"/>
        <v>5067.7550000000001</v>
      </c>
      <c r="DK54" s="13">
        <f t="shared" si="33"/>
        <v>5067.37</v>
      </c>
      <c r="DL54" s="13">
        <f t="shared" si="33"/>
        <v>5054.8099999999995</v>
      </c>
      <c r="DM54" s="26"/>
      <c r="DN54" s="25"/>
      <c r="DO54" s="27"/>
      <c r="DP54" s="25"/>
      <c r="DQ54" s="27"/>
      <c r="DR54" s="25"/>
      <c r="DS54" s="27"/>
      <c r="DT54" s="25"/>
    </row>
    <row r="55" spans="1:126" ht="15.75" x14ac:dyDescent="0.25">
      <c r="A55" s="11" t="s">
        <v>5</v>
      </c>
      <c r="B55" s="11" t="s">
        <v>11</v>
      </c>
      <c r="C55" s="15">
        <v>0.375</v>
      </c>
      <c r="D55" s="15">
        <v>0.37847222222222227</v>
      </c>
      <c r="E55" s="15">
        <v>0.38194444444444442</v>
      </c>
      <c r="F55" s="15">
        <v>0.38541666666666669</v>
      </c>
      <c r="G55" s="15">
        <v>0.3888888888888889</v>
      </c>
      <c r="H55" s="15">
        <v>0.3923611111111111</v>
      </c>
      <c r="I55" s="15">
        <v>0.39583333333333331</v>
      </c>
      <c r="J55" s="15">
        <v>0.39930555555555558</v>
      </c>
      <c r="K55" s="15">
        <v>0.40277777777777773</v>
      </c>
      <c r="L55" s="15">
        <v>0.40625</v>
      </c>
      <c r="M55" s="15">
        <v>0.40972222222222227</v>
      </c>
      <c r="N55" s="15">
        <v>0.41319444444444442</v>
      </c>
      <c r="O55" s="15">
        <v>0.41666666666666669</v>
      </c>
      <c r="P55" s="15">
        <v>0.4201388888888889</v>
      </c>
      <c r="Q55" s="15">
        <v>0.4236111111111111</v>
      </c>
      <c r="R55" s="15">
        <v>0.42708333333333331</v>
      </c>
      <c r="S55" s="15">
        <v>0.43055555555555558</v>
      </c>
      <c r="T55" s="15">
        <v>0.43402777777777773</v>
      </c>
      <c r="U55" s="15">
        <v>0.4375</v>
      </c>
      <c r="V55" s="15">
        <v>0.44097222222222227</v>
      </c>
      <c r="W55" s="15">
        <v>0.44444444444444442</v>
      </c>
      <c r="X55" s="15">
        <v>0.44791666666666669</v>
      </c>
      <c r="Y55" s="15">
        <v>0.4513888888888889</v>
      </c>
      <c r="Z55" s="15">
        <v>0.4548611111111111</v>
      </c>
      <c r="AA55" s="15">
        <v>0.45833333333333331</v>
      </c>
      <c r="AB55" s="15">
        <v>0.46180555555555558</v>
      </c>
      <c r="AC55" s="15">
        <v>0.46527777777777773</v>
      </c>
      <c r="AD55" s="15">
        <v>0.46875</v>
      </c>
      <c r="AE55" s="15">
        <v>0.47222222222222227</v>
      </c>
      <c r="AF55" s="15">
        <v>0.47569444444444442</v>
      </c>
      <c r="AG55" s="15">
        <v>0.47916666666666669</v>
      </c>
      <c r="AH55" s="15">
        <v>0.4826388888888889</v>
      </c>
      <c r="AI55" s="15">
        <v>0.4861111111111111</v>
      </c>
      <c r="AJ55" s="15">
        <v>0.48958333333333331</v>
      </c>
      <c r="AK55" s="15">
        <v>0.49305555555555558</v>
      </c>
      <c r="AL55" s="15">
        <v>0.49652777777777773</v>
      </c>
      <c r="AM55" s="15">
        <v>0.5</v>
      </c>
      <c r="AN55" s="15">
        <v>0.50347222222222221</v>
      </c>
      <c r="AO55" s="15">
        <v>0.50694444444444442</v>
      </c>
      <c r="AP55" s="15">
        <v>0.51041666666666663</v>
      </c>
      <c r="AQ55" s="15">
        <v>0.51388888888888895</v>
      </c>
      <c r="AR55" s="15">
        <v>0.51736111111111105</v>
      </c>
      <c r="AS55" s="15">
        <v>0.52083333333333337</v>
      </c>
      <c r="AT55" s="15">
        <v>0.52430555555555558</v>
      </c>
      <c r="AU55" s="15">
        <v>0.52777777777777779</v>
      </c>
      <c r="AV55" s="15">
        <v>0.53125</v>
      </c>
      <c r="AW55" s="15">
        <v>0.53472222222222221</v>
      </c>
      <c r="AX55" s="15">
        <v>0.53819444444444442</v>
      </c>
      <c r="AY55" s="15">
        <v>0.54166666666666663</v>
      </c>
      <c r="AZ55" s="15">
        <v>0.54513888888888895</v>
      </c>
      <c r="BA55" s="15">
        <v>0.54861111111111105</v>
      </c>
      <c r="BB55" s="15">
        <v>0.55208333333333337</v>
      </c>
      <c r="BC55" s="15">
        <v>0.55555555555555558</v>
      </c>
      <c r="BD55" s="15">
        <v>0.55902777777777779</v>
      </c>
      <c r="BE55" s="15">
        <v>0.5625</v>
      </c>
      <c r="BF55" s="15">
        <v>0.56597222222222221</v>
      </c>
      <c r="BG55" s="15">
        <v>0.56944444444444442</v>
      </c>
      <c r="BH55" s="15">
        <v>0.57291666666666663</v>
      </c>
      <c r="BI55" s="15">
        <v>0.57638888888888895</v>
      </c>
      <c r="BJ55" s="15">
        <v>0.57986111111111105</v>
      </c>
      <c r="BK55" s="15">
        <v>0.58333333333333337</v>
      </c>
      <c r="BL55" s="15">
        <v>0.58680555555555558</v>
      </c>
      <c r="BM55" s="15">
        <v>0.59027777777777779</v>
      </c>
      <c r="BN55" s="15">
        <v>0.59375</v>
      </c>
      <c r="BO55" s="15">
        <v>0.59722222222222221</v>
      </c>
      <c r="BP55" s="15">
        <v>0.60069444444444442</v>
      </c>
      <c r="BQ55" s="15">
        <v>0.60416666666666663</v>
      </c>
      <c r="BR55" s="15">
        <v>0.60763888888888895</v>
      </c>
      <c r="BS55" s="15">
        <v>0.61111111111111105</v>
      </c>
      <c r="BT55" s="15">
        <v>0.61458333333333337</v>
      </c>
      <c r="BU55" s="15">
        <v>0.61805555555555558</v>
      </c>
      <c r="BV55" s="15">
        <v>0.62152777777777779</v>
      </c>
      <c r="BW55" s="15">
        <v>0.625</v>
      </c>
      <c r="BX55" s="15">
        <v>0.62847222222222221</v>
      </c>
      <c r="BY55" s="15">
        <v>0.63194444444444442</v>
      </c>
      <c r="BZ55" s="15">
        <v>0.63541666666666663</v>
      </c>
      <c r="CA55" s="15">
        <v>0.63888888888888895</v>
      </c>
      <c r="CB55" s="15">
        <v>0.64236111111111105</v>
      </c>
      <c r="CC55" s="15">
        <v>0.64583333333333337</v>
      </c>
      <c r="CD55" s="15">
        <v>0.64930555555555558</v>
      </c>
      <c r="CE55" s="15">
        <v>0.65277777777777779</v>
      </c>
      <c r="CF55" s="15">
        <v>0.65625</v>
      </c>
      <c r="CG55" s="15">
        <v>0.65972222222222221</v>
      </c>
      <c r="CH55" s="15">
        <v>0.66319444444444442</v>
      </c>
      <c r="CI55" s="15">
        <v>0.66666666666666663</v>
      </c>
      <c r="CJ55" s="15">
        <v>0.67013888888888884</v>
      </c>
      <c r="CK55" s="15">
        <v>0.67361111111111116</v>
      </c>
      <c r="CL55" s="15">
        <v>0.67708333333333337</v>
      </c>
      <c r="CM55" s="15">
        <v>0.68055555555555547</v>
      </c>
      <c r="CN55" s="15">
        <v>0.68402777777777779</v>
      </c>
      <c r="CO55" s="15">
        <v>0.6875</v>
      </c>
      <c r="CP55" s="15">
        <v>0.69097222222222221</v>
      </c>
      <c r="CQ55" s="15">
        <v>0.69444444444444453</v>
      </c>
      <c r="CR55" s="15">
        <v>0.69791666666666663</v>
      </c>
      <c r="CS55" s="15">
        <v>0.70138888888888884</v>
      </c>
      <c r="CT55" s="15">
        <v>0.70486111111111116</v>
      </c>
      <c r="CU55" s="15">
        <v>0.70833333333333337</v>
      </c>
      <c r="CV55" s="15">
        <v>0.71180555555555547</v>
      </c>
      <c r="CW55" s="15">
        <v>0.71527777777777779</v>
      </c>
      <c r="CX55" s="15">
        <v>0.71875</v>
      </c>
      <c r="CY55" s="15">
        <v>0.72222222222222221</v>
      </c>
      <c r="CZ55" s="15">
        <v>0.72569444444444453</v>
      </c>
      <c r="DA55" s="15">
        <v>0.72916666666666663</v>
      </c>
      <c r="DB55" s="15">
        <v>0.73263888888888884</v>
      </c>
      <c r="DC55" s="15">
        <v>0.73611111111111116</v>
      </c>
      <c r="DD55" s="15">
        <v>0.73958333333333337</v>
      </c>
      <c r="DE55" s="15">
        <v>0.74305555555555547</v>
      </c>
      <c r="DF55" s="15">
        <v>0.74652777777777779</v>
      </c>
      <c r="DG55" s="15">
        <v>0.75</v>
      </c>
      <c r="DH55" s="15">
        <v>0.75347222222222221</v>
      </c>
      <c r="DI55" s="15">
        <v>0.75694444444444453</v>
      </c>
      <c r="DJ55" s="15">
        <v>0.76041666666666663</v>
      </c>
      <c r="DK55" s="15">
        <v>0.76388888888888884</v>
      </c>
      <c r="DL55" s="15">
        <v>0.76736111111111116</v>
      </c>
      <c r="DM55" s="23">
        <v>44358</v>
      </c>
    </row>
    <row r="56" spans="1:126" ht="15.75" x14ac:dyDescent="0.25">
      <c r="A56" s="14">
        <v>44179</v>
      </c>
      <c r="B56" s="12" t="s">
        <v>6</v>
      </c>
      <c r="C56" s="13">
        <v>5047</v>
      </c>
      <c r="D56" s="13">
        <v>5054</v>
      </c>
      <c r="E56" s="13">
        <v>5049</v>
      </c>
      <c r="F56" s="13">
        <v>5036.76</v>
      </c>
      <c r="G56" s="13">
        <v>5056.1000000000004</v>
      </c>
      <c r="H56" s="13">
        <v>5083.75</v>
      </c>
      <c r="I56" s="13">
        <v>5076.43</v>
      </c>
      <c r="J56" s="13">
        <v>5085.63</v>
      </c>
      <c r="K56" s="13">
        <v>5085</v>
      </c>
      <c r="L56" s="13">
        <v>5080.63</v>
      </c>
      <c r="M56" s="13">
        <v>5069.91</v>
      </c>
      <c r="N56" s="13">
        <v>5088.33</v>
      </c>
      <c r="O56" s="13">
        <v>5088.8900000000003</v>
      </c>
      <c r="P56" s="13">
        <v>5100.1400000000003</v>
      </c>
      <c r="Q56" s="13">
        <v>5066.92</v>
      </c>
      <c r="R56" s="13">
        <v>5100</v>
      </c>
      <c r="S56" s="13">
        <v>5062.6899999999996</v>
      </c>
      <c r="T56" s="13">
        <v>5070.3599999999997</v>
      </c>
      <c r="U56" s="13">
        <v>5097.5</v>
      </c>
      <c r="V56" s="13">
        <v>5098.5</v>
      </c>
      <c r="W56" s="13">
        <v>5077.92</v>
      </c>
      <c r="X56" s="13">
        <v>5096.5</v>
      </c>
      <c r="Y56" s="13">
        <v>5074.17</v>
      </c>
      <c r="Z56" s="13">
        <v>5047.3599999999997</v>
      </c>
      <c r="AA56" s="13">
        <v>5071.92</v>
      </c>
      <c r="AB56" s="13">
        <v>5058.68</v>
      </c>
      <c r="AC56" s="13">
        <v>5045.8999999999996</v>
      </c>
      <c r="AD56" s="13">
        <v>5056.6899999999996</v>
      </c>
      <c r="AE56" s="13">
        <v>5077.92</v>
      </c>
      <c r="AF56" s="13">
        <v>5067.1099999999997</v>
      </c>
      <c r="AG56" s="13">
        <v>5106</v>
      </c>
      <c r="AH56" s="13">
        <v>5084.6400000000003</v>
      </c>
      <c r="AI56" s="13">
        <v>5094.58</v>
      </c>
      <c r="AJ56" s="13">
        <v>5097.25</v>
      </c>
      <c r="AK56" s="13">
        <v>5097.92</v>
      </c>
      <c r="AL56" s="13">
        <v>5099.92</v>
      </c>
      <c r="AM56" s="13">
        <v>5107</v>
      </c>
      <c r="AN56" s="13">
        <v>5102.63</v>
      </c>
      <c r="AO56" s="13">
        <v>5120.3599999999997</v>
      </c>
      <c r="AP56" s="13">
        <v>5116.5600000000004</v>
      </c>
      <c r="AQ56" s="13">
        <v>5119.76</v>
      </c>
      <c r="AR56" s="13">
        <v>5131</v>
      </c>
      <c r="AS56" s="13">
        <v>5118.18</v>
      </c>
      <c r="AT56" s="13">
        <v>5115.13</v>
      </c>
      <c r="AU56" s="13">
        <v>5124.2</v>
      </c>
      <c r="AV56" s="13">
        <v>5124.2</v>
      </c>
      <c r="AW56" s="13">
        <v>5121</v>
      </c>
      <c r="AX56" s="13">
        <v>5120.1099999999997</v>
      </c>
      <c r="AY56" s="13">
        <v>5135</v>
      </c>
      <c r="AZ56" s="13">
        <v>5155</v>
      </c>
      <c r="BA56" s="13">
        <v>5143.75</v>
      </c>
      <c r="BB56" s="13">
        <v>5134.53</v>
      </c>
      <c r="BC56" s="13">
        <v>5139.41</v>
      </c>
      <c r="BD56" s="13">
        <v>5141.47</v>
      </c>
      <c r="BE56" s="13">
        <v>5143.2700000000004</v>
      </c>
      <c r="BF56" s="13">
        <v>5141.1899999999996</v>
      </c>
      <c r="BG56" s="13">
        <v>5143.26</v>
      </c>
      <c r="BH56" s="13">
        <v>5147.22</v>
      </c>
      <c r="BI56" s="13">
        <v>5141.32</v>
      </c>
      <c r="BJ56" s="13">
        <v>5139.8599999999997</v>
      </c>
      <c r="BK56" s="13">
        <v>5139.43</v>
      </c>
      <c r="BL56" s="13">
        <v>5142.28</v>
      </c>
      <c r="BM56" s="13">
        <v>5139</v>
      </c>
      <c r="BN56" s="13">
        <v>5136.51</v>
      </c>
      <c r="BO56" s="13">
        <v>5142.68</v>
      </c>
      <c r="BP56" s="13">
        <v>5140.08</v>
      </c>
      <c r="BQ56" s="13">
        <v>5142.1499999999996</v>
      </c>
      <c r="BR56" s="13">
        <v>5142.41</v>
      </c>
      <c r="BS56" s="13">
        <v>5142.41</v>
      </c>
      <c r="BT56" s="13">
        <v>5142.54</v>
      </c>
      <c r="BU56" s="13">
        <v>5142.67</v>
      </c>
      <c r="BV56" s="13">
        <v>5143.05</v>
      </c>
      <c r="BW56" s="13">
        <v>5142.68</v>
      </c>
      <c r="BX56" s="13">
        <v>5136.7</v>
      </c>
      <c r="BY56" s="13">
        <v>5141.03</v>
      </c>
      <c r="BZ56" s="13">
        <v>5137.1099999999997</v>
      </c>
      <c r="CA56" s="13">
        <v>5135.62</v>
      </c>
      <c r="CB56" s="13">
        <v>5139.07</v>
      </c>
      <c r="CC56" s="13">
        <v>5137.16</v>
      </c>
      <c r="CD56" s="13">
        <v>5141.16</v>
      </c>
      <c r="CE56" s="13">
        <v>5141.59</v>
      </c>
      <c r="CF56" s="13">
        <v>5142.03</v>
      </c>
      <c r="CG56" s="13">
        <v>5142.46</v>
      </c>
      <c r="CH56" s="13">
        <v>5142.24</v>
      </c>
      <c r="CI56" s="13">
        <v>5139.2700000000004</v>
      </c>
      <c r="CJ56" s="13">
        <v>5138.6400000000003</v>
      </c>
      <c r="CK56" s="13">
        <v>5138.57</v>
      </c>
      <c r="CL56" s="13">
        <v>5139.18</v>
      </c>
      <c r="CM56" s="13">
        <v>5142.6000000000004</v>
      </c>
      <c r="CN56" s="13">
        <v>5138.57</v>
      </c>
      <c r="CO56" s="13">
        <v>5138.07</v>
      </c>
      <c r="CP56" s="13">
        <v>5142.1000000000004</v>
      </c>
      <c r="CQ56" s="13">
        <v>5143.55</v>
      </c>
      <c r="CR56" s="13">
        <v>5143.55</v>
      </c>
      <c r="CS56" s="13">
        <v>5144</v>
      </c>
      <c r="CT56" s="13">
        <v>5142.43</v>
      </c>
      <c r="CU56" s="13">
        <v>5144.71</v>
      </c>
      <c r="CV56" s="13">
        <v>5142.9799999999996</v>
      </c>
      <c r="CW56" s="13">
        <v>5142.3900000000003</v>
      </c>
      <c r="CX56" s="13">
        <v>5139.3999999999996</v>
      </c>
      <c r="CY56" s="13">
        <v>5142.57</v>
      </c>
      <c r="CZ56" s="13">
        <v>5141.43</v>
      </c>
      <c r="DA56" s="13">
        <v>5138.6499999999996</v>
      </c>
      <c r="DB56" s="13">
        <v>5144.1099999999997</v>
      </c>
      <c r="DC56" s="13">
        <v>5141.83</v>
      </c>
      <c r="DD56" s="13">
        <v>5144.28</v>
      </c>
      <c r="DE56" s="13">
        <v>5143.41</v>
      </c>
      <c r="DF56" s="13">
        <v>5136.41</v>
      </c>
      <c r="DG56" s="13">
        <v>5140.8500000000004</v>
      </c>
      <c r="DH56" s="13">
        <v>5143.76</v>
      </c>
      <c r="DI56" s="13">
        <v>5142.08</v>
      </c>
      <c r="DJ56" s="13">
        <v>5142.08</v>
      </c>
      <c r="DK56" s="13">
        <v>5136.8900000000003</v>
      </c>
      <c r="DL56" s="13">
        <v>5144.1099999999997</v>
      </c>
      <c r="DM56" s="32"/>
      <c r="DN56" s="33"/>
      <c r="DO56" s="32"/>
      <c r="DP56" s="33"/>
      <c r="DQ56" s="32"/>
      <c r="DR56" s="33"/>
      <c r="DS56" s="32"/>
      <c r="DT56" s="33"/>
      <c r="DU56" s="32"/>
      <c r="DV56" s="33"/>
    </row>
    <row r="57" spans="1:126" ht="15.75" x14ac:dyDescent="0.25">
      <c r="A57" s="14" t="s">
        <v>12</v>
      </c>
      <c r="B57" s="12" t="s">
        <v>10</v>
      </c>
      <c r="C57" s="13">
        <v>5047</v>
      </c>
      <c r="D57" s="13">
        <v>5048.75</v>
      </c>
      <c r="E57" s="13">
        <v>5035.18</v>
      </c>
      <c r="F57" s="13">
        <v>5034.58</v>
      </c>
      <c r="G57" s="13">
        <v>5049.45</v>
      </c>
      <c r="H57" s="13">
        <v>5083.75</v>
      </c>
      <c r="I57" s="13">
        <v>5051</v>
      </c>
      <c r="J57" s="13">
        <v>5065.7</v>
      </c>
      <c r="K57" s="13">
        <v>5038.47</v>
      </c>
      <c r="L57" s="13">
        <v>5043.57</v>
      </c>
      <c r="M57" s="13">
        <v>5039.1099999999997</v>
      </c>
      <c r="N57" s="13">
        <v>5051</v>
      </c>
      <c r="O57" s="13">
        <v>5028.84</v>
      </c>
      <c r="P57" s="13">
        <v>5057.07</v>
      </c>
      <c r="Q57" s="13">
        <v>5051.3500000000004</v>
      </c>
      <c r="R57" s="13">
        <v>5055.2</v>
      </c>
      <c r="S57" s="13">
        <v>5047.75</v>
      </c>
      <c r="T57" s="13">
        <v>5045.2</v>
      </c>
      <c r="U57" s="13">
        <v>5079.25</v>
      </c>
      <c r="V57" s="13">
        <v>5062</v>
      </c>
      <c r="W57" s="13">
        <v>5077.92</v>
      </c>
      <c r="X57" s="13">
        <v>5057.5</v>
      </c>
      <c r="Y57" s="13">
        <v>5048.4799999999996</v>
      </c>
      <c r="Z57" s="13">
        <v>5044.1899999999996</v>
      </c>
      <c r="AA57" s="13">
        <v>5038.8</v>
      </c>
      <c r="AB57" s="13">
        <v>5041.24</v>
      </c>
      <c r="AC57" s="13">
        <v>5045.8999999999996</v>
      </c>
      <c r="AD57" s="13">
        <v>5044.3999999999996</v>
      </c>
      <c r="AE57" s="13">
        <v>5051.04</v>
      </c>
      <c r="AF57" s="13">
        <v>5052.28</v>
      </c>
      <c r="AG57" s="13">
        <v>5085.3599999999997</v>
      </c>
      <c r="AH57" s="13">
        <v>5065.21</v>
      </c>
      <c r="AI57" s="13">
        <v>5062.83</v>
      </c>
      <c r="AJ57" s="13">
        <v>5069.24</v>
      </c>
      <c r="AK57" s="13">
        <v>5084.4799999999996</v>
      </c>
      <c r="AL57" s="13">
        <v>5087.76</v>
      </c>
      <c r="AM57" s="13">
        <v>5091.3999999999996</v>
      </c>
      <c r="AN57" s="13">
        <v>5096.5</v>
      </c>
      <c r="AO57" s="13">
        <v>5108.6099999999997</v>
      </c>
      <c r="AP57" s="13">
        <v>5114.17</v>
      </c>
      <c r="AQ57" s="13">
        <v>5118.6499999999996</v>
      </c>
      <c r="AR57" s="13">
        <v>5128.47</v>
      </c>
      <c r="AS57" s="13">
        <v>5102.38</v>
      </c>
      <c r="AT57" s="13">
        <v>5107.3500000000004</v>
      </c>
      <c r="AU57" s="13">
        <v>5116.5</v>
      </c>
      <c r="AV57" s="13">
        <v>5115.79</v>
      </c>
      <c r="AW57" s="13">
        <v>5116.5</v>
      </c>
      <c r="AX57" s="13">
        <v>5112.43</v>
      </c>
      <c r="AY57" s="13">
        <v>5135</v>
      </c>
      <c r="AZ57" s="13">
        <v>5135.9399999999996</v>
      </c>
      <c r="BA57" s="13">
        <v>5128.53</v>
      </c>
      <c r="BB57" s="13">
        <v>5123.1000000000004</v>
      </c>
      <c r="BC57" s="13">
        <v>5130.78</v>
      </c>
      <c r="BD57" s="13">
        <v>5133.8599999999997</v>
      </c>
      <c r="BE57" s="13">
        <v>5138.38</v>
      </c>
      <c r="BF57" s="13">
        <v>5137.6499999999996</v>
      </c>
      <c r="BG57" s="13">
        <v>5138.08</v>
      </c>
      <c r="BH57" s="13">
        <v>5136.7299999999996</v>
      </c>
      <c r="BI57" s="13">
        <v>5136.3500000000004</v>
      </c>
      <c r="BJ57" s="13">
        <v>5134.08</v>
      </c>
      <c r="BK57" s="13">
        <v>5139.43</v>
      </c>
      <c r="BL57" s="13">
        <v>5134.59</v>
      </c>
      <c r="BM57" s="13">
        <v>5133.54</v>
      </c>
      <c r="BN57" s="13">
        <v>5126.6499999999996</v>
      </c>
      <c r="BO57" s="13">
        <v>5134.16</v>
      </c>
      <c r="BP57" s="13">
        <v>5130.76</v>
      </c>
      <c r="BQ57" s="13">
        <v>5139.3</v>
      </c>
      <c r="BR57" s="13">
        <v>5135.7299999999996</v>
      </c>
      <c r="BS57" s="13">
        <v>5131.1099999999997</v>
      </c>
      <c r="BT57" s="13">
        <v>5136.6499999999996</v>
      </c>
      <c r="BU57" s="13">
        <v>5140.38</v>
      </c>
      <c r="BV57" s="13">
        <v>5132.16</v>
      </c>
      <c r="BW57" s="13">
        <v>5135.38</v>
      </c>
      <c r="BX57" s="13">
        <v>5130.21</v>
      </c>
      <c r="BY57" s="13">
        <v>5135.62</v>
      </c>
      <c r="BZ57" s="13">
        <v>5135.62</v>
      </c>
      <c r="CA57" s="13">
        <v>5131</v>
      </c>
      <c r="CB57" s="13">
        <v>5136.17</v>
      </c>
      <c r="CC57" s="13">
        <v>5124.1000000000004</v>
      </c>
      <c r="CD57" s="13">
        <v>5141.16</v>
      </c>
      <c r="CE57" s="13">
        <v>5133.62</v>
      </c>
      <c r="CF57" s="13">
        <v>5138.22</v>
      </c>
      <c r="CG57" s="13">
        <v>5136.25</v>
      </c>
      <c r="CH57" s="13">
        <v>5134.83</v>
      </c>
      <c r="CI57" s="13">
        <v>5132.1000000000004</v>
      </c>
      <c r="CJ57" s="13">
        <v>5129.12</v>
      </c>
      <c r="CK57" s="13">
        <v>5136.87</v>
      </c>
      <c r="CL57" s="13">
        <v>5137.6400000000003</v>
      </c>
      <c r="CM57" s="13">
        <v>5129.83</v>
      </c>
      <c r="CN57" s="13">
        <v>5136.87</v>
      </c>
      <c r="CO57" s="13">
        <v>5132.91</v>
      </c>
      <c r="CP57" s="13">
        <v>5134.87</v>
      </c>
      <c r="CQ57" s="13">
        <v>5138.78</v>
      </c>
      <c r="CR57" s="13">
        <v>5137.21</v>
      </c>
      <c r="CS57" s="13">
        <v>5136.38</v>
      </c>
      <c r="CT57" s="13">
        <v>5138.16</v>
      </c>
      <c r="CU57" s="13">
        <v>5144.3100000000004</v>
      </c>
      <c r="CV57" s="13">
        <v>5139.7299999999996</v>
      </c>
      <c r="CW57" s="13">
        <v>5138.25</v>
      </c>
      <c r="CX57" s="13">
        <v>5137.9799999999996</v>
      </c>
      <c r="CY57" s="13">
        <v>5138.41</v>
      </c>
      <c r="CZ57" s="13">
        <v>5135.0600000000004</v>
      </c>
      <c r="DA57" s="13">
        <v>5134.0600000000004</v>
      </c>
      <c r="DB57" s="13">
        <v>5138.67</v>
      </c>
      <c r="DC57" s="13">
        <v>5140.7299999999996</v>
      </c>
      <c r="DD57" s="13">
        <v>5139.8500000000004</v>
      </c>
      <c r="DE57" s="13">
        <v>5139.3100000000004</v>
      </c>
      <c r="DF57" s="13">
        <v>5132.8599999999997</v>
      </c>
      <c r="DG57" s="13">
        <v>5136.67</v>
      </c>
      <c r="DH57" s="13">
        <v>5140.53</v>
      </c>
      <c r="DI57" s="13">
        <v>5138.0200000000004</v>
      </c>
      <c r="DJ57" s="13">
        <v>5134.8999999999996</v>
      </c>
      <c r="DK57" s="13">
        <v>5134.25</v>
      </c>
      <c r="DL57" s="13">
        <v>5137.57</v>
      </c>
      <c r="DM57" s="32"/>
      <c r="DN57" s="33"/>
      <c r="DO57" s="32"/>
      <c r="DP57" s="33"/>
      <c r="DQ57" s="32"/>
      <c r="DR57" s="33"/>
      <c r="DS57" s="32"/>
      <c r="DT57" s="33"/>
      <c r="DU57" s="32"/>
      <c r="DV57" s="33"/>
    </row>
    <row r="58" spans="1:126" ht="15.75" x14ac:dyDescent="0.25">
      <c r="A58" s="14" t="s">
        <v>12</v>
      </c>
      <c r="B58" s="12" t="s">
        <v>9</v>
      </c>
      <c r="C58" s="13">
        <v>5021</v>
      </c>
      <c r="D58" s="13">
        <v>5038</v>
      </c>
      <c r="E58" s="13">
        <v>5025.32</v>
      </c>
      <c r="F58" s="13">
        <v>5019.38</v>
      </c>
      <c r="G58" s="13">
        <v>5027.3599999999997</v>
      </c>
      <c r="H58" s="13">
        <v>5029.33</v>
      </c>
      <c r="I58" s="13">
        <v>5031.2299999999996</v>
      </c>
      <c r="J58" s="13">
        <v>5031.07</v>
      </c>
      <c r="K58" s="13">
        <v>5020.7700000000004</v>
      </c>
      <c r="L58" s="13">
        <v>5023.93</v>
      </c>
      <c r="M58" s="13">
        <v>4994.88</v>
      </c>
      <c r="N58" s="13">
        <v>4996.12</v>
      </c>
      <c r="O58" s="13">
        <v>4975.83</v>
      </c>
      <c r="P58" s="13">
        <v>4985.1899999999996</v>
      </c>
      <c r="Q58" s="13">
        <v>4991.58</v>
      </c>
      <c r="R58" s="13">
        <v>4992.9399999999996</v>
      </c>
      <c r="S58" s="13">
        <v>4983.1499999999996</v>
      </c>
      <c r="T58" s="13">
        <v>4990.6099999999997</v>
      </c>
      <c r="U58" s="13">
        <v>4998.22</v>
      </c>
      <c r="V58" s="13">
        <v>4984.2700000000004</v>
      </c>
      <c r="W58" s="13">
        <v>4993.33</v>
      </c>
      <c r="X58" s="13">
        <v>4990.0600000000004</v>
      </c>
      <c r="Y58" s="13">
        <v>5003.7</v>
      </c>
      <c r="Z58" s="13">
        <v>4993.45</v>
      </c>
      <c r="AA58" s="13">
        <v>4997.53</v>
      </c>
      <c r="AB58" s="13">
        <v>4993.24</v>
      </c>
      <c r="AC58" s="13">
        <v>4996.72</v>
      </c>
      <c r="AD58" s="13">
        <v>4998.1400000000003</v>
      </c>
      <c r="AE58" s="13">
        <v>5005.87</v>
      </c>
      <c r="AF58" s="13">
        <v>5000.51</v>
      </c>
      <c r="AG58" s="13">
        <v>5010.67</v>
      </c>
      <c r="AH58" s="13">
        <v>5012.9799999999996</v>
      </c>
      <c r="AI58" s="13">
        <v>5006.24</v>
      </c>
      <c r="AJ58" s="13">
        <v>5014.93</v>
      </c>
      <c r="AK58" s="13">
        <v>5022.83</v>
      </c>
      <c r="AL58" s="13">
        <v>5024.8900000000003</v>
      </c>
      <c r="AM58" s="13">
        <v>5009.5</v>
      </c>
      <c r="AN58" s="13">
        <v>5028.8999999999996</v>
      </c>
      <c r="AO58" s="13">
        <v>5023.8900000000003</v>
      </c>
      <c r="AP58" s="13">
        <v>5040.57</v>
      </c>
      <c r="AQ58" s="13">
        <v>5044.53</v>
      </c>
      <c r="AR58" s="13">
        <v>5047.83</v>
      </c>
      <c r="AS58" s="13">
        <v>5002.41</v>
      </c>
      <c r="AT58" s="13">
        <v>5025.2700000000004</v>
      </c>
      <c r="AU58" s="13">
        <v>5037.43</v>
      </c>
      <c r="AV58" s="13">
        <v>5020.4399999999996</v>
      </c>
      <c r="AW58" s="13">
        <v>5043.9399999999996</v>
      </c>
      <c r="AX58" s="13">
        <v>5029.03</v>
      </c>
      <c r="AY58" s="13">
        <v>4986.1400000000003</v>
      </c>
      <c r="AZ58" s="13">
        <v>5030.43</v>
      </c>
      <c r="BA58" s="13">
        <v>5010.54</v>
      </c>
      <c r="BB58" s="13">
        <v>5008.25</v>
      </c>
      <c r="BC58" s="13">
        <v>5033.18</v>
      </c>
      <c r="BD58" s="13">
        <v>5026.55</v>
      </c>
      <c r="BE58" s="13">
        <v>5043.08</v>
      </c>
      <c r="BF58" s="13">
        <v>5017.8500000000004</v>
      </c>
      <c r="BG58" s="13">
        <v>5045.57</v>
      </c>
      <c r="BH58" s="13">
        <v>5012.6899999999996</v>
      </c>
      <c r="BI58" s="13">
        <v>5022.83</v>
      </c>
      <c r="BJ58" s="13">
        <v>5015.43</v>
      </c>
      <c r="BK58" s="13">
        <v>5029.4799999999996</v>
      </c>
      <c r="BL58" s="13">
        <v>5014.96</v>
      </c>
      <c r="BM58" s="13">
        <v>5014.29</v>
      </c>
      <c r="BN58" s="13">
        <v>5003.2</v>
      </c>
      <c r="BO58" s="13">
        <v>5031.45</v>
      </c>
      <c r="BP58" s="13">
        <v>5015.43</v>
      </c>
      <c r="BQ58" s="13">
        <v>5029.09</v>
      </c>
      <c r="BR58" s="13">
        <v>5016.29</v>
      </c>
      <c r="BS58" s="13">
        <v>5029.4799999999996</v>
      </c>
      <c r="BT58" s="13">
        <v>5041.18</v>
      </c>
      <c r="BU58" s="13">
        <v>5031.21</v>
      </c>
      <c r="BV58" s="13">
        <v>5050.16</v>
      </c>
      <c r="BW58" s="13">
        <v>5052.3</v>
      </c>
      <c r="BX58" s="13">
        <v>5039.28</v>
      </c>
      <c r="BY58" s="13">
        <v>5054.88</v>
      </c>
      <c r="BZ58" s="13">
        <v>5055.18</v>
      </c>
      <c r="CA58" s="13">
        <v>5047.6099999999997</v>
      </c>
      <c r="CB58" s="13">
        <v>5041.21</v>
      </c>
      <c r="CC58" s="13">
        <v>5045.41</v>
      </c>
      <c r="CD58" s="13">
        <v>5054.82</v>
      </c>
      <c r="CE58" s="13">
        <v>5050</v>
      </c>
      <c r="CF58" s="13">
        <v>5042.51</v>
      </c>
      <c r="CG58" s="13">
        <v>5057.57</v>
      </c>
      <c r="CH58" s="13">
        <v>5051.05</v>
      </c>
      <c r="CI58" s="13">
        <v>5051.05</v>
      </c>
      <c r="CJ58" s="13">
        <v>5017.21</v>
      </c>
      <c r="CK58" s="13">
        <v>5054.82</v>
      </c>
      <c r="CL58" s="13">
        <v>5055.96</v>
      </c>
      <c r="CM58" s="13">
        <v>5039.87</v>
      </c>
      <c r="CN58" s="13">
        <v>5040.67</v>
      </c>
      <c r="CO58" s="13">
        <v>5054.04</v>
      </c>
      <c r="CP58" s="13">
        <v>5055.8599999999997</v>
      </c>
      <c r="CQ58" s="13">
        <v>5051.68</v>
      </c>
      <c r="CR58" s="13">
        <v>5052.2</v>
      </c>
      <c r="CS58" s="13">
        <v>5044.49</v>
      </c>
      <c r="CT58" s="13">
        <v>5045.87</v>
      </c>
      <c r="CU58" s="13">
        <v>5063.18</v>
      </c>
      <c r="CV58" s="13">
        <v>5049.88</v>
      </c>
      <c r="CW58" s="13">
        <v>5060.8</v>
      </c>
      <c r="CX58" s="13">
        <v>5053.66</v>
      </c>
      <c r="CY58" s="13">
        <v>5052.5</v>
      </c>
      <c r="CZ58" s="13">
        <v>5051.05</v>
      </c>
      <c r="DA58" s="13">
        <v>5050</v>
      </c>
      <c r="DB58" s="13">
        <v>5058.9799999999996</v>
      </c>
      <c r="DC58" s="13">
        <v>5043.72</v>
      </c>
      <c r="DD58" s="13">
        <v>5048.84</v>
      </c>
      <c r="DE58" s="13">
        <v>5049.8900000000003</v>
      </c>
      <c r="DF58" s="13">
        <v>5041.13</v>
      </c>
      <c r="DG58" s="13">
        <v>5056.6899999999996</v>
      </c>
      <c r="DH58" s="13">
        <v>5058.6099999999997</v>
      </c>
      <c r="DI58" s="13">
        <v>5058.88</v>
      </c>
      <c r="DJ58" s="13">
        <v>5042.51</v>
      </c>
      <c r="DK58" s="13">
        <v>5042.05</v>
      </c>
      <c r="DL58" s="13">
        <v>5046.71</v>
      </c>
      <c r="DM58" s="32"/>
      <c r="DN58" s="33"/>
      <c r="DO58" s="32"/>
      <c r="DP58" s="33"/>
      <c r="DQ58" s="32"/>
      <c r="DR58" s="33"/>
      <c r="DS58" s="32"/>
      <c r="DT58" s="33"/>
      <c r="DU58" s="32"/>
      <c r="DV58" s="33"/>
    </row>
    <row r="59" spans="1:126" ht="15.75" x14ac:dyDescent="0.25">
      <c r="A59" s="14" t="s">
        <v>12</v>
      </c>
      <c r="B59" s="12" t="s">
        <v>7</v>
      </c>
      <c r="C59" s="13">
        <v>5021</v>
      </c>
      <c r="D59" s="13">
        <v>5025.5</v>
      </c>
      <c r="E59" s="13">
        <v>5025.32</v>
      </c>
      <c r="F59" s="13">
        <v>5019.38</v>
      </c>
      <c r="G59" s="13">
        <v>5019.71</v>
      </c>
      <c r="H59" s="13">
        <v>5025.9399999999996</v>
      </c>
      <c r="I59" s="13">
        <v>5031.1499999999996</v>
      </c>
      <c r="J59" s="13">
        <v>5030</v>
      </c>
      <c r="K59" s="13">
        <v>5020.7700000000004</v>
      </c>
      <c r="L59" s="13">
        <v>5020</v>
      </c>
      <c r="M59" s="13">
        <v>4994.88</v>
      </c>
      <c r="N59" s="13">
        <v>4983</v>
      </c>
      <c r="O59" s="13">
        <v>4923.33</v>
      </c>
      <c r="P59" s="13">
        <v>4966.26</v>
      </c>
      <c r="Q59" s="13">
        <v>4978.7</v>
      </c>
      <c r="R59" s="13">
        <v>4985.12</v>
      </c>
      <c r="S59" s="13">
        <v>4978.04</v>
      </c>
      <c r="T59" s="13">
        <v>4977.17</v>
      </c>
      <c r="U59" s="13">
        <v>4984.82</v>
      </c>
      <c r="V59" s="13">
        <v>4978.7</v>
      </c>
      <c r="W59" s="13">
        <v>4978.7</v>
      </c>
      <c r="X59" s="13">
        <v>4983.3500000000004</v>
      </c>
      <c r="Y59" s="13">
        <v>4983.8500000000004</v>
      </c>
      <c r="Z59" s="13">
        <v>4980.7</v>
      </c>
      <c r="AA59" s="13">
        <v>4988.5</v>
      </c>
      <c r="AB59" s="13">
        <v>4982.37</v>
      </c>
      <c r="AC59" s="13">
        <v>4986.3100000000004</v>
      </c>
      <c r="AD59" s="13">
        <v>4988.03</v>
      </c>
      <c r="AE59" s="13">
        <v>4994.51</v>
      </c>
      <c r="AF59" s="13">
        <v>4993.47</v>
      </c>
      <c r="AG59" s="13">
        <v>4993.88</v>
      </c>
      <c r="AH59" s="13">
        <v>4990.07</v>
      </c>
      <c r="AI59" s="13">
        <v>4992.5600000000004</v>
      </c>
      <c r="AJ59" s="13">
        <v>5005.29</v>
      </c>
      <c r="AK59" s="13">
        <v>5003.38</v>
      </c>
      <c r="AL59" s="13">
        <v>5010.1400000000003</v>
      </c>
      <c r="AM59" s="13">
        <v>4966.84</v>
      </c>
      <c r="AN59" s="13">
        <v>5012.47</v>
      </c>
      <c r="AO59" s="13">
        <v>5012.63</v>
      </c>
      <c r="AP59" s="13">
        <v>5016.78</v>
      </c>
      <c r="AQ59" s="13">
        <v>5004.8900000000003</v>
      </c>
      <c r="AR59" s="13">
        <v>5025.74</v>
      </c>
      <c r="AS59" s="13">
        <v>5002.41</v>
      </c>
      <c r="AT59" s="13">
        <v>5002.7</v>
      </c>
      <c r="AU59" s="13">
        <v>5017.5</v>
      </c>
      <c r="AV59" s="13">
        <v>5019.13</v>
      </c>
      <c r="AW59" s="13">
        <v>5020.84</v>
      </c>
      <c r="AX59" s="13">
        <v>5004.59</v>
      </c>
      <c r="AY59" s="13">
        <v>4981.43</v>
      </c>
      <c r="AZ59" s="13">
        <v>4972.75</v>
      </c>
      <c r="BA59" s="13">
        <v>4998.8</v>
      </c>
      <c r="BB59" s="13">
        <v>4999.2</v>
      </c>
      <c r="BC59" s="13">
        <v>4997.8</v>
      </c>
      <c r="BD59" s="13">
        <v>4998.91</v>
      </c>
      <c r="BE59" s="13">
        <v>5010.8500000000004</v>
      </c>
      <c r="BF59" s="13">
        <v>5013.92</v>
      </c>
      <c r="BG59" s="13">
        <v>5017.8500000000004</v>
      </c>
      <c r="BH59" s="13">
        <v>5001.3</v>
      </c>
      <c r="BI59" s="13">
        <v>5012.6899999999996</v>
      </c>
      <c r="BJ59" s="13">
        <v>4996.22</v>
      </c>
      <c r="BK59" s="13">
        <v>5015.43</v>
      </c>
      <c r="BL59" s="13">
        <v>5005</v>
      </c>
      <c r="BM59" s="13">
        <v>5004.3999999999996</v>
      </c>
      <c r="BN59" s="13">
        <v>5003.2</v>
      </c>
      <c r="BO59" s="13">
        <v>5012.57</v>
      </c>
      <c r="BP59" s="13">
        <v>4996.3500000000004</v>
      </c>
      <c r="BQ59" s="13">
        <v>5004.8</v>
      </c>
      <c r="BR59" s="13">
        <v>5016.29</v>
      </c>
      <c r="BS59" s="13">
        <v>5005.3999999999996</v>
      </c>
      <c r="BT59" s="13">
        <v>5016.1099999999997</v>
      </c>
      <c r="BU59" s="13">
        <v>4996.4799999999996</v>
      </c>
      <c r="BV59" s="13">
        <v>5017.43</v>
      </c>
      <c r="BW59" s="13">
        <v>5043.3900000000003</v>
      </c>
      <c r="BX59" s="13">
        <v>5030.88</v>
      </c>
      <c r="BY59" s="13">
        <v>5016.03</v>
      </c>
      <c r="BZ59" s="13">
        <v>5016.59</v>
      </c>
      <c r="CA59" s="13">
        <v>5016.66</v>
      </c>
      <c r="CB59" s="13">
        <v>5039.74</v>
      </c>
      <c r="CC59" s="13">
        <v>5037.1000000000004</v>
      </c>
      <c r="CD59" s="13">
        <v>5045.41</v>
      </c>
      <c r="CE59" s="13">
        <v>5016.66</v>
      </c>
      <c r="CF59" s="13">
        <v>5041.59</v>
      </c>
      <c r="CG59" s="13">
        <v>5036.8100000000004</v>
      </c>
      <c r="CH59" s="13">
        <v>5018.1400000000003</v>
      </c>
      <c r="CI59" s="13">
        <v>5032.24</v>
      </c>
      <c r="CJ59" s="13">
        <v>5017.21</v>
      </c>
      <c r="CK59" s="13">
        <v>5029.71</v>
      </c>
      <c r="CL59" s="13">
        <v>5030.24</v>
      </c>
      <c r="CM59" s="13">
        <v>5016.66</v>
      </c>
      <c r="CN59" s="13">
        <v>5039.87</v>
      </c>
      <c r="CO59" s="13">
        <v>5029.32</v>
      </c>
      <c r="CP59" s="13">
        <v>5048.0200000000004</v>
      </c>
      <c r="CQ59" s="13">
        <v>5041.46</v>
      </c>
      <c r="CR59" s="13">
        <v>5044.2299999999996</v>
      </c>
      <c r="CS59" s="13">
        <v>5019.41</v>
      </c>
      <c r="CT59" s="13">
        <v>5037.29</v>
      </c>
      <c r="CU59" s="13">
        <v>5019.6899999999996</v>
      </c>
      <c r="CV59" s="13">
        <v>5034.76</v>
      </c>
      <c r="CW59" s="13">
        <v>5034.38</v>
      </c>
      <c r="CX59" s="13">
        <v>5045.5600000000004</v>
      </c>
      <c r="CY59" s="13">
        <v>5034.1499999999996</v>
      </c>
      <c r="CZ59" s="13">
        <v>5032.47</v>
      </c>
      <c r="DA59" s="13">
        <v>5041.59</v>
      </c>
      <c r="DB59" s="13">
        <v>5031.47</v>
      </c>
      <c r="DC59" s="13">
        <v>5043.6400000000003</v>
      </c>
      <c r="DD59" s="13">
        <v>5017.3100000000004</v>
      </c>
      <c r="DE59" s="13">
        <v>5030.5600000000004</v>
      </c>
      <c r="DF59" s="13">
        <v>5031.09</v>
      </c>
      <c r="DG59" s="13">
        <v>5031.32</v>
      </c>
      <c r="DH59" s="13">
        <v>5041.79</v>
      </c>
      <c r="DI59" s="13">
        <v>5037.22</v>
      </c>
      <c r="DJ59" s="13">
        <v>5042.51</v>
      </c>
      <c r="DK59" s="13">
        <v>5032.24</v>
      </c>
      <c r="DL59" s="13">
        <v>5042.72</v>
      </c>
      <c r="DM59" s="32"/>
      <c r="DN59" s="33"/>
      <c r="DO59" s="32"/>
      <c r="DP59" s="33"/>
      <c r="DQ59" s="32"/>
      <c r="DR59" s="33"/>
      <c r="DS59" s="32"/>
      <c r="DT59" s="33"/>
      <c r="DU59" s="32"/>
      <c r="DV59" s="33"/>
    </row>
    <row r="60" spans="1:126" ht="15.75" x14ac:dyDescent="0.25">
      <c r="A60" s="14"/>
      <c r="B60" s="12"/>
      <c r="C60" s="13">
        <f t="shared" ref="C60:AH60" si="34">(C56+C57+C58+C59)/4</f>
        <v>5034</v>
      </c>
      <c r="D60" s="13">
        <f t="shared" si="34"/>
        <v>5041.5625</v>
      </c>
      <c r="E60" s="13">
        <f t="shared" si="34"/>
        <v>5033.7049999999999</v>
      </c>
      <c r="F60" s="13">
        <f t="shared" si="34"/>
        <v>5027.5250000000005</v>
      </c>
      <c r="G60" s="13">
        <f t="shared" si="34"/>
        <v>5038.1549999999997</v>
      </c>
      <c r="H60" s="13">
        <f t="shared" si="34"/>
        <v>5055.6925000000001</v>
      </c>
      <c r="I60" s="13">
        <f t="shared" si="34"/>
        <v>5047.4524999999994</v>
      </c>
      <c r="J60" s="13">
        <f t="shared" si="34"/>
        <v>5053.1000000000004</v>
      </c>
      <c r="K60" s="13">
        <f t="shared" si="34"/>
        <v>5041.2525000000005</v>
      </c>
      <c r="L60" s="13">
        <f t="shared" si="34"/>
        <v>5042.0325000000003</v>
      </c>
      <c r="M60" s="13">
        <f t="shared" si="34"/>
        <v>5024.6950000000006</v>
      </c>
      <c r="N60" s="13">
        <f t="shared" si="34"/>
        <v>5029.6125000000002</v>
      </c>
      <c r="O60" s="13">
        <f t="shared" si="34"/>
        <v>5004.2224999999999</v>
      </c>
      <c r="P60" s="13">
        <f t="shared" si="34"/>
        <v>5027.1649999999991</v>
      </c>
      <c r="Q60" s="13">
        <f t="shared" si="34"/>
        <v>5022.1374999999998</v>
      </c>
      <c r="R60" s="13">
        <f t="shared" si="34"/>
        <v>5033.3149999999996</v>
      </c>
      <c r="S60" s="13">
        <f t="shared" si="34"/>
        <v>5017.9074999999993</v>
      </c>
      <c r="T60" s="13">
        <f t="shared" si="34"/>
        <v>5020.8349999999991</v>
      </c>
      <c r="U60" s="13">
        <f t="shared" si="34"/>
        <v>5039.9475000000002</v>
      </c>
      <c r="V60" s="13">
        <f t="shared" si="34"/>
        <v>5030.8675000000003</v>
      </c>
      <c r="W60" s="13">
        <f t="shared" si="34"/>
        <v>5031.9674999999997</v>
      </c>
      <c r="X60" s="13">
        <f t="shared" si="34"/>
        <v>5031.8525000000009</v>
      </c>
      <c r="Y60" s="13">
        <f t="shared" si="34"/>
        <v>5027.5499999999993</v>
      </c>
      <c r="Z60" s="13">
        <f t="shared" si="34"/>
        <v>5016.4250000000002</v>
      </c>
      <c r="AA60" s="13">
        <f t="shared" si="34"/>
        <v>5024.1875</v>
      </c>
      <c r="AB60" s="13">
        <f t="shared" si="34"/>
        <v>5018.8824999999997</v>
      </c>
      <c r="AC60" s="13">
        <f t="shared" si="34"/>
        <v>5018.7075000000004</v>
      </c>
      <c r="AD60" s="13">
        <f t="shared" si="34"/>
        <v>5021.8149999999996</v>
      </c>
      <c r="AE60" s="13">
        <f t="shared" si="34"/>
        <v>5032.3349999999991</v>
      </c>
      <c r="AF60" s="13">
        <f t="shared" si="34"/>
        <v>5028.3424999999997</v>
      </c>
      <c r="AG60" s="13">
        <f t="shared" si="34"/>
        <v>5048.9775</v>
      </c>
      <c r="AH60" s="13">
        <f t="shared" si="34"/>
        <v>5038.2250000000004</v>
      </c>
      <c r="AI60" s="13">
        <f t="shared" ref="AI60:BN60" si="35">(AI56+AI57+AI58+AI59)/4</f>
        <v>5039.0524999999998</v>
      </c>
      <c r="AJ60" s="13">
        <f t="shared" si="35"/>
        <v>5046.6774999999998</v>
      </c>
      <c r="AK60" s="13">
        <f t="shared" si="35"/>
        <v>5052.1525000000001</v>
      </c>
      <c r="AL60" s="13">
        <f t="shared" si="35"/>
        <v>5055.6774999999998</v>
      </c>
      <c r="AM60" s="13">
        <f t="shared" si="35"/>
        <v>5043.6849999999995</v>
      </c>
      <c r="AN60" s="13">
        <f t="shared" si="35"/>
        <v>5060.125</v>
      </c>
      <c r="AO60" s="13">
        <f t="shared" si="35"/>
        <v>5066.3725000000004</v>
      </c>
      <c r="AP60" s="13">
        <f t="shared" si="35"/>
        <v>5072.0199999999995</v>
      </c>
      <c r="AQ60" s="13">
        <f t="shared" si="35"/>
        <v>5071.9574999999995</v>
      </c>
      <c r="AR60" s="13">
        <f t="shared" si="35"/>
        <v>5083.26</v>
      </c>
      <c r="AS60" s="13">
        <f t="shared" si="35"/>
        <v>5056.3450000000003</v>
      </c>
      <c r="AT60" s="13">
        <f t="shared" si="35"/>
        <v>5062.6125000000002</v>
      </c>
      <c r="AU60" s="13">
        <f t="shared" si="35"/>
        <v>5073.9075000000003</v>
      </c>
      <c r="AV60" s="13">
        <f t="shared" si="35"/>
        <v>5069.8900000000003</v>
      </c>
      <c r="AW60" s="13">
        <f t="shared" si="35"/>
        <v>5075.57</v>
      </c>
      <c r="AX60" s="13">
        <f t="shared" si="35"/>
        <v>5066.54</v>
      </c>
      <c r="AY60" s="13">
        <f t="shared" si="35"/>
        <v>5059.3924999999999</v>
      </c>
      <c r="AZ60" s="13">
        <f t="shared" si="35"/>
        <v>5073.53</v>
      </c>
      <c r="BA60" s="13">
        <f t="shared" si="35"/>
        <v>5070.4049999999997</v>
      </c>
      <c r="BB60" s="13">
        <f t="shared" si="35"/>
        <v>5066.2700000000004</v>
      </c>
      <c r="BC60" s="13">
        <f t="shared" si="35"/>
        <v>5075.2924999999996</v>
      </c>
      <c r="BD60" s="13">
        <f t="shared" si="35"/>
        <v>5075.1975000000002</v>
      </c>
      <c r="BE60" s="13">
        <f t="shared" si="35"/>
        <v>5083.8950000000004</v>
      </c>
      <c r="BF60" s="13">
        <f t="shared" si="35"/>
        <v>5077.6525000000001</v>
      </c>
      <c r="BG60" s="13">
        <f t="shared" si="35"/>
        <v>5086.1900000000005</v>
      </c>
      <c r="BH60" s="13">
        <f t="shared" si="35"/>
        <v>5074.4849999999997</v>
      </c>
      <c r="BI60" s="13">
        <f t="shared" si="35"/>
        <v>5078.2974999999997</v>
      </c>
      <c r="BJ60" s="13">
        <f t="shared" si="35"/>
        <v>5071.3975</v>
      </c>
      <c r="BK60" s="13">
        <f t="shared" si="35"/>
        <v>5080.9425000000001</v>
      </c>
      <c r="BL60" s="13">
        <f t="shared" si="35"/>
        <v>5074.2074999999995</v>
      </c>
      <c r="BM60" s="13">
        <f t="shared" si="35"/>
        <v>5072.8075000000008</v>
      </c>
      <c r="BN60" s="13">
        <f t="shared" si="35"/>
        <v>5067.3900000000003</v>
      </c>
      <c r="BO60" s="13">
        <f t="shared" ref="BO60:CT60" si="36">(BO56+BO57+BO58+BO59)/4</f>
        <v>5080.2150000000001</v>
      </c>
      <c r="BP60" s="13">
        <f t="shared" si="36"/>
        <v>5070.6550000000007</v>
      </c>
      <c r="BQ60" s="13">
        <f t="shared" si="36"/>
        <v>5078.835</v>
      </c>
      <c r="BR60" s="13">
        <f t="shared" si="36"/>
        <v>5077.68</v>
      </c>
      <c r="BS60" s="13">
        <f t="shared" si="36"/>
        <v>5077.1000000000004</v>
      </c>
      <c r="BT60" s="13">
        <f t="shared" si="36"/>
        <v>5084.12</v>
      </c>
      <c r="BU60" s="13">
        <f t="shared" si="36"/>
        <v>5077.6849999999995</v>
      </c>
      <c r="BV60" s="13">
        <f t="shared" si="36"/>
        <v>5085.7</v>
      </c>
      <c r="BW60" s="13">
        <f t="shared" si="36"/>
        <v>5093.4375</v>
      </c>
      <c r="BX60" s="13">
        <f t="shared" si="36"/>
        <v>5084.2674999999999</v>
      </c>
      <c r="BY60" s="13">
        <f t="shared" si="36"/>
        <v>5086.8899999999994</v>
      </c>
      <c r="BZ60" s="13">
        <f t="shared" si="36"/>
        <v>5086.125</v>
      </c>
      <c r="CA60" s="13">
        <f t="shared" si="36"/>
        <v>5082.7224999999999</v>
      </c>
      <c r="CB60" s="13">
        <f t="shared" si="36"/>
        <v>5089.0475000000006</v>
      </c>
      <c r="CC60" s="13">
        <f t="shared" si="36"/>
        <v>5085.9425000000001</v>
      </c>
      <c r="CD60" s="13">
        <f t="shared" si="36"/>
        <v>5095.6374999999998</v>
      </c>
      <c r="CE60" s="13">
        <f t="shared" si="36"/>
        <v>5085.4674999999997</v>
      </c>
      <c r="CF60" s="13">
        <f t="shared" si="36"/>
        <v>5091.0874999999996</v>
      </c>
      <c r="CG60" s="13">
        <f t="shared" si="36"/>
        <v>5093.2725</v>
      </c>
      <c r="CH60" s="13">
        <f t="shared" si="36"/>
        <v>5086.5649999999996</v>
      </c>
      <c r="CI60" s="13">
        <f t="shared" si="36"/>
        <v>5088.6650000000009</v>
      </c>
      <c r="CJ60" s="13">
        <f t="shared" si="36"/>
        <v>5075.5450000000001</v>
      </c>
      <c r="CK60" s="13">
        <f t="shared" si="36"/>
        <v>5089.9924999999994</v>
      </c>
      <c r="CL60" s="13">
        <f t="shared" si="36"/>
        <v>5090.7549999999992</v>
      </c>
      <c r="CM60" s="13">
        <f t="shared" si="36"/>
        <v>5082.24</v>
      </c>
      <c r="CN60" s="13">
        <f t="shared" si="36"/>
        <v>5088.9949999999999</v>
      </c>
      <c r="CO60" s="13">
        <f t="shared" si="36"/>
        <v>5088.585</v>
      </c>
      <c r="CP60" s="13">
        <f t="shared" si="36"/>
        <v>5095.2125000000005</v>
      </c>
      <c r="CQ60" s="13">
        <f t="shared" si="36"/>
        <v>5093.8675000000003</v>
      </c>
      <c r="CR60" s="13">
        <f t="shared" si="36"/>
        <v>5094.2974999999997</v>
      </c>
      <c r="CS60" s="13">
        <f t="shared" si="36"/>
        <v>5086.07</v>
      </c>
      <c r="CT60" s="13">
        <f t="shared" si="36"/>
        <v>5090.9375</v>
      </c>
      <c r="CU60" s="13">
        <f t="shared" ref="CU60:DL60" si="37">(CU56+CU57+CU58+CU59)/4</f>
        <v>5092.9724999999999</v>
      </c>
      <c r="CV60" s="13">
        <f t="shared" si="37"/>
        <v>5091.8374999999996</v>
      </c>
      <c r="CW60" s="13">
        <f t="shared" si="37"/>
        <v>5093.9549999999999</v>
      </c>
      <c r="CX60" s="13">
        <f t="shared" si="37"/>
        <v>5094.1499999999996</v>
      </c>
      <c r="CY60" s="13">
        <f t="shared" si="37"/>
        <v>5091.9074999999993</v>
      </c>
      <c r="CZ60" s="13">
        <f t="shared" si="37"/>
        <v>5090.0025000000005</v>
      </c>
      <c r="DA60" s="13">
        <f t="shared" si="37"/>
        <v>5091.0749999999998</v>
      </c>
      <c r="DB60" s="13">
        <f t="shared" si="37"/>
        <v>5093.3074999999999</v>
      </c>
      <c r="DC60" s="13">
        <f t="shared" si="37"/>
        <v>5092.4799999999996</v>
      </c>
      <c r="DD60" s="13">
        <f t="shared" si="37"/>
        <v>5087.5700000000006</v>
      </c>
      <c r="DE60" s="13">
        <f t="shared" si="37"/>
        <v>5090.7925000000005</v>
      </c>
      <c r="DF60" s="13">
        <f t="shared" si="37"/>
        <v>5085.3725000000004</v>
      </c>
      <c r="DG60" s="13">
        <f t="shared" si="37"/>
        <v>5091.3824999999997</v>
      </c>
      <c r="DH60" s="13">
        <f t="shared" si="37"/>
        <v>5096.1725000000006</v>
      </c>
      <c r="DI60" s="13">
        <f t="shared" si="37"/>
        <v>5094.05</v>
      </c>
      <c r="DJ60" s="13">
        <f t="shared" si="37"/>
        <v>5090.5</v>
      </c>
      <c r="DK60" s="13">
        <f t="shared" si="37"/>
        <v>5086.3575000000001</v>
      </c>
      <c r="DL60" s="13">
        <f t="shared" si="37"/>
        <v>5092.7775000000001</v>
      </c>
      <c r="DM60" s="26"/>
      <c r="DN60" s="25"/>
      <c r="DO60" s="27"/>
      <c r="DP60" s="25"/>
      <c r="DQ60" s="27"/>
      <c r="DR60" s="25"/>
      <c r="DS60" s="27"/>
      <c r="DT60" s="25"/>
    </row>
    <row r="61" spans="1:126" ht="15.75" x14ac:dyDescent="0.25">
      <c r="A61" s="11" t="s">
        <v>5</v>
      </c>
      <c r="B61" s="11" t="s">
        <v>11</v>
      </c>
      <c r="C61" s="15">
        <v>0.375</v>
      </c>
      <c r="D61" s="15">
        <v>0.37847222222222227</v>
      </c>
      <c r="E61" s="15">
        <v>0.38194444444444442</v>
      </c>
      <c r="F61" s="15">
        <v>0.38541666666666669</v>
      </c>
      <c r="G61" s="15">
        <v>0.3888888888888889</v>
      </c>
      <c r="H61" s="15">
        <v>0.3923611111111111</v>
      </c>
      <c r="I61" s="15">
        <v>0.39583333333333331</v>
      </c>
      <c r="J61" s="15">
        <v>0.39930555555555558</v>
      </c>
      <c r="K61" s="15">
        <v>0.40277777777777773</v>
      </c>
      <c r="L61" s="15">
        <v>0.40625</v>
      </c>
      <c r="M61" s="15">
        <v>0.40972222222222227</v>
      </c>
      <c r="N61" s="15">
        <v>0.41319444444444442</v>
      </c>
      <c r="O61" s="15">
        <v>0.41666666666666669</v>
      </c>
      <c r="P61" s="15">
        <v>0.4201388888888889</v>
      </c>
      <c r="Q61" s="15">
        <v>0.4236111111111111</v>
      </c>
      <c r="R61" s="15">
        <v>0.42708333333333331</v>
      </c>
      <c r="S61" s="15">
        <v>0.43055555555555558</v>
      </c>
      <c r="T61" s="15">
        <v>0.43402777777777773</v>
      </c>
      <c r="U61" s="15">
        <v>0.4375</v>
      </c>
      <c r="V61" s="15">
        <v>0.44097222222222227</v>
      </c>
      <c r="W61" s="15">
        <v>0.44444444444444442</v>
      </c>
      <c r="X61" s="15">
        <v>0.44791666666666669</v>
      </c>
      <c r="Y61" s="15">
        <v>0.4513888888888889</v>
      </c>
      <c r="Z61" s="15">
        <v>0.4548611111111111</v>
      </c>
      <c r="AA61" s="15">
        <v>0.45833333333333331</v>
      </c>
      <c r="AB61" s="15">
        <v>0.46180555555555558</v>
      </c>
      <c r="AC61" s="15">
        <v>0.46527777777777773</v>
      </c>
      <c r="AD61" s="15">
        <v>0.46875</v>
      </c>
      <c r="AE61" s="15">
        <v>0.47222222222222227</v>
      </c>
      <c r="AF61" s="15">
        <v>0.47569444444444442</v>
      </c>
      <c r="AG61" s="15">
        <v>0.47916666666666669</v>
      </c>
      <c r="AH61" s="15">
        <v>0.4826388888888889</v>
      </c>
      <c r="AI61" s="15">
        <v>0.4861111111111111</v>
      </c>
      <c r="AJ61" s="15">
        <v>0.48958333333333331</v>
      </c>
      <c r="AK61" s="15">
        <v>0.49305555555555558</v>
      </c>
      <c r="AL61" s="15">
        <v>0.49652777777777773</v>
      </c>
      <c r="AM61" s="15">
        <v>0.5</v>
      </c>
      <c r="AN61" s="15">
        <v>0.50347222222222221</v>
      </c>
      <c r="AO61" s="15">
        <v>0.50694444444444442</v>
      </c>
      <c r="AP61" s="15">
        <v>0.51041666666666663</v>
      </c>
      <c r="AQ61" s="15">
        <v>0.51388888888888895</v>
      </c>
      <c r="AR61" s="15">
        <v>0.51736111111111105</v>
      </c>
      <c r="AS61" s="15">
        <v>0.52083333333333337</v>
      </c>
      <c r="AT61" s="15">
        <v>0.52430555555555558</v>
      </c>
      <c r="AU61" s="15">
        <v>0.52777777777777779</v>
      </c>
      <c r="AV61" s="15">
        <v>0.53125</v>
      </c>
      <c r="AW61" s="15">
        <v>0.53472222222222221</v>
      </c>
      <c r="AX61" s="15">
        <v>0.53819444444444442</v>
      </c>
      <c r="AY61" s="15">
        <v>0.54166666666666663</v>
      </c>
      <c r="AZ61" s="15">
        <v>0.54513888888888895</v>
      </c>
      <c r="BA61" s="15">
        <v>0.54861111111111105</v>
      </c>
      <c r="BB61" s="15">
        <v>0.55208333333333337</v>
      </c>
      <c r="BC61" s="15">
        <v>0.55555555555555558</v>
      </c>
      <c r="BD61" s="15">
        <v>0.55902777777777779</v>
      </c>
      <c r="BE61" s="15">
        <v>0.5625</v>
      </c>
      <c r="BF61" s="15">
        <v>0.56597222222222221</v>
      </c>
      <c r="BG61" s="15">
        <v>0.56944444444444442</v>
      </c>
      <c r="BH61" s="15">
        <v>0.57291666666666663</v>
      </c>
      <c r="BI61" s="15">
        <v>0.57638888888888895</v>
      </c>
      <c r="BJ61" s="15">
        <v>0.57986111111111105</v>
      </c>
      <c r="BK61" s="15">
        <v>0.58333333333333337</v>
      </c>
      <c r="BL61" s="15">
        <v>0.58680555555555558</v>
      </c>
      <c r="BM61" s="15">
        <v>0.59027777777777779</v>
      </c>
      <c r="BN61" s="15">
        <v>0.59375</v>
      </c>
      <c r="BO61" s="15">
        <v>0.59722222222222221</v>
      </c>
      <c r="BP61" s="15">
        <v>0.60069444444444442</v>
      </c>
      <c r="BQ61" s="15">
        <v>0.60416666666666663</v>
      </c>
      <c r="BR61" s="15">
        <v>0.60763888888888895</v>
      </c>
      <c r="BS61" s="15">
        <v>0.61111111111111105</v>
      </c>
      <c r="BT61" s="15">
        <v>0.61458333333333337</v>
      </c>
      <c r="BU61" s="15">
        <v>0.61805555555555558</v>
      </c>
      <c r="BV61" s="15">
        <v>0.62152777777777779</v>
      </c>
      <c r="BW61" s="15">
        <v>0.625</v>
      </c>
      <c r="BX61" s="15">
        <v>0.62847222222222221</v>
      </c>
      <c r="BY61" s="15">
        <v>0.63194444444444442</v>
      </c>
      <c r="BZ61" s="15">
        <v>0.63541666666666663</v>
      </c>
      <c r="CA61" s="15">
        <v>0.63888888888888895</v>
      </c>
      <c r="CB61" s="15">
        <v>0.64236111111111105</v>
      </c>
      <c r="CC61" s="15">
        <v>0.64583333333333337</v>
      </c>
      <c r="CD61" s="15">
        <v>0.64930555555555558</v>
      </c>
      <c r="CE61" s="15">
        <v>0.65277777777777779</v>
      </c>
      <c r="CF61" s="15">
        <v>0.65625</v>
      </c>
      <c r="CG61" s="15">
        <v>0.65972222222222221</v>
      </c>
      <c r="CH61" s="15">
        <v>0.66319444444444442</v>
      </c>
      <c r="CI61" s="15">
        <v>0.66666666666666663</v>
      </c>
      <c r="CJ61" s="15">
        <v>0.67013888888888884</v>
      </c>
      <c r="CK61" s="15">
        <v>0.67361111111111116</v>
      </c>
      <c r="CL61" s="15">
        <v>0.67708333333333337</v>
      </c>
      <c r="CM61" s="15">
        <v>0.68055555555555547</v>
      </c>
      <c r="CN61" s="15">
        <v>0.68402777777777779</v>
      </c>
      <c r="CO61" s="15">
        <v>0.6875</v>
      </c>
      <c r="CP61" s="15">
        <v>0.69097222222222221</v>
      </c>
      <c r="CQ61" s="15">
        <v>0.69444444444444453</v>
      </c>
      <c r="CR61" s="15">
        <v>0.69791666666666663</v>
      </c>
      <c r="CS61" s="15">
        <v>0.70138888888888884</v>
      </c>
      <c r="CT61" s="15">
        <v>0.70486111111111116</v>
      </c>
      <c r="CU61" s="15">
        <v>0.70833333333333337</v>
      </c>
      <c r="CV61" s="15">
        <v>0.71180555555555547</v>
      </c>
      <c r="CW61" s="15">
        <v>0.71527777777777779</v>
      </c>
      <c r="CX61" s="15">
        <v>0.71875</v>
      </c>
      <c r="CY61" s="15">
        <v>0.72222222222222221</v>
      </c>
      <c r="CZ61" s="15">
        <v>0.72569444444444453</v>
      </c>
      <c r="DA61" s="15">
        <v>0.72916666666666663</v>
      </c>
      <c r="DB61" s="15">
        <v>0.73263888888888884</v>
      </c>
      <c r="DC61" s="15">
        <v>0.73611111111111116</v>
      </c>
      <c r="DD61" s="15">
        <v>0.73958333333333337</v>
      </c>
      <c r="DE61" s="15">
        <v>0.74305555555555547</v>
      </c>
      <c r="DF61" s="15">
        <v>0.74652777777777779</v>
      </c>
      <c r="DG61" s="15">
        <v>0.75</v>
      </c>
      <c r="DH61" s="15">
        <v>0.75347222222222221</v>
      </c>
      <c r="DI61" s="15">
        <v>0.75694444444444453</v>
      </c>
      <c r="DJ61" s="15">
        <v>0.76041666666666663</v>
      </c>
      <c r="DK61" s="15">
        <v>0.76388888888888884</v>
      </c>
      <c r="DL61" s="15">
        <v>0.76736111111111116</v>
      </c>
      <c r="DM61" s="23">
        <v>44361</v>
      </c>
    </row>
    <row r="62" spans="1:126" ht="15.75" x14ac:dyDescent="0.25">
      <c r="A62" s="14">
        <v>44180</v>
      </c>
      <c r="B62" s="12" t="s">
        <v>6</v>
      </c>
      <c r="C62" s="13">
        <v>5112</v>
      </c>
      <c r="D62" s="13">
        <v>5112</v>
      </c>
      <c r="E62" s="13">
        <v>5100.25</v>
      </c>
      <c r="F62" s="13">
        <v>5105</v>
      </c>
      <c r="G62" s="13">
        <v>5106.82</v>
      </c>
      <c r="H62" s="13">
        <v>5108.33</v>
      </c>
      <c r="I62" s="13">
        <v>5110.24</v>
      </c>
      <c r="J62" s="13">
        <v>5114.09</v>
      </c>
      <c r="K62" s="13">
        <v>5121.5</v>
      </c>
      <c r="L62" s="13">
        <v>5125.63</v>
      </c>
      <c r="M62" s="13">
        <v>5124.21</v>
      </c>
      <c r="N62" s="13">
        <v>5124.6499999999996</v>
      </c>
      <c r="O62" s="13">
        <v>5127.5200000000004</v>
      </c>
      <c r="P62" s="13">
        <v>5141.38</v>
      </c>
      <c r="Q62" s="13">
        <v>5142.1499999999996</v>
      </c>
      <c r="R62" s="13">
        <v>5149</v>
      </c>
      <c r="S62" s="13">
        <v>5125.7299999999996</v>
      </c>
      <c r="T62" s="13">
        <v>5126.2700000000004</v>
      </c>
      <c r="U62" s="13">
        <v>5124.88</v>
      </c>
      <c r="V62" s="13">
        <v>5122.3500000000004</v>
      </c>
      <c r="W62" s="13">
        <v>5116.08</v>
      </c>
      <c r="X62" s="13">
        <v>5111.87</v>
      </c>
      <c r="Y62" s="13">
        <v>5122.53</v>
      </c>
      <c r="Z62" s="13">
        <v>5113.84</v>
      </c>
      <c r="AA62" s="13">
        <v>5111.95</v>
      </c>
      <c r="AB62" s="13">
        <v>5107.3599999999997</v>
      </c>
      <c r="AC62" s="13">
        <v>5115.28</v>
      </c>
      <c r="AD62" s="13">
        <v>5120.3999999999996</v>
      </c>
      <c r="AE62" s="13">
        <v>5120</v>
      </c>
      <c r="AF62" s="13">
        <v>5117.3999999999996</v>
      </c>
      <c r="AG62" s="13">
        <v>5118.88</v>
      </c>
      <c r="AH62" s="13">
        <v>5132.67</v>
      </c>
      <c r="AI62" s="13">
        <v>5161</v>
      </c>
      <c r="AJ62" s="13">
        <v>5139.2700000000004</v>
      </c>
      <c r="AK62" s="13">
        <v>5138.92</v>
      </c>
      <c r="AL62" s="13">
        <v>5141.25</v>
      </c>
      <c r="AM62" s="13">
        <v>5141.25</v>
      </c>
      <c r="AN62" s="13">
        <v>5142.82</v>
      </c>
      <c r="AO62" s="13">
        <v>5141.25</v>
      </c>
      <c r="AP62" s="13">
        <v>5140</v>
      </c>
      <c r="AQ62" s="13">
        <v>5140</v>
      </c>
      <c r="AR62" s="13">
        <v>5134.5200000000004</v>
      </c>
      <c r="AS62" s="13">
        <v>5144.13</v>
      </c>
      <c r="AT62" s="13">
        <v>5145.63</v>
      </c>
      <c r="AU62" s="13">
        <v>5137.62</v>
      </c>
      <c r="AV62" s="13">
        <v>5127.33</v>
      </c>
      <c r="AW62" s="13">
        <v>5134.13</v>
      </c>
      <c r="AX62" s="13">
        <v>5132.17</v>
      </c>
      <c r="AY62" s="13">
        <v>5128.08</v>
      </c>
      <c r="AZ62" s="13">
        <v>5131.5200000000004</v>
      </c>
      <c r="BA62" s="13">
        <v>5134.13</v>
      </c>
      <c r="BB62" s="13">
        <v>5139.63</v>
      </c>
      <c r="BC62" s="13">
        <v>5134.13</v>
      </c>
      <c r="BD62" s="13">
        <v>5134.13</v>
      </c>
      <c r="BE62" s="13">
        <v>5141.13</v>
      </c>
      <c r="BF62" s="13">
        <v>5138.8100000000004</v>
      </c>
      <c r="BG62" s="13">
        <v>5124.13</v>
      </c>
      <c r="BH62" s="13">
        <v>5126.3</v>
      </c>
      <c r="BI62" s="13">
        <v>5117.88</v>
      </c>
      <c r="BJ62" s="13">
        <v>5138.63</v>
      </c>
      <c r="BK62" s="13">
        <v>5128.6000000000004</v>
      </c>
      <c r="BL62" s="13">
        <v>5125.47</v>
      </c>
      <c r="BM62" s="13">
        <v>5131.47</v>
      </c>
      <c r="BN62" s="13">
        <v>5127.05</v>
      </c>
      <c r="BO62" s="13">
        <v>5132.2</v>
      </c>
      <c r="BP62" s="13">
        <v>5122.2299999999996</v>
      </c>
      <c r="BQ62" s="13">
        <v>5118.5200000000004</v>
      </c>
      <c r="BR62" s="13">
        <v>5118</v>
      </c>
      <c r="BS62" s="13">
        <v>5120.6000000000004</v>
      </c>
      <c r="BT62" s="13">
        <v>5118.43</v>
      </c>
      <c r="BU62" s="13">
        <v>5118.43</v>
      </c>
      <c r="BV62" s="13">
        <v>5119.55</v>
      </c>
      <c r="BW62" s="13">
        <v>5118.72</v>
      </c>
      <c r="BX62" s="13">
        <v>5112.17</v>
      </c>
      <c r="BY62" s="13">
        <v>5115.12</v>
      </c>
      <c r="BZ62" s="13">
        <v>5118.8999999999996</v>
      </c>
      <c r="CA62" s="13">
        <v>5115.32</v>
      </c>
      <c r="CB62" s="13">
        <v>5115.12</v>
      </c>
      <c r="CC62" s="13">
        <v>5127.1400000000003</v>
      </c>
      <c r="CD62" s="13">
        <v>5119.7700000000004</v>
      </c>
      <c r="CE62" s="13">
        <v>5116.4399999999996</v>
      </c>
      <c r="CF62" s="13">
        <v>5112.93</v>
      </c>
      <c r="CG62" s="13">
        <v>5120.8</v>
      </c>
      <c r="CH62" s="13">
        <v>5121.87</v>
      </c>
      <c r="CI62" s="13">
        <v>5108.5200000000004</v>
      </c>
      <c r="CJ62" s="13">
        <v>5105.53</v>
      </c>
      <c r="CK62" s="13">
        <v>5121.33</v>
      </c>
      <c r="CL62" s="13">
        <v>5110.8</v>
      </c>
      <c r="CM62" s="13">
        <v>5113.6400000000003</v>
      </c>
      <c r="CN62" s="13">
        <v>5115.2299999999996</v>
      </c>
      <c r="CO62" s="13">
        <v>5116.95</v>
      </c>
      <c r="CP62" s="13">
        <v>5112.96</v>
      </c>
      <c r="CQ62" s="13">
        <v>5113.68</v>
      </c>
      <c r="CR62" s="13">
        <v>5116.7</v>
      </c>
      <c r="CS62" s="13">
        <v>5116.3599999999997</v>
      </c>
      <c r="CT62" s="13">
        <v>5112.04</v>
      </c>
      <c r="CU62" s="13">
        <v>5109.7</v>
      </c>
      <c r="CV62" s="13">
        <v>5108.93</v>
      </c>
      <c r="CW62" s="13">
        <v>5111.5200000000004</v>
      </c>
      <c r="CX62" s="13">
        <v>5111.5200000000004</v>
      </c>
      <c r="CY62" s="13">
        <v>5112.24</v>
      </c>
      <c r="CZ62" s="13">
        <v>5109.1000000000004</v>
      </c>
      <c r="DA62" s="13">
        <v>5107.66</v>
      </c>
      <c r="DB62" s="13">
        <v>5106.8</v>
      </c>
      <c r="DC62" s="13">
        <v>5104.4399999999996</v>
      </c>
      <c r="DD62" s="13">
        <v>5108.8599999999997</v>
      </c>
      <c r="DE62" s="13">
        <v>5110.45</v>
      </c>
      <c r="DF62" s="13">
        <v>5108.6400000000003</v>
      </c>
      <c r="DG62" s="13">
        <v>5113.7</v>
      </c>
      <c r="DH62" s="13">
        <v>5115</v>
      </c>
      <c r="DI62" s="13">
        <v>5109.5600000000004</v>
      </c>
      <c r="DJ62" s="13">
        <v>5111.5200000000004</v>
      </c>
      <c r="DK62" s="13">
        <v>5113.05</v>
      </c>
      <c r="DL62" s="13">
        <v>5115.3999999999996</v>
      </c>
      <c r="DM62" s="32"/>
      <c r="DN62" s="33"/>
      <c r="DO62" s="32"/>
      <c r="DP62" s="33"/>
      <c r="DQ62" s="32"/>
      <c r="DR62" s="33"/>
      <c r="DS62" s="32"/>
      <c r="DT62" s="33"/>
      <c r="DU62" s="32"/>
      <c r="DV62" s="33"/>
    </row>
    <row r="63" spans="1:126" ht="15.75" x14ac:dyDescent="0.25">
      <c r="A63" s="14" t="s">
        <v>12</v>
      </c>
      <c r="B63" s="12" t="s">
        <v>10</v>
      </c>
      <c r="C63" s="13">
        <v>5112</v>
      </c>
      <c r="D63" s="13">
        <v>5094</v>
      </c>
      <c r="E63" s="13">
        <v>5097.67</v>
      </c>
      <c r="F63" s="13">
        <v>5105</v>
      </c>
      <c r="G63" s="13">
        <v>5102.29</v>
      </c>
      <c r="H63" s="13">
        <v>5100.2299999999996</v>
      </c>
      <c r="I63" s="13">
        <v>5110.24</v>
      </c>
      <c r="J63" s="13">
        <v>5106.82</v>
      </c>
      <c r="K63" s="13">
        <v>5106.43</v>
      </c>
      <c r="L63" s="13">
        <v>5120.5600000000004</v>
      </c>
      <c r="M63" s="13">
        <v>5119.84</v>
      </c>
      <c r="N63" s="13">
        <v>5122</v>
      </c>
      <c r="O63" s="13">
        <v>5120.8999999999996</v>
      </c>
      <c r="P63" s="13">
        <v>5121.46</v>
      </c>
      <c r="Q63" s="13">
        <v>5135.8900000000003</v>
      </c>
      <c r="R63" s="13">
        <v>5108.37</v>
      </c>
      <c r="S63" s="13">
        <v>5114.93</v>
      </c>
      <c r="T63" s="13">
        <v>5126.2700000000004</v>
      </c>
      <c r="U63" s="13">
        <v>5124.88</v>
      </c>
      <c r="V63" s="13">
        <v>5115.1099999999997</v>
      </c>
      <c r="W63" s="13">
        <v>5110.6000000000004</v>
      </c>
      <c r="X63" s="13">
        <v>5110.93</v>
      </c>
      <c r="Y63" s="13">
        <v>5110.33</v>
      </c>
      <c r="Z63" s="13">
        <v>5106.96</v>
      </c>
      <c r="AA63" s="13">
        <v>5105.57</v>
      </c>
      <c r="AB63" s="13">
        <v>5107.3599999999997</v>
      </c>
      <c r="AC63" s="13">
        <v>5108.8599999999997</v>
      </c>
      <c r="AD63" s="13">
        <v>5120.3999999999996</v>
      </c>
      <c r="AE63" s="13">
        <v>5114.74</v>
      </c>
      <c r="AF63" s="13">
        <v>5112.71</v>
      </c>
      <c r="AG63" s="13">
        <v>5118.88</v>
      </c>
      <c r="AH63" s="13">
        <v>5132.67</v>
      </c>
      <c r="AI63" s="13">
        <v>5129</v>
      </c>
      <c r="AJ63" s="13">
        <v>5136.21</v>
      </c>
      <c r="AK63" s="13">
        <v>5132.5600000000004</v>
      </c>
      <c r="AL63" s="13">
        <v>5138</v>
      </c>
      <c r="AM63" s="13">
        <v>5139.43</v>
      </c>
      <c r="AN63" s="13">
        <v>5135.3500000000004</v>
      </c>
      <c r="AO63" s="13">
        <v>5141.25</v>
      </c>
      <c r="AP63" s="13">
        <v>5136.2</v>
      </c>
      <c r="AQ63" s="13">
        <v>5136.83</v>
      </c>
      <c r="AR63" s="13">
        <v>5128.8500000000004</v>
      </c>
      <c r="AS63" s="13">
        <v>5132.58</v>
      </c>
      <c r="AT63" s="13">
        <v>5126.76</v>
      </c>
      <c r="AU63" s="13">
        <v>5125.5600000000004</v>
      </c>
      <c r="AV63" s="13">
        <v>5127.33</v>
      </c>
      <c r="AW63" s="13">
        <v>5121.7700000000004</v>
      </c>
      <c r="AX63" s="13">
        <v>5125.83</v>
      </c>
      <c r="AY63" s="13">
        <v>5120.17</v>
      </c>
      <c r="AZ63" s="13">
        <v>5125.08</v>
      </c>
      <c r="BA63" s="13">
        <v>5122.72</v>
      </c>
      <c r="BB63" s="13">
        <v>5124.13</v>
      </c>
      <c r="BC63" s="13">
        <v>5124.1400000000003</v>
      </c>
      <c r="BD63" s="13">
        <v>5122.26</v>
      </c>
      <c r="BE63" s="13">
        <v>5118.1499999999996</v>
      </c>
      <c r="BF63" s="13">
        <v>5122.83</v>
      </c>
      <c r="BG63" s="13">
        <v>5113.5</v>
      </c>
      <c r="BH63" s="13">
        <v>5115.93</v>
      </c>
      <c r="BI63" s="13">
        <v>5115.1899999999996</v>
      </c>
      <c r="BJ63" s="13">
        <v>5125.08</v>
      </c>
      <c r="BK63" s="13">
        <v>5125.47</v>
      </c>
      <c r="BL63" s="13">
        <v>5124.6000000000004</v>
      </c>
      <c r="BM63" s="13">
        <v>5125.08</v>
      </c>
      <c r="BN63" s="13">
        <v>5122</v>
      </c>
      <c r="BO63" s="13">
        <v>5125.32</v>
      </c>
      <c r="BP63" s="13">
        <v>5119.07</v>
      </c>
      <c r="BQ63" s="13">
        <v>5116.6000000000004</v>
      </c>
      <c r="BR63" s="13">
        <v>5115.67</v>
      </c>
      <c r="BS63" s="13">
        <v>5109.63</v>
      </c>
      <c r="BT63" s="13">
        <v>5110.9399999999996</v>
      </c>
      <c r="BU63" s="13">
        <v>5113.04</v>
      </c>
      <c r="BV63" s="13">
        <v>5118.72</v>
      </c>
      <c r="BW63" s="13">
        <v>5111.51</v>
      </c>
      <c r="BX63" s="13">
        <v>5109.26</v>
      </c>
      <c r="BY63" s="13">
        <v>5109.7700000000004</v>
      </c>
      <c r="BZ63" s="13">
        <v>5111.66</v>
      </c>
      <c r="CA63" s="13">
        <v>5109.1099999999997</v>
      </c>
      <c r="CB63" s="13">
        <v>5110</v>
      </c>
      <c r="CC63" s="13">
        <v>5118</v>
      </c>
      <c r="CD63" s="13">
        <v>5116</v>
      </c>
      <c r="CE63" s="13">
        <v>5111.51</v>
      </c>
      <c r="CF63" s="13">
        <v>5108.97</v>
      </c>
      <c r="CG63" s="13">
        <v>5111.12</v>
      </c>
      <c r="CH63" s="13">
        <v>5106.3</v>
      </c>
      <c r="CI63" s="13">
        <v>5104.93</v>
      </c>
      <c r="CJ63" s="13">
        <v>5105.43</v>
      </c>
      <c r="CK63" s="13">
        <v>5110.8</v>
      </c>
      <c r="CL63" s="13">
        <v>5110.3999999999996</v>
      </c>
      <c r="CM63" s="13">
        <v>5111.84</v>
      </c>
      <c r="CN63" s="13">
        <v>5107.3100000000004</v>
      </c>
      <c r="CO63" s="13">
        <v>5112.96</v>
      </c>
      <c r="CP63" s="13">
        <v>5109.7</v>
      </c>
      <c r="CQ63" s="13">
        <v>5109.87</v>
      </c>
      <c r="CR63" s="13">
        <v>5114.3999999999996</v>
      </c>
      <c r="CS63" s="13">
        <v>5112.32</v>
      </c>
      <c r="CT63" s="13">
        <v>5106.57</v>
      </c>
      <c r="CU63" s="13">
        <v>5108.33</v>
      </c>
      <c r="CV63" s="13">
        <v>5108.33</v>
      </c>
      <c r="CW63" s="13">
        <v>5111.5200000000004</v>
      </c>
      <c r="CX63" s="13">
        <v>5111.5200000000004</v>
      </c>
      <c r="CY63" s="13">
        <v>5109.1000000000004</v>
      </c>
      <c r="CZ63" s="13">
        <v>5106.57</v>
      </c>
      <c r="DA63" s="13">
        <v>5103.66</v>
      </c>
      <c r="DB63" s="13">
        <v>5101.63</v>
      </c>
      <c r="DC63" s="13">
        <v>5102.7</v>
      </c>
      <c r="DD63" s="13">
        <v>5102.97</v>
      </c>
      <c r="DE63" s="13">
        <v>5103.57</v>
      </c>
      <c r="DF63" s="13">
        <v>5108.6400000000003</v>
      </c>
      <c r="DG63" s="13">
        <v>5105.2700000000004</v>
      </c>
      <c r="DH63" s="13">
        <v>5104.83</v>
      </c>
      <c r="DI63" s="13">
        <v>5107.3999999999996</v>
      </c>
      <c r="DJ63" s="13">
        <v>5102.8599999999997</v>
      </c>
      <c r="DK63" s="13">
        <v>5111.5200000000004</v>
      </c>
      <c r="DL63" s="13">
        <v>5112.5600000000004</v>
      </c>
      <c r="DM63" s="32"/>
      <c r="DN63" s="33"/>
      <c r="DO63" s="32"/>
      <c r="DP63" s="33"/>
      <c r="DQ63" s="32"/>
      <c r="DR63" s="33"/>
      <c r="DS63" s="32"/>
      <c r="DT63" s="33"/>
      <c r="DU63" s="32"/>
      <c r="DV63" s="33"/>
    </row>
    <row r="64" spans="1:126" ht="15.75" x14ac:dyDescent="0.25">
      <c r="A64" s="14" t="s">
        <v>12</v>
      </c>
      <c r="B64" s="12" t="s">
        <v>9</v>
      </c>
      <c r="C64" s="13">
        <v>5081</v>
      </c>
      <c r="D64" s="13">
        <v>5083.46</v>
      </c>
      <c r="E64" s="13">
        <v>5086.3599999999997</v>
      </c>
      <c r="F64" s="13">
        <v>5090.71</v>
      </c>
      <c r="G64" s="13">
        <v>5086.96</v>
      </c>
      <c r="H64" s="13">
        <v>5085.83</v>
      </c>
      <c r="I64" s="13">
        <v>5097.1400000000003</v>
      </c>
      <c r="J64" s="13">
        <v>5092.8599999999997</v>
      </c>
      <c r="K64" s="13">
        <v>5087.75</v>
      </c>
      <c r="L64" s="13">
        <v>5101.74</v>
      </c>
      <c r="M64" s="13">
        <v>5102.83</v>
      </c>
      <c r="N64" s="13">
        <v>5104.6000000000004</v>
      </c>
      <c r="O64" s="13">
        <v>5085.3599999999997</v>
      </c>
      <c r="P64" s="13">
        <v>5094.09</v>
      </c>
      <c r="Q64" s="13">
        <v>5074.55</v>
      </c>
      <c r="R64" s="13">
        <v>5081.8999999999996</v>
      </c>
      <c r="S64" s="13">
        <v>5089.5</v>
      </c>
      <c r="T64" s="13">
        <v>5092.8100000000004</v>
      </c>
      <c r="U64" s="13">
        <v>5087.75</v>
      </c>
      <c r="V64" s="13">
        <v>5091.32</v>
      </c>
      <c r="W64" s="13">
        <v>5087.21</v>
      </c>
      <c r="X64" s="13">
        <v>5083.12</v>
      </c>
      <c r="Y64" s="13">
        <v>5086.8100000000004</v>
      </c>
      <c r="Z64" s="13">
        <v>5079</v>
      </c>
      <c r="AA64" s="13">
        <v>5080.4799999999996</v>
      </c>
      <c r="AB64" s="13">
        <v>5079.17</v>
      </c>
      <c r="AC64" s="13">
        <v>5083.12</v>
      </c>
      <c r="AD64" s="13">
        <v>5087.32</v>
      </c>
      <c r="AE64" s="13">
        <v>5088.68</v>
      </c>
      <c r="AF64" s="13">
        <v>5086.84</v>
      </c>
      <c r="AG64" s="13">
        <v>5093.97</v>
      </c>
      <c r="AH64" s="13">
        <v>5104.55</v>
      </c>
      <c r="AI64" s="13">
        <v>5098.25</v>
      </c>
      <c r="AJ64" s="13">
        <v>5100.4399999999996</v>
      </c>
      <c r="AK64" s="13">
        <v>5100</v>
      </c>
      <c r="AL64" s="13">
        <v>5106.8599999999997</v>
      </c>
      <c r="AM64" s="13">
        <v>5107.6000000000004</v>
      </c>
      <c r="AN64" s="13">
        <v>5109.67</v>
      </c>
      <c r="AO64" s="13">
        <v>5100.6099999999997</v>
      </c>
      <c r="AP64" s="13">
        <v>5102.33</v>
      </c>
      <c r="AQ64" s="13">
        <v>5114.32</v>
      </c>
      <c r="AR64" s="13">
        <v>5102.6099999999997</v>
      </c>
      <c r="AS64" s="13">
        <v>5103.3900000000003</v>
      </c>
      <c r="AT64" s="13">
        <v>5098.24</v>
      </c>
      <c r="AU64" s="13">
        <v>5100.6400000000003</v>
      </c>
      <c r="AV64" s="13">
        <v>5102.42</v>
      </c>
      <c r="AW64" s="13">
        <v>5092.8</v>
      </c>
      <c r="AX64" s="13">
        <v>5099.55</v>
      </c>
      <c r="AY64" s="13">
        <v>5089.45</v>
      </c>
      <c r="AZ64" s="13">
        <v>5098.8100000000004</v>
      </c>
      <c r="BA64" s="13">
        <v>5098.7700000000004</v>
      </c>
      <c r="BB64" s="13">
        <v>5097.88</v>
      </c>
      <c r="BC64" s="13">
        <v>5098.3599999999997</v>
      </c>
      <c r="BD64" s="13">
        <v>5094.24</v>
      </c>
      <c r="BE64" s="13">
        <v>5093.43</v>
      </c>
      <c r="BF64" s="13">
        <v>5099.03</v>
      </c>
      <c r="BG64" s="13">
        <v>5086.1400000000003</v>
      </c>
      <c r="BH64" s="13">
        <v>5089.5</v>
      </c>
      <c r="BI64" s="13">
        <v>5085.28</v>
      </c>
      <c r="BJ64" s="13">
        <v>5100.03</v>
      </c>
      <c r="BK64" s="13">
        <v>5100.82</v>
      </c>
      <c r="BL64" s="13">
        <v>5086.7299999999996</v>
      </c>
      <c r="BM64" s="13">
        <v>5100.42</v>
      </c>
      <c r="BN64" s="13">
        <v>5090.32</v>
      </c>
      <c r="BO64" s="13">
        <v>5098.71</v>
      </c>
      <c r="BP64" s="13">
        <v>5088.88</v>
      </c>
      <c r="BQ64" s="13">
        <v>5089.26</v>
      </c>
      <c r="BR64" s="13">
        <v>5089.9399999999996</v>
      </c>
      <c r="BS64" s="13">
        <v>5083.7700000000004</v>
      </c>
      <c r="BT64" s="13">
        <v>5085.3900000000003</v>
      </c>
      <c r="BU64" s="13">
        <v>5085.3900000000003</v>
      </c>
      <c r="BV64" s="13">
        <v>5091.74</v>
      </c>
      <c r="BW64" s="13">
        <v>5084.5600000000004</v>
      </c>
      <c r="BX64" s="13">
        <v>5082.3999999999996</v>
      </c>
      <c r="BY64" s="13">
        <v>5084.75</v>
      </c>
      <c r="BZ64" s="13">
        <v>5084.5600000000004</v>
      </c>
      <c r="CA64" s="13">
        <v>5082</v>
      </c>
      <c r="CB64" s="13">
        <v>5082</v>
      </c>
      <c r="CC64" s="13">
        <v>5090.5200000000004</v>
      </c>
      <c r="CD64" s="13">
        <v>5089.32</v>
      </c>
      <c r="CE64" s="13">
        <v>5084.5600000000004</v>
      </c>
      <c r="CF64" s="13">
        <v>5081.68</v>
      </c>
      <c r="CG64" s="13">
        <v>5082.87</v>
      </c>
      <c r="CH64" s="13">
        <v>5079</v>
      </c>
      <c r="CI64" s="13">
        <v>5076.6400000000003</v>
      </c>
      <c r="CJ64" s="13">
        <v>5078.18</v>
      </c>
      <c r="CK64" s="13">
        <v>5082.87</v>
      </c>
      <c r="CL64" s="13">
        <v>5080.6400000000003</v>
      </c>
      <c r="CM64" s="13">
        <v>5082.87</v>
      </c>
      <c r="CN64" s="13">
        <v>5082.2299999999996</v>
      </c>
      <c r="CO64" s="13">
        <v>5082.93</v>
      </c>
      <c r="CP64" s="13">
        <v>5082.93</v>
      </c>
      <c r="CQ64" s="13">
        <v>5081.68</v>
      </c>
      <c r="CR64" s="13">
        <v>5085.58</v>
      </c>
      <c r="CS64" s="13">
        <v>5080.96</v>
      </c>
      <c r="CT64" s="13">
        <v>5081.29</v>
      </c>
      <c r="CU64" s="13">
        <v>5078.8</v>
      </c>
      <c r="CV64" s="13">
        <v>5080.46</v>
      </c>
      <c r="CW64" s="13">
        <v>5081.46</v>
      </c>
      <c r="CX64" s="13">
        <v>5081.6099999999997</v>
      </c>
      <c r="CY64" s="13">
        <v>5083.1899999999996</v>
      </c>
      <c r="CZ64" s="13">
        <v>5079.5200000000004</v>
      </c>
      <c r="DA64" s="13">
        <v>5077.3599999999997</v>
      </c>
      <c r="DB64" s="13">
        <v>5078.16</v>
      </c>
      <c r="DC64" s="13">
        <v>5074.38</v>
      </c>
      <c r="DD64" s="13">
        <v>5075.17</v>
      </c>
      <c r="DE64" s="13">
        <v>5076.91</v>
      </c>
      <c r="DF64" s="13">
        <v>5078.5</v>
      </c>
      <c r="DG64" s="13">
        <v>5077.55</v>
      </c>
      <c r="DH64" s="13">
        <v>5078.97</v>
      </c>
      <c r="DI64" s="13">
        <v>5080.5600000000004</v>
      </c>
      <c r="DJ64" s="13">
        <v>5076.1400000000003</v>
      </c>
      <c r="DK64" s="13">
        <v>5082.16</v>
      </c>
      <c r="DL64" s="13">
        <v>5082.1400000000003</v>
      </c>
      <c r="DM64" s="32"/>
      <c r="DN64" s="33"/>
      <c r="DO64" s="32"/>
      <c r="DP64" s="33"/>
      <c r="DQ64" s="32"/>
      <c r="DR64" s="33"/>
      <c r="DS64" s="32"/>
      <c r="DT64" s="33"/>
      <c r="DU64" s="32"/>
      <c r="DV64" s="33"/>
    </row>
    <row r="65" spans="1:126" ht="15.75" x14ac:dyDescent="0.25">
      <c r="A65" s="14" t="s">
        <v>12</v>
      </c>
      <c r="B65" s="12" t="s">
        <v>7</v>
      </c>
      <c r="C65" s="13">
        <v>5081</v>
      </c>
      <c r="D65" s="13">
        <v>5073</v>
      </c>
      <c r="E65" s="13">
        <v>5081.88</v>
      </c>
      <c r="F65" s="13">
        <v>5080</v>
      </c>
      <c r="G65" s="13">
        <v>5080.5</v>
      </c>
      <c r="H65" s="13">
        <v>5080</v>
      </c>
      <c r="I65" s="13">
        <v>5085.6499999999996</v>
      </c>
      <c r="J65" s="13">
        <v>5084.71</v>
      </c>
      <c r="K65" s="13">
        <v>5084.5</v>
      </c>
      <c r="L65" s="13">
        <v>5091.74</v>
      </c>
      <c r="M65" s="13">
        <v>5095.25</v>
      </c>
      <c r="N65" s="13">
        <v>5094.4399999999996</v>
      </c>
      <c r="O65" s="13">
        <v>5085.3599999999997</v>
      </c>
      <c r="P65" s="13">
        <v>5082.8100000000004</v>
      </c>
      <c r="Q65" s="13">
        <v>5074.55</v>
      </c>
      <c r="R65" s="13">
        <v>5075.5600000000004</v>
      </c>
      <c r="S65" s="13">
        <v>5082.47</v>
      </c>
      <c r="T65" s="13">
        <v>5085.55</v>
      </c>
      <c r="U65" s="13">
        <v>5082.92</v>
      </c>
      <c r="V65" s="13">
        <v>5085.55</v>
      </c>
      <c r="W65" s="13">
        <v>5082</v>
      </c>
      <c r="X65" s="13">
        <v>5081.41</v>
      </c>
      <c r="Y65" s="13">
        <v>5079.88</v>
      </c>
      <c r="Z65" s="13">
        <v>5075.5</v>
      </c>
      <c r="AA65" s="13">
        <v>5074.91</v>
      </c>
      <c r="AB65" s="13">
        <v>5074.9399999999996</v>
      </c>
      <c r="AC65" s="13">
        <v>5078.3599999999997</v>
      </c>
      <c r="AD65" s="13">
        <v>5080.76</v>
      </c>
      <c r="AE65" s="13">
        <v>5083.2700000000004</v>
      </c>
      <c r="AF65" s="13">
        <v>5084.25</v>
      </c>
      <c r="AG65" s="13">
        <v>5088.63</v>
      </c>
      <c r="AH65" s="13">
        <v>5081.58</v>
      </c>
      <c r="AI65" s="13">
        <v>5073.33</v>
      </c>
      <c r="AJ65" s="13">
        <v>5088.6000000000004</v>
      </c>
      <c r="AK65" s="13">
        <v>5089.67</v>
      </c>
      <c r="AL65" s="13">
        <v>5085.3599999999997</v>
      </c>
      <c r="AM65" s="13">
        <v>5084.29</v>
      </c>
      <c r="AN65" s="13">
        <v>5092.0600000000004</v>
      </c>
      <c r="AO65" s="13">
        <v>5085</v>
      </c>
      <c r="AP65" s="13">
        <v>5080.33</v>
      </c>
      <c r="AQ65" s="13">
        <v>5104.05</v>
      </c>
      <c r="AR65" s="13">
        <v>5099.32</v>
      </c>
      <c r="AS65" s="13">
        <v>5097.2700000000004</v>
      </c>
      <c r="AT65" s="13">
        <v>5089.0600000000004</v>
      </c>
      <c r="AU65" s="13">
        <v>5087.6499999999996</v>
      </c>
      <c r="AV65" s="13">
        <v>5086.41</v>
      </c>
      <c r="AW65" s="13">
        <v>5092.8</v>
      </c>
      <c r="AX65" s="13">
        <v>5089.38</v>
      </c>
      <c r="AY65" s="13">
        <v>5085.29</v>
      </c>
      <c r="AZ65" s="13">
        <v>5084.53</v>
      </c>
      <c r="BA65" s="13">
        <v>5090.63</v>
      </c>
      <c r="BB65" s="13">
        <v>5090</v>
      </c>
      <c r="BC65" s="13">
        <v>5091.3999999999996</v>
      </c>
      <c r="BD65" s="13">
        <v>5094.24</v>
      </c>
      <c r="BE65" s="13">
        <v>5086.24</v>
      </c>
      <c r="BF65" s="13">
        <v>5082</v>
      </c>
      <c r="BG65" s="13">
        <v>5083.6000000000004</v>
      </c>
      <c r="BH65" s="13">
        <v>5085.83</v>
      </c>
      <c r="BI65" s="13">
        <v>5084.17</v>
      </c>
      <c r="BJ65" s="13">
        <v>5088.04</v>
      </c>
      <c r="BK65" s="13">
        <v>5097.91</v>
      </c>
      <c r="BL65" s="13">
        <v>5086.0600000000004</v>
      </c>
      <c r="BM65" s="13">
        <v>5089.7</v>
      </c>
      <c r="BN65" s="13">
        <v>5087.32</v>
      </c>
      <c r="BO65" s="13">
        <v>5094.43</v>
      </c>
      <c r="BP65" s="13">
        <v>5086.1400000000003</v>
      </c>
      <c r="BQ65" s="13">
        <v>5082</v>
      </c>
      <c r="BR65" s="13">
        <v>5081.0600000000004</v>
      </c>
      <c r="BS65" s="13">
        <v>5080.1899999999996</v>
      </c>
      <c r="BT65" s="13">
        <v>5081.4799999999996</v>
      </c>
      <c r="BU65" s="13">
        <v>5078.71</v>
      </c>
      <c r="BV65" s="13">
        <v>5085.8599999999997</v>
      </c>
      <c r="BW65" s="13">
        <v>5082.92</v>
      </c>
      <c r="BX65" s="13">
        <v>5081.04</v>
      </c>
      <c r="BY65" s="13">
        <v>5082.3999999999996</v>
      </c>
      <c r="BZ65" s="13">
        <v>5081.8</v>
      </c>
      <c r="CA65" s="13">
        <v>5082</v>
      </c>
      <c r="CB65" s="13">
        <v>5081.25</v>
      </c>
      <c r="CC65" s="13">
        <v>5086.5</v>
      </c>
      <c r="CD65" s="13">
        <v>5089</v>
      </c>
      <c r="CE65" s="13">
        <v>5080.59</v>
      </c>
      <c r="CF65" s="13">
        <v>5081.68</v>
      </c>
      <c r="CG65" s="13">
        <v>5076.84</v>
      </c>
      <c r="CH65" s="13">
        <v>5077.3599999999997</v>
      </c>
      <c r="CI65" s="13">
        <v>5075.5</v>
      </c>
      <c r="CJ65" s="13">
        <v>5076.6400000000003</v>
      </c>
      <c r="CK65" s="13">
        <v>5078.18</v>
      </c>
      <c r="CL65" s="13">
        <v>5080.6400000000003</v>
      </c>
      <c r="CM65" s="13">
        <v>5082.87</v>
      </c>
      <c r="CN65" s="13">
        <v>5082.2299999999996</v>
      </c>
      <c r="CO65" s="13">
        <v>5079.41</v>
      </c>
      <c r="CP65" s="13">
        <v>5082.93</v>
      </c>
      <c r="CQ65" s="13">
        <v>5081.68</v>
      </c>
      <c r="CR65" s="13">
        <v>5079.79</v>
      </c>
      <c r="CS65" s="13">
        <v>5080.96</v>
      </c>
      <c r="CT65" s="13">
        <v>5078.8</v>
      </c>
      <c r="CU65" s="13">
        <v>5077.92</v>
      </c>
      <c r="CV65" s="13">
        <v>5077.4799999999996</v>
      </c>
      <c r="CW65" s="13">
        <v>5078.1499999999996</v>
      </c>
      <c r="CX65" s="13">
        <v>5081.46</v>
      </c>
      <c r="CY65" s="13">
        <v>5080.5600000000004</v>
      </c>
      <c r="CZ65" s="13">
        <v>5079.5200000000004</v>
      </c>
      <c r="DA65" s="13">
        <v>5076.09</v>
      </c>
      <c r="DB65" s="13">
        <v>5074.9399999999996</v>
      </c>
      <c r="DC65" s="13">
        <v>5073</v>
      </c>
      <c r="DD65" s="13">
        <v>5074.38</v>
      </c>
      <c r="DE65" s="13">
        <v>5074.58</v>
      </c>
      <c r="DF65" s="13">
        <v>5076.91</v>
      </c>
      <c r="DG65" s="13">
        <v>5077.55</v>
      </c>
      <c r="DH65" s="13">
        <v>5074.8</v>
      </c>
      <c r="DI65" s="13">
        <v>5078.97</v>
      </c>
      <c r="DJ65" s="13">
        <v>5075.3100000000004</v>
      </c>
      <c r="DK65" s="13">
        <v>5075.71</v>
      </c>
      <c r="DL65" s="13">
        <v>5079.93</v>
      </c>
      <c r="DM65" s="32"/>
      <c r="DN65" s="33"/>
      <c r="DO65" s="32"/>
      <c r="DP65" s="33"/>
      <c r="DQ65" s="32"/>
      <c r="DR65" s="33"/>
      <c r="DS65" s="32"/>
      <c r="DT65" s="33"/>
      <c r="DU65" s="32"/>
      <c r="DV65" s="33"/>
    </row>
    <row r="66" spans="1:126" ht="15.75" x14ac:dyDescent="0.25">
      <c r="A66" s="14"/>
      <c r="B66" s="12"/>
      <c r="C66" s="13">
        <f t="shared" ref="C66:AH66" si="38">(C62+C63+C64+C65)/4</f>
        <v>5096.5</v>
      </c>
      <c r="D66" s="13">
        <f t="shared" si="38"/>
        <v>5090.6149999999998</v>
      </c>
      <c r="E66" s="13">
        <f t="shared" si="38"/>
        <v>5091.54</v>
      </c>
      <c r="F66" s="13">
        <f t="shared" si="38"/>
        <v>5095.1774999999998</v>
      </c>
      <c r="G66" s="13">
        <f t="shared" si="38"/>
        <v>5094.1424999999999</v>
      </c>
      <c r="H66" s="13">
        <f t="shared" si="38"/>
        <v>5093.5974999999999</v>
      </c>
      <c r="I66" s="13">
        <f t="shared" si="38"/>
        <v>5100.8174999999992</v>
      </c>
      <c r="J66" s="13">
        <f t="shared" si="38"/>
        <v>5099.62</v>
      </c>
      <c r="K66" s="13">
        <f t="shared" si="38"/>
        <v>5100.0450000000001</v>
      </c>
      <c r="L66" s="13">
        <f t="shared" si="38"/>
        <v>5109.9174999999996</v>
      </c>
      <c r="M66" s="13">
        <f t="shared" si="38"/>
        <v>5110.5324999999993</v>
      </c>
      <c r="N66" s="13">
        <f t="shared" si="38"/>
        <v>5111.4224999999997</v>
      </c>
      <c r="O66" s="13">
        <f t="shared" si="38"/>
        <v>5104.7849999999999</v>
      </c>
      <c r="P66" s="13">
        <f t="shared" si="38"/>
        <v>5109.9350000000004</v>
      </c>
      <c r="Q66" s="13">
        <f t="shared" si="38"/>
        <v>5106.7849999999999</v>
      </c>
      <c r="R66" s="13">
        <f t="shared" si="38"/>
        <v>5103.7074999999995</v>
      </c>
      <c r="S66" s="13">
        <f t="shared" si="38"/>
        <v>5103.1575000000003</v>
      </c>
      <c r="T66" s="13">
        <f t="shared" si="38"/>
        <v>5107.7250000000004</v>
      </c>
      <c r="U66" s="13">
        <f t="shared" si="38"/>
        <v>5105.1075000000001</v>
      </c>
      <c r="V66" s="13">
        <f t="shared" si="38"/>
        <v>5103.5824999999995</v>
      </c>
      <c r="W66" s="13">
        <f t="shared" si="38"/>
        <v>5098.9724999999999</v>
      </c>
      <c r="X66" s="13">
        <f t="shared" si="38"/>
        <v>5096.8324999999995</v>
      </c>
      <c r="Y66" s="13">
        <f t="shared" si="38"/>
        <v>5099.8875000000007</v>
      </c>
      <c r="Z66" s="13">
        <f t="shared" si="38"/>
        <v>5093.8249999999998</v>
      </c>
      <c r="AA66" s="13">
        <f t="shared" si="38"/>
        <v>5093.2275</v>
      </c>
      <c r="AB66" s="13">
        <f t="shared" si="38"/>
        <v>5092.2074999999995</v>
      </c>
      <c r="AC66" s="13">
        <f t="shared" si="38"/>
        <v>5096.4049999999997</v>
      </c>
      <c r="AD66" s="13">
        <f t="shared" si="38"/>
        <v>5102.2199999999993</v>
      </c>
      <c r="AE66" s="13">
        <f t="shared" si="38"/>
        <v>5101.6725000000006</v>
      </c>
      <c r="AF66" s="13">
        <f t="shared" si="38"/>
        <v>5100.3</v>
      </c>
      <c r="AG66" s="13">
        <f t="shared" si="38"/>
        <v>5105.09</v>
      </c>
      <c r="AH66" s="13">
        <f t="shared" si="38"/>
        <v>5112.8675000000003</v>
      </c>
      <c r="AI66" s="13">
        <f t="shared" ref="AI66:BN66" si="39">(AI62+AI63+AI64+AI65)/4</f>
        <v>5115.3950000000004</v>
      </c>
      <c r="AJ66" s="13">
        <f t="shared" si="39"/>
        <v>5116.1299999999992</v>
      </c>
      <c r="AK66" s="13">
        <f t="shared" si="39"/>
        <v>5115.2875000000004</v>
      </c>
      <c r="AL66" s="13">
        <f t="shared" si="39"/>
        <v>5117.8675000000003</v>
      </c>
      <c r="AM66" s="13">
        <f t="shared" si="39"/>
        <v>5118.1424999999999</v>
      </c>
      <c r="AN66" s="13">
        <f t="shared" si="39"/>
        <v>5119.9750000000004</v>
      </c>
      <c r="AO66" s="13">
        <f t="shared" si="39"/>
        <v>5117.0275000000001</v>
      </c>
      <c r="AP66" s="13">
        <f t="shared" si="39"/>
        <v>5114.7150000000001</v>
      </c>
      <c r="AQ66" s="13">
        <f t="shared" si="39"/>
        <v>5123.8</v>
      </c>
      <c r="AR66" s="13">
        <f t="shared" si="39"/>
        <v>5116.3249999999998</v>
      </c>
      <c r="AS66" s="13">
        <f t="shared" si="39"/>
        <v>5119.3424999999997</v>
      </c>
      <c r="AT66" s="13">
        <f t="shared" si="39"/>
        <v>5114.9224999999997</v>
      </c>
      <c r="AU66" s="13">
        <f t="shared" si="39"/>
        <v>5112.8675000000003</v>
      </c>
      <c r="AV66" s="13">
        <f t="shared" si="39"/>
        <v>5110.8724999999995</v>
      </c>
      <c r="AW66" s="13">
        <f t="shared" si="39"/>
        <v>5110.375</v>
      </c>
      <c r="AX66" s="13">
        <f t="shared" si="39"/>
        <v>5111.7325000000001</v>
      </c>
      <c r="AY66" s="13">
        <f t="shared" si="39"/>
        <v>5105.7475000000004</v>
      </c>
      <c r="AZ66" s="13">
        <f t="shared" si="39"/>
        <v>5109.9849999999997</v>
      </c>
      <c r="BA66" s="13">
        <f t="shared" si="39"/>
        <v>5111.5625</v>
      </c>
      <c r="BB66" s="13">
        <f t="shared" si="39"/>
        <v>5112.91</v>
      </c>
      <c r="BC66" s="13">
        <f t="shared" si="39"/>
        <v>5112.0074999999997</v>
      </c>
      <c r="BD66" s="13">
        <f t="shared" si="39"/>
        <v>5111.2174999999997</v>
      </c>
      <c r="BE66" s="13">
        <f t="shared" si="39"/>
        <v>5109.7374999999993</v>
      </c>
      <c r="BF66" s="13">
        <f t="shared" si="39"/>
        <v>5110.6674999999996</v>
      </c>
      <c r="BG66" s="13">
        <f t="shared" si="39"/>
        <v>5101.8425000000007</v>
      </c>
      <c r="BH66" s="13">
        <f t="shared" si="39"/>
        <v>5104.3899999999994</v>
      </c>
      <c r="BI66" s="13">
        <f t="shared" si="39"/>
        <v>5100.6299999999992</v>
      </c>
      <c r="BJ66" s="13">
        <f t="shared" si="39"/>
        <v>5112.9449999999997</v>
      </c>
      <c r="BK66" s="13">
        <f t="shared" si="39"/>
        <v>5113.2</v>
      </c>
      <c r="BL66" s="13">
        <f t="shared" si="39"/>
        <v>5105.7150000000001</v>
      </c>
      <c r="BM66" s="13">
        <f t="shared" si="39"/>
        <v>5111.6674999999996</v>
      </c>
      <c r="BN66" s="13">
        <f t="shared" si="39"/>
        <v>5106.6724999999997</v>
      </c>
      <c r="BO66" s="13">
        <f t="shared" ref="BO66:CT66" si="40">(BO62+BO63+BO64+BO65)/4</f>
        <v>5112.665</v>
      </c>
      <c r="BP66" s="13">
        <f t="shared" si="40"/>
        <v>5104.08</v>
      </c>
      <c r="BQ66" s="13">
        <f t="shared" si="40"/>
        <v>5101.5950000000003</v>
      </c>
      <c r="BR66" s="13">
        <f t="shared" si="40"/>
        <v>5101.1675000000005</v>
      </c>
      <c r="BS66" s="13">
        <f t="shared" si="40"/>
        <v>5098.5474999999997</v>
      </c>
      <c r="BT66" s="13">
        <f t="shared" si="40"/>
        <v>5099.0599999999995</v>
      </c>
      <c r="BU66" s="13">
        <f t="shared" si="40"/>
        <v>5098.8924999999999</v>
      </c>
      <c r="BV66" s="13">
        <f t="shared" si="40"/>
        <v>5103.9674999999997</v>
      </c>
      <c r="BW66" s="13">
        <f t="shared" si="40"/>
        <v>5099.4274999999998</v>
      </c>
      <c r="BX66" s="13">
        <f t="shared" si="40"/>
        <v>5096.2174999999997</v>
      </c>
      <c r="BY66" s="13">
        <f t="shared" si="40"/>
        <v>5098.01</v>
      </c>
      <c r="BZ66" s="13">
        <f t="shared" si="40"/>
        <v>5099.2299999999996</v>
      </c>
      <c r="CA66" s="13">
        <f t="shared" si="40"/>
        <v>5097.1075000000001</v>
      </c>
      <c r="CB66" s="13">
        <f t="shared" si="40"/>
        <v>5097.0924999999997</v>
      </c>
      <c r="CC66" s="13">
        <f t="shared" si="40"/>
        <v>5105.54</v>
      </c>
      <c r="CD66" s="13">
        <f t="shared" si="40"/>
        <v>5103.5225</v>
      </c>
      <c r="CE66" s="13">
        <f t="shared" si="40"/>
        <v>5098.2750000000005</v>
      </c>
      <c r="CF66" s="13">
        <f t="shared" si="40"/>
        <v>5096.3150000000005</v>
      </c>
      <c r="CG66" s="13">
        <f t="shared" si="40"/>
        <v>5097.9075000000003</v>
      </c>
      <c r="CH66" s="13">
        <f t="shared" si="40"/>
        <v>5096.1324999999997</v>
      </c>
      <c r="CI66" s="13">
        <f t="shared" si="40"/>
        <v>5091.3975</v>
      </c>
      <c r="CJ66" s="13">
        <f t="shared" si="40"/>
        <v>5091.4449999999997</v>
      </c>
      <c r="CK66" s="13">
        <f t="shared" si="40"/>
        <v>5098.2950000000001</v>
      </c>
      <c r="CL66" s="13">
        <f t="shared" si="40"/>
        <v>5095.62</v>
      </c>
      <c r="CM66" s="13">
        <f t="shared" si="40"/>
        <v>5097.8049999999994</v>
      </c>
      <c r="CN66" s="13">
        <f t="shared" si="40"/>
        <v>5096.75</v>
      </c>
      <c r="CO66" s="13">
        <f t="shared" si="40"/>
        <v>5098.0625</v>
      </c>
      <c r="CP66" s="13">
        <f t="shared" si="40"/>
        <v>5097.13</v>
      </c>
      <c r="CQ66" s="13">
        <f t="shared" si="40"/>
        <v>5096.7275</v>
      </c>
      <c r="CR66" s="13">
        <f t="shared" si="40"/>
        <v>5099.1174999999994</v>
      </c>
      <c r="CS66" s="13">
        <f t="shared" si="40"/>
        <v>5097.6499999999996</v>
      </c>
      <c r="CT66" s="13">
        <f t="shared" si="40"/>
        <v>5094.6750000000002</v>
      </c>
      <c r="CU66" s="13">
        <f t="shared" ref="CU66:DL66" si="41">(CU62+CU63+CU64+CU65)/4</f>
        <v>5093.6875</v>
      </c>
      <c r="CV66" s="13">
        <f t="shared" si="41"/>
        <v>5093.8</v>
      </c>
      <c r="CW66" s="13">
        <f t="shared" si="41"/>
        <v>5095.6625000000004</v>
      </c>
      <c r="CX66" s="13">
        <f t="shared" si="41"/>
        <v>5096.5275000000001</v>
      </c>
      <c r="CY66" s="13">
        <f t="shared" si="41"/>
        <v>5096.2725</v>
      </c>
      <c r="CZ66" s="13">
        <f t="shared" si="41"/>
        <v>5093.6774999999998</v>
      </c>
      <c r="DA66" s="13">
        <f t="shared" si="41"/>
        <v>5091.1925000000001</v>
      </c>
      <c r="DB66" s="13">
        <f t="shared" si="41"/>
        <v>5090.3824999999997</v>
      </c>
      <c r="DC66" s="13">
        <f t="shared" si="41"/>
        <v>5088.63</v>
      </c>
      <c r="DD66" s="13">
        <f t="shared" si="41"/>
        <v>5090.3450000000003</v>
      </c>
      <c r="DE66" s="13">
        <f t="shared" si="41"/>
        <v>5091.3775000000005</v>
      </c>
      <c r="DF66" s="13">
        <f t="shared" si="41"/>
        <v>5093.1725000000006</v>
      </c>
      <c r="DG66" s="13">
        <f t="shared" si="41"/>
        <v>5093.5174999999999</v>
      </c>
      <c r="DH66" s="13">
        <f t="shared" si="41"/>
        <v>5093.3999999999996</v>
      </c>
      <c r="DI66" s="13">
        <f t="shared" si="41"/>
        <v>5094.1225000000004</v>
      </c>
      <c r="DJ66" s="13">
        <f t="shared" si="41"/>
        <v>5091.4575000000004</v>
      </c>
      <c r="DK66" s="13">
        <f t="shared" si="41"/>
        <v>5095.6099999999997</v>
      </c>
      <c r="DL66" s="13">
        <f t="shared" si="41"/>
        <v>5097.5074999999997</v>
      </c>
      <c r="DM66" s="26"/>
      <c r="DN66" s="25"/>
      <c r="DO66" s="27"/>
      <c r="DP66" s="25"/>
      <c r="DQ66" s="27"/>
      <c r="DR66" s="25"/>
      <c r="DS66" s="27"/>
      <c r="DT66" s="25"/>
    </row>
    <row r="67" spans="1:126" ht="15.75" x14ac:dyDescent="0.25">
      <c r="A67" s="11" t="s">
        <v>5</v>
      </c>
      <c r="B67" s="11" t="s">
        <v>11</v>
      </c>
      <c r="C67" s="15">
        <v>0.375</v>
      </c>
      <c r="D67" s="15">
        <v>0.37847222222222227</v>
      </c>
      <c r="E67" s="15">
        <v>0.38194444444444442</v>
      </c>
      <c r="F67" s="15">
        <v>0.38541666666666669</v>
      </c>
      <c r="G67" s="15">
        <v>0.3888888888888889</v>
      </c>
      <c r="H67" s="15">
        <v>0.3923611111111111</v>
      </c>
      <c r="I67" s="15">
        <v>0.39583333333333331</v>
      </c>
      <c r="J67" s="15">
        <v>0.39930555555555558</v>
      </c>
      <c r="K67" s="15">
        <v>0.40277777777777773</v>
      </c>
      <c r="L67" s="15">
        <v>0.40625</v>
      </c>
      <c r="M67" s="15">
        <v>0.40972222222222227</v>
      </c>
      <c r="N67" s="15">
        <v>0.41319444444444442</v>
      </c>
      <c r="O67" s="15">
        <v>0.41666666666666669</v>
      </c>
      <c r="P67" s="15">
        <v>0.4201388888888889</v>
      </c>
      <c r="Q67" s="15">
        <v>0.4236111111111111</v>
      </c>
      <c r="R67" s="15">
        <v>0.42708333333333331</v>
      </c>
      <c r="S67" s="15">
        <v>0.43055555555555558</v>
      </c>
      <c r="T67" s="15">
        <v>0.43402777777777773</v>
      </c>
      <c r="U67" s="15">
        <v>0.4375</v>
      </c>
      <c r="V67" s="15">
        <v>0.44097222222222227</v>
      </c>
      <c r="W67" s="15">
        <v>0.44444444444444442</v>
      </c>
      <c r="X67" s="15">
        <v>0.44791666666666669</v>
      </c>
      <c r="Y67" s="15">
        <v>0.4513888888888889</v>
      </c>
      <c r="Z67" s="15">
        <v>0.4548611111111111</v>
      </c>
      <c r="AA67" s="15">
        <v>0.45833333333333331</v>
      </c>
      <c r="AB67" s="15">
        <v>0.46180555555555558</v>
      </c>
      <c r="AC67" s="15">
        <v>0.46527777777777773</v>
      </c>
      <c r="AD67" s="15">
        <v>0.46875</v>
      </c>
      <c r="AE67" s="15">
        <v>0.47222222222222227</v>
      </c>
      <c r="AF67" s="15">
        <v>0.47569444444444442</v>
      </c>
      <c r="AG67" s="15">
        <v>0.47916666666666669</v>
      </c>
      <c r="AH67" s="15">
        <v>0.4826388888888889</v>
      </c>
      <c r="AI67" s="15">
        <v>0.4861111111111111</v>
      </c>
      <c r="AJ67" s="15">
        <v>0.48958333333333331</v>
      </c>
      <c r="AK67" s="15">
        <v>0.49305555555555558</v>
      </c>
      <c r="AL67" s="15">
        <v>0.49652777777777773</v>
      </c>
      <c r="AM67" s="15">
        <v>0.5</v>
      </c>
      <c r="AN67" s="15">
        <v>0.50347222222222221</v>
      </c>
      <c r="AO67" s="15">
        <v>0.50694444444444442</v>
      </c>
      <c r="AP67" s="15">
        <v>0.51041666666666663</v>
      </c>
      <c r="AQ67" s="15">
        <v>0.51388888888888895</v>
      </c>
      <c r="AR67" s="15">
        <v>0.51736111111111105</v>
      </c>
      <c r="AS67" s="15">
        <v>0.52083333333333337</v>
      </c>
      <c r="AT67" s="15">
        <v>0.52430555555555558</v>
      </c>
      <c r="AU67" s="15">
        <v>0.52777777777777779</v>
      </c>
      <c r="AV67" s="15">
        <v>0.53125</v>
      </c>
      <c r="AW67" s="15">
        <v>0.53472222222222221</v>
      </c>
      <c r="AX67" s="15">
        <v>0.53819444444444442</v>
      </c>
      <c r="AY67" s="15">
        <v>0.54166666666666663</v>
      </c>
      <c r="AZ67" s="15">
        <v>0.54513888888888895</v>
      </c>
      <c r="BA67" s="15">
        <v>0.54861111111111105</v>
      </c>
      <c r="BB67" s="15">
        <v>0.55208333333333337</v>
      </c>
      <c r="BC67" s="15">
        <v>0.55555555555555558</v>
      </c>
      <c r="BD67" s="15">
        <v>0.55902777777777779</v>
      </c>
      <c r="BE67" s="15">
        <v>0.5625</v>
      </c>
      <c r="BF67" s="15">
        <v>0.56597222222222221</v>
      </c>
      <c r="BG67" s="15">
        <v>0.56944444444444442</v>
      </c>
      <c r="BH67" s="15">
        <v>0.57291666666666663</v>
      </c>
      <c r="BI67" s="15">
        <v>0.57638888888888895</v>
      </c>
      <c r="BJ67" s="15">
        <v>0.57986111111111105</v>
      </c>
      <c r="BK67" s="15">
        <v>0.58333333333333337</v>
      </c>
      <c r="BL67" s="15">
        <v>0.58680555555555558</v>
      </c>
      <c r="BM67" s="15">
        <v>0.59027777777777779</v>
      </c>
      <c r="BN67" s="15">
        <v>0.59375</v>
      </c>
      <c r="BO67" s="15">
        <v>0.59722222222222221</v>
      </c>
      <c r="BP67" s="15">
        <v>0.60069444444444442</v>
      </c>
      <c r="BQ67" s="15">
        <v>0.60416666666666663</v>
      </c>
      <c r="BR67" s="15">
        <v>0.60763888888888895</v>
      </c>
      <c r="BS67" s="15">
        <v>0.61111111111111105</v>
      </c>
      <c r="BT67" s="15">
        <v>0.61458333333333337</v>
      </c>
      <c r="BU67" s="15">
        <v>0.61805555555555558</v>
      </c>
      <c r="BV67" s="15">
        <v>0.62152777777777779</v>
      </c>
      <c r="BW67" s="15">
        <v>0.625</v>
      </c>
      <c r="BX67" s="15">
        <v>0.62847222222222221</v>
      </c>
      <c r="BY67" s="15">
        <v>0.63194444444444442</v>
      </c>
      <c r="BZ67" s="15">
        <v>0.63541666666666663</v>
      </c>
      <c r="CA67" s="15">
        <v>0.63888888888888895</v>
      </c>
      <c r="CB67" s="15">
        <v>0.64236111111111105</v>
      </c>
      <c r="CC67" s="15">
        <v>0.64583333333333337</v>
      </c>
      <c r="CD67" s="15">
        <v>0.64930555555555558</v>
      </c>
      <c r="CE67" s="15">
        <v>0.65277777777777779</v>
      </c>
      <c r="CF67" s="15">
        <v>0.65625</v>
      </c>
      <c r="CG67" s="15">
        <v>0.65972222222222221</v>
      </c>
      <c r="CH67" s="15">
        <v>0.66319444444444442</v>
      </c>
      <c r="CI67" s="15">
        <v>0.66666666666666663</v>
      </c>
      <c r="CJ67" s="15">
        <v>0.67013888888888884</v>
      </c>
      <c r="CK67" s="15">
        <v>0.67361111111111116</v>
      </c>
      <c r="CL67" s="15">
        <v>0.67708333333333337</v>
      </c>
      <c r="CM67" s="15">
        <v>0.68055555555555547</v>
      </c>
      <c r="CN67" s="15">
        <v>0.68402777777777779</v>
      </c>
      <c r="CO67" s="15">
        <v>0.6875</v>
      </c>
      <c r="CP67" s="15">
        <v>0.69097222222222221</v>
      </c>
      <c r="CQ67" s="15">
        <v>0.69444444444444453</v>
      </c>
      <c r="CR67" s="15">
        <v>0.69791666666666663</v>
      </c>
      <c r="CS67" s="15">
        <v>0.70138888888888884</v>
      </c>
      <c r="CT67" s="15">
        <v>0.70486111111111116</v>
      </c>
      <c r="CU67" s="15">
        <v>0.70833333333333337</v>
      </c>
      <c r="CV67" s="15">
        <v>0.71180555555555547</v>
      </c>
      <c r="CW67" s="15">
        <v>0.71527777777777779</v>
      </c>
      <c r="CX67" s="15">
        <v>0.71875</v>
      </c>
      <c r="CY67" s="15">
        <v>0.72222222222222221</v>
      </c>
      <c r="CZ67" s="15">
        <v>0.72569444444444453</v>
      </c>
      <c r="DA67" s="15">
        <v>0.72916666666666663</v>
      </c>
      <c r="DB67" s="15">
        <v>0.73263888888888884</v>
      </c>
      <c r="DC67" s="15">
        <v>0.73611111111111116</v>
      </c>
      <c r="DD67" s="15">
        <v>0.73958333333333337</v>
      </c>
      <c r="DE67" s="15">
        <v>0.74305555555555547</v>
      </c>
      <c r="DF67" s="15">
        <v>0.74652777777777779</v>
      </c>
      <c r="DG67" s="15">
        <v>0.75</v>
      </c>
      <c r="DH67" s="15">
        <v>0.75347222222222221</v>
      </c>
      <c r="DI67" s="15">
        <v>0.75694444444444453</v>
      </c>
      <c r="DJ67" s="15">
        <v>0.76041666666666663</v>
      </c>
      <c r="DK67" s="15">
        <v>0.76388888888888884</v>
      </c>
      <c r="DL67" s="15">
        <v>0.76736111111111116</v>
      </c>
      <c r="DM67" s="23">
        <v>44362</v>
      </c>
    </row>
    <row r="68" spans="1:126" ht="15.75" x14ac:dyDescent="0.25">
      <c r="A68" s="14">
        <v>44181</v>
      </c>
      <c r="B68" s="12" t="s">
        <v>6</v>
      </c>
      <c r="C68" s="13">
        <v>5075</v>
      </c>
      <c r="D68" s="13">
        <v>5087</v>
      </c>
      <c r="E68" s="13">
        <v>5117</v>
      </c>
      <c r="F68" s="13">
        <v>5117</v>
      </c>
      <c r="G68" s="13">
        <v>5123.2</v>
      </c>
      <c r="H68" s="13">
        <v>5124.45</v>
      </c>
      <c r="I68" s="13">
        <v>5123.0600000000004</v>
      </c>
      <c r="J68" s="13">
        <v>5120.32</v>
      </c>
      <c r="K68" s="13">
        <v>5124.2299999999996</v>
      </c>
      <c r="L68" s="13">
        <v>5117.87</v>
      </c>
      <c r="M68" s="13">
        <v>5122.5600000000004</v>
      </c>
      <c r="N68" s="13">
        <v>5121.76</v>
      </c>
      <c r="O68" s="13">
        <v>5113.9399999999996</v>
      </c>
      <c r="P68" s="13">
        <v>5122.13</v>
      </c>
      <c r="Q68" s="13">
        <v>5123.25</v>
      </c>
      <c r="R68" s="13">
        <v>5122.76</v>
      </c>
      <c r="S68" s="13">
        <v>5123.57</v>
      </c>
      <c r="T68" s="13">
        <v>5124.5</v>
      </c>
      <c r="U68" s="13">
        <v>5126.33</v>
      </c>
      <c r="V68" s="13">
        <v>5126.3599999999997</v>
      </c>
      <c r="W68" s="13">
        <v>5124.24</v>
      </c>
      <c r="X68" s="13">
        <v>5122.1099999999997</v>
      </c>
      <c r="Y68" s="13">
        <v>5122</v>
      </c>
      <c r="Z68" s="13">
        <v>5122</v>
      </c>
      <c r="AA68" s="13">
        <v>5122</v>
      </c>
      <c r="AB68" s="13">
        <v>5119.9399999999996</v>
      </c>
      <c r="AC68" s="13">
        <v>5118.25</v>
      </c>
      <c r="AD68" s="13">
        <v>5115.5600000000004</v>
      </c>
      <c r="AE68" s="13">
        <v>5119.8100000000004</v>
      </c>
      <c r="AF68" s="13">
        <v>5119.1899999999996</v>
      </c>
      <c r="AG68" s="13">
        <v>5120.78</v>
      </c>
      <c r="AH68" s="13">
        <v>5116.8900000000003</v>
      </c>
      <c r="AI68" s="13">
        <v>5120.78</v>
      </c>
      <c r="AJ68" s="13">
        <v>5120.58</v>
      </c>
      <c r="AK68" s="13">
        <v>5121.6899999999996</v>
      </c>
      <c r="AL68" s="13">
        <v>5121.6899999999996</v>
      </c>
      <c r="AM68" s="13">
        <v>5121.92</v>
      </c>
      <c r="AN68" s="13">
        <v>5123.7299999999996</v>
      </c>
      <c r="AO68" s="13">
        <v>5125.53</v>
      </c>
      <c r="AP68" s="13">
        <v>5124.76</v>
      </c>
      <c r="AQ68" s="13">
        <v>5124.76</v>
      </c>
      <c r="AR68" s="13">
        <v>5124.76</v>
      </c>
      <c r="AS68" s="13">
        <v>5125.82</v>
      </c>
      <c r="AT68" s="13">
        <v>5126.3999999999996</v>
      </c>
      <c r="AU68" s="13">
        <v>5125.42</v>
      </c>
      <c r="AV68" s="13">
        <v>5125.42</v>
      </c>
      <c r="AW68" s="13">
        <v>5128.71</v>
      </c>
      <c r="AX68" s="13">
        <v>5130.09</v>
      </c>
      <c r="AY68" s="13">
        <v>5132.88</v>
      </c>
      <c r="AZ68" s="13">
        <v>5133.3100000000004</v>
      </c>
      <c r="BA68" s="13">
        <v>5141.53</v>
      </c>
      <c r="BB68" s="13">
        <v>5143.2</v>
      </c>
      <c r="BC68" s="13">
        <v>5150.3999999999996</v>
      </c>
      <c r="BD68" s="13">
        <v>5153.38</v>
      </c>
      <c r="BE68" s="13">
        <v>5150.68</v>
      </c>
      <c r="BF68" s="13">
        <v>5148.5</v>
      </c>
      <c r="BG68" s="13">
        <v>5147.83</v>
      </c>
      <c r="BH68" s="13">
        <v>5144.78</v>
      </c>
      <c r="BI68" s="13">
        <v>5145.09</v>
      </c>
      <c r="BJ68" s="13">
        <v>5142.91</v>
      </c>
      <c r="BK68" s="13">
        <v>5141.9799999999996</v>
      </c>
      <c r="BL68" s="13">
        <v>5140.9399999999996</v>
      </c>
      <c r="BM68" s="13">
        <v>5139.1099999999997</v>
      </c>
      <c r="BN68" s="13">
        <v>5142.03</v>
      </c>
      <c r="BO68" s="13">
        <v>5140.8100000000004</v>
      </c>
      <c r="BP68" s="13">
        <v>5141.2299999999996</v>
      </c>
      <c r="BQ68" s="13">
        <v>5140.8999999999996</v>
      </c>
      <c r="BR68" s="13">
        <v>5141.8900000000003</v>
      </c>
      <c r="BS68" s="13">
        <v>5138.17</v>
      </c>
      <c r="BT68" s="13">
        <v>5146.26</v>
      </c>
      <c r="BU68" s="13">
        <v>5148.6899999999996</v>
      </c>
      <c r="BV68" s="13">
        <v>5148.6899999999996</v>
      </c>
      <c r="BW68" s="13">
        <v>5149.92</v>
      </c>
      <c r="BX68" s="13">
        <v>5146.3100000000004</v>
      </c>
      <c r="BY68" s="13">
        <v>5150.53</v>
      </c>
      <c r="BZ68" s="13">
        <v>5146.04</v>
      </c>
      <c r="CA68" s="13">
        <v>5143.57</v>
      </c>
      <c r="CB68" s="13">
        <v>5145.57</v>
      </c>
      <c r="CC68" s="13">
        <v>5145.29</v>
      </c>
      <c r="CD68" s="13">
        <v>5142.04</v>
      </c>
      <c r="CE68" s="13">
        <v>5143.92</v>
      </c>
      <c r="CF68" s="13">
        <v>5137.18</v>
      </c>
      <c r="CG68" s="13">
        <v>5137.8599999999997</v>
      </c>
      <c r="CH68" s="13">
        <v>5149.6099999999997</v>
      </c>
      <c r="CI68" s="13">
        <v>5136.5</v>
      </c>
      <c r="CJ68" s="13">
        <v>5138.82</v>
      </c>
      <c r="CK68" s="13">
        <v>5143.3999999999996</v>
      </c>
      <c r="CL68" s="13">
        <v>5142.8</v>
      </c>
      <c r="CM68" s="13">
        <v>5145.29</v>
      </c>
      <c r="CN68" s="13">
        <v>5141.3500000000004</v>
      </c>
      <c r="CO68" s="13">
        <v>5144.5200000000004</v>
      </c>
      <c r="CP68" s="13">
        <v>5140.5</v>
      </c>
      <c r="CQ68" s="13">
        <v>5137.33</v>
      </c>
      <c r="CR68" s="13">
        <v>5135.1499999999996</v>
      </c>
      <c r="CS68" s="13">
        <v>5129.54</v>
      </c>
      <c r="CT68" s="13">
        <v>5132.82</v>
      </c>
      <c r="CU68" s="13">
        <v>5134.1400000000003</v>
      </c>
      <c r="CV68" s="13">
        <v>5127.54</v>
      </c>
      <c r="CW68" s="13">
        <v>5127.3599999999997</v>
      </c>
      <c r="CX68" s="13">
        <v>5122.57</v>
      </c>
      <c r="CY68" s="13">
        <v>5123.63</v>
      </c>
      <c r="CZ68" s="13">
        <v>5123.63</v>
      </c>
      <c r="DA68" s="13">
        <v>5122.6899999999996</v>
      </c>
      <c r="DB68" s="13">
        <v>5119.75</v>
      </c>
      <c r="DC68" s="13">
        <v>5128.66</v>
      </c>
      <c r="DD68" s="13">
        <v>5114.5</v>
      </c>
      <c r="DE68" s="13">
        <v>5106.13</v>
      </c>
      <c r="DF68" s="13">
        <v>5106.54</v>
      </c>
      <c r="DG68" s="13">
        <v>5105.8900000000003</v>
      </c>
      <c r="DH68" s="13">
        <v>5107.3900000000003</v>
      </c>
      <c r="DI68" s="13">
        <v>5105.03</v>
      </c>
      <c r="DJ68" s="13">
        <v>5109.5</v>
      </c>
      <c r="DK68" s="13">
        <v>5100.42</v>
      </c>
      <c r="DL68" s="13">
        <v>5116.47</v>
      </c>
      <c r="DM68" s="32"/>
      <c r="DN68" s="33"/>
      <c r="DO68" s="32"/>
      <c r="DP68" s="33"/>
      <c r="DQ68" s="32"/>
      <c r="DR68" s="33"/>
      <c r="DS68" s="32"/>
      <c r="DT68" s="33"/>
      <c r="DU68" s="32"/>
      <c r="DV68" s="33"/>
    </row>
    <row r="69" spans="1:126" ht="15.75" x14ac:dyDescent="0.25">
      <c r="A69" s="14" t="s">
        <v>12</v>
      </c>
      <c r="B69" s="12" t="s">
        <v>10</v>
      </c>
      <c r="C69" s="13">
        <v>5075</v>
      </c>
      <c r="D69" s="13">
        <v>5085</v>
      </c>
      <c r="E69" s="13">
        <v>5098.8599999999997</v>
      </c>
      <c r="F69" s="13">
        <v>5104.91</v>
      </c>
      <c r="G69" s="13">
        <v>5119.68</v>
      </c>
      <c r="H69" s="13">
        <v>5115.58</v>
      </c>
      <c r="I69" s="13">
        <v>5123.0600000000004</v>
      </c>
      <c r="J69" s="13">
        <v>5114.79</v>
      </c>
      <c r="K69" s="13">
        <v>5115.92</v>
      </c>
      <c r="L69" s="13">
        <v>5115.75</v>
      </c>
      <c r="M69" s="13">
        <v>5120.82</v>
      </c>
      <c r="N69" s="13">
        <v>5112.72</v>
      </c>
      <c r="O69" s="13">
        <v>5113.1499999999996</v>
      </c>
      <c r="P69" s="13">
        <v>5116.5600000000004</v>
      </c>
      <c r="Q69" s="13">
        <v>5121.76</v>
      </c>
      <c r="R69" s="13">
        <v>5118.07</v>
      </c>
      <c r="S69" s="13">
        <v>5121.32</v>
      </c>
      <c r="T69" s="13">
        <v>5121.09</v>
      </c>
      <c r="U69" s="13">
        <v>5126.1099999999997</v>
      </c>
      <c r="V69" s="13">
        <v>5122.6400000000003</v>
      </c>
      <c r="W69" s="13">
        <v>5121.32</v>
      </c>
      <c r="X69" s="13">
        <v>5118.7299999999996</v>
      </c>
      <c r="Y69" s="13">
        <v>5122</v>
      </c>
      <c r="Z69" s="13">
        <v>5116</v>
      </c>
      <c r="AA69" s="13">
        <v>5117.68</v>
      </c>
      <c r="AB69" s="13">
        <v>5111.59</v>
      </c>
      <c r="AC69" s="13">
        <v>5115.5600000000004</v>
      </c>
      <c r="AD69" s="13">
        <v>5114.29</v>
      </c>
      <c r="AE69" s="13">
        <v>5109.8100000000004</v>
      </c>
      <c r="AF69" s="13">
        <v>5115.24</v>
      </c>
      <c r="AG69" s="13">
        <v>5111.26</v>
      </c>
      <c r="AH69" s="13">
        <v>5115.24</v>
      </c>
      <c r="AI69" s="13">
        <v>5106.8100000000004</v>
      </c>
      <c r="AJ69" s="13">
        <v>5120.58</v>
      </c>
      <c r="AK69" s="13">
        <v>5115.37</v>
      </c>
      <c r="AL69" s="13">
        <v>5113.29</v>
      </c>
      <c r="AM69" s="13">
        <v>5121.92</v>
      </c>
      <c r="AN69" s="13">
        <v>5116.57</v>
      </c>
      <c r="AO69" s="13">
        <v>5125.53</v>
      </c>
      <c r="AP69" s="13">
        <v>5123.78</v>
      </c>
      <c r="AQ69" s="13">
        <v>5123.28</v>
      </c>
      <c r="AR69" s="13">
        <v>5124.76</v>
      </c>
      <c r="AS69" s="13">
        <v>5125.7299999999996</v>
      </c>
      <c r="AT69" s="13">
        <v>5124.3500000000004</v>
      </c>
      <c r="AU69" s="13">
        <v>5122</v>
      </c>
      <c r="AV69" s="13">
        <v>5124.3500000000004</v>
      </c>
      <c r="AW69" s="13">
        <v>5127.3</v>
      </c>
      <c r="AX69" s="13">
        <v>5130.09</v>
      </c>
      <c r="AY69" s="13">
        <v>5131.1400000000003</v>
      </c>
      <c r="AZ69" s="13">
        <v>5129.33</v>
      </c>
      <c r="BA69" s="13">
        <v>5137.57</v>
      </c>
      <c r="BB69" s="13">
        <v>5143.2</v>
      </c>
      <c r="BC69" s="13">
        <v>5144.12</v>
      </c>
      <c r="BD69" s="13">
        <v>5143.1899999999996</v>
      </c>
      <c r="BE69" s="13">
        <v>5144.97</v>
      </c>
      <c r="BF69" s="13">
        <v>5145.8599999999997</v>
      </c>
      <c r="BG69" s="13">
        <v>5144.78</v>
      </c>
      <c r="BH69" s="13">
        <v>5144.3</v>
      </c>
      <c r="BI69" s="13">
        <v>5139.97</v>
      </c>
      <c r="BJ69" s="13">
        <v>5139.3900000000003</v>
      </c>
      <c r="BK69" s="13">
        <v>5140.83</v>
      </c>
      <c r="BL69" s="13">
        <v>5139.1099999999997</v>
      </c>
      <c r="BM69" s="13">
        <v>5136.8</v>
      </c>
      <c r="BN69" s="13">
        <v>5139.67</v>
      </c>
      <c r="BO69" s="13">
        <v>5138.05</v>
      </c>
      <c r="BP69" s="13">
        <v>5138.6099999999997</v>
      </c>
      <c r="BQ69" s="13">
        <v>5136.67</v>
      </c>
      <c r="BR69" s="13">
        <v>5138.78</v>
      </c>
      <c r="BS69" s="13">
        <v>5137.46</v>
      </c>
      <c r="BT69" s="13">
        <v>5144.3900000000003</v>
      </c>
      <c r="BU69" s="13">
        <v>5148.6899999999996</v>
      </c>
      <c r="BV69" s="13">
        <v>5148.45</v>
      </c>
      <c r="BW69" s="13">
        <v>5142.3</v>
      </c>
      <c r="BX69" s="13">
        <v>5144.3900000000003</v>
      </c>
      <c r="BY69" s="13">
        <v>5146.04</v>
      </c>
      <c r="BZ69" s="13">
        <v>5143.9799999999996</v>
      </c>
      <c r="CA69" s="13">
        <v>5140.7299999999996</v>
      </c>
      <c r="CB69" s="13">
        <v>5140.83</v>
      </c>
      <c r="CC69" s="13">
        <v>5137.92</v>
      </c>
      <c r="CD69" s="13">
        <v>5138.24</v>
      </c>
      <c r="CE69" s="13">
        <v>5137.18</v>
      </c>
      <c r="CF69" s="13">
        <v>5128.83</v>
      </c>
      <c r="CG69" s="13">
        <v>5132.51</v>
      </c>
      <c r="CH69" s="13">
        <v>5131.84</v>
      </c>
      <c r="CI69" s="13">
        <v>5134.6899999999996</v>
      </c>
      <c r="CJ69" s="13">
        <v>5131.38</v>
      </c>
      <c r="CK69" s="13">
        <v>5139.49</v>
      </c>
      <c r="CL69" s="13">
        <v>5140.26</v>
      </c>
      <c r="CM69" s="13">
        <v>5141.3500000000004</v>
      </c>
      <c r="CN69" s="13">
        <v>5139.26</v>
      </c>
      <c r="CO69" s="13">
        <v>5140.5</v>
      </c>
      <c r="CP69" s="13">
        <v>5135.59</v>
      </c>
      <c r="CQ69" s="13">
        <v>5131.54</v>
      </c>
      <c r="CR69" s="13">
        <v>5129.54</v>
      </c>
      <c r="CS69" s="13">
        <v>5126.95</v>
      </c>
      <c r="CT69" s="13">
        <v>5132.82</v>
      </c>
      <c r="CU69" s="13">
        <v>5127.54</v>
      </c>
      <c r="CV69" s="13">
        <v>5121.95</v>
      </c>
      <c r="CW69" s="13">
        <v>5122.57</v>
      </c>
      <c r="CX69" s="13">
        <v>5118.6000000000004</v>
      </c>
      <c r="CY69" s="13">
        <v>5123.63</v>
      </c>
      <c r="CZ69" s="13">
        <v>5119.59</v>
      </c>
      <c r="DA69" s="13">
        <v>5116.83</v>
      </c>
      <c r="DB69" s="13">
        <v>5114.05</v>
      </c>
      <c r="DC69" s="13">
        <v>5113.49</v>
      </c>
      <c r="DD69" s="13">
        <v>5104.25</v>
      </c>
      <c r="DE69" s="13">
        <v>5104.25</v>
      </c>
      <c r="DF69" s="13">
        <v>5100.99</v>
      </c>
      <c r="DG69" s="13">
        <v>5105.8599999999997</v>
      </c>
      <c r="DH69" s="13">
        <v>5102.83</v>
      </c>
      <c r="DI69" s="13">
        <v>5103.05</v>
      </c>
      <c r="DJ69" s="13">
        <v>5097.24</v>
      </c>
      <c r="DK69" s="13">
        <v>5099.78</v>
      </c>
      <c r="DL69" s="13">
        <v>5109.38</v>
      </c>
      <c r="DM69" s="32"/>
      <c r="DN69" s="33"/>
      <c r="DO69" s="32"/>
      <c r="DP69" s="33"/>
      <c r="DQ69" s="32"/>
      <c r="DR69" s="33"/>
      <c r="DS69" s="32"/>
      <c r="DT69" s="33"/>
      <c r="DU69" s="32"/>
      <c r="DV69" s="33"/>
    </row>
    <row r="70" spans="1:126" ht="15.75" x14ac:dyDescent="0.25">
      <c r="A70" s="14" t="s">
        <v>12</v>
      </c>
      <c r="B70" s="12" t="s">
        <v>9</v>
      </c>
      <c r="C70" s="13">
        <v>5046.54</v>
      </c>
      <c r="D70" s="13">
        <v>5054.38</v>
      </c>
      <c r="E70" s="13">
        <v>5075.1899999999996</v>
      </c>
      <c r="F70" s="13">
        <v>5077.75</v>
      </c>
      <c r="G70" s="13">
        <v>5090.05</v>
      </c>
      <c r="H70" s="13">
        <v>5076.92</v>
      </c>
      <c r="I70" s="13">
        <v>5095.38</v>
      </c>
      <c r="J70" s="13">
        <v>5073.83</v>
      </c>
      <c r="K70" s="13">
        <v>5074.92</v>
      </c>
      <c r="L70" s="13">
        <v>5085.0600000000004</v>
      </c>
      <c r="M70" s="13">
        <v>5090.38</v>
      </c>
      <c r="N70" s="13">
        <v>5067.2299999999996</v>
      </c>
      <c r="O70" s="13">
        <v>5078.95</v>
      </c>
      <c r="P70" s="13">
        <v>5070.3100000000004</v>
      </c>
      <c r="Q70" s="13">
        <v>5078.92</v>
      </c>
      <c r="R70" s="13">
        <v>5083.53</v>
      </c>
      <c r="S70" s="13">
        <v>5090.75</v>
      </c>
      <c r="T70" s="13">
        <v>5086.29</v>
      </c>
      <c r="U70" s="13">
        <v>5062</v>
      </c>
      <c r="V70" s="13">
        <v>5075.46</v>
      </c>
      <c r="W70" s="13">
        <v>5074.2299999999996</v>
      </c>
      <c r="X70" s="13">
        <v>5071.7700000000004</v>
      </c>
      <c r="Y70" s="13">
        <v>5086</v>
      </c>
      <c r="Z70" s="13">
        <v>5079.41</v>
      </c>
      <c r="AA70" s="13">
        <v>5089.1400000000003</v>
      </c>
      <c r="AB70" s="13">
        <v>5062.92</v>
      </c>
      <c r="AC70" s="13">
        <v>5074.0600000000004</v>
      </c>
      <c r="AD70" s="13">
        <v>5081.6899999999996</v>
      </c>
      <c r="AE70" s="13">
        <v>5062.92</v>
      </c>
      <c r="AF70" s="13">
        <v>5078.6099999999997</v>
      </c>
      <c r="AG70" s="13">
        <v>5077.12</v>
      </c>
      <c r="AH70" s="13">
        <v>5075.96</v>
      </c>
      <c r="AI70" s="13">
        <v>5062.47</v>
      </c>
      <c r="AJ70" s="13">
        <v>5068.63</v>
      </c>
      <c r="AK70" s="13">
        <v>5080.8100000000004</v>
      </c>
      <c r="AL70" s="13">
        <v>5063.1099999999997</v>
      </c>
      <c r="AM70" s="13">
        <v>5066.88</v>
      </c>
      <c r="AN70" s="13">
        <v>5071.87</v>
      </c>
      <c r="AO70" s="13">
        <v>5084.66</v>
      </c>
      <c r="AP70" s="13">
        <v>5087.66</v>
      </c>
      <c r="AQ70" s="13">
        <v>5081.79</v>
      </c>
      <c r="AR70" s="13">
        <v>5075.42</v>
      </c>
      <c r="AS70" s="13">
        <v>5058</v>
      </c>
      <c r="AT70" s="13">
        <v>5086.5200000000004</v>
      </c>
      <c r="AU70" s="13">
        <v>5081.58</v>
      </c>
      <c r="AV70" s="13">
        <v>5082.67</v>
      </c>
      <c r="AW70" s="13">
        <v>5089</v>
      </c>
      <c r="AX70" s="13">
        <v>5092.28</v>
      </c>
      <c r="AY70" s="13">
        <v>5108.0600000000004</v>
      </c>
      <c r="AZ70" s="13">
        <v>5102.21</v>
      </c>
      <c r="BA70" s="13">
        <v>5103.88</v>
      </c>
      <c r="BB70" s="13">
        <v>5104</v>
      </c>
      <c r="BC70" s="13">
        <v>5109.8500000000004</v>
      </c>
      <c r="BD70" s="13">
        <v>5101.7700000000004</v>
      </c>
      <c r="BE70" s="13">
        <v>5107.63</v>
      </c>
      <c r="BF70" s="13">
        <v>5107.63</v>
      </c>
      <c r="BG70" s="13">
        <v>5110.55</v>
      </c>
      <c r="BH70" s="13">
        <v>5106.97</v>
      </c>
      <c r="BI70" s="13">
        <v>5109.7299999999996</v>
      </c>
      <c r="BJ70" s="13">
        <v>5106.47</v>
      </c>
      <c r="BK70" s="13">
        <v>5099.43</v>
      </c>
      <c r="BL70" s="13">
        <v>5101.91</v>
      </c>
      <c r="BM70" s="13">
        <v>5102.6499999999996</v>
      </c>
      <c r="BN70" s="13">
        <v>5104.43</v>
      </c>
      <c r="BO70" s="13">
        <v>5092.97</v>
      </c>
      <c r="BP70" s="13">
        <v>5099.82</v>
      </c>
      <c r="BQ70" s="13">
        <v>5093.76</v>
      </c>
      <c r="BR70" s="13">
        <v>5095</v>
      </c>
      <c r="BS70" s="13">
        <v>5105.8900000000003</v>
      </c>
      <c r="BT70" s="13">
        <v>5106.6400000000003</v>
      </c>
      <c r="BU70" s="13">
        <v>5115.38</v>
      </c>
      <c r="BV70" s="13">
        <v>5117.78</v>
      </c>
      <c r="BW70" s="13">
        <v>5107.91</v>
      </c>
      <c r="BX70" s="13">
        <v>5108.5600000000004</v>
      </c>
      <c r="BY70" s="13">
        <v>5102.79</v>
      </c>
      <c r="BZ70" s="13">
        <v>5111.7299999999996</v>
      </c>
      <c r="CA70" s="13">
        <v>5093.3</v>
      </c>
      <c r="CB70" s="13">
        <v>5088.16</v>
      </c>
      <c r="CC70" s="13">
        <v>5096.8599999999997</v>
      </c>
      <c r="CD70" s="13">
        <v>5094.08</v>
      </c>
      <c r="CE70" s="13">
        <v>5099.8900000000003</v>
      </c>
      <c r="CF70" s="13">
        <v>5087.8599999999997</v>
      </c>
      <c r="CG70" s="13">
        <v>5099.21</v>
      </c>
      <c r="CH70" s="13">
        <v>5088.8</v>
      </c>
      <c r="CI70" s="13">
        <v>5085.55</v>
      </c>
      <c r="CJ70" s="13">
        <v>5089.1400000000003</v>
      </c>
      <c r="CK70" s="13">
        <v>5100.4799999999996</v>
      </c>
      <c r="CL70" s="13">
        <v>5102.88</v>
      </c>
      <c r="CM70" s="13">
        <v>5102.1899999999996</v>
      </c>
      <c r="CN70" s="13">
        <v>5104.16</v>
      </c>
      <c r="CO70" s="13">
        <v>5103.4399999999996</v>
      </c>
      <c r="CP70" s="13">
        <v>5094.5600000000004</v>
      </c>
      <c r="CQ70" s="13">
        <v>5096.1099999999997</v>
      </c>
      <c r="CR70" s="13">
        <v>5091.9399999999996</v>
      </c>
      <c r="CS70" s="13">
        <v>5091.38</v>
      </c>
      <c r="CT70" s="13">
        <v>5093.43</v>
      </c>
      <c r="CU70" s="13">
        <v>5091.43</v>
      </c>
      <c r="CV70" s="13">
        <v>5084.76</v>
      </c>
      <c r="CW70" s="13">
        <v>5084.03</v>
      </c>
      <c r="CX70" s="13">
        <v>5078.21</v>
      </c>
      <c r="CY70" s="13">
        <v>5079.8100000000004</v>
      </c>
      <c r="CZ70" s="13">
        <v>5080.66</v>
      </c>
      <c r="DA70" s="13">
        <v>5080.21</v>
      </c>
      <c r="DB70" s="13">
        <v>5076.6499999999996</v>
      </c>
      <c r="DC70" s="13">
        <v>5079.41</v>
      </c>
      <c r="DD70" s="13">
        <v>5076.47</v>
      </c>
      <c r="DE70" s="13">
        <v>5072.6099999999997</v>
      </c>
      <c r="DF70" s="13">
        <v>5066.32</v>
      </c>
      <c r="DG70" s="13">
        <v>5072.5600000000004</v>
      </c>
      <c r="DH70" s="13">
        <v>5072</v>
      </c>
      <c r="DI70" s="13">
        <v>5077.68</v>
      </c>
      <c r="DJ70" s="13">
        <v>5074.34</v>
      </c>
      <c r="DK70" s="13">
        <v>5077.04</v>
      </c>
      <c r="DL70" s="13">
        <v>5075.09</v>
      </c>
      <c r="DM70" s="32"/>
      <c r="DN70" s="33"/>
      <c r="DO70" s="32"/>
      <c r="DP70" s="33"/>
      <c r="DQ70" s="32"/>
      <c r="DR70" s="33"/>
      <c r="DS70" s="32"/>
      <c r="DT70" s="33"/>
      <c r="DU70" s="32"/>
      <c r="DV70" s="33"/>
    </row>
    <row r="71" spans="1:126" ht="15.75" x14ac:dyDescent="0.25">
      <c r="A71" s="14" t="s">
        <v>12</v>
      </c>
      <c r="B71" s="12" t="s">
        <v>7</v>
      </c>
      <c r="C71" s="13">
        <v>5046.54</v>
      </c>
      <c r="D71" s="13">
        <v>5031.67</v>
      </c>
      <c r="E71" s="13">
        <v>5055</v>
      </c>
      <c r="F71" s="13">
        <v>5060</v>
      </c>
      <c r="G71" s="13">
        <v>5051.71</v>
      </c>
      <c r="H71" s="13">
        <v>5069.4399999999996</v>
      </c>
      <c r="I71" s="13">
        <v>5063.5</v>
      </c>
      <c r="J71" s="13">
        <v>5061.5</v>
      </c>
      <c r="K71" s="13">
        <v>5062.5</v>
      </c>
      <c r="L71" s="13">
        <v>5062</v>
      </c>
      <c r="M71" s="13">
        <v>5069.08</v>
      </c>
      <c r="N71" s="13">
        <v>5057.2700000000004</v>
      </c>
      <c r="O71" s="13">
        <v>5055.45</v>
      </c>
      <c r="P71" s="13">
        <v>5070.3100000000004</v>
      </c>
      <c r="Q71" s="13">
        <v>5057.7299999999996</v>
      </c>
      <c r="R71" s="13">
        <v>5071.54</v>
      </c>
      <c r="S71" s="13">
        <v>5078.5</v>
      </c>
      <c r="T71" s="13">
        <v>5059.55</v>
      </c>
      <c r="U71" s="13">
        <v>5062</v>
      </c>
      <c r="V71" s="13">
        <v>5066</v>
      </c>
      <c r="W71" s="13">
        <v>5060.91</v>
      </c>
      <c r="X71" s="13">
        <v>5071.7700000000004</v>
      </c>
      <c r="Y71" s="13">
        <v>5071.7700000000004</v>
      </c>
      <c r="Z71" s="13">
        <v>5047.5600000000004</v>
      </c>
      <c r="AA71" s="13">
        <v>5049.75</v>
      </c>
      <c r="AB71" s="13">
        <v>5046.5600000000004</v>
      </c>
      <c r="AC71" s="13">
        <v>5061.08</v>
      </c>
      <c r="AD71" s="13">
        <v>5067.58</v>
      </c>
      <c r="AE71" s="13">
        <v>5052.2700000000004</v>
      </c>
      <c r="AF71" s="13">
        <v>5061.08</v>
      </c>
      <c r="AG71" s="13">
        <v>5072.92</v>
      </c>
      <c r="AH71" s="13">
        <v>5058</v>
      </c>
      <c r="AI71" s="13">
        <v>5058.5600000000004</v>
      </c>
      <c r="AJ71" s="13">
        <v>5057.75</v>
      </c>
      <c r="AK71" s="13">
        <v>5065</v>
      </c>
      <c r="AL71" s="13">
        <v>5051.08</v>
      </c>
      <c r="AM71" s="13">
        <v>5053.62</v>
      </c>
      <c r="AN71" s="13">
        <v>5053.82</v>
      </c>
      <c r="AO71" s="13">
        <v>5068.25</v>
      </c>
      <c r="AP71" s="13">
        <v>5082.33</v>
      </c>
      <c r="AQ71" s="13">
        <v>5066</v>
      </c>
      <c r="AR71" s="13">
        <v>5075.42</v>
      </c>
      <c r="AS71" s="13">
        <v>5058</v>
      </c>
      <c r="AT71" s="13">
        <v>5052.45</v>
      </c>
      <c r="AU71" s="13">
        <v>5081.58</v>
      </c>
      <c r="AV71" s="13">
        <v>5081.58</v>
      </c>
      <c r="AW71" s="13">
        <v>5082.67</v>
      </c>
      <c r="AX71" s="13">
        <v>5089</v>
      </c>
      <c r="AY71" s="13">
        <v>5092.28</v>
      </c>
      <c r="AZ71" s="13">
        <v>5089.75</v>
      </c>
      <c r="BA71" s="13">
        <v>5100.59</v>
      </c>
      <c r="BB71" s="13">
        <v>5099.74</v>
      </c>
      <c r="BC71" s="13">
        <v>5102.8900000000003</v>
      </c>
      <c r="BD71" s="13">
        <v>5088.55</v>
      </c>
      <c r="BE71" s="13">
        <v>5103.2299999999996</v>
      </c>
      <c r="BF71" s="13">
        <v>5102.97</v>
      </c>
      <c r="BG71" s="13">
        <v>5097.68</v>
      </c>
      <c r="BH71" s="13">
        <v>5106.97</v>
      </c>
      <c r="BI71" s="13">
        <v>5088.55</v>
      </c>
      <c r="BJ71" s="13">
        <v>5091.33</v>
      </c>
      <c r="BK71" s="13">
        <v>5099.43</v>
      </c>
      <c r="BL71" s="13">
        <v>5092.58</v>
      </c>
      <c r="BM71" s="13">
        <v>5076</v>
      </c>
      <c r="BN71" s="13">
        <v>5099.12</v>
      </c>
      <c r="BO71" s="13">
        <v>5092.97</v>
      </c>
      <c r="BP71" s="13">
        <v>5091.8999999999996</v>
      </c>
      <c r="BQ71" s="13">
        <v>5089.17</v>
      </c>
      <c r="BR71" s="13">
        <v>5086.6000000000004</v>
      </c>
      <c r="BS71" s="13">
        <v>5087.6899999999996</v>
      </c>
      <c r="BT71" s="13">
        <v>5101.1499999999996</v>
      </c>
      <c r="BU71" s="13">
        <v>5101.84</v>
      </c>
      <c r="BV71" s="13">
        <v>5110.12</v>
      </c>
      <c r="BW71" s="13">
        <v>5080</v>
      </c>
      <c r="BX71" s="13">
        <v>5090.79</v>
      </c>
      <c r="BY71" s="13">
        <v>5096.42</v>
      </c>
      <c r="BZ71" s="13">
        <v>5077.2</v>
      </c>
      <c r="CA71" s="13">
        <v>5090.63</v>
      </c>
      <c r="CB71" s="13">
        <v>5088.16</v>
      </c>
      <c r="CC71" s="13">
        <v>5081.63</v>
      </c>
      <c r="CD71" s="13">
        <v>5088.63</v>
      </c>
      <c r="CE71" s="13">
        <v>5061.6000000000004</v>
      </c>
      <c r="CF71" s="13">
        <v>5074.8900000000003</v>
      </c>
      <c r="CG71" s="13">
        <v>5085.13</v>
      </c>
      <c r="CH71" s="13">
        <v>5088.8</v>
      </c>
      <c r="CI71" s="13">
        <v>5079.83</v>
      </c>
      <c r="CJ71" s="13">
        <v>5073.6000000000004</v>
      </c>
      <c r="CK71" s="13">
        <v>5088.63</v>
      </c>
      <c r="CL71" s="13">
        <v>5088.63</v>
      </c>
      <c r="CM71" s="13">
        <v>5096.32</v>
      </c>
      <c r="CN71" s="13">
        <v>5087</v>
      </c>
      <c r="CO71" s="13">
        <v>5099.4399999999996</v>
      </c>
      <c r="CP71" s="13">
        <v>5079.1099999999997</v>
      </c>
      <c r="CQ71" s="13">
        <v>5083.63</v>
      </c>
      <c r="CR71" s="13">
        <v>5082.13</v>
      </c>
      <c r="CS71" s="13">
        <v>5086.3900000000003</v>
      </c>
      <c r="CT71" s="13">
        <v>5082.57</v>
      </c>
      <c r="CU71" s="13">
        <v>5072.37</v>
      </c>
      <c r="CV71" s="13">
        <v>5069.42</v>
      </c>
      <c r="CW71" s="13">
        <v>5079.8999999999996</v>
      </c>
      <c r="CX71" s="13">
        <v>5073.46</v>
      </c>
      <c r="CY71" s="13">
        <v>5077.3900000000003</v>
      </c>
      <c r="CZ71" s="13">
        <v>5071.71</v>
      </c>
      <c r="DA71" s="13">
        <v>5070.42</v>
      </c>
      <c r="DB71" s="13">
        <v>5057.9399999999996</v>
      </c>
      <c r="DC71" s="13">
        <v>5076.6499999999996</v>
      </c>
      <c r="DD71" s="13">
        <v>5073.03</v>
      </c>
      <c r="DE71" s="13">
        <v>5069.62</v>
      </c>
      <c r="DF71" s="13">
        <v>5055.67</v>
      </c>
      <c r="DG71" s="13">
        <v>5068.1499999999996</v>
      </c>
      <c r="DH71" s="13">
        <v>5065.7700000000004</v>
      </c>
      <c r="DI71" s="13">
        <v>5070.18</v>
      </c>
      <c r="DJ71" s="13">
        <v>5064.46</v>
      </c>
      <c r="DK71" s="13">
        <v>5067.96</v>
      </c>
      <c r="DL71" s="13">
        <v>5068.07</v>
      </c>
      <c r="DM71" s="32"/>
      <c r="DN71" s="33"/>
      <c r="DO71" s="32"/>
      <c r="DP71" s="33"/>
      <c r="DQ71" s="32"/>
      <c r="DR71" s="33"/>
      <c r="DS71" s="32"/>
      <c r="DT71" s="33"/>
      <c r="DU71" s="32"/>
      <c r="DV71" s="33"/>
    </row>
    <row r="72" spans="1:126" ht="15.75" x14ac:dyDescent="0.25">
      <c r="A72" s="14"/>
      <c r="B72" s="12"/>
      <c r="C72" s="13">
        <f t="shared" ref="C72:AH72" si="42">(C68+C69+C70+C71)/4</f>
        <v>5060.7700000000004</v>
      </c>
      <c r="D72" s="13">
        <f t="shared" si="42"/>
        <v>5064.5125000000007</v>
      </c>
      <c r="E72" s="13">
        <f t="shared" si="42"/>
        <v>5086.5124999999998</v>
      </c>
      <c r="F72" s="13">
        <f t="shared" si="42"/>
        <v>5089.915</v>
      </c>
      <c r="G72" s="13">
        <f t="shared" si="42"/>
        <v>5096.16</v>
      </c>
      <c r="H72" s="13">
        <f t="shared" si="42"/>
        <v>5096.5974999999999</v>
      </c>
      <c r="I72" s="13">
        <f t="shared" si="42"/>
        <v>5101.25</v>
      </c>
      <c r="J72" s="13">
        <f t="shared" si="42"/>
        <v>5092.6100000000006</v>
      </c>
      <c r="K72" s="13">
        <f t="shared" si="42"/>
        <v>5094.3924999999999</v>
      </c>
      <c r="L72" s="13">
        <f t="shared" si="42"/>
        <v>5095.17</v>
      </c>
      <c r="M72" s="13">
        <f t="shared" si="42"/>
        <v>5100.7100000000009</v>
      </c>
      <c r="N72" s="13">
        <f t="shared" si="42"/>
        <v>5089.7449999999999</v>
      </c>
      <c r="O72" s="13">
        <f t="shared" si="42"/>
        <v>5090.3725000000004</v>
      </c>
      <c r="P72" s="13">
        <f t="shared" si="42"/>
        <v>5094.8275000000003</v>
      </c>
      <c r="Q72" s="13">
        <f t="shared" si="42"/>
        <v>5095.415</v>
      </c>
      <c r="R72" s="13">
        <f t="shared" si="42"/>
        <v>5098.9750000000004</v>
      </c>
      <c r="S72" s="13">
        <f t="shared" si="42"/>
        <v>5103.5349999999999</v>
      </c>
      <c r="T72" s="13">
        <f t="shared" si="42"/>
        <v>5097.8575000000001</v>
      </c>
      <c r="U72" s="13">
        <f t="shared" si="42"/>
        <v>5094.1099999999997</v>
      </c>
      <c r="V72" s="13">
        <f t="shared" si="42"/>
        <v>5097.6149999999998</v>
      </c>
      <c r="W72" s="13">
        <f t="shared" si="42"/>
        <v>5095.1749999999993</v>
      </c>
      <c r="X72" s="13">
        <f t="shared" si="42"/>
        <v>5096.0950000000003</v>
      </c>
      <c r="Y72" s="13">
        <f t="shared" si="42"/>
        <v>5100.4425000000001</v>
      </c>
      <c r="Z72" s="13">
        <f t="shared" si="42"/>
        <v>5091.2425000000003</v>
      </c>
      <c r="AA72" s="13">
        <f t="shared" si="42"/>
        <v>5094.6424999999999</v>
      </c>
      <c r="AB72" s="13">
        <f t="shared" si="42"/>
        <v>5085.2524999999996</v>
      </c>
      <c r="AC72" s="13">
        <f t="shared" si="42"/>
        <v>5092.2375000000011</v>
      </c>
      <c r="AD72" s="13">
        <f t="shared" si="42"/>
        <v>5094.7800000000007</v>
      </c>
      <c r="AE72" s="13">
        <f t="shared" si="42"/>
        <v>5086.2025000000003</v>
      </c>
      <c r="AF72" s="13">
        <f t="shared" si="42"/>
        <v>5093.5300000000007</v>
      </c>
      <c r="AG72" s="13">
        <f t="shared" si="42"/>
        <v>5095.5200000000004</v>
      </c>
      <c r="AH72" s="13">
        <f t="shared" si="42"/>
        <v>5091.5225</v>
      </c>
      <c r="AI72" s="13">
        <f t="shared" ref="AI72:BN72" si="43">(AI68+AI69+AI70+AI71)/4</f>
        <v>5087.1550000000007</v>
      </c>
      <c r="AJ72" s="13">
        <f t="shared" si="43"/>
        <v>5091.8850000000002</v>
      </c>
      <c r="AK72" s="13">
        <f t="shared" si="43"/>
        <v>5095.7174999999997</v>
      </c>
      <c r="AL72" s="13">
        <f t="shared" si="43"/>
        <v>5087.2924999999996</v>
      </c>
      <c r="AM72" s="13">
        <f t="shared" si="43"/>
        <v>5091.085</v>
      </c>
      <c r="AN72" s="13">
        <f t="shared" si="43"/>
        <v>5091.4974999999995</v>
      </c>
      <c r="AO72" s="13">
        <f t="shared" si="43"/>
        <v>5100.9925000000003</v>
      </c>
      <c r="AP72" s="13">
        <f t="shared" si="43"/>
        <v>5104.6324999999997</v>
      </c>
      <c r="AQ72" s="13">
        <f t="shared" si="43"/>
        <v>5098.9575000000004</v>
      </c>
      <c r="AR72" s="13">
        <f t="shared" si="43"/>
        <v>5100.09</v>
      </c>
      <c r="AS72" s="13">
        <f t="shared" si="43"/>
        <v>5091.8874999999998</v>
      </c>
      <c r="AT72" s="13">
        <f t="shared" si="43"/>
        <v>5097.43</v>
      </c>
      <c r="AU72" s="13">
        <f t="shared" si="43"/>
        <v>5102.6450000000004</v>
      </c>
      <c r="AV72" s="13">
        <f t="shared" si="43"/>
        <v>5103.5050000000001</v>
      </c>
      <c r="AW72" s="13">
        <f t="shared" si="43"/>
        <v>5106.92</v>
      </c>
      <c r="AX72" s="13">
        <f t="shared" si="43"/>
        <v>5110.3649999999998</v>
      </c>
      <c r="AY72" s="13">
        <f t="shared" si="43"/>
        <v>5116.09</v>
      </c>
      <c r="AZ72" s="13">
        <f t="shared" si="43"/>
        <v>5113.6499999999996</v>
      </c>
      <c r="BA72" s="13">
        <f t="shared" si="43"/>
        <v>5120.8924999999999</v>
      </c>
      <c r="BB72" s="13">
        <f t="shared" si="43"/>
        <v>5122.5349999999999</v>
      </c>
      <c r="BC72" s="13">
        <f t="shared" si="43"/>
        <v>5126.8150000000005</v>
      </c>
      <c r="BD72" s="13">
        <f t="shared" si="43"/>
        <v>5121.7224999999999</v>
      </c>
      <c r="BE72" s="13">
        <f t="shared" si="43"/>
        <v>5126.6275000000005</v>
      </c>
      <c r="BF72" s="13">
        <f t="shared" si="43"/>
        <v>5126.2400000000007</v>
      </c>
      <c r="BG72" s="13">
        <f t="shared" si="43"/>
        <v>5125.21</v>
      </c>
      <c r="BH72" s="13">
        <f t="shared" si="43"/>
        <v>5125.7550000000001</v>
      </c>
      <c r="BI72" s="13">
        <f t="shared" si="43"/>
        <v>5120.835</v>
      </c>
      <c r="BJ72" s="13">
        <f t="shared" si="43"/>
        <v>5120.0249999999996</v>
      </c>
      <c r="BK72" s="13">
        <f t="shared" si="43"/>
        <v>5120.4174999999996</v>
      </c>
      <c r="BL72" s="13">
        <f t="shared" si="43"/>
        <v>5118.6350000000002</v>
      </c>
      <c r="BM72" s="13">
        <f t="shared" si="43"/>
        <v>5113.6399999999994</v>
      </c>
      <c r="BN72" s="13">
        <f t="shared" si="43"/>
        <v>5121.3125</v>
      </c>
      <c r="BO72" s="13">
        <f t="shared" ref="BO72:CT72" si="44">(BO68+BO69+BO70+BO71)/4</f>
        <v>5116.2000000000007</v>
      </c>
      <c r="BP72" s="13">
        <f t="shared" si="44"/>
        <v>5117.8899999999994</v>
      </c>
      <c r="BQ72" s="13">
        <f t="shared" si="44"/>
        <v>5115.125</v>
      </c>
      <c r="BR72" s="13">
        <f t="shared" si="44"/>
        <v>5115.5675000000001</v>
      </c>
      <c r="BS72" s="13">
        <f t="shared" si="44"/>
        <v>5117.3024999999998</v>
      </c>
      <c r="BT72" s="13">
        <f t="shared" si="44"/>
        <v>5124.6100000000006</v>
      </c>
      <c r="BU72" s="13">
        <f t="shared" si="44"/>
        <v>5128.6499999999996</v>
      </c>
      <c r="BV72" s="13">
        <f t="shared" si="44"/>
        <v>5131.2599999999993</v>
      </c>
      <c r="BW72" s="13">
        <f t="shared" si="44"/>
        <v>5120.0325000000003</v>
      </c>
      <c r="BX72" s="13">
        <f t="shared" si="44"/>
        <v>5122.5125000000007</v>
      </c>
      <c r="BY72" s="13">
        <f t="shared" si="44"/>
        <v>5123.9449999999997</v>
      </c>
      <c r="BZ72" s="13">
        <f t="shared" si="44"/>
        <v>5119.7375000000002</v>
      </c>
      <c r="CA72" s="13">
        <f t="shared" si="44"/>
        <v>5117.0574999999999</v>
      </c>
      <c r="CB72" s="13">
        <f t="shared" si="44"/>
        <v>5115.68</v>
      </c>
      <c r="CC72" s="13">
        <f t="shared" si="44"/>
        <v>5115.4250000000002</v>
      </c>
      <c r="CD72" s="13">
        <f t="shared" si="44"/>
        <v>5115.7474999999995</v>
      </c>
      <c r="CE72" s="13">
        <f t="shared" si="44"/>
        <v>5110.6475000000009</v>
      </c>
      <c r="CF72" s="13">
        <f t="shared" si="44"/>
        <v>5107.1899999999996</v>
      </c>
      <c r="CG72" s="13">
        <f t="shared" si="44"/>
        <v>5113.6774999999998</v>
      </c>
      <c r="CH72" s="13">
        <f t="shared" si="44"/>
        <v>5114.7624999999998</v>
      </c>
      <c r="CI72" s="13">
        <f t="shared" si="44"/>
        <v>5109.1424999999999</v>
      </c>
      <c r="CJ72" s="13">
        <f t="shared" si="44"/>
        <v>5108.2350000000006</v>
      </c>
      <c r="CK72" s="13">
        <f t="shared" si="44"/>
        <v>5118</v>
      </c>
      <c r="CL72" s="13">
        <f t="shared" si="44"/>
        <v>5118.6425000000008</v>
      </c>
      <c r="CM72" s="13">
        <f t="shared" si="44"/>
        <v>5121.2874999999995</v>
      </c>
      <c r="CN72" s="13">
        <f t="shared" si="44"/>
        <v>5117.9425000000001</v>
      </c>
      <c r="CO72" s="13">
        <f t="shared" si="44"/>
        <v>5121.9749999999995</v>
      </c>
      <c r="CP72" s="13">
        <f t="shared" si="44"/>
        <v>5112.4400000000005</v>
      </c>
      <c r="CQ72" s="13">
        <f t="shared" si="44"/>
        <v>5112.1525000000001</v>
      </c>
      <c r="CR72" s="13">
        <f t="shared" si="44"/>
        <v>5109.6899999999996</v>
      </c>
      <c r="CS72" s="13">
        <f t="shared" si="44"/>
        <v>5108.5649999999996</v>
      </c>
      <c r="CT72" s="13">
        <f t="shared" si="44"/>
        <v>5110.41</v>
      </c>
      <c r="CU72" s="13">
        <f t="shared" ref="CU72:DL72" si="45">(CU68+CU69+CU70+CU71)/4</f>
        <v>5106.37</v>
      </c>
      <c r="CV72" s="13">
        <f t="shared" si="45"/>
        <v>5100.9174999999996</v>
      </c>
      <c r="CW72" s="13">
        <f t="shared" si="45"/>
        <v>5103.4650000000001</v>
      </c>
      <c r="CX72" s="13">
        <f t="shared" si="45"/>
        <v>5098.21</v>
      </c>
      <c r="CY72" s="13">
        <f t="shared" si="45"/>
        <v>5101.1149999999998</v>
      </c>
      <c r="CZ72" s="13">
        <f t="shared" si="45"/>
        <v>5098.8975</v>
      </c>
      <c r="DA72" s="13">
        <f t="shared" si="45"/>
        <v>5097.5375000000004</v>
      </c>
      <c r="DB72" s="13">
        <f t="shared" si="45"/>
        <v>5092.0974999999999</v>
      </c>
      <c r="DC72" s="13">
        <f t="shared" si="45"/>
        <v>5099.5524999999998</v>
      </c>
      <c r="DD72" s="13">
        <f t="shared" si="45"/>
        <v>5092.0625</v>
      </c>
      <c r="DE72" s="13">
        <f t="shared" si="45"/>
        <v>5088.1525000000001</v>
      </c>
      <c r="DF72" s="13">
        <f t="shared" si="45"/>
        <v>5082.3799999999992</v>
      </c>
      <c r="DG72" s="13">
        <f t="shared" si="45"/>
        <v>5088.1149999999998</v>
      </c>
      <c r="DH72" s="13">
        <f t="shared" si="45"/>
        <v>5086.9975000000004</v>
      </c>
      <c r="DI72" s="13">
        <f t="shared" si="45"/>
        <v>5088.9850000000006</v>
      </c>
      <c r="DJ72" s="13">
        <f t="shared" si="45"/>
        <v>5086.3850000000002</v>
      </c>
      <c r="DK72" s="13">
        <f t="shared" si="45"/>
        <v>5086.3</v>
      </c>
      <c r="DL72" s="13">
        <f t="shared" si="45"/>
        <v>5092.2525000000005</v>
      </c>
      <c r="DM72" s="26"/>
      <c r="DN72" s="25"/>
      <c r="DO72" s="27"/>
      <c r="DP72" s="25"/>
      <c r="DQ72" s="27"/>
      <c r="DR72" s="25"/>
      <c r="DS72" s="27"/>
      <c r="DT72" s="25"/>
    </row>
    <row r="73" spans="1:126" ht="15.75" x14ac:dyDescent="0.25">
      <c r="A73" s="11" t="s">
        <v>5</v>
      </c>
      <c r="B73" s="11" t="s">
        <v>11</v>
      </c>
      <c r="C73" s="15">
        <v>0.375</v>
      </c>
      <c r="D73" s="15">
        <v>0.37847222222222227</v>
      </c>
      <c r="E73" s="15">
        <v>0.38194444444444442</v>
      </c>
      <c r="F73" s="15">
        <v>0.38541666666666669</v>
      </c>
      <c r="G73" s="15">
        <v>0.3888888888888889</v>
      </c>
      <c r="H73" s="15">
        <v>0.3923611111111111</v>
      </c>
      <c r="I73" s="15">
        <v>0.39583333333333331</v>
      </c>
      <c r="J73" s="15">
        <v>0.39930555555555558</v>
      </c>
      <c r="K73" s="15">
        <v>0.40277777777777773</v>
      </c>
      <c r="L73" s="15">
        <v>0.40625</v>
      </c>
      <c r="M73" s="15">
        <v>0.40972222222222227</v>
      </c>
      <c r="N73" s="15">
        <v>0.41319444444444442</v>
      </c>
      <c r="O73" s="15">
        <v>0.41666666666666669</v>
      </c>
      <c r="P73" s="15">
        <v>0.4201388888888889</v>
      </c>
      <c r="Q73" s="15">
        <v>0.4236111111111111</v>
      </c>
      <c r="R73" s="15">
        <v>0.42708333333333331</v>
      </c>
      <c r="S73" s="15">
        <v>0.43055555555555558</v>
      </c>
      <c r="T73" s="15">
        <v>0.43402777777777773</v>
      </c>
      <c r="U73" s="15">
        <v>0.4375</v>
      </c>
      <c r="V73" s="15">
        <v>0.44097222222222227</v>
      </c>
      <c r="W73" s="15">
        <v>0.44444444444444442</v>
      </c>
      <c r="X73" s="15">
        <v>0.44791666666666669</v>
      </c>
      <c r="Y73" s="15">
        <v>0.4513888888888889</v>
      </c>
      <c r="Z73" s="15">
        <v>0.4548611111111111</v>
      </c>
      <c r="AA73" s="15">
        <v>0.45833333333333331</v>
      </c>
      <c r="AB73" s="15">
        <v>0.46180555555555558</v>
      </c>
      <c r="AC73" s="15">
        <v>0.46527777777777773</v>
      </c>
      <c r="AD73" s="15">
        <v>0.46875</v>
      </c>
      <c r="AE73" s="15">
        <v>0.47222222222222227</v>
      </c>
      <c r="AF73" s="15">
        <v>0.47569444444444442</v>
      </c>
      <c r="AG73" s="15">
        <v>0.47916666666666669</v>
      </c>
      <c r="AH73" s="15">
        <v>0.4826388888888889</v>
      </c>
      <c r="AI73" s="15">
        <v>0.4861111111111111</v>
      </c>
      <c r="AJ73" s="15">
        <v>0.48958333333333331</v>
      </c>
      <c r="AK73" s="15">
        <v>0.49305555555555558</v>
      </c>
      <c r="AL73" s="15">
        <v>0.49652777777777773</v>
      </c>
      <c r="AM73" s="15">
        <v>0.5</v>
      </c>
      <c r="AN73" s="15">
        <v>0.50347222222222221</v>
      </c>
      <c r="AO73" s="15">
        <v>0.50694444444444442</v>
      </c>
      <c r="AP73" s="15">
        <v>0.51041666666666663</v>
      </c>
      <c r="AQ73" s="15">
        <v>0.51388888888888895</v>
      </c>
      <c r="AR73" s="15">
        <v>0.51736111111111105</v>
      </c>
      <c r="AS73" s="15">
        <v>0.52083333333333337</v>
      </c>
      <c r="AT73" s="15">
        <v>0.52430555555555558</v>
      </c>
      <c r="AU73" s="15">
        <v>0.52777777777777779</v>
      </c>
      <c r="AV73" s="15">
        <v>0.53125</v>
      </c>
      <c r="AW73" s="15">
        <v>0.53472222222222221</v>
      </c>
      <c r="AX73" s="15">
        <v>0.53819444444444442</v>
      </c>
      <c r="AY73" s="15">
        <v>0.54166666666666663</v>
      </c>
      <c r="AZ73" s="15">
        <v>0.54513888888888895</v>
      </c>
      <c r="BA73" s="15">
        <v>0.54861111111111105</v>
      </c>
      <c r="BB73" s="15">
        <v>0.55208333333333337</v>
      </c>
      <c r="BC73" s="15">
        <v>0.55555555555555558</v>
      </c>
      <c r="BD73" s="15">
        <v>0.55902777777777779</v>
      </c>
      <c r="BE73" s="15">
        <v>0.5625</v>
      </c>
      <c r="BF73" s="15">
        <v>0.56597222222222221</v>
      </c>
      <c r="BG73" s="15">
        <v>0.56944444444444442</v>
      </c>
      <c r="BH73" s="15">
        <v>0.57291666666666663</v>
      </c>
      <c r="BI73" s="15">
        <v>0.57638888888888895</v>
      </c>
      <c r="BJ73" s="15">
        <v>0.57986111111111105</v>
      </c>
      <c r="BK73" s="15">
        <v>0.58333333333333337</v>
      </c>
      <c r="BL73" s="15">
        <v>0.58680555555555558</v>
      </c>
      <c r="BM73" s="15">
        <v>0.59027777777777779</v>
      </c>
      <c r="BN73" s="15">
        <v>0.59375</v>
      </c>
      <c r="BO73" s="15">
        <v>0.59722222222222221</v>
      </c>
      <c r="BP73" s="15">
        <v>0.60069444444444442</v>
      </c>
      <c r="BQ73" s="15">
        <v>0.60416666666666663</v>
      </c>
      <c r="BR73" s="15">
        <v>0.60763888888888895</v>
      </c>
      <c r="BS73" s="15">
        <v>0.61111111111111105</v>
      </c>
      <c r="BT73" s="15">
        <v>0.61458333333333337</v>
      </c>
      <c r="BU73" s="15">
        <v>0.61805555555555558</v>
      </c>
      <c r="BV73" s="15">
        <v>0.62152777777777779</v>
      </c>
      <c r="BW73" s="15">
        <v>0.625</v>
      </c>
      <c r="BX73" s="15">
        <v>0.62847222222222221</v>
      </c>
      <c r="BY73" s="15">
        <v>0.63194444444444442</v>
      </c>
      <c r="BZ73" s="15">
        <v>0.63541666666666663</v>
      </c>
      <c r="CA73" s="15">
        <v>0.63888888888888895</v>
      </c>
      <c r="CB73" s="15">
        <v>0.64236111111111105</v>
      </c>
      <c r="CC73" s="15">
        <v>0.64583333333333337</v>
      </c>
      <c r="CD73" s="15">
        <v>0.64930555555555558</v>
      </c>
      <c r="CE73" s="15">
        <v>0.65277777777777779</v>
      </c>
      <c r="CF73" s="15">
        <v>0.65625</v>
      </c>
      <c r="CG73" s="15">
        <v>0.65972222222222221</v>
      </c>
      <c r="CH73" s="15">
        <v>0.66319444444444442</v>
      </c>
      <c r="CI73" s="15">
        <v>0.66666666666666663</v>
      </c>
      <c r="CJ73" s="15">
        <v>0.67013888888888884</v>
      </c>
      <c r="CK73" s="15">
        <v>0.67361111111111116</v>
      </c>
      <c r="CL73" s="15">
        <v>0.67708333333333337</v>
      </c>
      <c r="CM73" s="15">
        <v>0.68055555555555547</v>
      </c>
      <c r="CN73" s="15">
        <v>0.68402777777777779</v>
      </c>
      <c r="CO73" s="15">
        <v>0.6875</v>
      </c>
      <c r="CP73" s="15">
        <v>0.69097222222222221</v>
      </c>
      <c r="CQ73" s="15">
        <v>0.69444444444444453</v>
      </c>
      <c r="CR73" s="15">
        <v>0.69791666666666663</v>
      </c>
      <c r="CS73" s="15">
        <v>0.70138888888888884</v>
      </c>
      <c r="CT73" s="15">
        <v>0.70486111111111116</v>
      </c>
      <c r="CU73" s="15">
        <v>0.70833333333333337</v>
      </c>
      <c r="CV73" s="15">
        <v>0.71180555555555547</v>
      </c>
      <c r="CW73" s="15">
        <v>0.71527777777777779</v>
      </c>
      <c r="CX73" s="15">
        <v>0.71875</v>
      </c>
      <c r="CY73" s="15">
        <v>0.72222222222222221</v>
      </c>
      <c r="CZ73" s="15">
        <v>0.72569444444444453</v>
      </c>
      <c r="DA73" s="15">
        <v>0.72916666666666663</v>
      </c>
      <c r="DB73" s="15">
        <v>0.73263888888888884</v>
      </c>
      <c r="DC73" s="15">
        <v>0.73611111111111116</v>
      </c>
      <c r="DD73" s="15">
        <v>0.73958333333333337</v>
      </c>
      <c r="DE73" s="15">
        <v>0.74305555555555547</v>
      </c>
      <c r="DF73" s="15">
        <v>0.74652777777777779</v>
      </c>
      <c r="DG73" s="15">
        <v>0.75</v>
      </c>
      <c r="DH73" s="15">
        <v>0.75347222222222221</v>
      </c>
      <c r="DI73" s="15">
        <v>0.75694444444444453</v>
      </c>
      <c r="DJ73" s="15">
        <v>0.76041666666666663</v>
      </c>
      <c r="DK73" s="15">
        <v>0.76388888888888884</v>
      </c>
      <c r="DL73" s="15">
        <v>0.76736111111111116</v>
      </c>
      <c r="DM73" s="23">
        <v>44363</v>
      </c>
    </row>
    <row r="74" spans="1:126" ht="15.75" x14ac:dyDescent="0.25">
      <c r="A74" s="14">
        <v>44182</v>
      </c>
      <c r="B74" s="12" t="s">
        <v>6</v>
      </c>
      <c r="C74" s="13">
        <v>5075</v>
      </c>
      <c r="D74" s="13">
        <v>5076.5</v>
      </c>
      <c r="E74" s="13">
        <v>5072.67</v>
      </c>
      <c r="F74" s="13">
        <v>5062</v>
      </c>
      <c r="G74" s="13">
        <v>5068</v>
      </c>
      <c r="H74" s="13">
        <v>5066.6000000000004</v>
      </c>
      <c r="I74" s="13">
        <v>5076.4799999999996</v>
      </c>
      <c r="J74" s="13">
        <v>5075.82</v>
      </c>
      <c r="K74" s="13">
        <v>5072.84</v>
      </c>
      <c r="L74" s="13">
        <v>5073.82</v>
      </c>
      <c r="M74" s="13">
        <v>5069.16</v>
      </c>
      <c r="N74" s="13">
        <v>5066.8900000000003</v>
      </c>
      <c r="O74" s="13">
        <v>5071.5600000000004</v>
      </c>
      <c r="P74" s="13">
        <v>5080.75</v>
      </c>
      <c r="Q74" s="13">
        <v>5077.79</v>
      </c>
      <c r="R74" s="13">
        <v>5080.45</v>
      </c>
      <c r="S74" s="13">
        <v>5080.43</v>
      </c>
      <c r="T74" s="13">
        <v>5081.96</v>
      </c>
      <c r="U74" s="13">
        <v>5083.6000000000004</v>
      </c>
      <c r="V74" s="13">
        <v>5082</v>
      </c>
      <c r="W74" s="13">
        <v>5080.84</v>
      </c>
      <c r="X74" s="13">
        <v>5078.28</v>
      </c>
      <c r="Y74" s="13">
        <v>5081.29</v>
      </c>
      <c r="Z74" s="13">
        <v>5079.53</v>
      </c>
      <c r="AA74" s="13">
        <v>5079.92</v>
      </c>
      <c r="AB74" s="13">
        <v>5077.55</v>
      </c>
      <c r="AC74" s="13">
        <v>5075.25</v>
      </c>
      <c r="AD74" s="13">
        <v>5072.79</v>
      </c>
      <c r="AE74" s="13">
        <v>5072.6099999999997</v>
      </c>
      <c r="AF74" s="13">
        <v>5071.42</v>
      </c>
      <c r="AG74" s="13">
        <v>5071.37</v>
      </c>
      <c r="AH74" s="13">
        <v>5072.24</v>
      </c>
      <c r="AI74" s="13">
        <v>5070.25</v>
      </c>
      <c r="AJ74" s="13">
        <v>5068.0200000000004</v>
      </c>
      <c r="AK74" s="13">
        <v>5067.38</v>
      </c>
      <c r="AL74" s="13">
        <v>5073.83</v>
      </c>
      <c r="AM74" s="13">
        <v>5083.59</v>
      </c>
      <c r="AN74" s="13">
        <v>5073.8900000000003</v>
      </c>
      <c r="AO74" s="13">
        <v>5077.1400000000003</v>
      </c>
      <c r="AP74" s="13">
        <v>5075.03</v>
      </c>
      <c r="AQ74" s="13">
        <v>5073</v>
      </c>
      <c r="AR74" s="13">
        <v>5073.87</v>
      </c>
      <c r="AS74" s="13">
        <v>5070.8500000000004</v>
      </c>
      <c r="AT74" s="13">
        <v>5072.5600000000004</v>
      </c>
      <c r="AU74" s="13">
        <v>5076.83</v>
      </c>
      <c r="AV74" s="13">
        <v>5076.0200000000004</v>
      </c>
      <c r="AW74" s="13">
        <v>5073.82</v>
      </c>
      <c r="AX74" s="13">
        <v>5073.97</v>
      </c>
      <c r="AY74" s="13">
        <v>5069.3100000000004</v>
      </c>
      <c r="AZ74" s="13">
        <v>5064.3500000000004</v>
      </c>
      <c r="BA74" s="13">
        <v>5057.9399999999996</v>
      </c>
      <c r="BB74" s="13">
        <v>5058.28</v>
      </c>
      <c r="BC74" s="13">
        <v>5061.59</v>
      </c>
      <c r="BD74" s="13">
        <v>5061.2299999999996</v>
      </c>
      <c r="BE74" s="13">
        <v>5060.6899999999996</v>
      </c>
      <c r="BF74" s="13">
        <v>5060.43</v>
      </c>
      <c r="BG74" s="13">
        <v>5061.41</v>
      </c>
      <c r="BH74" s="13">
        <v>5062.3</v>
      </c>
      <c r="BI74" s="13">
        <v>5063.37</v>
      </c>
      <c r="BJ74" s="13">
        <v>5063.4399999999996</v>
      </c>
      <c r="BK74" s="13">
        <v>5061.75</v>
      </c>
      <c r="BL74" s="13">
        <v>5064.16</v>
      </c>
      <c r="BM74" s="13">
        <v>5064.8599999999997</v>
      </c>
      <c r="BN74" s="13">
        <v>5064.3999999999996</v>
      </c>
      <c r="BO74" s="13">
        <v>5064.16</v>
      </c>
      <c r="BP74" s="13">
        <v>5064.3100000000004</v>
      </c>
      <c r="BQ74" s="13">
        <v>5063.62</v>
      </c>
      <c r="BR74" s="13">
        <v>5061.4399999999996</v>
      </c>
      <c r="BS74" s="13">
        <v>5062.59</v>
      </c>
      <c r="BT74" s="13">
        <v>5063.6899999999996</v>
      </c>
      <c r="BU74" s="13">
        <v>5063.8999999999996</v>
      </c>
      <c r="BV74" s="13">
        <v>5067.6400000000003</v>
      </c>
      <c r="BW74" s="13">
        <v>5067.26</v>
      </c>
      <c r="BX74" s="13">
        <v>5071.7</v>
      </c>
      <c r="BY74" s="13">
        <v>5066.49</v>
      </c>
      <c r="BZ74" s="13">
        <v>5063.72</v>
      </c>
      <c r="CA74" s="13">
        <v>5067.3900000000003</v>
      </c>
      <c r="CB74" s="13">
        <v>5068.3999999999996</v>
      </c>
      <c r="CC74" s="13">
        <v>5074.7</v>
      </c>
      <c r="CD74" s="13">
        <v>5075.1400000000003</v>
      </c>
      <c r="CE74" s="13">
        <v>5073.07</v>
      </c>
      <c r="CF74" s="13">
        <v>5082.16</v>
      </c>
      <c r="CG74" s="13">
        <v>5082.5</v>
      </c>
      <c r="CH74" s="13">
        <v>5086.7299999999996</v>
      </c>
      <c r="CI74" s="13">
        <v>5089.68</v>
      </c>
      <c r="CJ74" s="13">
        <v>5090</v>
      </c>
      <c r="CK74" s="13">
        <v>5085.3900000000003</v>
      </c>
      <c r="CL74" s="13">
        <v>5083.04</v>
      </c>
      <c r="CM74" s="13">
        <v>5083.58</v>
      </c>
      <c r="CN74" s="13">
        <v>5080.6400000000003</v>
      </c>
      <c r="CO74" s="13">
        <v>5082.83</v>
      </c>
      <c r="CP74" s="13">
        <v>5080.03</v>
      </c>
      <c r="CQ74" s="13">
        <v>5084.91</v>
      </c>
      <c r="CR74" s="13">
        <v>5077.83</v>
      </c>
      <c r="CS74" s="13">
        <v>5079.22</v>
      </c>
      <c r="CT74" s="13">
        <v>5085.4799999999996</v>
      </c>
      <c r="CU74" s="13">
        <v>5085.8100000000004</v>
      </c>
      <c r="CV74" s="13">
        <v>5083.97</v>
      </c>
      <c r="CW74" s="13">
        <v>5086.87</v>
      </c>
      <c r="CX74" s="13">
        <v>5085.96</v>
      </c>
      <c r="CY74" s="13">
        <v>5084.7</v>
      </c>
      <c r="CZ74" s="13">
        <v>5083.6000000000004</v>
      </c>
      <c r="DA74" s="13">
        <v>5082.17</v>
      </c>
      <c r="DB74" s="13">
        <v>5082.88</v>
      </c>
      <c r="DC74" s="13">
        <v>5082.16</v>
      </c>
      <c r="DD74" s="13">
        <v>5081.5200000000004</v>
      </c>
      <c r="DE74" s="13">
        <v>5078.79</v>
      </c>
      <c r="DF74" s="13">
        <v>5078.63</v>
      </c>
      <c r="DG74" s="13">
        <v>5078.34</v>
      </c>
      <c r="DH74" s="13">
        <v>5076.1400000000003</v>
      </c>
      <c r="DI74" s="13">
        <v>5074.55</v>
      </c>
      <c r="DJ74" s="13">
        <v>5078.84</v>
      </c>
      <c r="DK74" s="13">
        <v>5079.3599999999997</v>
      </c>
      <c r="DL74" s="13">
        <v>5077.6000000000004</v>
      </c>
      <c r="DM74" s="32"/>
      <c r="DN74" s="33"/>
      <c r="DO74" s="32"/>
      <c r="DP74" s="33"/>
      <c r="DQ74" s="32"/>
      <c r="DR74" s="33"/>
      <c r="DS74" s="32"/>
      <c r="DT74" s="33"/>
      <c r="DU74" s="32"/>
      <c r="DV74" s="33"/>
    </row>
    <row r="75" spans="1:126" ht="15.75" x14ac:dyDescent="0.25">
      <c r="A75" s="14" t="s">
        <v>12</v>
      </c>
      <c r="B75" s="12" t="s">
        <v>10</v>
      </c>
      <c r="C75" s="13">
        <v>5075</v>
      </c>
      <c r="D75" s="13">
        <v>5069.25</v>
      </c>
      <c r="E75" s="13">
        <v>5052.75</v>
      </c>
      <c r="F75" s="13">
        <v>5062</v>
      </c>
      <c r="G75" s="13">
        <v>5066.6000000000004</v>
      </c>
      <c r="H75" s="13">
        <v>5065.09</v>
      </c>
      <c r="I75" s="13">
        <v>5075.82</v>
      </c>
      <c r="J75" s="13">
        <v>5072.21</v>
      </c>
      <c r="K75" s="13">
        <v>5071.6099999999997</v>
      </c>
      <c r="L75" s="13">
        <v>5067.0600000000004</v>
      </c>
      <c r="M75" s="13">
        <v>5066.3100000000004</v>
      </c>
      <c r="N75" s="13">
        <v>5065.49</v>
      </c>
      <c r="O75" s="13">
        <v>5070.6499999999996</v>
      </c>
      <c r="P75" s="13">
        <v>5076</v>
      </c>
      <c r="Q75" s="13">
        <v>5077.79</v>
      </c>
      <c r="R75" s="13">
        <v>5080.3500000000004</v>
      </c>
      <c r="S75" s="13">
        <v>5079.63</v>
      </c>
      <c r="T75" s="13">
        <v>5081.58</v>
      </c>
      <c r="U75" s="13">
        <v>5081.83</v>
      </c>
      <c r="V75" s="13">
        <v>5079.57</v>
      </c>
      <c r="W75" s="13">
        <v>5078.28</v>
      </c>
      <c r="X75" s="13">
        <v>5076</v>
      </c>
      <c r="Y75" s="13">
        <v>5080.67</v>
      </c>
      <c r="Z75" s="13">
        <v>5076.79</v>
      </c>
      <c r="AA75" s="13">
        <v>5077.9399999999996</v>
      </c>
      <c r="AB75" s="13">
        <v>5075.25</v>
      </c>
      <c r="AC75" s="13">
        <v>5070.95</v>
      </c>
      <c r="AD75" s="13">
        <v>5071.76</v>
      </c>
      <c r="AE75" s="13">
        <v>5069</v>
      </c>
      <c r="AF75" s="13">
        <v>5070.53</v>
      </c>
      <c r="AG75" s="13">
        <v>5071.37</v>
      </c>
      <c r="AH75" s="13">
        <v>5070.3</v>
      </c>
      <c r="AI75" s="13">
        <v>5064.2299999999996</v>
      </c>
      <c r="AJ75" s="13">
        <v>5066.38</v>
      </c>
      <c r="AK75" s="13">
        <v>5064.5200000000004</v>
      </c>
      <c r="AL75" s="13">
        <v>5073.83</v>
      </c>
      <c r="AM75" s="13">
        <v>5072.82</v>
      </c>
      <c r="AN75" s="13">
        <v>5073.53</v>
      </c>
      <c r="AO75" s="13">
        <v>5074.1099999999997</v>
      </c>
      <c r="AP75" s="13">
        <v>5071.24</v>
      </c>
      <c r="AQ75" s="13">
        <v>5071.54</v>
      </c>
      <c r="AR75" s="13">
        <v>5070.6000000000004</v>
      </c>
      <c r="AS75" s="13">
        <v>5064.88</v>
      </c>
      <c r="AT75" s="13">
        <v>5072.5600000000004</v>
      </c>
      <c r="AU75" s="13">
        <v>5074.26</v>
      </c>
      <c r="AV75" s="13">
        <v>5073.03</v>
      </c>
      <c r="AW75" s="13">
        <v>5073.12</v>
      </c>
      <c r="AX75" s="13">
        <v>5068.2700000000004</v>
      </c>
      <c r="AY75" s="13">
        <v>5063.4799999999996</v>
      </c>
      <c r="AZ75" s="13">
        <v>5059.6400000000003</v>
      </c>
      <c r="BA75" s="13">
        <v>5055.2700000000004</v>
      </c>
      <c r="BB75" s="13">
        <v>5056.5</v>
      </c>
      <c r="BC75" s="13">
        <v>5058.9399999999996</v>
      </c>
      <c r="BD75" s="13">
        <v>5060.47</v>
      </c>
      <c r="BE75" s="13">
        <v>5056.87</v>
      </c>
      <c r="BF75" s="13">
        <v>5058.96</v>
      </c>
      <c r="BG75" s="13">
        <v>5060.6099999999997</v>
      </c>
      <c r="BH75" s="13">
        <v>5059.33</v>
      </c>
      <c r="BI75" s="13">
        <v>5059.76</v>
      </c>
      <c r="BJ75" s="13">
        <v>5061.46</v>
      </c>
      <c r="BK75" s="13">
        <v>5061.54</v>
      </c>
      <c r="BL75" s="13">
        <v>5064.16</v>
      </c>
      <c r="BM75" s="13">
        <v>5063.1899999999996</v>
      </c>
      <c r="BN75" s="13">
        <v>5061.26</v>
      </c>
      <c r="BO75" s="13">
        <v>5063.82</v>
      </c>
      <c r="BP75" s="13">
        <v>5058.6899999999996</v>
      </c>
      <c r="BQ75" s="13">
        <v>5061.1899999999996</v>
      </c>
      <c r="BR75" s="13">
        <v>5061.18</v>
      </c>
      <c r="BS75" s="13">
        <v>5061.51</v>
      </c>
      <c r="BT75" s="13">
        <v>5063.22</v>
      </c>
      <c r="BU75" s="13">
        <v>5062.63</v>
      </c>
      <c r="BV75" s="13">
        <v>5066</v>
      </c>
      <c r="BW75" s="13">
        <v>5067.26</v>
      </c>
      <c r="BX75" s="13">
        <v>5065.03</v>
      </c>
      <c r="BY75" s="13">
        <v>5062.68</v>
      </c>
      <c r="BZ75" s="13">
        <v>5063.29</v>
      </c>
      <c r="CA75" s="13">
        <v>5067.37</v>
      </c>
      <c r="CB75" s="13">
        <v>5067.74</v>
      </c>
      <c r="CC75" s="13">
        <v>5074.7</v>
      </c>
      <c r="CD75" s="13">
        <v>5072.87</v>
      </c>
      <c r="CE75" s="13">
        <v>5072.25</v>
      </c>
      <c r="CF75" s="13">
        <v>5082.16</v>
      </c>
      <c r="CG75" s="13">
        <v>5077.58</v>
      </c>
      <c r="CH75" s="13">
        <v>5086.7299999999996</v>
      </c>
      <c r="CI75" s="13">
        <v>5089.62</v>
      </c>
      <c r="CJ75" s="13">
        <v>5084.17</v>
      </c>
      <c r="CK75" s="13">
        <v>5080.38</v>
      </c>
      <c r="CL75" s="13">
        <v>5081.09</v>
      </c>
      <c r="CM75" s="13">
        <v>5079.5</v>
      </c>
      <c r="CN75" s="13">
        <v>5077.75</v>
      </c>
      <c r="CO75" s="13">
        <v>5078.71</v>
      </c>
      <c r="CP75" s="13">
        <v>5078.6400000000003</v>
      </c>
      <c r="CQ75" s="13">
        <v>5077.3</v>
      </c>
      <c r="CR75" s="13">
        <v>5072.71</v>
      </c>
      <c r="CS75" s="13">
        <v>5079.22</v>
      </c>
      <c r="CT75" s="13">
        <v>5083.45</v>
      </c>
      <c r="CU75" s="13">
        <v>5083.93</v>
      </c>
      <c r="CV75" s="13">
        <v>5083.8</v>
      </c>
      <c r="CW75" s="13">
        <v>5085.4799999999996</v>
      </c>
      <c r="CX75" s="13">
        <v>5083.32</v>
      </c>
      <c r="CY75" s="13">
        <v>5080.92</v>
      </c>
      <c r="CZ75" s="13">
        <v>5081.88</v>
      </c>
      <c r="DA75" s="13">
        <v>5079.6499999999996</v>
      </c>
      <c r="DB75" s="13">
        <v>5078</v>
      </c>
      <c r="DC75" s="13">
        <v>5077.3</v>
      </c>
      <c r="DD75" s="13">
        <v>5078.55</v>
      </c>
      <c r="DE75" s="13">
        <v>5077.8999999999996</v>
      </c>
      <c r="DF75" s="13">
        <v>5076.58</v>
      </c>
      <c r="DG75" s="13">
        <v>5074.18</v>
      </c>
      <c r="DH75" s="13">
        <v>5074.18</v>
      </c>
      <c r="DI75" s="13">
        <v>5074.55</v>
      </c>
      <c r="DJ75" s="13">
        <v>5078.84</v>
      </c>
      <c r="DK75" s="13">
        <v>5073.33</v>
      </c>
      <c r="DL75" s="13">
        <v>5072.8599999999997</v>
      </c>
      <c r="DM75" s="32"/>
      <c r="DN75" s="33"/>
      <c r="DO75" s="32"/>
      <c r="DP75" s="33"/>
      <c r="DQ75" s="32"/>
      <c r="DR75" s="33"/>
      <c r="DS75" s="32"/>
      <c r="DT75" s="33"/>
      <c r="DU75" s="32"/>
      <c r="DV75" s="33"/>
    </row>
    <row r="76" spans="1:126" ht="15.75" x14ac:dyDescent="0.25">
      <c r="A76" s="14" t="s">
        <v>12</v>
      </c>
      <c r="B76" s="12" t="s">
        <v>9</v>
      </c>
      <c r="C76" s="13">
        <v>5028.57</v>
      </c>
      <c r="D76" s="13">
        <v>5049.71</v>
      </c>
      <c r="E76" s="13">
        <v>5009.74</v>
      </c>
      <c r="F76" s="13">
        <v>5026.25</v>
      </c>
      <c r="G76" s="13">
        <v>5027.7700000000004</v>
      </c>
      <c r="H76" s="13">
        <v>5034.42</v>
      </c>
      <c r="I76" s="13">
        <v>5040.6000000000004</v>
      </c>
      <c r="J76" s="13">
        <v>5031.95</v>
      </c>
      <c r="K76" s="13">
        <v>5035.7</v>
      </c>
      <c r="L76" s="13">
        <v>5036.2</v>
      </c>
      <c r="M76" s="13">
        <v>5038.13</v>
      </c>
      <c r="N76" s="13">
        <v>5032.68</v>
      </c>
      <c r="O76" s="13">
        <v>5036.72</v>
      </c>
      <c r="P76" s="13">
        <v>5041.41</v>
      </c>
      <c r="Q76" s="13">
        <v>5044.9799999999996</v>
      </c>
      <c r="R76" s="13">
        <v>5046.0600000000004</v>
      </c>
      <c r="S76" s="13">
        <v>5044.78</v>
      </c>
      <c r="T76" s="13">
        <v>5041.05</v>
      </c>
      <c r="U76" s="13">
        <v>5040.63</v>
      </c>
      <c r="V76" s="13">
        <v>5044.3999999999996</v>
      </c>
      <c r="W76" s="13">
        <v>5036.38</v>
      </c>
      <c r="X76" s="13">
        <v>5042.74</v>
      </c>
      <c r="Y76" s="13">
        <v>5042.82</v>
      </c>
      <c r="Z76" s="13">
        <v>5042.3100000000004</v>
      </c>
      <c r="AA76" s="13">
        <v>5041.88</v>
      </c>
      <c r="AB76" s="13">
        <v>5035.93</v>
      </c>
      <c r="AC76" s="13">
        <v>5032.54</v>
      </c>
      <c r="AD76" s="13">
        <v>5034.13</v>
      </c>
      <c r="AE76" s="13">
        <v>5034.84</v>
      </c>
      <c r="AF76" s="13">
        <v>5033.07</v>
      </c>
      <c r="AG76" s="13">
        <v>5036.5200000000004</v>
      </c>
      <c r="AH76" s="13">
        <v>5036.3599999999997</v>
      </c>
      <c r="AI76" s="13">
        <v>5032.1400000000003</v>
      </c>
      <c r="AJ76" s="13">
        <v>5033.24</v>
      </c>
      <c r="AK76" s="13">
        <v>5036.79</v>
      </c>
      <c r="AL76" s="13">
        <v>5044.74</v>
      </c>
      <c r="AM76" s="13">
        <v>5037.58</v>
      </c>
      <c r="AN76" s="13">
        <v>5042.45</v>
      </c>
      <c r="AO76" s="13">
        <v>5037.9399999999996</v>
      </c>
      <c r="AP76" s="13">
        <v>5037.7</v>
      </c>
      <c r="AQ76" s="13">
        <v>5036.83</v>
      </c>
      <c r="AR76" s="13">
        <v>5039.62</v>
      </c>
      <c r="AS76" s="13">
        <v>5035.9799999999996</v>
      </c>
      <c r="AT76" s="13">
        <v>5042.1499999999996</v>
      </c>
      <c r="AU76" s="13">
        <v>5040.38</v>
      </c>
      <c r="AV76" s="13">
        <v>5039.96</v>
      </c>
      <c r="AW76" s="13">
        <v>5041.49</v>
      </c>
      <c r="AX76" s="13">
        <v>5035.04</v>
      </c>
      <c r="AY76" s="13">
        <v>5032.5600000000004</v>
      </c>
      <c r="AZ76" s="13">
        <v>5028.82</v>
      </c>
      <c r="BA76" s="13">
        <v>5028.13</v>
      </c>
      <c r="BB76" s="13">
        <v>5025.6400000000003</v>
      </c>
      <c r="BC76" s="13">
        <v>5025.53</v>
      </c>
      <c r="BD76" s="13">
        <v>5028.7700000000004</v>
      </c>
      <c r="BE76" s="13">
        <v>5026.67</v>
      </c>
      <c r="BF76" s="13">
        <v>5030.42</v>
      </c>
      <c r="BG76" s="13">
        <v>5030.88</v>
      </c>
      <c r="BH76" s="13">
        <v>5025.66</v>
      </c>
      <c r="BI76" s="13">
        <v>5030.84</v>
      </c>
      <c r="BJ76" s="13">
        <v>5029.9799999999996</v>
      </c>
      <c r="BK76" s="13">
        <v>5031.88</v>
      </c>
      <c r="BL76" s="13">
        <v>5031.82</v>
      </c>
      <c r="BM76" s="13">
        <v>5027.67</v>
      </c>
      <c r="BN76" s="13">
        <v>5027.3599999999997</v>
      </c>
      <c r="BO76" s="13">
        <v>5027.3599999999997</v>
      </c>
      <c r="BP76" s="13">
        <v>5024.8999999999996</v>
      </c>
      <c r="BQ76" s="13">
        <v>5026.62</v>
      </c>
      <c r="BR76" s="13">
        <v>5031.3900000000003</v>
      </c>
      <c r="BS76" s="13">
        <v>5026.62</v>
      </c>
      <c r="BT76" s="13">
        <v>5030.55</v>
      </c>
      <c r="BU76" s="13">
        <v>5030.2700000000004</v>
      </c>
      <c r="BV76" s="13">
        <v>5033.18</v>
      </c>
      <c r="BW76" s="13">
        <v>5034.43</v>
      </c>
      <c r="BX76" s="13">
        <v>5028.6000000000004</v>
      </c>
      <c r="BY76" s="13">
        <v>5028.18</v>
      </c>
      <c r="BZ76" s="13">
        <v>5024.0600000000004</v>
      </c>
      <c r="CA76" s="13">
        <v>5029.8</v>
      </c>
      <c r="CB76" s="13">
        <v>5030.1000000000004</v>
      </c>
      <c r="CC76" s="13">
        <v>5029.82</v>
      </c>
      <c r="CD76" s="13">
        <v>5027</v>
      </c>
      <c r="CE76" s="13">
        <v>5028.26</v>
      </c>
      <c r="CF76" s="13">
        <v>5031.54</v>
      </c>
      <c r="CG76" s="13">
        <v>5030.8999999999996</v>
      </c>
      <c r="CH76" s="13">
        <v>5033.8500000000004</v>
      </c>
      <c r="CI76" s="13">
        <v>5034.1000000000004</v>
      </c>
      <c r="CJ76" s="13">
        <v>5037.1899999999996</v>
      </c>
      <c r="CK76" s="13">
        <v>5030.95</v>
      </c>
      <c r="CL76" s="13">
        <v>5036.3500000000004</v>
      </c>
      <c r="CM76" s="13">
        <v>5030.76</v>
      </c>
      <c r="CN76" s="13">
        <v>5035.3999999999996</v>
      </c>
      <c r="CO76" s="13">
        <v>5034.8999999999996</v>
      </c>
      <c r="CP76" s="13">
        <v>5034.33</v>
      </c>
      <c r="CQ76" s="13">
        <v>5033.4799999999996</v>
      </c>
      <c r="CR76" s="13">
        <v>5031.1000000000004</v>
      </c>
      <c r="CS76" s="13">
        <v>5030.3500000000004</v>
      </c>
      <c r="CT76" s="13">
        <v>5031.93</v>
      </c>
      <c r="CU76" s="13">
        <v>5036.1099999999997</v>
      </c>
      <c r="CV76" s="13">
        <v>5033.74</v>
      </c>
      <c r="CW76" s="13">
        <v>5034.38</v>
      </c>
      <c r="CX76" s="13">
        <v>5034.33</v>
      </c>
      <c r="CY76" s="13">
        <v>5031.05</v>
      </c>
      <c r="CZ76" s="13">
        <v>5036.78</v>
      </c>
      <c r="DA76" s="13">
        <v>5036.24</v>
      </c>
      <c r="DB76" s="13">
        <v>5034.21</v>
      </c>
      <c r="DC76" s="13">
        <v>5030.5200000000004</v>
      </c>
      <c r="DD76" s="13">
        <v>5031.68</v>
      </c>
      <c r="DE76" s="13">
        <v>5034.2</v>
      </c>
      <c r="DF76" s="13">
        <v>5037.18</v>
      </c>
      <c r="DG76" s="13">
        <v>5036.26</v>
      </c>
      <c r="DH76" s="13">
        <v>5036.1000000000004</v>
      </c>
      <c r="DI76" s="13">
        <v>5037.91</v>
      </c>
      <c r="DJ76" s="13">
        <v>5037.49</v>
      </c>
      <c r="DK76" s="13">
        <v>5030.8999999999996</v>
      </c>
      <c r="DL76" s="13">
        <v>5028.87</v>
      </c>
      <c r="DM76" s="32"/>
      <c r="DN76" s="33"/>
      <c r="DO76" s="32"/>
      <c r="DP76" s="33"/>
      <c r="DQ76" s="32"/>
      <c r="DR76" s="33"/>
      <c r="DS76" s="32"/>
      <c r="DT76" s="33"/>
      <c r="DU76" s="32"/>
      <c r="DV76" s="33"/>
    </row>
    <row r="77" spans="1:126" ht="15.75" x14ac:dyDescent="0.25">
      <c r="A77" s="14" t="s">
        <v>12</v>
      </c>
      <c r="B77" s="12" t="s">
        <v>7</v>
      </c>
      <c r="C77" s="13">
        <v>5028.57</v>
      </c>
      <c r="D77" s="13">
        <v>5000</v>
      </c>
      <c r="E77" s="13">
        <v>5009.74</v>
      </c>
      <c r="F77" s="13">
        <v>5020.1899999999996</v>
      </c>
      <c r="G77" s="13">
        <v>5022.22</v>
      </c>
      <c r="H77" s="13">
        <v>5006.6000000000004</v>
      </c>
      <c r="I77" s="13">
        <v>5020.32</v>
      </c>
      <c r="J77" s="13">
        <v>5031.47</v>
      </c>
      <c r="K77" s="13">
        <v>5027.1499999999996</v>
      </c>
      <c r="L77" s="13">
        <v>5027.55</v>
      </c>
      <c r="M77" s="13">
        <v>5028.0600000000004</v>
      </c>
      <c r="N77" s="13">
        <v>5029.09</v>
      </c>
      <c r="O77" s="13">
        <v>5027.3500000000004</v>
      </c>
      <c r="P77" s="13">
        <v>5036.46</v>
      </c>
      <c r="Q77" s="13">
        <v>5036.59</v>
      </c>
      <c r="R77" s="13">
        <v>5037.6499999999996</v>
      </c>
      <c r="S77" s="13">
        <v>5041.24</v>
      </c>
      <c r="T77" s="13">
        <v>5038.62</v>
      </c>
      <c r="U77" s="13">
        <v>5036.1400000000003</v>
      </c>
      <c r="V77" s="13">
        <v>5036.38</v>
      </c>
      <c r="W77" s="13">
        <v>5027.18</v>
      </c>
      <c r="X77" s="13">
        <v>5031.5</v>
      </c>
      <c r="Y77" s="13">
        <v>5042.47</v>
      </c>
      <c r="Z77" s="13">
        <v>5035.51</v>
      </c>
      <c r="AA77" s="13">
        <v>5038.9799999999996</v>
      </c>
      <c r="AB77" s="13">
        <v>5032.9799999999996</v>
      </c>
      <c r="AC77" s="13">
        <v>5031.05</v>
      </c>
      <c r="AD77" s="13">
        <v>5031.07</v>
      </c>
      <c r="AE77" s="13">
        <v>5032</v>
      </c>
      <c r="AF77" s="13">
        <v>5033.07</v>
      </c>
      <c r="AG77" s="13">
        <v>5032.3599999999997</v>
      </c>
      <c r="AH77" s="13">
        <v>5028.1899999999996</v>
      </c>
      <c r="AI77" s="13">
        <v>5032.1400000000003</v>
      </c>
      <c r="AJ77" s="13">
        <v>5030.3999999999996</v>
      </c>
      <c r="AK77" s="13">
        <v>5031.47</v>
      </c>
      <c r="AL77" s="13">
        <v>5033.96</v>
      </c>
      <c r="AM77" s="13">
        <v>5037.58</v>
      </c>
      <c r="AN77" s="13">
        <v>5032.3</v>
      </c>
      <c r="AO77" s="13">
        <v>5035.16</v>
      </c>
      <c r="AP77" s="13">
        <v>5036.6000000000004</v>
      </c>
      <c r="AQ77" s="13">
        <v>5036.38</v>
      </c>
      <c r="AR77" s="13">
        <v>5037.17</v>
      </c>
      <c r="AS77" s="13">
        <v>5032.8599999999997</v>
      </c>
      <c r="AT77" s="13">
        <v>5035.9799999999996</v>
      </c>
      <c r="AU77" s="13">
        <v>5036.47</v>
      </c>
      <c r="AV77" s="13">
        <v>5036.82</v>
      </c>
      <c r="AW77" s="13">
        <v>5036</v>
      </c>
      <c r="AX77" s="13">
        <v>5034.21</v>
      </c>
      <c r="AY77" s="13">
        <v>5032.17</v>
      </c>
      <c r="AZ77" s="13">
        <v>5028.53</v>
      </c>
      <c r="BA77" s="13">
        <v>5019.8999999999996</v>
      </c>
      <c r="BB77" s="13">
        <v>5025.6400000000003</v>
      </c>
      <c r="BC77" s="13">
        <v>5021.9399999999996</v>
      </c>
      <c r="BD77" s="13">
        <v>5025.03</v>
      </c>
      <c r="BE77" s="13">
        <v>5020.2700000000004</v>
      </c>
      <c r="BF77" s="13">
        <v>5027.1899999999996</v>
      </c>
      <c r="BG77" s="13">
        <v>5021.76</v>
      </c>
      <c r="BH77" s="13">
        <v>5025.66</v>
      </c>
      <c r="BI77" s="13">
        <v>5022.26</v>
      </c>
      <c r="BJ77" s="13">
        <v>5026.62</v>
      </c>
      <c r="BK77" s="13">
        <v>5026.54</v>
      </c>
      <c r="BL77" s="13">
        <v>5027.97</v>
      </c>
      <c r="BM77" s="13">
        <v>5027.67</v>
      </c>
      <c r="BN77" s="13">
        <v>5027.3599999999997</v>
      </c>
      <c r="BO77" s="13">
        <v>5027.3599999999997</v>
      </c>
      <c r="BP77" s="13">
        <v>5023.09</v>
      </c>
      <c r="BQ77" s="13">
        <v>5024.8999999999996</v>
      </c>
      <c r="BR77" s="13">
        <v>5023.83</v>
      </c>
      <c r="BS77" s="13">
        <v>5026.62</v>
      </c>
      <c r="BT77" s="13">
        <v>5026.62</v>
      </c>
      <c r="BU77" s="13">
        <v>5027.2299999999996</v>
      </c>
      <c r="BV77" s="13">
        <v>5026.92</v>
      </c>
      <c r="BW77" s="13">
        <v>5030.43</v>
      </c>
      <c r="BX77" s="13">
        <v>5028.3999999999996</v>
      </c>
      <c r="BY77" s="13">
        <v>5024.0600000000004</v>
      </c>
      <c r="BZ77" s="13">
        <v>5023.8599999999997</v>
      </c>
      <c r="CA77" s="13">
        <v>5024.0600000000004</v>
      </c>
      <c r="CB77" s="13">
        <v>5024.8599999999997</v>
      </c>
      <c r="CC77" s="13">
        <v>5024.8500000000004</v>
      </c>
      <c r="CD77" s="13">
        <v>5026.0600000000004</v>
      </c>
      <c r="CE77" s="13">
        <v>5025.8599999999997</v>
      </c>
      <c r="CF77" s="13">
        <v>5027.3</v>
      </c>
      <c r="CG77" s="13">
        <v>5030</v>
      </c>
      <c r="CH77" s="13">
        <v>5030</v>
      </c>
      <c r="CI77" s="13">
        <v>5030.57</v>
      </c>
      <c r="CJ77" s="13">
        <v>5031.68</v>
      </c>
      <c r="CK77" s="13">
        <v>5030.95</v>
      </c>
      <c r="CL77" s="13">
        <v>5030.95</v>
      </c>
      <c r="CM77" s="13">
        <v>5030.76</v>
      </c>
      <c r="CN77" s="13">
        <v>5030.76</v>
      </c>
      <c r="CO77" s="13">
        <v>5029.62</v>
      </c>
      <c r="CP77" s="13">
        <v>5029.24</v>
      </c>
      <c r="CQ77" s="13">
        <v>5029.24</v>
      </c>
      <c r="CR77" s="13">
        <v>5026.83</v>
      </c>
      <c r="CS77" s="13">
        <v>5026.83</v>
      </c>
      <c r="CT77" s="13">
        <v>5030.7</v>
      </c>
      <c r="CU77" s="13">
        <v>5031.93</v>
      </c>
      <c r="CV77" s="13">
        <v>5031.58</v>
      </c>
      <c r="CW77" s="13">
        <v>5029.97</v>
      </c>
      <c r="CX77" s="13">
        <v>5031.75</v>
      </c>
      <c r="CY77" s="13">
        <v>5031.05</v>
      </c>
      <c r="CZ77" s="13">
        <v>5031.05</v>
      </c>
      <c r="DA77" s="13">
        <v>5031.3999999999996</v>
      </c>
      <c r="DB77" s="13">
        <v>5031.2299999999996</v>
      </c>
      <c r="DC77" s="13">
        <v>5029.1099999999997</v>
      </c>
      <c r="DD77" s="13">
        <v>5029.08</v>
      </c>
      <c r="DE77" s="13">
        <v>5028.84</v>
      </c>
      <c r="DF77" s="13">
        <v>5032.07</v>
      </c>
      <c r="DG77" s="13">
        <v>5029.83</v>
      </c>
      <c r="DH77" s="13">
        <v>5033</v>
      </c>
      <c r="DI77" s="13">
        <v>5029.2299999999996</v>
      </c>
      <c r="DJ77" s="13">
        <v>5034.25</v>
      </c>
      <c r="DK77" s="13">
        <v>5029.41</v>
      </c>
      <c r="DL77" s="13">
        <v>5028.87</v>
      </c>
      <c r="DM77" s="32"/>
      <c r="DN77" s="33"/>
      <c r="DO77" s="32"/>
      <c r="DP77" s="33"/>
      <c r="DQ77" s="32"/>
      <c r="DR77" s="33"/>
      <c r="DS77" s="32"/>
      <c r="DT77" s="33"/>
      <c r="DU77" s="32"/>
      <c r="DV77" s="33"/>
    </row>
    <row r="78" spans="1:126" ht="15.75" x14ac:dyDescent="0.25">
      <c r="A78" s="14"/>
      <c r="B78" s="12"/>
      <c r="C78" s="13">
        <f t="shared" ref="C78:AH78" si="46">(C74+C75+C76+C77)/4</f>
        <v>5051.7849999999999</v>
      </c>
      <c r="D78" s="13">
        <f t="shared" si="46"/>
        <v>5048.8649999999998</v>
      </c>
      <c r="E78" s="13">
        <f t="shared" si="46"/>
        <v>5036.2250000000004</v>
      </c>
      <c r="F78" s="13">
        <f t="shared" si="46"/>
        <v>5042.6099999999997</v>
      </c>
      <c r="G78" s="13">
        <f t="shared" si="46"/>
        <v>5046.1475</v>
      </c>
      <c r="H78" s="13">
        <f t="shared" si="46"/>
        <v>5043.1774999999998</v>
      </c>
      <c r="I78" s="13">
        <f t="shared" si="46"/>
        <v>5053.3050000000003</v>
      </c>
      <c r="J78" s="13">
        <f t="shared" si="46"/>
        <v>5052.8625000000002</v>
      </c>
      <c r="K78" s="13">
        <f t="shared" si="46"/>
        <v>5051.8250000000007</v>
      </c>
      <c r="L78" s="13">
        <f t="shared" si="46"/>
        <v>5051.1575000000003</v>
      </c>
      <c r="M78" s="13">
        <f t="shared" si="46"/>
        <v>5050.4150000000009</v>
      </c>
      <c r="N78" s="13">
        <f t="shared" si="46"/>
        <v>5048.5375000000004</v>
      </c>
      <c r="O78" s="13">
        <f t="shared" si="46"/>
        <v>5051.57</v>
      </c>
      <c r="P78" s="13">
        <f t="shared" si="46"/>
        <v>5058.6549999999997</v>
      </c>
      <c r="Q78" s="13">
        <f t="shared" si="46"/>
        <v>5059.2875000000004</v>
      </c>
      <c r="R78" s="13">
        <f t="shared" si="46"/>
        <v>5061.1275000000005</v>
      </c>
      <c r="S78" s="13">
        <f t="shared" si="46"/>
        <v>5061.5200000000004</v>
      </c>
      <c r="T78" s="13">
        <f t="shared" si="46"/>
        <v>5060.8024999999998</v>
      </c>
      <c r="U78" s="13">
        <f t="shared" si="46"/>
        <v>5060.55</v>
      </c>
      <c r="V78" s="13">
        <f t="shared" si="46"/>
        <v>5060.5874999999996</v>
      </c>
      <c r="W78" s="13">
        <f t="shared" si="46"/>
        <v>5055.67</v>
      </c>
      <c r="X78" s="13">
        <f t="shared" si="46"/>
        <v>5057.1299999999992</v>
      </c>
      <c r="Y78" s="13">
        <f t="shared" si="46"/>
        <v>5061.8125</v>
      </c>
      <c r="Z78" s="13">
        <f t="shared" si="46"/>
        <v>5058.5349999999999</v>
      </c>
      <c r="AA78" s="13">
        <f t="shared" si="46"/>
        <v>5059.68</v>
      </c>
      <c r="AB78" s="13">
        <f t="shared" si="46"/>
        <v>5055.4274999999998</v>
      </c>
      <c r="AC78" s="13">
        <f t="shared" si="46"/>
        <v>5052.4475000000002</v>
      </c>
      <c r="AD78" s="13">
        <f t="shared" si="46"/>
        <v>5052.4375</v>
      </c>
      <c r="AE78" s="13">
        <f t="shared" si="46"/>
        <v>5052.1125000000002</v>
      </c>
      <c r="AF78" s="13">
        <f t="shared" si="46"/>
        <v>5052.0225</v>
      </c>
      <c r="AG78" s="13">
        <f t="shared" si="46"/>
        <v>5052.9049999999997</v>
      </c>
      <c r="AH78" s="13">
        <f t="shared" si="46"/>
        <v>5051.7725</v>
      </c>
      <c r="AI78" s="13">
        <f t="shared" ref="AI78:BN78" si="47">(AI74+AI75+AI76+AI77)/4</f>
        <v>5049.6899999999996</v>
      </c>
      <c r="AJ78" s="13">
        <f t="shared" si="47"/>
        <v>5049.51</v>
      </c>
      <c r="AK78" s="13">
        <f t="shared" si="47"/>
        <v>5050.0400000000009</v>
      </c>
      <c r="AL78" s="13">
        <f t="shared" si="47"/>
        <v>5056.59</v>
      </c>
      <c r="AM78" s="13">
        <f t="shared" si="47"/>
        <v>5057.8924999999999</v>
      </c>
      <c r="AN78" s="13">
        <f t="shared" si="47"/>
        <v>5055.5424999999996</v>
      </c>
      <c r="AO78" s="13">
        <f t="shared" si="47"/>
        <v>5056.0874999999996</v>
      </c>
      <c r="AP78" s="13">
        <f t="shared" si="47"/>
        <v>5055.1424999999999</v>
      </c>
      <c r="AQ78" s="13">
        <f t="shared" si="47"/>
        <v>5054.4375</v>
      </c>
      <c r="AR78" s="13">
        <f t="shared" si="47"/>
        <v>5055.3150000000005</v>
      </c>
      <c r="AS78" s="13">
        <f t="shared" si="47"/>
        <v>5051.1424999999999</v>
      </c>
      <c r="AT78" s="13">
        <f t="shared" si="47"/>
        <v>5055.8125</v>
      </c>
      <c r="AU78" s="13">
        <f t="shared" si="47"/>
        <v>5056.9850000000006</v>
      </c>
      <c r="AV78" s="13">
        <f t="shared" si="47"/>
        <v>5056.4574999999995</v>
      </c>
      <c r="AW78" s="13">
        <f t="shared" si="47"/>
        <v>5056.1075000000001</v>
      </c>
      <c r="AX78" s="13">
        <f t="shared" si="47"/>
        <v>5052.8725000000004</v>
      </c>
      <c r="AY78" s="13">
        <f t="shared" si="47"/>
        <v>5049.380000000001</v>
      </c>
      <c r="AZ78" s="13">
        <f t="shared" si="47"/>
        <v>5045.335</v>
      </c>
      <c r="BA78" s="13">
        <f t="shared" si="47"/>
        <v>5040.3099999999995</v>
      </c>
      <c r="BB78" s="13">
        <f t="shared" si="47"/>
        <v>5041.5149999999994</v>
      </c>
      <c r="BC78" s="13">
        <f t="shared" si="47"/>
        <v>5041.9999999999991</v>
      </c>
      <c r="BD78" s="13">
        <f t="shared" si="47"/>
        <v>5043.875</v>
      </c>
      <c r="BE78" s="13">
        <f t="shared" si="47"/>
        <v>5041.125</v>
      </c>
      <c r="BF78" s="13">
        <f t="shared" si="47"/>
        <v>5044.25</v>
      </c>
      <c r="BG78" s="13">
        <f t="shared" si="47"/>
        <v>5043.6650000000009</v>
      </c>
      <c r="BH78" s="13">
        <f t="shared" si="47"/>
        <v>5043.2375000000002</v>
      </c>
      <c r="BI78" s="13">
        <f t="shared" si="47"/>
        <v>5044.0575000000008</v>
      </c>
      <c r="BJ78" s="13">
        <f t="shared" si="47"/>
        <v>5045.375</v>
      </c>
      <c r="BK78" s="13">
        <f t="shared" si="47"/>
        <v>5045.4275000000007</v>
      </c>
      <c r="BL78" s="13">
        <f t="shared" si="47"/>
        <v>5047.0275000000001</v>
      </c>
      <c r="BM78" s="13">
        <f t="shared" si="47"/>
        <v>5045.8474999999999</v>
      </c>
      <c r="BN78" s="13">
        <f t="shared" si="47"/>
        <v>5045.0950000000003</v>
      </c>
      <c r="BO78" s="13">
        <f t="shared" ref="BO78:CT78" si="48">(BO74+BO75+BO76+BO77)/4</f>
        <v>5045.6750000000002</v>
      </c>
      <c r="BP78" s="13">
        <f t="shared" si="48"/>
        <v>5042.7474999999995</v>
      </c>
      <c r="BQ78" s="13">
        <f t="shared" si="48"/>
        <v>5044.0825000000004</v>
      </c>
      <c r="BR78" s="13">
        <f t="shared" si="48"/>
        <v>5044.4599999999991</v>
      </c>
      <c r="BS78" s="13">
        <f t="shared" si="48"/>
        <v>5044.335</v>
      </c>
      <c r="BT78" s="13">
        <f t="shared" si="48"/>
        <v>5046.0199999999995</v>
      </c>
      <c r="BU78" s="13">
        <f t="shared" si="48"/>
        <v>5046.0074999999997</v>
      </c>
      <c r="BV78" s="13">
        <f t="shared" si="48"/>
        <v>5048.4349999999995</v>
      </c>
      <c r="BW78" s="13">
        <f t="shared" si="48"/>
        <v>5049.8450000000003</v>
      </c>
      <c r="BX78" s="13">
        <f t="shared" si="48"/>
        <v>5048.4324999999999</v>
      </c>
      <c r="BY78" s="13">
        <f t="shared" si="48"/>
        <v>5045.3525</v>
      </c>
      <c r="BZ78" s="13">
        <f t="shared" si="48"/>
        <v>5043.7325000000001</v>
      </c>
      <c r="CA78" s="13">
        <f t="shared" si="48"/>
        <v>5047.1550000000007</v>
      </c>
      <c r="CB78" s="13">
        <f t="shared" si="48"/>
        <v>5047.7749999999996</v>
      </c>
      <c r="CC78" s="13">
        <f t="shared" si="48"/>
        <v>5051.0174999999999</v>
      </c>
      <c r="CD78" s="13">
        <f t="shared" si="48"/>
        <v>5050.2674999999999</v>
      </c>
      <c r="CE78" s="13">
        <f t="shared" si="48"/>
        <v>5049.8599999999997</v>
      </c>
      <c r="CF78" s="13">
        <f t="shared" si="48"/>
        <v>5055.79</v>
      </c>
      <c r="CG78" s="13">
        <f t="shared" si="48"/>
        <v>5055.2449999999999</v>
      </c>
      <c r="CH78" s="13">
        <f t="shared" si="48"/>
        <v>5059.3274999999994</v>
      </c>
      <c r="CI78" s="13">
        <f t="shared" si="48"/>
        <v>5060.9925000000003</v>
      </c>
      <c r="CJ78" s="13">
        <f t="shared" si="48"/>
        <v>5060.76</v>
      </c>
      <c r="CK78" s="13">
        <f t="shared" si="48"/>
        <v>5056.9175000000005</v>
      </c>
      <c r="CL78" s="13">
        <f t="shared" si="48"/>
        <v>5057.8575000000001</v>
      </c>
      <c r="CM78" s="13">
        <f t="shared" si="48"/>
        <v>5056.1499999999996</v>
      </c>
      <c r="CN78" s="13">
        <f t="shared" si="48"/>
        <v>5056.1374999999998</v>
      </c>
      <c r="CO78" s="13">
        <f t="shared" si="48"/>
        <v>5056.5150000000003</v>
      </c>
      <c r="CP78" s="13">
        <f t="shared" si="48"/>
        <v>5055.5599999999995</v>
      </c>
      <c r="CQ78" s="13">
        <f t="shared" si="48"/>
        <v>5056.2325000000001</v>
      </c>
      <c r="CR78" s="13">
        <f t="shared" si="48"/>
        <v>5052.1175000000003</v>
      </c>
      <c r="CS78" s="13">
        <f t="shared" si="48"/>
        <v>5053.9050000000007</v>
      </c>
      <c r="CT78" s="13">
        <f t="shared" si="48"/>
        <v>5057.8900000000003</v>
      </c>
      <c r="CU78" s="13">
        <f t="shared" ref="CU78:DL78" si="49">(CU74+CU75+CU76+CU77)/4</f>
        <v>5059.4450000000006</v>
      </c>
      <c r="CV78" s="13">
        <f t="shared" si="49"/>
        <v>5058.2725</v>
      </c>
      <c r="CW78" s="13">
        <f t="shared" si="49"/>
        <v>5059.1750000000002</v>
      </c>
      <c r="CX78" s="13">
        <f t="shared" si="49"/>
        <v>5058.84</v>
      </c>
      <c r="CY78" s="13">
        <f t="shared" si="49"/>
        <v>5056.9299999999994</v>
      </c>
      <c r="CZ78" s="13">
        <f t="shared" si="49"/>
        <v>5058.3274999999994</v>
      </c>
      <c r="DA78" s="13">
        <f t="shared" si="49"/>
        <v>5057.3649999999998</v>
      </c>
      <c r="DB78" s="13">
        <f t="shared" si="49"/>
        <v>5056.58</v>
      </c>
      <c r="DC78" s="13">
        <f t="shared" si="49"/>
        <v>5054.7725</v>
      </c>
      <c r="DD78" s="13">
        <f t="shared" si="49"/>
        <v>5055.2075000000004</v>
      </c>
      <c r="DE78" s="13">
        <f t="shared" si="49"/>
        <v>5054.9324999999999</v>
      </c>
      <c r="DF78" s="13">
        <f t="shared" si="49"/>
        <v>5056.1149999999998</v>
      </c>
      <c r="DG78" s="13">
        <f t="shared" si="49"/>
        <v>5054.6525000000001</v>
      </c>
      <c r="DH78" s="13">
        <f t="shared" si="49"/>
        <v>5054.8549999999996</v>
      </c>
      <c r="DI78" s="13">
        <f t="shared" si="49"/>
        <v>5054.0599999999995</v>
      </c>
      <c r="DJ78" s="13">
        <f t="shared" si="49"/>
        <v>5057.3549999999996</v>
      </c>
      <c r="DK78" s="13">
        <f t="shared" si="49"/>
        <v>5053.25</v>
      </c>
      <c r="DL78" s="13">
        <f t="shared" si="49"/>
        <v>5052.0499999999993</v>
      </c>
      <c r="DM78" s="26"/>
      <c r="DN78" s="25"/>
      <c r="DO78" s="27"/>
      <c r="DP78" s="25"/>
      <c r="DQ78" s="27"/>
      <c r="DR78" s="25"/>
      <c r="DS78" s="27"/>
      <c r="DT78" s="25"/>
    </row>
    <row r="79" spans="1:126" ht="15.75" x14ac:dyDescent="0.25">
      <c r="A79" s="11" t="s">
        <v>5</v>
      </c>
      <c r="B79" s="11" t="s">
        <v>11</v>
      </c>
      <c r="C79" s="15">
        <v>0.375</v>
      </c>
      <c r="D79" s="15">
        <v>0.37847222222222227</v>
      </c>
      <c r="E79" s="15">
        <v>0.38194444444444442</v>
      </c>
      <c r="F79" s="15">
        <v>0.38541666666666669</v>
      </c>
      <c r="G79" s="15">
        <v>0.3888888888888889</v>
      </c>
      <c r="H79" s="15">
        <v>0.3923611111111111</v>
      </c>
      <c r="I79" s="15">
        <v>0.39583333333333331</v>
      </c>
      <c r="J79" s="15">
        <v>0.39930555555555558</v>
      </c>
      <c r="K79" s="15">
        <v>0.40277777777777773</v>
      </c>
      <c r="L79" s="15">
        <v>0.40625</v>
      </c>
      <c r="M79" s="15">
        <v>0.40972222222222227</v>
      </c>
      <c r="N79" s="15">
        <v>0.41319444444444442</v>
      </c>
      <c r="O79" s="15">
        <v>0.41666666666666669</v>
      </c>
      <c r="P79" s="15">
        <v>0.4201388888888889</v>
      </c>
      <c r="Q79" s="15">
        <v>0.4236111111111111</v>
      </c>
      <c r="R79" s="15">
        <v>0.42708333333333331</v>
      </c>
      <c r="S79" s="15">
        <v>0.43055555555555558</v>
      </c>
      <c r="T79" s="15">
        <v>0.43402777777777773</v>
      </c>
      <c r="U79" s="15">
        <v>0.4375</v>
      </c>
      <c r="V79" s="15">
        <v>0.44097222222222227</v>
      </c>
      <c r="W79" s="15">
        <v>0.44444444444444442</v>
      </c>
      <c r="X79" s="15">
        <v>0.44791666666666669</v>
      </c>
      <c r="Y79" s="15">
        <v>0.4513888888888889</v>
      </c>
      <c r="Z79" s="15">
        <v>0.4548611111111111</v>
      </c>
      <c r="AA79" s="15">
        <v>0.45833333333333331</v>
      </c>
      <c r="AB79" s="15">
        <v>0.46180555555555558</v>
      </c>
      <c r="AC79" s="15">
        <v>0.46527777777777773</v>
      </c>
      <c r="AD79" s="15">
        <v>0.46875</v>
      </c>
      <c r="AE79" s="15">
        <v>0.47222222222222227</v>
      </c>
      <c r="AF79" s="15">
        <v>0.47569444444444442</v>
      </c>
      <c r="AG79" s="15">
        <v>0.47916666666666669</v>
      </c>
      <c r="AH79" s="15">
        <v>0.4826388888888889</v>
      </c>
      <c r="AI79" s="15">
        <v>0.4861111111111111</v>
      </c>
      <c r="AJ79" s="15">
        <v>0.48958333333333331</v>
      </c>
      <c r="AK79" s="15">
        <v>0.49305555555555558</v>
      </c>
      <c r="AL79" s="15">
        <v>0.49652777777777773</v>
      </c>
      <c r="AM79" s="15">
        <v>0.5</v>
      </c>
      <c r="AN79" s="15">
        <v>0.50347222222222221</v>
      </c>
      <c r="AO79" s="15">
        <v>0.50694444444444442</v>
      </c>
      <c r="AP79" s="15">
        <v>0.51041666666666663</v>
      </c>
      <c r="AQ79" s="15">
        <v>0.51388888888888895</v>
      </c>
      <c r="AR79" s="15">
        <v>0.51736111111111105</v>
      </c>
      <c r="AS79" s="15">
        <v>0.52083333333333337</v>
      </c>
      <c r="AT79" s="15">
        <v>0.52430555555555558</v>
      </c>
      <c r="AU79" s="15">
        <v>0.52777777777777779</v>
      </c>
      <c r="AV79" s="15">
        <v>0.53125</v>
      </c>
      <c r="AW79" s="15">
        <v>0.53472222222222221</v>
      </c>
      <c r="AX79" s="15">
        <v>0.53819444444444442</v>
      </c>
      <c r="AY79" s="15">
        <v>0.54166666666666663</v>
      </c>
      <c r="AZ79" s="15">
        <v>0.54513888888888895</v>
      </c>
      <c r="BA79" s="15">
        <v>0.54861111111111105</v>
      </c>
      <c r="BB79" s="15">
        <v>0.55208333333333337</v>
      </c>
      <c r="BC79" s="15">
        <v>0.55555555555555558</v>
      </c>
      <c r="BD79" s="15">
        <v>0.55902777777777779</v>
      </c>
      <c r="BE79" s="15">
        <v>0.5625</v>
      </c>
      <c r="BF79" s="15">
        <v>0.56597222222222221</v>
      </c>
      <c r="BG79" s="15">
        <v>0.56944444444444442</v>
      </c>
      <c r="BH79" s="15">
        <v>0.57291666666666663</v>
      </c>
      <c r="BI79" s="15">
        <v>0.57638888888888895</v>
      </c>
      <c r="BJ79" s="15">
        <v>0.57986111111111105</v>
      </c>
      <c r="BK79" s="15">
        <v>0.58333333333333337</v>
      </c>
      <c r="BL79" s="15">
        <v>0.58680555555555558</v>
      </c>
      <c r="BM79" s="15">
        <v>0.59027777777777779</v>
      </c>
      <c r="BN79" s="15">
        <v>0.59375</v>
      </c>
      <c r="BO79" s="15">
        <v>0.59722222222222221</v>
      </c>
      <c r="BP79" s="15">
        <v>0.60069444444444442</v>
      </c>
      <c r="BQ79" s="15">
        <v>0.60416666666666663</v>
      </c>
      <c r="BR79" s="15">
        <v>0.60763888888888895</v>
      </c>
      <c r="BS79" s="15">
        <v>0.61111111111111105</v>
      </c>
      <c r="BT79" s="15">
        <v>0.61458333333333337</v>
      </c>
      <c r="BU79" s="15">
        <v>0.61805555555555558</v>
      </c>
      <c r="BV79" s="15">
        <v>0.62152777777777779</v>
      </c>
      <c r="BW79" s="15">
        <v>0.625</v>
      </c>
      <c r="BX79" s="15">
        <v>0.62847222222222221</v>
      </c>
      <c r="BY79" s="15">
        <v>0.63194444444444442</v>
      </c>
      <c r="BZ79" s="15">
        <v>0.63541666666666663</v>
      </c>
      <c r="CA79" s="15">
        <v>0.63888888888888895</v>
      </c>
      <c r="CB79" s="15">
        <v>0.64236111111111105</v>
      </c>
      <c r="CC79" s="15">
        <v>0.64583333333333337</v>
      </c>
      <c r="CD79" s="15">
        <v>0.64930555555555558</v>
      </c>
      <c r="CE79" s="15">
        <v>0.65277777777777779</v>
      </c>
      <c r="CF79" s="15">
        <v>0.65625</v>
      </c>
      <c r="CG79" s="15">
        <v>0.65972222222222221</v>
      </c>
      <c r="CH79" s="15">
        <v>0.66319444444444442</v>
      </c>
      <c r="CI79" s="15">
        <v>0.66666666666666663</v>
      </c>
      <c r="CJ79" s="15">
        <v>0.67013888888888884</v>
      </c>
      <c r="CK79" s="15">
        <v>0.67361111111111116</v>
      </c>
      <c r="CL79" s="15">
        <v>0.67708333333333337</v>
      </c>
      <c r="CM79" s="15">
        <v>0.68055555555555547</v>
      </c>
      <c r="CN79" s="15">
        <v>0.68402777777777779</v>
      </c>
      <c r="CO79" s="15">
        <v>0.6875</v>
      </c>
      <c r="CP79" s="15">
        <v>0.69097222222222221</v>
      </c>
      <c r="CQ79" s="15">
        <v>0.69444444444444453</v>
      </c>
      <c r="CR79" s="15">
        <v>0.69791666666666663</v>
      </c>
      <c r="CS79" s="15">
        <v>0.70138888888888884</v>
      </c>
      <c r="CT79" s="15">
        <v>0.70486111111111116</v>
      </c>
      <c r="CU79" s="15">
        <v>0.70833333333333337</v>
      </c>
      <c r="CV79" s="15">
        <v>0.71180555555555547</v>
      </c>
      <c r="CW79" s="15">
        <v>0.71527777777777779</v>
      </c>
      <c r="CX79" s="15">
        <v>0.71875</v>
      </c>
      <c r="CY79" s="15">
        <v>0.72222222222222221</v>
      </c>
      <c r="CZ79" s="15">
        <v>0.72569444444444453</v>
      </c>
      <c r="DA79" s="15">
        <v>0.72916666666666663</v>
      </c>
      <c r="DB79" s="15">
        <v>0.73263888888888884</v>
      </c>
      <c r="DC79" s="15">
        <v>0.73611111111111116</v>
      </c>
      <c r="DD79" s="15">
        <v>0.73958333333333337</v>
      </c>
      <c r="DE79" s="15">
        <v>0.74305555555555547</v>
      </c>
      <c r="DF79" s="15">
        <v>0.74652777777777779</v>
      </c>
      <c r="DG79" s="15">
        <v>0.75</v>
      </c>
      <c r="DH79" s="15">
        <v>0.75347222222222221</v>
      </c>
      <c r="DI79" s="15">
        <v>0.75694444444444453</v>
      </c>
      <c r="DJ79" s="15">
        <v>0.76041666666666663</v>
      </c>
      <c r="DK79" s="15">
        <v>0.76388888888888884</v>
      </c>
      <c r="DL79" s="15">
        <v>0.76736111111111116</v>
      </c>
      <c r="DM79" s="23">
        <v>44364</v>
      </c>
    </row>
    <row r="80" spans="1:126" ht="15.75" x14ac:dyDescent="0.25">
      <c r="A80" s="14">
        <v>44183</v>
      </c>
      <c r="B80" s="12" t="s">
        <v>6</v>
      </c>
      <c r="C80" s="13">
        <v>5106</v>
      </c>
      <c r="D80" s="13">
        <v>5120</v>
      </c>
      <c r="E80" s="13">
        <v>5101.3</v>
      </c>
      <c r="F80" s="13">
        <v>5091.6499999999996</v>
      </c>
      <c r="G80" s="13">
        <v>5093.25</v>
      </c>
      <c r="H80" s="13">
        <v>5103.33</v>
      </c>
      <c r="I80" s="13">
        <v>5107.75</v>
      </c>
      <c r="J80" s="13">
        <v>5109.6000000000004</v>
      </c>
      <c r="K80" s="13">
        <v>5122.8900000000003</v>
      </c>
      <c r="L80" s="13">
        <v>5114.32</v>
      </c>
      <c r="M80" s="13">
        <v>5112.33</v>
      </c>
      <c r="N80" s="13">
        <v>5105.37</v>
      </c>
      <c r="O80" s="13">
        <v>5108.95</v>
      </c>
      <c r="P80" s="13">
        <v>5115.1899999999996</v>
      </c>
      <c r="Q80" s="13">
        <v>5121</v>
      </c>
      <c r="R80" s="13">
        <v>5125.04</v>
      </c>
      <c r="S80" s="13">
        <v>5130.21</v>
      </c>
      <c r="T80" s="13">
        <v>5122.6400000000003</v>
      </c>
      <c r="U80" s="13">
        <v>5130.29</v>
      </c>
      <c r="V80" s="13">
        <v>5124.8</v>
      </c>
      <c r="W80" s="13">
        <v>5120.79</v>
      </c>
      <c r="X80" s="13">
        <v>5120</v>
      </c>
      <c r="Y80" s="13">
        <v>5114.8100000000004</v>
      </c>
      <c r="Z80" s="13">
        <v>5127.17</v>
      </c>
      <c r="AA80" s="13">
        <v>5123.22</v>
      </c>
      <c r="AB80" s="13">
        <v>5123.22</v>
      </c>
      <c r="AC80" s="13">
        <v>5123.91</v>
      </c>
      <c r="AD80" s="13">
        <v>5131.1099999999997</v>
      </c>
      <c r="AE80" s="13">
        <v>5127.67</v>
      </c>
      <c r="AF80" s="13">
        <v>5150.3999999999996</v>
      </c>
      <c r="AG80" s="13">
        <v>5133.42</v>
      </c>
      <c r="AH80" s="13">
        <v>5126</v>
      </c>
      <c r="AI80" s="13">
        <v>5131.08</v>
      </c>
      <c r="AJ80" s="13">
        <v>5115.53</v>
      </c>
      <c r="AK80" s="13">
        <v>5121.07</v>
      </c>
      <c r="AL80" s="13">
        <v>5130.96</v>
      </c>
      <c r="AM80" s="13">
        <v>5128.3900000000003</v>
      </c>
      <c r="AN80" s="13">
        <v>5124.57</v>
      </c>
      <c r="AO80" s="13">
        <v>5120.5</v>
      </c>
      <c r="AP80" s="13">
        <v>5108.79</v>
      </c>
      <c r="AQ80" s="13">
        <v>5105.2299999999996</v>
      </c>
      <c r="AR80" s="13">
        <v>5113.72</v>
      </c>
      <c r="AS80" s="13">
        <v>5124.1000000000004</v>
      </c>
      <c r="AT80" s="13">
        <v>5121.5200000000004</v>
      </c>
      <c r="AU80" s="13">
        <v>5133.1000000000004</v>
      </c>
      <c r="AV80" s="13">
        <v>5137.07</v>
      </c>
      <c r="AW80" s="13">
        <v>5126.9399999999996</v>
      </c>
      <c r="AX80" s="13">
        <v>5122.97</v>
      </c>
      <c r="AY80" s="13">
        <v>5130.22</v>
      </c>
      <c r="AZ80" s="13">
        <v>5124.5</v>
      </c>
      <c r="BA80" s="13">
        <v>5116.42</v>
      </c>
      <c r="BB80" s="13">
        <v>5131.2</v>
      </c>
      <c r="BC80" s="13">
        <v>5120.66</v>
      </c>
      <c r="BD80" s="13">
        <v>5115.51</v>
      </c>
      <c r="BE80" s="13">
        <v>5114</v>
      </c>
      <c r="BF80" s="13">
        <v>5119.1099999999997</v>
      </c>
      <c r="BG80" s="13">
        <v>5121.29</v>
      </c>
      <c r="BH80" s="13">
        <v>5115.3999999999996</v>
      </c>
      <c r="BI80" s="13">
        <v>5123.1899999999996</v>
      </c>
      <c r="BJ80" s="13">
        <v>5117.3999999999996</v>
      </c>
      <c r="BK80" s="13">
        <v>5112.84</v>
      </c>
      <c r="BL80" s="13">
        <v>5124.76</v>
      </c>
      <c r="BM80" s="13">
        <v>5117.3100000000004</v>
      </c>
      <c r="BN80" s="13">
        <v>5112.6499999999996</v>
      </c>
      <c r="BO80" s="13">
        <v>5117.6000000000004</v>
      </c>
      <c r="BP80" s="13">
        <v>5115.03</v>
      </c>
      <c r="BQ80" s="13">
        <v>5110.29</v>
      </c>
      <c r="BR80" s="13">
        <v>5114.6899999999996</v>
      </c>
      <c r="BS80" s="13">
        <v>5112.66</v>
      </c>
      <c r="BT80" s="13">
        <v>5111.7700000000004</v>
      </c>
      <c r="BU80" s="13">
        <v>5115.08</v>
      </c>
      <c r="BV80" s="13">
        <v>5121.5600000000004</v>
      </c>
      <c r="BW80" s="13">
        <v>5119.03</v>
      </c>
      <c r="BX80" s="13">
        <v>5119.8900000000003</v>
      </c>
      <c r="BY80" s="13">
        <v>5126.66</v>
      </c>
      <c r="BZ80" s="13">
        <v>5121.6899999999996</v>
      </c>
      <c r="CA80" s="13">
        <v>5140.29</v>
      </c>
      <c r="CB80" s="13">
        <v>5132.68</v>
      </c>
      <c r="CC80" s="13">
        <v>5135.54</v>
      </c>
      <c r="CD80" s="13">
        <v>5143.08</v>
      </c>
      <c r="CE80" s="13">
        <v>5131.3900000000003</v>
      </c>
      <c r="CF80" s="13">
        <v>5126.25</v>
      </c>
      <c r="CG80" s="13">
        <v>5134.58</v>
      </c>
      <c r="CH80" s="13">
        <v>5132.32</v>
      </c>
      <c r="CI80" s="13">
        <v>5113.26</v>
      </c>
      <c r="CJ80" s="13">
        <v>5112.93</v>
      </c>
      <c r="CK80" s="13">
        <v>5115.54</v>
      </c>
      <c r="CL80" s="13">
        <v>5114.0600000000004</v>
      </c>
      <c r="CM80" s="13">
        <v>5106</v>
      </c>
      <c r="CN80" s="13">
        <v>5118.93</v>
      </c>
      <c r="CO80" s="13">
        <v>5107.0600000000004</v>
      </c>
      <c r="CP80" s="13">
        <v>5107.59</v>
      </c>
      <c r="CQ80" s="13">
        <v>5107.63</v>
      </c>
      <c r="CR80" s="13">
        <v>5111</v>
      </c>
      <c r="CS80" s="13">
        <v>5111.83</v>
      </c>
      <c r="CT80" s="13">
        <v>5117</v>
      </c>
      <c r="CU80" s="13">
        <v>5114.53</v>
      </c>
      <c r="CV80" s="13">
        <v>5114.1899999999996</v>
      </c>
      <c r="CW80" s="13">
        <v>5112.13</v>
      </c>
      <c r="CX80" s="13">
        <v>5120.37</v>
      </c>
      <c r="CY80" s="13">
        <v>5114.84</v>
      </c>
      <c r="CZ80" s="13">
        <v>5120.2</v>
      </c>
      <c r="DA80" s="13">
        <v>5120.2</v>
      </c>
      <c r="DB80" s="13">
        <v>5131.8999999999996</v>
      </c>
      <c r="DC80" s="13">
        <v>5116.46</v>
      </c>
      <c r="DD80" s="13">
        <v>5117.29</v>
      </c>
      <c r="DE80" s="13">
        <v>5120.25</v>
      </c>
      <c r="DF80" s="13">
        <v>5113.75</v>
      </c>
      <c r="DG80" s="13">
        <v>5115.2</v>
      </c>
      <c r="DH80" s="13">
        <v>5131.67</v>
      </c>
      <c r="DI80" s="13">
        <v>5131.07</v>
      </c>
      <c r="DJ80" s="13">
        <v>5154.3999999999996</v>
      </c>
      <c r="DK80" s="13">
        <v>5133.68</v>
      </c>
      <c r="DL80" s="13">
        <v>5126.74</v>
      </c>
      <c r="DM80" s="32"/>
      <c r="DN80" s="33"/>
      <c r="DO80" s="32"/>
      <c r="DP80" s="33"/>
      <c r="DQ80" s="32"/>
      <c r="DR80" s="33"/>
      <c r="DS80" s="32"/>
      <c r="DT80" s="33"/>
      <c r="DU80" s="32"/>
      <c r="DV80" s="33"/>
    </row>
    <row r="81" spans="1:126" ht="15.75" x14ac:dyDescent="0.25">
      <c r="A81" s="14" t="s">
        <v>12</v>
      </c>
      <c r="B81" s="12" t="s">
        <v>10</v>
      </c>
      <c r="C81" s="13">
        <v>5106</v>
      </c>
      <c r="D81" s="13">
        <v>5105.1899999999996</v>
      </c>
      <c r="E81" s="13">
        <v>5089</v>
      </c>
      <c r="F81" s="13">
        <v>5089.6499999999996</v>
      </c>
      <c r="G81" s="13">
        <v>5089</v>
      </c>
      <c r="H81" s="13">
        <v>5102.5</v>
      </c>
      <c r="I81" s="13">
        <v>5101.57</v>
      </c>
      <c r="J81" s="13">
        <v>5109.04</v>
      </c>
      <c r="K81" s="13">
        <v>5113.82</v>
      </c>
      <c r="L81" s="13">
        <v>5105</v>
      </c>
      <c r="M81" s="13">
        <v>5107.93</v>
      </c>
      <c r="N81" s="13">
        <v>5095.34</v>
      </c>
      <c r="O81" s="13">
        <v>5107.58</v>
      </c>
      <c r="P81" s="13">
        <v>5113.5</v>
      </c>
      <c r="Q81" s="13">
        <v>5119.17</v>
      </c>
      <c r="R81" s="13">
        <v>5124.88</v>
      </c>
      <c r="S81" s="13">
        <v>5115.5200000000004</v>
      </c>
      <c r="T81" s="13">
        <v>5120.6899999999996</v>
      </c>
      <c r="U81" s="13">
        <v>5114.3100000000004</v>
      </c>
      <c r="V81" s="13">
        <v>5113.74</v>
      </c>
      <c r="W81" s="13">
        <v>5110.7299999999996</v>
      </c>
      <c r="X81" s="13">
        <v>5107.74</v>
      </c>
      <c r="Y81" s="13">
        <v>5108.68</v>
      </c>
      <c r="Z81" s="13">
        <v>5113.67</v>
      </c>
      <c r="AA81" s="13">
        <v>5114.8100000000004</v>
      </c>
      <c r="AB81" s="13">
        <v>5112.6099999999997</v>
      </c>
      <c r="AC81" s="13">
        <v>5105.2</v>
      </c>
      <c r="AD81" s="13">
        <v>5111.22</v>
      </c>
      <c r="AE81" s="13">
        <v>5120.71</v>
      </c>
      <c r="AF81" s="13">
        <v>5126.43</v>
      </c>
      <c r="AG81" s="13">
        <v>5115.47</v>
      </c>
      <c r="AH81" s="13">
        <v>5120.34</v>
      </c>
      <c r="AI81" s="13">
        <v>5111.28</v>
      </c>
      <c r="AJ81" s="13">
        <v>5115.53</v>
      </c>
      <c r="AK81" s="13">
        <v>5121</v>
      </c>
      <c r="AL81" s="13">
        <v>5123.2299999999996</v>
      </c>
      <c r="AM81" s="13">
        <v>5121.3999999999996</v>
      </c>
      <c r="AN81" s="13">
        <v>5110</v>
      </c>
      <c r="AO81" s="13">
        <v>5096.03</v>
      </c>
      <c r="AP81" s="13">
        <v>5092.18</v>
      </c>
      <c r="AQ81" s="13">
        <v>5095.8599999999997</v>
      </c>
      <c r="AR81" s="13">
        <v>5101.51</v>
      </c>
      <c r="AS81" s="13">
        <v>5116.79</v>
      </c>
      <c r="AT81" s="13">
        <v>5107.54</v>
      </c>
      <c r="AU81" s="13">
        <v>5118.51</v>
      </c>
      <c r="AV81" s="13">
        <v>5116.18</v>
      </c>
      <c r="AW81" s="13">
        <v>5117.18</v>
      </c>
      <c r="AX81" s="13">
        <v>5118.71</v>
      </c>
      <c r="AY81" s="13">
        <v>5115.6499999999996</v>
      </c>
      <c r="AZ81" s="13">
        <v>5111.3500000000004</v>
      </c>
      <c r="BA81" s="13">
        <v>5105.26</v>
      </c>
      <c r="BB81" s="13">
        <v>5109.21</v>
      </c>
      <c r="BC81" s="13">
        <v>5108.2700000000004</v>
      </c>
      <c r="BD81" s="13">
        <v>5101.5600000000004</v>
      </c>
      <c r="BE81" s="13">
        <v>5107.03</v>
      </c>
      <c r="BF81" s="13">
        <v>5119.1099999999997</v>
      </c>
      <c r="BG81" s="13">
        <v>5104.18</v>
      </c>
      <c r="BH81" s="13">
        <v>5105.55</v>
      </c>
      <c r="BI81" s="13">
        <v>5105.8999999999996</v>
      </c>
      <c r="BJ81" s="13">
        <v>5112.84</v>
      </c>
      <c r="BK81" s="13">
        <v>5096.49</v>
      </c>
      <c r="BL81" s="13">
        <v>5097</v>
      </c>
      <c r="BM81" s="13">
        <v>5098.97</v>
      </c>
      <c r="BN81" s="13">
        <v>5112.6499999999996</v>
      </c>
      <c r="BO81" s="13">
        <v>5105.1499999999996</v>
      </c>
      <c r="BP81" s="13">
        <v>5109.4399999999996</v>
      </c>
      <c r="BQ81" s="13">
        <v>5105.88</v>
      </c>
      <c r="BR81" s="13">
        <v>5109.74</v>
      </c>
      <c r="BS81" s="13">
        <v>5103.93</v>
      </c>
      <c r="BT81" s="13">
        <v>5107.6499999999996</v>
      </c>
      <c r="BU81" s="13">
        <v>5113.6899999999996</v>
      </c>
      <c r="BV81" s="13">
        <v>5114.6899999999996</v>
      </c>
      <c r="BW81" s="13">
        <v>5115.08</v>
      </c>
      <c r="BX81" s="13">
        <v>5114.6000000000004</v>
      </c>
      <c r="BY81" s="13">
        <v>5114.6000000000004</v>
      </c>
      <c r="BZ81" s="13">
        <v>5109.25</v>
      </c>
      <c r="CA81" s="13">
        <v>5130.79</v>
      </c>
      <c r="CB81" s="13">
        <v>5131.96</v>
      </c>
      <c r="CC81" s="13">
        <v>5132.3599999999997</v>
      </c>
      <c r="CD81" s="13">
        <v>5117.38</v>
      </c>
      <c r="CE81" s="13">
        <v>5124</v>
      </c>
      <c r="CF81" s="13">
        <v>5107.45</v>
      </c>
      <c r="CG81" s="13">
        <v>5126.07</v>
      </c>
      <c r="CH81" s="13">
        <v>5113.05</v>
      </c>
      <c r="CI81" s="13">
        <v>5103.42</v>
      </c>
      <c r="CJ81" s="13">
        <v>5100.58</v>
      </c>
      <c r="CK81" s="13">
        <v>5101.87</v>
      </c>
      <c r="CL81" s="13">
        <v>5101.5200000000004</v>
      </c>
      <c r="CM81" s="13">
        <v>5103.57</v>
      </c>
      <c r="CN81" s="13">
        <v>5103.43</v>
      </c>
      <c r="CO81" s="13">
        <v>5100.1099999999997</v>
      </c>
      <c r="CP81" s="13">
        <v>5100.47</v>
      </c>
      <c r="CQ81" s="13">
        <v>5097.1400000000003</v>
      </c>
      <c r="CR81" s="13">
        <v>5103.41</v>
      </c>
      <c r="CS81" s="13">
        <v>5105.5</v>
      </c>
      <c r="CT81" s="13">
        <v>5097.43</v>
      </c>
      <c r="CU81" s="13">
        <v>5102.26</v>
      </c>
      <c r="CV81" s="13">
        <v>5098.5</v>
      </c>
      <c r="CW81" s="13">
        <v>5112.13</v>
      </c>
      <c r="CX81" s="13">
        <v>5103.3</v>
      </c>
      <c r="CY81" s="13">
        <v>5102.68</v>
      </c>
      <c r="CZ81" s="13">
        <v>5120.2</v>
      </c>
      <c r="DA81" s="13">
        <v>5107.88</v>
      </c>
      <c r="DB81" s="13">
        <v>5108.79</v>
      </c>
      <c r="DC81" s="13">
        <v>5109.6400000000003</v>
      </c>
      <c r="DD81" s="13">
        <v>5098.51</v>
      </c>
      <c r="DE81" s="13">
        <v>5107.93</v>
      </c>
      <c r="DF81" s="13">
        <v>5098.13</v>
      </c>
      <c r="DG81" s="13">
        <v>5101.5200000000004</v>
      </c>
      <c r="DH81" s="13">
        <v>5110.18</v>
      </c>
      <c r="DI81" s="13">
        <v>5115.43</v>
      </c>
      <c r="DJ81" s="13">
        <v>5128.63</v>
      </c>
      <c r="DK81" s="13">
        <v>5120</v>
      </c>
      <c r="DL81" s="13">
        <v>5120.96</v>
      </c>
      <c r="DM81" s="32"/>
      <c r="DN81" s="33"/>
      <c r="DO81" s="32"/>
      <c r="DP81" s="33"/>
      <c r="DQ81" s="32"/>
      <c r="DR81" s="33"/>
      <c r="DS81" s="32"/>
      <c r="DT81" s="33"/>
      <c r="DU81" s="32"/>
      <c r="DV81" s="33"/>
    </row>
    <row r="82" spans="1:126" ht="15.75" x14ac:dyDescent="0.25">
      <c r="A82" s="14" t="s">
        <v>12</v>
      </c>
      <c r="B82" s="12" t="s">
        <v>9</v>
      </c>
      <c r="C82" s="13">
        <v>5075</v>
      </c>
      <c r="D82" s="13">
        <v>5091.3500000000004</v>
      </c>
      <c r="E82" s="13">
        <v>5076.3900000000003</v>
      </c>
      <c r="F82" s="13">
        <v>5076.18</v>
      </c>
      <c r="G82" s="13">
        <v>5074.21</v>
      </c>
      <c r="H82" s="13">
        <v>5079.4799999999996</v>
      </c>
      <c r="I82" s="13">
        <v>5079.9399999999996</v>
      </c>
      <c r="J82" s="13">
        <v>5082.5600000000004</v>
      </c>
      <c r="K82" s="13">
        <v>5088.05</v>
      </c>
      <c r="L82" s="13">
        <v>5077.8100000000004</v>
      </c>
      <c r="M82" s="13">
        <v>5080.79</v>
      </c>
      <c r="N82" s="13">
        <v>5073.71</v>
      </c>
      <c r="O82" s="13">
        <v>5082.37</v>
      </c>
      <c r="P82" s="13">
        <v>5085.32</v>
      </c>
      <c r="Q82" s="13">
        <v>5088.08</v>
      </c>
      <c r="R82" s="13">
        <v>5088.1000000000004</v>
      </c>
      <c r="S82" s="13">
        <v>5085.32</v>
      </c>
      <c r="T82" s="13">
        <v>5088.42</v>
      </c>
      <c r="U82" s="13">
        <v>5090.88</v>
      </c>
      <c r="V82" s="13">
        <v>5092.57</v>
      </c>
      <c r="W82" s="13">
        <v>5088.75</v>
      </c>
      <c r="X82" s="13">
        <v>5070.6400000000003</v>
      </c>
      <c r="Y82" s="13">
        <v>5070.2700000000004</v>
      </c>
      <c r="Z82" s="13">
        <v>5069.79</v>
      </c>
      <c r="AA82" s="13">
        <v>5070.12</v>
      </c>
      <c r="AB82" s="13">
        <v>5070.68</v>
      </c>
      <c r="AC82" s="13">
        <v>5070.91</v>
      </c>
      <c r="AD82" s="13">
        <v>5069.33</v>
      </c>
      <c r="AE82" s="13">
        <v>5071.1400000000003</v>
      </c>
      <c r="AF82" s="13">
        <v>5074</v>
      </c>
      <c r="AG82" s="13">
        <v>5071.82</v>
      </c>
      <c r="AH82" s="13">
        <v>5070.82</v>
      </c>
      <c r="AI82" s="13">
        <v>5070.32</v>
      </c>
      <c r="AJ82" s="13">
        <v>5061.4399999999996</v>
      </c>
      <c r="AK82" s="13">
        <v>5063.5600000000004</v>
      </c>
      <c r="AL82" s="13">
        <v>5068.13</v>
      </c>
      <c r="AM82" s="13">
        <v>5067.26</v>
      </c>
      <c r="AN82" s="13">
        <v>5063.21</v>
      </c>
      <c r="AO82" s="13">
        <v>5055.1899999999996</v>
      </c>
      <c r="AP82" s="13">
        <v>5054.26</v>
      </c>
      <c r="AQ82" s="13">
        <v>5051.46</v>
      </c>
      <c r="AR82" s="13">
        <v>5055.43</v>
      </c>
      <c r="AS82" s="13">
        <v>5056.07</v>
      </c>
      <c r="AT82" s="13">
        <v>5055</v>
      </c>
      <c r="AU82" s="13">
        <v>5058.5</v>
      </c>
      <c r="AV82" s="13">
        <v>5063.88</v>
      </c>
      <c r="AW82" s="13">
        <v>5059.96</v>
      </c>
      <c r="AX82" s="13">
        <v>5067.82</v>
      </c>
      <c r="AY82" s="13">
        <v>5062.84</v>
      </c>
      <c r="AZ82" s="13">
        <v>5061.3</v>
      </c>
      <c r="BA82" s="13">
        <v>5064.2700000000004</v>
      </c>
      <c r="BB82" s="13">
        <v>5068.68</v>
      </c>
      <c r="BC82" s="13">
        <v>5065.75</v>
      </c>
      <c r="BD82" s="13">
        <v>5053.1400000000003</v>
      </c>
      <c r="BE82" s="13">
        <v>5056.7299999999996</v>
      </c>
      <c r="BF82" s="13">
        <v>5059.92</v>
      </c>
      <c r="BG82" s="13">
        <v>5056.1899999999996</v>
      </c>
      <c r="BH82" s="13">
        <v>5061.93</v>
      </c>
      <c r="BI82" s="13">
        <v>5057.13</v>
      </c>
      <c r="BJ82" s="13">
        <v>5060.5600000000004</v>
      </c>
      <c r="BK82" s="13">
        <v>5056.21</v>
      </c>
      <c r="BL82" s="13">
        <v>5054.55</v>
      </c>
      <c r="BM82" s="13">
        <v>5056.2299999999996</v>
      </c>
      <c r="BN82" s="13">
        <v>5058.1400000000003</v>
      </c>
      <c r="BO82" s="13">
        <v>5060.1400000000003</v>
      </c>
      <c r="BP82" s="13">
        <v>5061.7299999999996</v>
      </c>
      <c r="BQ82" s="13">
        <v>5062.4799999999996</v>
      </c>
      <c r="BR82" s="13">
        <v>5068.28</v>
      </c>
      <c r="BS82" s="13">
        <v>5066.91</v>
      </c>
      <c r="BT82" s="13">
        <v>5068.17</v>
      </c>
      <c r="BU82" s="13">
        <v>5072.05</v>
      </c>
      <c r="BV82" s="13">
        <v>5072.7700000000004</v>
      </c>
      <c r="BW82" s="13">
        <v>5072.5</v>
      </c>
      <c r="BX82" s="13">
        <v>5072.6000000000004</v>
      </c>
      <c r="BY82" s="13">
        <v>5072.83</v>
      </c>
      <c r="BZ82" s="13">
        <v>5072.2299999999996</v>
      </c>
      <c r="CA82" s="13">
        <v>5070.57</v>
      </c>
      <c r="CB82" s="13">
        <v>5071.38</v>
      </c>
      <c r="CC82" s="13">
        <v>5071.68</v>
      </c>
      <c r="CD82" s="13">
        <v>5071.32</v>
      </c>
      <c r="CE82" s="13">
        <v>5071.03</v>
      </c>
      <c r="CF82" s="13">
        <v>5066.88</v>
      </c>
      <c r="CG82" s="13">
        <v>5071.71</v>
      </c>
      <c r="CH82" s="13">
        <v>5068.58</v>
      </c>
      <c r="CI82" s="13">
        <v>5059.63</v>
      </c>
      <c r="CJ82" s="13">
        <v>5060.93</v>
      </c>
      <c r="CK82" s="13">
        <v>5059.32</v>
      </c>
      <c r="CL82" s="13">
        <v>5061.74</v>
      </c>
      <c r="CM82" s="13">
        <v>5060.8500000000004</v>
      </c>
      <c r="CN82" s="13">
        <v>5059.32</v>
      </c>
      <c r="CO82" s="13">
        <v>5064.4399999999996</v>
      </c>
      <c r="CP82" s="13">
        <v>5058.8900000000003</v>
      </c>
      <c r="CQ82" s="13">
        <v>5058.7</v>
      </c>
      <c r="CR82" s="13">
        <v>5056.6000000000004</v>
      </c>
      <c r="CS82" s="13">
        <v>5058.8900000000003</v>
      </c>
      <c r="CT82" s="13">
        <v>5058.1400000000003</v>
      </c>
      <c r="CU82" s="13">
        <v>5059.07</v>
      </c>
      <c r="CV82" s="13">
        <v>5059.16</v>
      </c>
      <c r="CW82" s="13">
        <v>5060.53</v>
      </c>
      <c r="CX82" s="13">
        <v>5064.12</v>
      </c>
      <c r="CY82" s="13">
        <v>5078.5200000000004</v>
      </c>
      <c r="CZ82" s="13">
        <v>5079.97</v>
      </c>
      <c r="DA82" s="13">
        <v>5078.4399999999996</v>
      </c>
      <c r="DB82" s="13">
        <v>5078.93</v>
      </c>
      <c r="DC82" s="13">
        <v>5081.07</v>
      </c>
      <c r="DD82" s="13">
        <v>5075.82</v>
      </c>
      <c r="DE82" s="13">
        <v>5075.7299999999996</v>
      </c>
      <c r="DF82" s="13">
        <v>5075.2299999999996</v>
      </c>
      <c r="DG82" s="13">
        <v>5074.91</v>
      </c>
      <c r="DH82" s="13">
        <v>5078.91</v>
      </c>
      <c r="DI82" s="13">
        <v>5083.2</v>
      </c>
      <c r="DJ82" s="13">
        <v>5089.4799999999996</v>
      </c>
      <c r="DK82" s="13">
        <v>5089.38</v>
      </c>
      <c r="DL82" s="13">
        <v>5087.5600000000004</v>
      </c>
      <c r="DM82" s="32"/>
      <c r="DN82" s="33"/>
      <c r="DO82" s="32"/>
      <c r="DP82" s="33"/>
      <c r="DQ82" s="32"/>
      <c r="DR82" s="33"/>
      <c r="DS82" s="32"/>
      <c r="DT82" s="33"/>
      <c r="DU82" s="32"/>
      <c r="DV82" s="33"/>
    </row>
    <row r="83" spans="1:126" ht="15.75" x14ac:dyDescent="0.25">
      <c r="A83" s="14" t="s">
        <v>12</v>
      </c>
      <c r="B83" s="12" t="s">
        <v>7</v>
      </c>
      <c r="C83" s="13">
        <v>5075</v>
      </c>
      <c r="D83" s="13">
        <v>5087.8900000000003</v>
      </c>
      <c r="E83" s="13">
        <v>5074.6000000000004</v>
      </c>
      <c r="F83" s="13">
        <v>5073</v>
      </c>
      <c r="G83" s="13">
        <v>5073.6099999999997</v>
      </c>
      <c r="H83" s="13">
        <v>5073.8900000000003</v>
      </c>
      <c r="I83" s="13">
        <v>5078.57</v>
      </c>
      <c r="J83" s="13">
        <v>5079.63</v>
      </c>
      <c r="K83" s="13">
        <v>5081.25</v>
      </c>
      <c r="L83" s="13">
        <v>5074.6099999999997</v>
      </c>
      <c r="M83" s="13">
        <v>5077.58</v>
      </c>
      <c r="N83" s="13">
        <v>5073.71</v>
      </c>
      <c r="O83" s="13">
        <v>5074.1400000000003</v>
      </c>
      <c r="P83" s="13">
        <v>5082.03</v>
      </c>
      <c r="Q83" s="13">
        <v>5084.84</v>
      </c>
      <c r="R83" s="13">
        <v>5081.62</v>
      </c>
      <c r="S83" s="13">
        <v>5084.74</v>
      </c>
      <c r="T83" s="13">
        <v>5081.55</v>
      </c>
      <c r="U83" s="13">
        <v>5089.16</v>
      </c>
      <c r="V83" s="13">
        <v>5087.5600000000004</v>
      </c>
      <c r="W83" s="13">
        <v>5086.78</v>
      </c>
      <c r="X83" s="13">
        <v>5070.6400000000003</v>
      </c>
      <c r="Y83" s="13">
        <v>5069.3599999999997</v>
      </c>
      <c r="Z83" s="13">
        <v>5069.16</v>
      </c>
      <c r="AA83" s="13">
        <v>5069.21</v>
      </c>
      <c r="AB83" s="13">
        <v>5069.5200000000004</v>
      </c>
      <c r="AC83" s="13">
        <v>5065.3500000000004</v>
      </c>
      <c r="AD83" s="13">
        <v>5068.43</v>
      </c>
      <c r="AE83" s="13">
        <v>5069.4799999999996</v>
      </c>
      <c r="AF83" s="13">
        <v>5072.05</v>
      </c>
      <c r="AG83" s="13">
        <v>5071.0200000000004</v>
      </c>
      <c r="AH83" s="13">
        <v>5070.12</v>
      </c>
      <c r="AI83" s="13">
        <v>5069.4399999999996</v>
      </c>
      <c r="AJ83" s="13">
        <v>5061.4399999999996</v>
      </c>
      <c r="AK83" s="13">
        <v>5060.74</v>
      </c>
      <c r="AL83" s="13">
        <v>5062.21</v>
      </c>
      <c r="AM83" s="13">
        <v>5059.1400000000003</v>
      </c>
      <c r="AN83" s="13">
        <v>5061.2700000000004</v>
      </c>
      <c r="AO83" s="13">
        <v>5051.96</v>
      </c>
      <c r="AP83" s="13">
        <v>5034.59</v>
      </c>
      <c r="AQ83" s="13">
        <v>5037.5</v>
      </c>
      <c r="AR83" s="13">
        <v>5053</v>
      </c>
      <c r="AS83" s="13">
        <v>5040.8900000000003</v>
      </c>
      <c r="AT83" s="13">
        <v>5053.6899999999996</v>
      </c>
      <c r="AU83" s="13">
        <v>5054.2299999999996</v>
      </c>
      <c r="AV83" s="13">
        <v>5057.79</v>
      </c>
      <c r="AW83" s="13">
        <v>5057.57</v>
      </c>
      <c r="AX83" s="13">
        <v>5058.5</v>
      </c>
      <c r="AY83" s="13">
        <v>5055.1499999999996</v>
      </c>
      <c r="AZ83" s="13">
        <v>5060.84</v>
      </c>
      <c r="BA83" s="13">
        <v>5061.1000000000004</v>
      </c>
      <c r="BB83" s="13">
        <v>5064.2700000000004</v>
      </c>
      <c r="BC83" s="13">
        <v>5065.75</v>
      </c>
      <c r="BD83" s="13">
        <v>5052.76</v>
      </c>
      <c r="BE83" s="13">
        <v>5035.6400000000003</v>
      </c>
      <c r="BF83" s="13">
        <v>5035.79</v>
      </c>
      <c r="BG83" s="13">
        <v>5056.1899999999996</v>
      </c>
      <c r="BH83" s="13">
        <v>5054.24</v>
      </c>
      <c r="BI83" s="13">
        <v>5037.92</v>
      </c>
      <c r="BJ83" s="13">
        <v>5055.1400000000003</v>
      </c>
      <c r="BK83" s="13">
        <v>5054.1400000000003</v>
      </c>
      <c r="BL83" s="13">
        <v>5037.62</v>
      </c>
      <c r="BM83" s="13">
        <v>5047.91</v>
      </c>
      <c r="BN83" s="13">
        <v>5053.1400000000003</v>
      </c>
      <c r="BO83" s="13">
        <v>5056.1899999999996</v>
      </c>
      <c r="BP83" s="13">
        <v>5056.75</v>
      </c>
      <c r="BQ83" s="13">
        <v>5039.46</v>
      </c>
      <c r="BR83" s="13">
        <v>5058.67</v>
      </c>
      <c r="BS83" s="13">
        <v>5063.42</v>
      </c>
      <c r="BT83" s="13">
        <v>5057.1499999999996</v>
      </c>
      <c r="BU83" s="13">
        <v>5067.4799999999996</v>
      </c>
      <c r="BV83" s="13">
        <v>5072.18</v>
      </c>
      <c r="BW83" s="13">
        <v>5066.68</v>
      </c>
      <c r="BX83" s="13">
        <v>5071.03</v>
      </c>
      <c r="BY83" s="13">
        <v>5071.5</v>
      </c>
      <c r="BZ83" s="13">
        <v>5066.55</v>
      </c>
      <c r="CA83" s="13">
        <v>5069.03</v>
      </c>
      <c r="CB83" s="13">
        <v>5070.46</v>
      </c>
      <c r="CC83" s="13">
        <v>5069.54</v>
      </c>
      <c r="CD83" s="13">
        <v>5064.25</v>
      </c>
      <c r="CE83" s="13">
        <v>5063.93</v>
      </c>
      <c r="CF83" s="13">
        <v>5062.59</v>
      </c>
      <c r="CG83" s="13">
        <v>5060.2</v>
      </c>
      <c r="CH83" s="13">
        <v>5066.84</v>
      </c>
      <c r="CI83" s="13">
        <v>5059.22</v>
      </c>
      <c r="CJ83" s="13">
        <v>5059</v>
      </c>
      <c r="CK83" s="13">
        <v>5052.8999999999996</v>
      </c>
      <c r="CL83" s="13">
        <v>5061.3100000000004</v>
      </c>
      <c r="CM83" s="13">
        <v>5048.5600000000004</v>
      </c>
      <c r="CN83" s="13">
        <v>5059</v>
      </c>
      <c r="CO83" s="13">
        <v>5059.63</v>
      </c>
      <c r="CP83" s="13">
        <v>5057.88</v>
      </c>
      <c r="CQ83" s="13">
        <v>5049.68</v>
      </c>
      <c r="CR83" s="13">
        <v>5053.54</v>
      </c>
      <c r="CS83" s="13">
        <v>5044</v>
      </c>
      <c r="CT83" s="13">
        <v>5052.8</v>
      </c>
      <c r="CU83" s="13">
        <v>5058.5200000000004</v>
      </c>
      <c r="CV83" s="13">
        <v>5058.17</v>
      </c>
      <c r="CW83" s="13">
        <v>5058.16</v>
      </c>
      <c r="CX83" s="13">
        <v>5053</v>
      </c>
      <c r="CY83" s="13">
        <v>5076.78</v>
      </c>
      <c r="CZ83" s="13">
        <v>5078.1400000000003</v>
      </c>
      <c r="DA83" s="13">
        <v>5073.67</v>
      </c>
      <c r="DB83" s="13">
        <v>5074</v>
      </c>
      <c r="DC83" s="13">
        <v>5076.8100000000004</v>
      </c>
      <c r="DD83" s="13">
        <v>5073</v>
      </c>
      <c r="DE83" s="13">
        <v>5073.09</v>
      </c>
      <c r="DF83" s="13">
        <v>5074.32</v>
      </c>
      <c r="DG83" s="13">
        <v>5071.92</v>
      </c>
      <c r="DH83" s="13">
        <v>5075.7299999999996</v>
      </c>
      <c r="DI83" s="13">
        <v>5073.3100000000004</v>
      </c>
      <c r="DJ83" s="13">
        <v>5077.12</v>
      </c>
      <c r="DK83" s="13">
        <v>5081.33</v>
      </c>
      <c r="DL83" s="13">
        <v>5087.22</v>
      </c>
      <c r="DM83" s="32"/>
      <c r="DN83" s="33"/>
      <c r="DO83" s="32"/>
      <c r="DP83" s="33"/>
      <c r="DQ83" s="32"/>
      <c r="DR83" s="33"/>
      <c r="DS83" s="32"/>
      <c r="DT83" s="33"/>
      <c r="DU83" s="32"/>
      <c r="DV83" s="33"/>
    </row>
    <row r="84" spans="1:126" ht="15.75" x14ac:dyDescent="0.25">
      <c r="A84" s="14"/>
      <c r="B84" s="12"/>
      <c r="C84" s="13">
        <f t="shared" ref="C84:AH84" si="50">(C80+C81+C82+C83)/4</f>
        <v>5090.5</v>
      </c>
      <c r="D84" s="13">
        <f t="shared" si="50"/>
        <v>5101.1075000000001</v>
      </c>
      <c r="E84" s="13">
        <f t="shared" si="50"/>
        <v>5085.3225000000002</v>
      </c>
      <c r="F84" s="13">
        <f t="shared" si="50"/>
        <v>5082.62</v>
      </c>
      <c r="G84" s="13">
        <f t="shared" si="50"/>
        <v>5082.5174999999999</v>
      </c>
      <c r="H84" s="13">
        <f t="shared" si="50"/>
        <v>5089.8</v>
      </c>
      <c r="I84" s="13">
        <f t="shared" si="50"/>
        <v>5091.9574999999995</v>
      </c>
      <c r="J84" s="13">
        <f t="shared" si="50"/>
        <v>5095.2075000000004</v>
      </c>
      <c r="K84" s="13">
        <f t="shared" si="50"/>
        <v>5101.5024999999996</v>
      </c>
      <c r="L84" s="13">
        <f t="shared" si="50"/>
        <v>5092.9350000000004</v>
      </c>
      <c r="M84" s="13">
        <f t="shared" si="50"/>
        <v>5094.6574999999993</v>
      </c>
      <c r="N84" s="13">
        <f t="shared" si="50"/>
        <v>5087.0324999999993</v>
      </c>
      <c r="O84" s="13">
        <f t="shared" si="50"/>
        <v>5093.2599999999993</v>
      </c>
      <c r="P84" s="13">
        <f t="shared" si="50"/>
        <v>5099.0099999999993</v>
      </c>
      <c r="Q84" s="13">
        <f t="shared" si="50"/>
        <v>5103.2725</v>
      </c>
      <c r="R84" s="13">
        <f t="shared" si="50"/>
        <v>5104.91</v>
      </c>
      <c r="S84" s="13">
        <f t="shared" si="50"/>
        <v>5103.9475000000002</v>
      </c>
      <c r="T84" s="13">
        <f t="shared" si="50"/>
        <v>5103.3249999999998</v>
      </c>
      <c r="U84" s="13">
        <f t="shared" si="50"/>
        <v>5106.16</v>
      </c>
      <c r="V84" s="13">
        <f t="shared" si="50"/>
        <v>5104.6675000000005</v>
      </c>
      <c r="W84" s="13">
        <f t="shared" si="50"/>
        <v>5101.7624999999998</v>
      </c>
      <c r="X84" s="13">
        <f t="shared" si="50"/>
        <v>5092.2550000000001</v>
      </c>
      <c r="Y84" s="13">
        <f t="shared" si="50"/>
        <v>5090.7800000000007</v>
      </c>
      <c r="Z84" s="13">
        <f t="shared" si="50"/>
        <v>5094.9475000000002</v>
      </c>
      <c r="AA84" s="13">
        <f t="shared" si="50"/>
        <v>5094.34</v>
      </c>
      <c r="AB84" s="13">
        <f t="shared" si="50"/>
        <v>5094.0074999999997</v>
      </c>
      <c r="AC84" s="13">
        <f t="shared" si="50"/>
        <v>5091.3425000000007</v>
      </c>
      <c r="AD84" s="13">
        <f t="shared" si="50"/>
        <v>5095.0225</v>
      </c>
      <c r="AE84" s="13">
        <f t="shared" si="50"/>
        <v>5097.25</v>
      </c>
      <c r="AF84" s="13">
        <f t="shared" si="50"/>
        <v>5105.72</v>
      </c>
      <c r="AG84" s="13">
        <f t="shared" si="50"/>
        <v>5097.9324999999999</v>
      </c>
      <c r="AH84" s="13">
        <f t="shared" si="50"/>
        <v>5096.82</v>
      </c>
      <c r="AI84" s="13">
        <f t="shared" ref="AI84:BN84" si="51">(AI80+AI81+AI82+AI83)/4</f>
        <v>5095.53</v>
      </c>
      <c r="AJ84" s="13">
        <f t="shared" si="51"/>
        <v>5088.4849999999997</v>
      </c>
      <c r="AK84" s="13">
        <f t="shared" si="51"/>
        <v>5091.5925000000007</v>
      </c>
      <c r="AL84" s="13">
        <f t="shared" si="51"/>
        <v>5096.1324999999997</v>
      </c>
      <c r="AM84" s="13">
        <f t="shared" si="51"/>
        <v>5094.0475000000006</v>
      </c>
      <c r="AN84" s="13">
        <f t="shared" si="51"/>
        <v>5089.7624999999998</v>
      </c>
      <c r="AO84" s="13">
        <f t="shared" si="51"/>
        <v>5080.9199999999992</v>
      </c>
      <c r="AP84" s="13">
        <f t="shared" si="51"/>
        <v>5072.4549999999999</v>
      </c>
      <c r="AQ84" s="13">
        <f t="shared" si="51"/>
        <v>5072.5124999999998</v>
      </c>
      <c r="AR84" s="13">
        <f t="shared" si="51"/>
        <v>5080.915</v>
      </c>
      <c r="AS84" s="13">
        <f t="shared" si="51"/>
        <v>5084.4624999999996</v>
      </c>
      <c r="AT84" s="13">
        <f t="shared" si="51"/>
        <v>5084.4375</v>
      </c>
      <c r="AU84" s="13">
        <f t="shared" si="51"/>
        <v>5091.085</v>
      </c>
      <c r="AV84" s="13">
        <f t="shared" si="51"/>
        <v>5093.7300000000005</v>
      </c>
      <c r="AW84" s="13">
        <f t="shared" si="51"/>
        <v>5090.4124999999995</v>
      </c>
      <c r="AX84" s="13">
        <f t="shared" si="51"/>
        <v>5092</v>
      </c>
      <c r="AY84" s="13">
        <f t="shared" si="51"/>
        <v>5090.9650000000001</v>
      </c>
      <c r="AZ84" s="13">
        <f t="shared" si="51"/>
        <v>5089.4975000000004</v>
      </c>
      <c r="BA84" s="13">
        <f t="shared" si="51"/>
        <v>5086.7625000000007</v>
      </c>
      <c r="BB84" s="13">
        <f t="shared" si="51"/>
        <v>5093.34</v>
      </c>
      <c r="BC84" s="13">
        <f t="shared" si="51"/>
        <v>5090.1075000000001</v>
      </c>
      <c r="BD84" s="13">
        <f t="shared" si="51"/>
        <v>5080.7425000000003</v>
      </c>
      <c r="BE84" s="13">
        <f t="shared" si="51"/>
        <v>5078.3499999999995</v>
      </c>
      <c r="BF84" s="13">
        <f t="shared" si="51"/>
        <v>5083.4825000000001</v>
      </c>
      <c r="BG84" s="13">
        <f t="shared" si="51"/>
        <v>5084.4624999999996</v>
      </c>
      <c r="BH84" s="13">
        <f t="shared" si="51"/>
        <v>5084.2800000000007</v>
      </c>
      <c r="BI84" s="13">
        <f t="shared" si="51"/>
        <v>5081.0349999999999</v>
      </c>
      <c r="BJ84" s="13">
        <f t="shared" si="51"/>
        <v>5086.4849999999997</v>
      </c>
      <c r="BK84" s="13">
        <f t="shared" si="51"/>
        <v>5079.92</v>
      </c>
      <c r="BL84" s="13">
        <f t="shared" si="51"/>
        <v>5078.4825000000001</v>
      </c>
      <c r="BM84" s="13">
        <f t="shared" si="51"/>
        <v>5080.1049999999996</v>
      </c>
      <c r="BN84" s="13">
        <f t="shared" si="51"/>
        <v>5084.1449999999995</v>
      </c>
      <c r="BO84" s="13">
        <f t="shared" ref="BO84:CT84" si="52">(BO80+BO81+BO82+BO83)/4</f>
        <v>5084.7699999999995</v>
      </c>
      <c r="BP84" s="13">
        <f t="shared" si="52"/>
        <v>5085.7374999999993</v>
      </c>
      <c r="BQ84" s="13">
        <f t="shared" si="52"/>
        <v>5079.5275000000001</v>
      </c>
      <c r="BR84" s="13">
        <f t="shared" si="52"/>
        <v>5087.8449999999993</v>
      </c>
      <c r="BS84" s="13">
        <f t="shared" si="52"/>
        <v>5086.7299999999996</v>
      </c>
      <c r="BT84" s="13">
        <f t="shared" si="52"/>
        <v>5086.1849999999995</v>
      </c>
      <c r="BU84" s="13">
        <f t="shared" si="52"/>
        <v>5092.0749999999998</v>
      </c>
      <c r="BV84" s="13">
        <f t="shared" si="52"/>
        <v>5095.3</v>
      </c>
      <c r="BW84" s="13">
        <f t="shared" si="52"/>
        <v>5093.3225000000002</v>
      </c>
      <c r="BX84" s="13">
        <f t="shared" si="52"/>
        <v>5094.5300000000007</v>
      </c>
      <c r="BY84" s="13">
        <f t="shared" si="52"/>
        <v>5096.3975</v>
      </c>
      <c r="BZ84" s="13">
        <f t="shared" si="52"/>
        <v>5092.4299999999994</v>
      </c>
      <c r="CA84" s="13">
        <f t="shared" si="52"/>
        <v>5102.67</v>
      </c>
      <c r="CB84" s="13">
        <f t="shared" si="52"/>
        <v>5101.62</v>
      </c>
      <c r="CC84" s="13">
        <f t="shared" si="52"/>
        <v>5102.28</v>
      </c>
      <c r="CD84" s="13">
        <f t="shared" si="52"/>
        <v>5099.0074999999997</v>
      </c>
      <c r="CE84" s="13">
        <f t="shared" si="52"/>
        <v>5097.5874999999996</v>
      </c>
      <c r="CF84" s="13">
        <f t="shared" si="52"/>
        <v>5090.7925000000005</v>
      </c>
      <c r="CG84" s="13">
        <f t="shared" si="52"/>
        <v>5098.1400000000003</v>
      </c>
      <c r="CH84" s="13">
        <f t="shared" si="52"/>
        <v>5095.1975000000002</v>
      </c>
      <c r="CI84" s="13">
        <f t="shared" si="52"/>
        <v>5083.8825000000006</v>
      </c>
      <c r="CJ84" s="13">
        <f t="shared" si="52"/>
        <v>5083.3600000000006</v>
      </c>
      <c r="CK84" s="13">
        <f t="shared" si="52"/>
        <v>5082.4074999999993</v>
      </c>
      <c r="CL84" s="13">
        <f t="shared" si="52"/>
        <v>5084.6575000000003</v>
      </c>
      <c r="CM84" s="13">
        <f t="shared" si="52"/>
        <v>5079.7449999999999</v>
      </c>
      <c r="CN84" s="13">
        <f t="shared" si="52"/>
        <v>5085.17</v>
      </c>
      <c r="CO84" s="13">
        <f t="shared" si="52"/>
        <v>5082.8100000000004</v>
      </c>
      <c r="CP84" s="13">
        <f t="shared" si="52"/>
        <v>5081.2075000000004</v>
      </c>
      <c r="CQ84" s="13">
        <f t="shared" si="52"/>
        <v>5078.2875000000004</v>
      </c>
      <c r="CR84" s="13">
        <f t="shared" si="52"/>
        <v>5081.1374999999998</v>
      </c>
      <c r="CS84" s="13">
        <f t="shared" si="52"/>
        <v>5080.0550000000003</v>
      </c>
      <c r="CT84" s="13">
        <f t="shared" si="52"/>
        <v>5081.3424999999997</v>
      </c>
      <c r="CU84" s="13">
        <f t="shared" ref="CU84:DL84" si="53">(CU80+CU81+CU82+CU83)/4</f>
        <v>5083.5950000000003</v>
      </c>
      <c r="CV84" s="13">
        <f t="shared" si="53"/>
        <v>5082.5049999999992</v>
      </c>
      <c r="CW84" s="13">
        <f t="shared" si="53"/>
        <v>5085.7375000000002</v>
      </c>
      <c r="CX84" s="13">
        <f t="shared" si="53"/>
        <v>5085.1975000000002</v>
      </c>
      <c r="CY84" s="13">
        <f t="shared" si="53"/>
        <v>5093.2049999999999</v>
      </c>
      <c r="CZ84" s="13">
        <f t="shared" si="53"/>
        <v>5099.6274999999996</v>
      </c>
      <c r="DA84" s="13">
        <f t="shared" si="53"/>
        <v>5095.0475000000006</v>
      </c>
      <c r="DB84" s="13">
        <f t="shared" si="53"/>
        <v>5098.4049999999997</v>
      </c>
      <c r="DC84" s="13">
        <f t="shared" si="53"/>
        <v>5095.9949999999999</v>
      </c>
      <c r="DD84" s="13">
        <f t="shared" si="53"/>
        <v>5091.1549999999997</v>
      </c>
      <c r="DE84" s="13">
        <f t="shared" si="53"/>
        <v>5094.25</v>
      </c>
      <c r="DF84" s="13">
        <f t="shared" si="53"/>
        <v>5090.3575000000001</v>
      </c>
      <c r="DG84" s="13">
        <f t="shared" si="53"/>
        <v>5090.8875000000007</v>
      </c>
      <c r="DH84" s="13">
        <f t="shared" si="53"/>
        <v>5099.1224999999995</v>
      </c>
      <c r="DI84" s="13">
        <f t="shared" si="53"/>
        <v>5100.7525000000005</v>
      </c>
      <c r="DJ84" s="13">
        <f t="shared" si="53"/>
        <v>5112.4074999999993</v>
      </c>
      <c r="DK84" s="13">
        <f t="shared" si="53"/>
        <v>5106.0974999999999</v>
      </c>
      <c r="DL84" s="13">
        <f t="shared" si="53"/>
        <v>5105.6200000000008</v>
      </c>
      <c r="DM84" s="26"/>
      <c r="DN84" s="25"/>
      <c r="DO84" s="27"/>
      <c r="DP84" s="25"/>
      <c r="DQ84" s="27"/>
      <c r="DR84" s="25"/>
      <c r="DS84" s="27"/>
      <c r="DT84" s="25"/>
    </row>
    <row r="85" spans="1:126" ht="15.75" x14ac:dyDescent="0.25">
      <c r="A85" s="11" t="s">
        <v>5</v>
      </c>
      <c r="B85" s="11" t="s">
        <v>11</v>
      </c>
      <c r="C85" s="15">
        <v>0.375</v>
      </c>
      <c r="D85" s="15">
        <v>0.37847222222222227</v>
      </c>
      <c r="E85" s="15">
        <v>0.38194444444444442</v>
      </c>
      <c r="F85" s="15">
        <v>0.38541666666666669</v>
      </c>
      <c r="G85" s="15">
        <v>0.3888888888888889</v>
      </c>
      <c r="H85" s="15">
        <v>0.3923611111111111</v>
      </c>
      <c r="I85" s="15">
        <v>0.39583333333333331</v>
      </c>
      <c r="J85" s="15">
        <v>0.39930555555555558</v>
      </c>
      <c r="K85" s="15">
        <v>0.40277777777777773</v>
      </c>
      <c r="L85" s="15">
        <v>0.40625</v>
      </c>
      <c r="M85" s="15">
        <v>0.40972222222222227</v>
      </c>
      <c r="N85" s="15">
        <v>0.41319444444444442</v>
      </c>
      <c r="O85" s="15">
        <v>0.41666666666666669</v>
      </c>
      <c r="P85" s="15">
        <v>0.4201388888888889</v>
      </c>
      <c r="Q85" s="15">
        <v>0.4236111111111111</v>
      </c>
      <c r="R85" s="15">
        <v>0.42708333333333331</v>
      </c>
      <c r="S85" s="15">
        <v>0.43055555555555558</v>
      </c>
      <c r="T85" s="15">
        <v>0.43402777777777773</v>
      </c>
      <c r="U85" s="15">
        <v>0.4375</v>
      </c>
      <c r="V85" s="15">
        <v>0.44097222222222227</v>
      </c>
      <c r="W85" s="15">
        <v>0.44444444444444442</v>
      </c>
      <c r="X85" s="15">
        <v>0.44791666666666669</v>
      </c>
      <c r="Y85" s="15">
        <v>0.4513888888888889</v>
      </c>
      <c r="Z85" s="15">
        <v>0.4548611111111111</v>
      </c>
      <c r="AA85" s="15">
        <v>0.45833333333333331</v>
      </c>
      <c r="AB85" s="15">
        <v>0.46180555555555558</v>
      </c>
      <c r="AC85" s="15">
        <v>0.46527777777777773</v>
      </c>
      <c r="AD85" s="15">
        <v>0.46875</v>
      </c>
      <c r="AE85" s="15">
        <v>0.47222222222222227</v>
      </c>
      <c r="AF85" s="15">
        <v>0.47569444444444442</v>
      </c>
      <c r="AG85" s="15">
        <v>0.47916666666666669</v>
      </c>
      <c r="AH85" s="15">
        <v>0.4826388888888889</v>
      </c>
      <c r="AI85" s="15">
        <v>0.4861111111111111</v>
      </c>
      <c r="AJ85" s="15">
        <v>0.48958333333333331</v>
      </c>
      <c r="AK85" s="15">
        <v>0.49305555555555558</v>
      </c>
      <c r="AL85" s="15">
        <v>0.49652777777777773</v>
      </c>
      <c r="AM85" s="15">
        <v>0.5</v>
      </c>
      <c r="AN85" s="15">
        <v>0.50347222222222221</v>
      </c>
      <c r="AO85" s="15">
        <v>0.50694444444444442</v>
      </c>
      <c r="AP85" s="15">
        <v>0.51041666666666663</v>
      </c>
      <c r="AQ85" s="15">
        <v>0.51388888888888895</v>
      </c>
      <c r="AR85" s="15">
        <v>0.51736111111111105</v>
      </c>
      <c r="AS85" s="15">
        <v>0.52083333333333337</v>
      </c>
      <c r="AT85" s="15">
        <v>0.52430555555555558</v>
      </c>
      <c r="AU85" s="15">
        <v>0.52777777777777779</v>
      </c>
      <c r="AV85" s="15">
        <v>0.53125</v>
      </c>
      <c r="AW85" s="15">
        <v>0.53472222222222221</v>
      </c>
      <c r="AX85" s="15">
        <v>0.53819444444444442</v>
      </c>
      <c r="AY85" s="15">
        <v>0.54166666666666663</v>
      </c>
      <c r="AZ85" s="15">
        <v>0.54513888888888895</v>
      </c>
      <c r="BA85" s="15">
        <v>0.54861111111111105</v>
      </c>
      <c r="BB85" s="15">
        <v>0.55208333333333337</v>
      </c>
      <c r="BC85" s="15">
        <v>0.55555555555555558</v>
      </c>
      <c r="BD85" s="15">
        <v>0.55902777777777779</v>
      </c>
      <c r="BE85" s="15">
        <v>0.5625</v>
      </c>
      <c r="BF85" s="15">
        <v>0.56597222222222221</v>
      </c>
      <c r="BG85" s="15">
        <v>0.56944444444444442</v>
      </c>
      <c r="BH85" s="15">
        <v>0.57291666666666663</v>
      </c>
      <c r="BI85" s="15">
        <v>0.57638888888888895</v>
      </c>
      <c r="BJ85" s="15">
        <v>0.57986111111111105</v>
      </c>
      <c r="BK85" s="15">
        <v>0.58333333333333337</v>
      </c>
      <c r="BL85" s="15">
        <v>0.58680555555555558</v>
      </c>
      <c r="BM85" s="15">
        <v>0.59027777777777779</v>
      </c>
      <c r="BN85" s="15">
        <v>0.59375</v>
      </c>
      <c r="BO85" s="15">
        <v>0.59722222222222221</v>
      </c>
      <c r="BP85" s="15">
        <v>0.60069444444444442</v>
      </c>
      <c r="BQ85" s="15">
        <v>0.60416666666666663</v>
      </c>
      <c r="BR85" s="15">
        <v>0.60763888888888895</v>
      </c>
      <c r="BS85" s="15">
        <v>0.61111111111111105</v>
      </c>
      <c r="BT85" s="15">
        <v>0.61458333333333337</v>
      </c>
      <c r="BU85" s="15">
        <v>0.61805555555555558</v>
      </c>
      <c r="BV85" s="15">
        <v>0.62152777777777779</v>
      </c>
      <c r="BW85" s="15">
        <v>0.625</v>
      </c>
      <c r="BX85" s="15">
        <v>0.62847222222222221</v>
      </c>
      <c r="BY85" s="15">
        <v>0.63194444444444442</v>
      </c>
      <c r="BZ85" s="15">
        <v>0.63541666666666663</v>
      </c>
      <c r="CA85" s="15">
        <v>0.63888888888888895</v>
      </c>
      <c r="CB85" s="15">
        <v>0.64236111111111105</v>
      </c>
      <c r="CC85" s="15">
        <v>0.64583333333333337</v>
      </c>
      <c r="CD85" s="15">
        <v>0.64930555555555558</v>
      </c>
      <c r="CE85" s="15">
        <v>0.65277777777777779</v>
      </c>
      <c r="CF85" s="15">
        <v>0.65625</v>
      </c>
      <c r="CG85" s="15">
        <v>0.65972222222222221</v>
      </c>
      <c r="CH85" s="15">
        <v>0.66319444444444442</v>
      </c>
      <c r="CI85" s="15">
        <v>0.66666666666666663</v>
      </c>
      <c r="CJ85" s="15">
        <v>0.67013888888888884</v>
      </c>
      <c r="CK85" s="15">
        <v>0.67361111111111116</v>
      </c>
      <c r="CL85" s="15">
        <v>0.67708333333333337</v>
      </c>
      <c r="CM85" s="15">
        <v>0.68055555555555547</v>
      </c>
      <c r="CN85" s="15">
        <v>0.68402777777777779</v>
      </c>
      <c r="CO85" s="15">
        <v>0.6875</v>
      </c>
      <c r="CP85" s="15">
        <v>0.69097222222222221</v>
      </c>
      <c r="CQ85" s="15">
        <v>0.69444444444444453</v>
      </c>
      <c r="CR85" s="15">
        <v>0.69791666666666663</v>
      </c>
      <c r="CS85" s="15">
        <v>0.70138888888888884</v>
      </c>
      <c r="CT85" s="15">
        <v>0.70486111111111116</v>
      </c>
      <c r="CU85" s="15">
        <v>0.70833333333333337</v>
      </c>
      <c r="CV85" s="15">
        <v>0.71180555555555547</v>
      </c>
      <c r="CW85" s="15">
        <v>0.71527777777777779</v>
      </c>
      <c r="CX85" s="15">
        <v>0.71875</v>
      </c>
      <c r="CY85" s="15">
        <v>0.72222222222222221</v>
      </c>
      <c r="CZ85" s="15">
        <v>0.72569444444444453</v>
      </c>
      <c r="DA85" s="15">
        <v>0.72916666666666663</v>
      </c>
      <c r="DB85" s="15">
        <v>0.73263888888888884</v>
      </c>
      <c r="DC85" s="15">
        <v>0.73611111111111116</v>
      </c>
      <c r="DD85" s="15">
        <v>0.73958333333333337</v>
      </c>
      <c r="DE85" s="15">
        <v>0.74305555555555547</v>
      </c>
      <c r="DF85" s="15">
        <v>0.74652777777777779</v>
      </c>
      <c r="DG85" s="15">
        <v>0.75</v>
      </c>
      <c r="DH85" s="15">
        <v>0.75347222222222221</v>
      </c>
      <c r="DI85" s="15">
        <v>0.75694444444444453</v>
      </c>
      <c r="DJ85" s="15">
        <v>0.76041666666666663</v>
      </c>
      <c r="DK85" s="15">
        <v>0.76388888888888884</v>
      </c>
      <c r="DL85" s="15">
        <v>0.76736111111111116</v>
      </c>
      <c r="DM85" s="23">
        <v>44365</v>
      </c>
    </row>
    <row r="86" spans="1:126" ht="15.75" x14ac:dyDescent="0.25">
      <c r="A86" s="14">
        <v>44186</v>
      </c>
      <c r="B86" s="12" t="s">
        <v>6</v>
      </c>
      <c r="C86" s="13">
        <v>5164</v>
      </c>
      <c r="D86" s="13">
        <v>5222.33</v>
      </c>
      <c r="E86" s="13">
        <v>5222.2299999999996</v>
      </c>
      <c r="F86" s="13">
        <v>5229.6000000000004</v>
      </c>
      <c r="G86" s="13">
        <v>5229.45</v>
      </c>
      <c r="H86" s="13">
        <v>5225.5</v>
      </c>
      <c r="I86" s="13">
        <v>5227.82</v>
      </c>
      <c r="J86" s="13">
        <v>5231.8500000000004</v>
      </c>
      <c r="K86" s="13">
        <v>5235.12</v>
      </c>
      <c r="L86" s="13">
        <v>5224.66</v>
      </c>
      <c r="M86" s="13">
        <v>5217.78</v>
      </c>
      <c r="N86" s="13">
        <v>5217.07</v>
      </c>
      <c r="O86" s="13">
        <v>5215.5</v>
      </c>
      <c r="P86" s="13">
        <v>5213.8999999999996</v>
      </c>
      <c r="Q86" s="13">
        <v>5216.7700000000004</v>
      </c>
      <c r="R86" s="13">
        <v>5215.03</v>
      </c>
      <c r="S86" s="13">
        <v>5221.8500000000004</v>
      </c>
      <c r="T86" s="13">
        <v>5219.03</v>
      </c>
      <c r="U86" s="13">
        <v>5221.92</v>
      </c>
      <c r="V86" s="13">
        <v>5225.68</v>
      </c>
      <c r="W86" s="13">
        <v>5225.68</v>
      </c>
      <c r="X86" s="13">
        <v>5209.3900000000003</v>
      </c>
      <c r="Y86" s="13">
        <v>5214.49</v>
      </c>
      <c r="Z86" s="13">
        <v>5214.08</v>
      </c>
      <c r="AA86" s="13">
        <v>5218.41</v>
      </c>
      <c r="AB86" s="13">
        <v>5206.51</v>
      </c>
      <c r="AC86" s="13">
        <v>5197.88</v>
      </c>
      <c r="AD86" s="13">
        <v>5197.34</v>
      </c>
      <c r="AE86" s="13">
        <v>5201.95</v>
      </c>
      <c r="AF86" s="13">
        <v>5196.05</v>
      </c>
      <c r="AG86" s="13">
        <v>5206.9399999999996</v>
      </c>
      <c r="AH86" s="13">
        <v>5208.53</v>
      </c>
      <c r="AI86" s="13">
        <v>5197.25</v>
      </c>
      <c r="AJ86" s="13">
        <v>5189.96</v>
      </c>
      <c r="AK86" s="13">
        <v>5205.66</v>
      </c>
      <c r="AL86" s="13">
        <v>5203.3100000000004</v>
      </c>
      <c r="AM86" s="13">
        <v>5196.76</v>
      </c>
      <c r="AN86" s="13">
        <v>5190.18</v>
      </c>
      <c r="AO86" s="13">
        <v>5190.88</v>
      </c>
      <c r="AP86" s="13">
        <v>5190.21</v>
      </c>
      <c r="AQ86" s="13">
        <v>5186.1499999999996</v>
      </c>
      <c r="AR86" s="13">
        <v>5186.6899999999996</v>
      </c>
      <c r="AS86" s="13">
        <v>5184.92</v>
      </c>
      <c r="AT86" s="13">
        <v>5184.7</v>
      </c>
      <c r="AU86" s="13">
        <v>5184.05</v>
      </c>
      <c r="AV86" s="13">
        <v>5182.58</v>
      </c>
      <c r="AW86" s="13">
        <v>5196.45</v>
      </c>
      <c r="AX86" s="13">
        <v>5189.88</v>
      </c>
      <c r="AY86" s="13">
        <v>5187.24</v>
      </c>
      <c r="AZ86" s="13">
        <v>5186.5</v>
      </c>
      <c r="BA86" s="13">
        <v>5184.55</v>
      </c>
      <c r="BB86" s="13">
        <v>5183.4799999999996</v>
      </c>
      <c r="BC86" s="13">
        <v>5180.2299999999996</v>
      </c>
      <c r="BD86" s="13">
        <v>5180.7</v>
      </c>
      <c r="BE86" s="13">
        <v>5189.68</v>
      </c>
      <c r="BF86" s="13">
        <v>5183.41</v>
      </c>
      <c r="BG86" s="13">
        <v>5175.75</v>
      </c>
      <c r="BH86" s="13">
        <v>5175.1899999999996</v>
      </c>
      <c r="BI86" s="13">
        <v>5179.29</v>
      </c>
      <c r="BJ86" s="13">
        <v>5173.1000000000004</v>
      </c>
      <c r="BK86" s="13">
        <v>5175.53</v>
      </c>
      <c r="BL86" s="13">
        <v>5177.5200000000004</v>
      </c>
      <c r="BM86" s="13">
        <v>5171.2299999999996</v>
      </c>
      <c r="BN86" s="13">
        <v>5185.6000000000004</v>
      </c>
      <c r="BO86" s="13">
        <v>5173.5200000000004</v>
      </c>
      <c r="BP86" s="13">
        <v>5174.9799999999996</v>
      </c>
      <c r="BQ86" s="13">
        <v>5171.78</v>
      </c>
      <c r="BR86" s="13">
        <v>5173.68</v>
      </c>
      <c r="BS86" s="13">
        <v>5176.5200000000004</v>
      </c>
      <c r="BT86" s="13">
        <v>5184.57</v>
      </c>
      <c r="BU86" s="13">
        <v>5183.57</v>
      </c>
      <c r="BV86" s="13">
        <v>5179.3500000000004</v>
      </c>
      <c r="BW86" s="13">
        <v>5173.04</v>
      </c>
      <c r="BX86" s="13">
        <v>5178</v>
      </c>
      <c r="BY86" s="13">
        <v>5189.87</v>
      </c>
      <c r="BZ86" s="13">
        <v>5190.1499999999996</v>
      </c>
      <c r="CA86" s="13">
        <v>5182.82</v>
      </c>
      <c r="CB86" s="13">
        <v>5185.09</v>
      </c>
      <c r="CC86" s="13">
        <v>5188.5</v>
      </c>
      <c r="CD86" s="13">
        <v>5182.04</v>
      </c>
      <c r="CE86" s="13">
        <v>5180.8900000000003</v>
      </c>
      <c r="CF86" s="13">
        <v>5185.28</v>
      </c>
      <c r="CG86" s="13">
        <v>5185.28</v>
      </c>
      <c r="CH86" s="13">
        <v>5164.4399999999996</v>
      </c>
      <c r="CI86" s="13">
        <v>5167.1099999999997</v>
      </c>
      <c r="CJ86" s="13">
        <v>5166.6899999999996</v>
      </c>
      <c r="CK86" s="13">
        <v>5178.04</v>
      </c>
      <c r="CL86" s="13">
        <v>5178.37</v>
      </c>
      <c r="CM86" s="13">
        <v>5179.45</v>
      </c>
      <c r="CN86" s="13">
        <v>5186.3100000000004</v>
      </c>
      <c r="CO86" s="13">
        <v>5184.03</v>
      </c>
      <c r="CP86" s="13">
        <v>5175.59</v>
      </c>
      <c r="CQ86" s="13">
        <v>5169.3599999999997</v>
      </c>
      <c r="CR86" s="13">
        <v>5174.97</v>
      </c>
      <c r="CS86" s="13">
        <v>5172.4399999999996</v>
      </c>
      <c r="CT86" s="13">
        <v>5181.84</v>
      </c>
      <c r="CU86" s="13">
        <v>5198.2700000000004</v>
      </c>
      <c r="CV86" s="13">
        <v>5170.3500000000004</v>
      </c>
      <c r="CW86" s="13">
        <v>5181.1899999999996</v>
      </c>
      <c r="CX86" s="13">
        <v>5180.07</v>
      </c>
      <c r="CY86" s="13">
        <v>5180.07</v>
      </c>
      <c r="CZ86" s="13">
        <v>5187.21</v>
      </c>
      <c r="DA86" s="13">
        <v>5188.8599999999997</v>
      </c>
      <c r="DB86" s="13">
        <v>5188.8599999999997</v>
      </c>
      <c r="DC86" s="13">
        <v>5189.51</v>
      </c>
      <c r="DD86" s="13">
        <v>5178.18</v>
      </c>
      <c r="DE86" s="13">
        <v>5180.24</v>
      </c>
      <c r="DF86" s="13">
        <v>5179.92</v>
      </c>
      <c r="DG86" s="13">
        <v>5171.8</v>
      </c>
      <c r="DH86" s="13">
        <v>5176.2700000000004</v>
      </c>
      <c r="DI86" s="13">
        <v>5176.67</v>
      </c>
      <c r="DJ86" s="13">
        <v>5178.34</v>
      </c>
      <c r="DK86" s="13">
        <v>5164.7700000000004</v>
      </c>
      <c r="DL86" s="13">
        <v>5169.2</v>
      </c>
      <c r="DM86" s="32"/>
      <c r="DN86" s="33"/>
      <c r="DO86" s="32"/>
      <c r="DP86" s="33"/>
      <c r="DQ86" s="32"/>
      <c r="DR86" s="33"/>
      <c r="DS86" s="32"/>
      <c r="DT86" s="33"/>
      <c r="DU86" s="32"/>
      <c r="DV86" s="33"/>
    </row>
    <row r="87" spans="1:126" ht="15.75" x14ac:dyDescent="0.25">
      <c r="A87" s="14" t="s">
        <v>12</v>
      </c>
      <c r="B87" s="12" t="s">
        <v>10</v>
      </c>
      <c r="C87" s="13">
        <v>5164</v>
      </c>
      <c r="D87" s="13">
        <v>5214.67</v>
      </c>
      <c r="E87" s="13">
        <v>5221.95</v>
      </c>
      <c r="F87" s="13">
        <v>5226.1000000000004</v>
      </c>
      <c r="G87" s="13">
        <v>5222.07</v>
      </c>
      <c r="H87" s="13">
        <v>5222.49</v>
      </c>
      <c r="I87" s="13">
        <v>5217.08</v>
      </c>
      <c r="J87" s="13">
        <v>5230.1499999999996</v>
      </c>
      <c r="K87" s="13">
        <v>5225.7700000000004</v>
      </c>
      <c r="L87" s="13">
        <v>5219.1899999999996</v>
      </c>
      <c r="M87" s="13">
        <v>5212.41</v>
      </c>
      <c r="N87" s="13">
        <v>5217.07</v>
      </c>
      <c r="O87" s="13">
        <v>5203.03</v>
      </c>
      <c r="P87" s="13">
        <v>5206.88</v>
      </c>
      <c r="Q87" s="13">
        <v>5216.7700000000004</v>
      </c>
      <c r="R87" s="13">
        <v>5210.88</v>
      </c>
      <c r="S87" s="13">
        <v>5219.49</v>
      </c>
      <c r="T87" s="13">
        <v>5211.8100000000004</v>
      </c>
      <c r="U87" s="13">
        <v>5212.71</v>
      </c>
      <c r="V87" s="13">
        <v>5207.71</v>
      </c>
      <c r="W87" s="13">
        <v>5203.79</v>
      </c>
      <c r="X87" s="13">
        <v>5209.3900000000003</v>
      </c>
      <c r="Y87" s="13">
        <v>5208.5</v>
      </c>
      <c r="Z87" s="13">
        <v>5209.1099999999997</v>
      </c>
      <c r="AA87" s="13">
        <v>5206.62</v>
      </c>
      <c r="AB87" s="13">
        <v>5196.05</v>
      </c>
      <c r="AC87" s="13">
        <v>5185.5200000000004</v>
      </c>
      <c r="AD87" s="13">
        <v>5188.6000000000004</v>
      </c>
      <c r="AE87" s="13">
        <v>5187.1899999999996</v>
      </c>
      <c r="AF87" s="13">
        <v>5190.76</v>
      </c>
      <c r="AG87" s="13">
        <v>5199.83</v>
      </c>
      <c r="AH87" s="13">
        <v>5194.16</v>
      </c>
      <c r="AI87" s="13">
        <v>5190.09</v>
      </c>
      <c r="AJ87" s="13">
        <v>5189.84</v>
      </c>
      <c r="AK87" s="13">
        <v>5203.3900000000003</v>
      </c>
      <c r="AL87" s="13">
        <v>5193.59</v>
      </c>
      <c r="AM87" s="13">
        <v>5183.7</v>
      </c>
      <c r="AN87" s="13">
        <v>5188</v>
      </c>
      <c r="AO87" s="13">
        <v>5189.63</v>
      </c>
      <c r="AP87" s="13">
        <v>5181.95</v>
      </c>
      <c r="AQ87" s="13">
        <v>5184.92</v>
      </c>
      <c r="AR87" s="13">
        <v>5179.87</v>
      </c>
      <c r="AS87" s="13">
        <v>5180.29</v>
      </c>
      <c r="AT87" s="13">
        <v>5183.84</v>
      </c>
      <c r="AU87" s="13">
        <v>5178.91</v>
      </c>
      <c r="AV87" s="13">
        <v>5181.4399999999996</v>
      </c>
      <c r="AW87" s="13">
        <v>5185.04</v>
      </c>
      <c r="AX87" s="13">
        <v>5180.3599999999997</v>
      </c>
      <c r="AY87" s="13">
        <v>5180.72</v>
      </c>
      <c r="AZ87" s="13">
        <v>5179.8100000000004</v>
      </c>
      <c r="BA87" s="13">
        <v>5179.66</v>
      </c>
      <c r="BB87" s="13">
        <v>5179.08</v>
      </c>
      <c r="BC87" s="13">
        <v>5173</v>
      </c>
      <c r="BD87" s="13">
        <v>5180.7</v>
      </c>
      <c r="BE87" s="13">
        <v>5182.91</v>
      </c>
      <c r="BF87" s="13">
        <v>5175.47</v>
      </c>
      <c r="BG87" s="13">
        <v>5172.9399999999996</v>
      </c>
      <c r="BH87" s="13">
        <v>5173.63</v>
      </c>
      <c r="BI87" s="13">
        <v>5167.8100000000004</v>
      </c>
      <c r="BJ87" s="13">
        <v>5165.5600000000004</v>
      </c>
      <c r="BK87" s="13">
        <v>5169.8100000000004</v>
      </c>
      <c r="BL87" s="13">
        <v>5164.8500000000004</v>
      </c>
      <c r="BM87" s="13">
        <v>5168.88</v>
      </c>
      <c r="BN87" s="13">
        <v>5171.1000000000004</v>
      </c>
      <c r="BO87" s="13">
        <v>5172.2</v>
      </c>
      <c r="BP87" s="13">
        <v>5170.57</v>
      </c>
      <c r="BQ87" s="13">
        <v>5168.71</v>
      </c>
      <c r="BR87" s="13">
        <v>5160.7299999999996</v>
      </c>
      <c r="BS87" s="13">
        <v>5176.5200000000004</v>
      </c>
      <c r="BT87" s="13">
        <v>5176.9799999999996</v>
      </c>
      <c r="BU87" s="13">
        <v>5173.53</v>
      </c>
      <c r="BV87" s="13">
        <v>5173.16</v>
      </c>
      <c r="BW87" s="13">
        <v>5173.04</v>
      </c>
      <c r="BX87" s="13">
        <v>5173.97</v>
      </c>
      <c r="BY87" s="13">
        <v>5182.82</v>
      </c>
      <c r="BZ87" s="13">
        <v>5177.1499999999996</v>
      </c>
      <c r="CA87" s="13">
        <v>5180.49</v>
      </c>
      <c r="CB87" s="13">
        <v>5174.91</v>
      </c>
      <c r="CC87" s="13">
        <v>5188.5</v>
      </c>
      <c r="CD87" s="13">
        <v>5174.55</v>
      </c>
      <c r="CE87" s="13">
        <v>5178.18</v>
      </c>
      <c r="CF87" s="13">
        <v>5185.28</v>
      </c>
      <c r="CG87" s="13">
        <v>5161.07</v>
      </c>
      <c r="CH87" s="13">
        <v>5158.47</v>
      </c>
      <c r="CI87" s="13">
        <v>5158.3599999999997</v>
      </c>
      <c r="CJ87" s="13">
        <v>5158.21</v>
      </c>
      <c r="CK87" s="13">
        <v>5164.75</v>
      </c>
      <c r="CL87" s="13">
        <v>5176.22</v>
      </c>
      <c r="CM87" s="13">
        <v>5163.67</v>
      </c>
      <c r="CN87" s="13">
        <v>5164.13</v>
      </c>
      <c r="CO87" s="13">
        <v>5173.8900000000003</v>
      </c>
      <c r="CP87" s="13">
        <v>5169.3599999999997</v>
      </c>
      <c r="CQ87" s="13">
        <v>5151.5</v>
      </c>
      <c r="CR87" s="13">
        <v>5162.8</v>
      </c>
      <c r="CS87" s="13">
        <v>5158.21</v>
      </c>
      <c r="CT87" s="13">
        <v>5177.34</v>
      </c>
      <c r="CU87" s="13">
        <v>5161.28</v>
      </c>
      <c r="CV87" s="13">
        <v>5170.3500000000004</v>
      </c>
      <c r="CW87" s="13">
        <v>5171.41</v>
      </c>
      <c r="CX87" s="13">
        <v>5173.5200000000004</v>
      </c>
      <c r="CY87" s="13">
        <v>5174.6099999999997</v>
      </c>
      <c r="CZ87" s="13">
        <v>5183.6099999999997</v>
      </c>
      <c r="DA87" s="13">
        <v>5183.62</v>
      </c>
      <c r="DB87" s="13">
        <v>5183.9799999999996</v>
      </c>
      <c r="DC87" s="13">
        <v>5176.53</v>
      </c>
      <c r="DD87" s="13">
        <v>5169.7700000000004</v>
      </c>
      <c r="DE87" s="13">
        <v>5180.24</v>
      </c>
      <c r="DF87" s="13">
        <v>5165.8500000000004</v>
      </c>
      <c r="DG87" s="13">
        <v>5162.4799999999996</v>
      </c>
      <c r="DH87" s="13">
        <v>5176.2700000000004</v>
      </c>
      <c r="DI87" s="13">
        <v>5172.47</v>
      </c>
      <c r="DJ87" s="13">
        <v>5160.24</v>
      </c>
      <c r="DK87" s="13">
        <v>5158.66</v>
      </c>
      <c r="DL87" s="13">
        <v>5162.76</v>
      </c>
      <c r="DM87" s="32"/>
      <c r="DN87" s="33"/>
      <c r="DO87" s="32"/>
      <c r="DP87" s="33"/>
      <c r="DQ87" s="32"/>
      <c r="DR87" s="33"/>
      <c r="DS87" s="32"/>
      <c r="DT87" s="33"/>
      <c r="DU87" s="32"/>
      <c r="DV87" s="33"/>
    </row>
    <row r="88" spans="1:126" ht="15.75" x14ac:dyDescent="0.25">
      <c r="A88" s="14" t="s">
        <v>12</v>
      </c>
      <c r="B88" s="12" t="s">
        <v>9</v>
      </c>
      <c r="C88" s="13">
        <v>5146</v>
      </c>
      <c r="D88" s="13">
        <v>5130</v>
      </c>
      <c r="E88" s="13">
        <v>5188.46</v>
      </c>
      <c r="F88" s="13">
        <v>5203.21</v>
      </c>
      <c r="G88" s="13">
        <v>5194.26</v>
      </c>
      <c r="H88" s="13">
        <v>5191.4799999999996</v>
      </c>
      <c r="I88" s="13">
        <v>5185.96</v>
      </c>
      <c r="J88" s="13">
        <v>5201.7299999999996</v>
      </c>
      <c r="K88" s="13">
        <v>5198.59</v>
      </c>
      <c r="L88" s="13">
        <v>5193.79</v>
      </c>
      <c r="M88" s="13">
        <v>5176.58</v>
      </c>
      <c r="N88" s="13">
        <v>5173.45</v>
      </c>
      <c r="O88" s="13">
        <v>5164</v>
      </c>
      <c r="P88" s="13">
        <v>5169.1499999999996</v>
      </c>
      <c r="Q88" s="13">
        <v>5173.95</v>
      </c>
      <c r="R88" s="13">
        <v>5172.95</v>
      </c>
      <c r="S88" s="13">
        <v>5180.72</v>
      </c>
      <c r="T88" s="13">
        <v>5173.3900000000003</v>
      </c>
      <c r="U88" s="13">
        <v>5174.03</v>
      </c>
      <c r="V88" s="13">
        <v>5166.76</v>
      </c>
      <c r="W88" s="13">
        <v>5163</v>
      </c>
      <c r="X88" s="13">
        <v>5157.68</v>
      </c>
      <c r="Y88" s="13">
        <v>5157.58</v>
      </c>
      <c r="Z88" s="13">
        <v>5158.5200000000004</v>
      </c>
      <c r="AA88" s="13">
        <v>5155.3999999999996</v>
      </c>
      <c r="AB88" s="13">
        <v>5140.55</v>
      </c>
      <c r="AC88" s="13">
        <v>5135.82</v>
      </c>
      <c r="AD88" s="13">
        <v>5138.1899999999996</v>
      </c>
      <c r="AE88" s="13">
        <v>5139.09</v>
      </c>
      <c r="AF88" s="13">
        <v>5140.17</v>
      </c>
      <c r="AG88" s="13">
        <v>5143.78</v>
      </c>
      <c r="AH88" s="13">
        <v>5142.76</v>
      </c>
      <c r="AI88" s="13">
        <v>5140.71</v>
      </c>
      <c r="AJ88" s="13">
        <v>5137.83</v>
      </c>
      <c r="AK88" s="13">
        <v>5141.63</v>
      </c>
      <c r="AL88" s="13">
        <v>5133.78</v>
      </c>
      <c r="AM88" s="13">
        <v>5137.8900000000003</v>
      </c>
      <c r="AN88" s="13">
        <v>5138</v>
      </c>
      <c r="AO88" s="13">
        <v>5140.3599999999997</v>
      </c>
      <c r="AP88" s="13">
        <v>5134.68</v>
      </c>
      <c r="AQ88" s="13">
        <v>5138.71</v>
      </c>
      <c r="AR88" s="13">
        <v>5135.03</v>
      </c>
      <c r="AS88" s="13">
        <v>5133.72</v>
      </c>
      <c r="AT88" s="13">
        <v>5132.07</v>
      </c>
      <c r="AU88" s="13">
        <v>5137.18</v>
      </c>
      <c r="AV88" s="13">
        <v>5130.91</v>
      </c>
      <c r="AW88" s="13">
        <v>5143</v>
      </c>
      <c r="AX88" s="13">
        <v>5132.3500000000004</v>
      </c>
      <c r="AY88" s="13">
        <v>5138.24</v>
      </c>
      <c r="AZ88" s="13">
        <v>5124.1000000000004</v>
      </c>
      <c r="BA88" s="13">
        <v>5126.83</v>
      </c>
      <c r="BB88" s="13">
        <v>5125.3999999999996</v>
      </c>
      <c r="BC88" s="13">
        <v>5122.04</v>
      </c>
      <c r="BD88" s="13">
        <v>5124.49</v>
      </c>
      <c r="BE88" s="13">
        <v>5130.53</v>
      </c>
      <c r="BF88" s="13">
        <v>5119.1400000000003</v>
      </c>
      <c r="BG88" s="13">
        <v>5122.88</v>
      </c>
      <c r="BH88" s="13">
        <v>5122.79</v>
      </c>
      <c r="BI88" s="13">
        <v>5123.95</v>
      </c>
      <c r="BJ88" s="13">
        <v>5120.1400000000003</v>
      </c>
      <c r="BK88" s="13">
        <v>5121.53</v>
      </c>
      <c r="BL88" s="13">
        <v>5117.32</v>
      </c>
      <c r="BM88" s="13">
        <v>5116.08</v>
      </c>
      <c r="BN88" s="13">
        <v>5119.83</v>
      </c>
      <c r="BO88" s="13">
        <v>5121.95</v>
      </c>
      <c r="BP88" s="13">
        <v>5119.46</v>
      </c>
      <c r="BQ88" s="13">
        <v>5117.3900000000003</v>
      </c>
      <c r="BR88" s="13">
        <v>5117.33</v>
      </c>
      <c r="BS88" s="13">
        <v>5121.83</v>
      </c>
      <c r="BT88" s="13">
        <v>5125.74</v>
      </c>
      <c r="BU88" s="13">
        <v>5122</v>
      </c>
      <c r="BV88" s="13">
        <v>5126.57</v>
      </c>
      <c r="BW88" s="13">
        <v>5117.05</v>
      </c>
      <c r="BX88" s="13">
        <v>5122.9399999999996</v>
      </c>
      <c r="BY88" s="13">
        <v>5121.2700000000004</v>
      </c>
      <c r="BZ88" s="13">
        <v>5122.1000000000004</v>
      </c>
      <c r="CA88" s="13">
        <v>5116.3500000000004</v>
      </c>
      <c r="CB88" s="13">
        <v>5114.93</v>
      </c>
      <c r="CC88" s="13">
        <v>5115.8500000000004</v>
      </c>
      <c r="CD88" s="13">
        <v>5115.72</v>
      </c>
      <c r="CE88" s="13">
        <v>5111.33</v>
      </c>
      <c r="CF88" s="13">
        <v>5110.2</v>
      </c>
      <c r="CG88" s="13">
        <v>5104.6400000000003</v>
      </c>
      <c r="CH88" s="13">
        <v>5095.71</v>
      </c>
      <c r="CI88" s="13">
        <v>5103.7299999999996</v>
      </c>
      <c r="CJ88" s="13">
        <v>5103.7299999999996</v>
      </c>
      <c r="CK88" s="13">
        <v>5106.3999999999996</v>
      </c>
      <c r="CL88" s="13">
        <v>5110.45</v>
      </c>
      <c r="CM88" s="13">
        <v>5109.37</v>
      </c>
      <c r="CN88" s="13">
        <v>5111.1000000000004</v>
      </c>
      <c r="CO88" s="13">
        <v>5115.5200000000004</v>
      </c>
      <c r="CP88" s="13">
        <v>5112.58</v>
      </c>
      <c r="CQ88" s="13">
        <v>5104.54</v>
      </c>
      <c r="CR88" s="13">
        <v>5111.29</v>
      </c>
      <c r="CS88" s="13">
        <v>5110.45</v>
      </c>
      <c r="CT88" s="13">
        <v>5110.79</v>
      </c>
      <c r="CU88" s="13">
        <v>5110.1000000000004</v>
      </c>
      <c r="CV88" s="13">
        <v>5112.04</v>
      </c>
      <c r="CW88" s="13">
        <v>5112.96</v>
      </c>
      <c r="CX88" s="13">
        <v>5115.33</v>
      </c>
      <c r="CY88" s="13">
        <v>5116.95</v>
      </c>
      <c r="CZ88" s="13">
        <v>5118.57</v>
      </c>
      <c r="DA88" s="13">
        <v>5121.34</v>
      </c>
      <c r="DB88" s="13">
        <v>5121.6899999999996</v>
      </c>
      <c r="DC88" s="13">
        <v>5121.8599999999997</v>
      </c>
      <c r="DD88" s="13">
        <v>5120.43</v>
      </c>
      <c r="DE88" s="13">
        <v>5118.17</v>
      </c>
      <c r="DF88" s="13">
        <v>5115.8100000000004</v>
      </c>
      <c r="DG88" s="13">
        <v>5112.8900000000003</v>
      </c>
      <c r="DH88" s="13">
        <v>5114.57</v>
      </c>
      <c r="DI88" s="13">
        <v>5113.45</v>
      </c>
      <c r="DJ88" s="13">
        <v>5111.76</v>
      </c>
      <c r="DK88" s="13">
        <v>5110.68</v>
      </c>
      <c r="DL88" s="13">
        <v>5114.34</v>
      </c>
      <c r="DM88" s="32"/>
      <c r="DN88" s="33"/>
      <c r="DO88" s="32"/>
      <c r="DP88" s="33"/>
      <c r="DQ88" s="32"/>
      <c r="DR88" s="33"/>
      <c r="DS88" s="32"/>
      <c r="DT88" s="33"/>
      <c r="DU88" s="32"/>
      <c r="DV88" s="33"/>
    </row>
    <row r="89" spans="1:126" ht="15.75" x14ac:dyDescent="0.25">
      <c r="A89" s="14" t="s">
        <v>12</v>
      </c>
      <c r="B89" s="12" t="s">
        <v>7</v>
      </c>
      <c r="C89" s="13">
        <v>5146</v>
      </c>
      <c r="D89" s="13">
        <v>5100</v>
      </c>
      <c r="E89" s="13">
        <v>5130</v>
      </c>
      <c r="F89" s="13">
        <v>5190</v>
      </c>
      <c r="G89" s="13">
        <v>5190.67</v>
      </c>
      <c r="H89" s="13">
        <v>5182.4399999999996</v>
      </c>
      <c r="I89" s="13">
        <v>5185</v>
      </c>
      <c r="J89" s="13">
        <v>5178.17</v>
      </c>
      <c r="K89" s="13">
        <v>5191.2</v>
      </c>
      <c r="L89" s="13">
        <v>5188</v>
      </c>
      <c r="M89" s="13">
        <v>5174.45</v>
      </c>
      <c r="N89" s="13">
        <v>5165</v>
      </c>
      <c r="O89" s="13">
        <v>5164</v>
      </c>
      <c r="P89" s="13">
        <v>5163.07</v>
      </c>
      <c r="Q89" s="13">
        <v>5161.92</v>
      </c>
      <c r="R89" s="13">
        <v>5168.2</v>
      </c>
      <c r="S89" s="13">
        <v>5168.25</v>
      </c>
      <c r="T89" s="13">
        <v>5171.1899999999996</v>
      </c>
      <c r="U89" s="13">
        <v>5158.67</v>
      </c>
      <c r="V89" s="13">
        <v>5166.22</v>
      </c>
      <c r="W89" s="13">
        <v>5162.25</v>
      </c>
      <c r="X89" s="13">
        <v>5150.59</v>
      </c>
      <c r="Y89" s="13">
        <v>5151.59</v>
      </c>
      <c r="Z89" s="13">
        <v>5154.74</v>
      </c>
      <c r="AA89" s="13">
        <v>5150.9399999999996</v>
      </c>
      <c r="AB89" s="13">
        <v>5136.38</v>
      </c>
      <c r="AC89" s="13">
        <v>5134.75</v>
      </c>
      <c r="AD89" s="13">
        <v>5128.2700000000004</v>
      </c>
      <c r="AE89" s="13">
        <v>5132</v>
      </c>
      <c r="AF89" s="13">
        <v>5120.1899999999996</v>
      </c>
      <c r="AG89" s="13">
        <v>5136.67</v>
      </c>
      <c r="AH89" s="13">
        <v>5138.7299999999996</v>
      </c>
      <c r="AI89" s="13">
        <v>5135.8599999999997</v>
      </c>
      <c r="AJ89" s="13">
        <v>5132.87</v>
      </c>
      <c r="AK89" s="13">
        <v>5132.5</v>
      </c>
      <c r="AL89" s="13">
        <v>5131.71</v>
      </c>
      <c r="AM89" s="13">
        <v>5131.9399999999996</v>
      </c>
      <c r="AN89" s="13">
        <v>5133.3500000000004</v>
      </c>
      <c r="AO89" s="13">
        <v>5134.79</v>
      </c>
      <c r="AP89" s="13">
        <v>5134.3100000000004</v>
      </c>
      <c r="AQ89" s="13">
        <v>5130.03</v>
      </c>
      <c r="AR89" s="13">
        <v>5134.75</v>
      </c>
      <c r="AS89" s="13">
        <v>5131.08</v>
      </c>
      <c r="AT89" s="13">
        <v>5126</v>
      </c>
      <c r="AU89" s="13">
        <v>5127.43</v>
      </c>
      <c r="AV89" s="13">
        <v>5128.4399999999996</v>
      </c>
      <c r="AW89" s="13">
        <v>5138.54</v>
      </c>
      <c r="AX89" s="13">
        <v>5123.3999999999996</v>
      </c>
      <c r="AY89" s="13">
        <v>5124.1000000000004</v>
      </c>
      <c r="AZ89" s="13">
        <v>5124.1000000000004</v>
      </c>
      <c r="BA89" s="13">
        <v>5122.93</v>
      </c>
      <c r="BB89" s="13">
        <v>5122.93</v>
      </c>
      <c r="BC89" s="13">
        <v>5120.68</v>
      </c>
      <c r="BD89" s="13">
        <v>5118.25</v>
      </c>
      <c r="BE89" s="13">
        <v>5124.49</v>
      </c>
      <c r="BF89" s="13">
        <v>5116.91</v>
      </c>
      <c r="BG89" s="13">
        <v>5111.6899999999996</v>
      </c>
      <c r="BH89" s="13">
        <v>5117.7299999999996</v>
      </c>
      <c r="BI89" s="13">
        <v>5117</v>
      </c>
      <c r="BJ89" s="13">
        <v>5117.6400000000003</v>
      </c>
      <c r="BK89" s="13">
        <v>5117.93</v>
      </c>
      <c r="BL89" s="13">
        <v>5111.83</v>
      </c>
      <c r="BM89" s="13">
        <v>5111.6400000000003</v>
      </c>
      <c r="BN89" s="13">
        <v>5112.59</v>
      </c>
      <c r="BO89" s="13">
        <v>5116.82</v>
      </c>
      <c r="BP89" s="13">
        <v>5114.9399999999996</v>
      </c>
      <c r="BQ89" s="13">
        <v>5113.5600000000004</v>
      </c>
      <c r="BR89" s="13">
        <v>5103.6000000000004</v>
      </c>
      <c r="BS89" s="13">
        <v>5109.41</v>
      </c>
      <c r="BT89" s="13">
        <v>5122.26</v>
      </c>
      <c r="BU89" s="13">
        <v>5118.1899999999996</v>
      </c>
      <c r="BV89" s="13">
        <v>5111.03</v>
      </c>
      <c r="BW89" s="13">
        <v>5110.3900000000003</v>
      </c>
      <c r="BX89" s="13">
        <v>5114.05</v>
      </c>
      <c r="BY89" s="13">
        <v>5118.47</v>
      </c>
      <c r="BZ89" s="13">
        <v>5118.4399999999996</v>
      </c>
      <c r="CA89" s="13">
        <v>5113.1899999999996</v>
      </c>
      <c r="CB89" s="13">
        <v>5114.93</v>
      </c>
      <c r="CC89" s="13">
        <v>5110.53</v>
      </c>
      <c r="CD89" s="13">
        <v>5113.63</v>
      </c>
      <c r="CE89" s="13">
        <v>5110.17</v>
      </c>
      <c r="CF89" s="13">
        <v>5102.6400000000003</v>
      </c>
      <c r="CG89" s="13">
        <v>5100.37</v>
      </c>
      <c r="CH89" s="13">
        <v>5095.71</v>
      </c>
      <c r="CI89" s="13">
        <v>5099.3100000000004</v>
      </c>
      <c r="CJ89" s="13">
        <v>5098.55</v>
      </c>
      <c r="CK89" s="13">
        <v>5100.41</v>
      </c>
      <c r="CL89" s="13">
        <v>5100.7299999999996</v>
      </c>
      <c r="CM89" s="13">
        <v>5103.7</v>
      </c>
      <c r="CN89" s="13">
        <v>5107.49</v>
      </c>
      <c r="CO89" s="13">
        <v>5109.24</v>
      </c>
      <c r="CP89" s="13">
        <v>5107.96</v>
      </c>
      <c r="CQ89" s="13">
        <v>5103.0200000000004</v>
      </c>
      <c r="CR89" s="13">
        <v>5107.37</v>
      </c>
      <c r="CS89" s="13">
        <v>5110.3100000000004</v>
      </c>
      <c r="CT89" s="13">
        <v>5107.1400000000003</v>
      </c>
      <c r="CU89" s="13">
        <v>5109.46</v>
      </c>
      <c r="CV89" s="13">
        <v>5109.68</v>
      </c>
      <c r="CW89" s="13">
        <v>5112.87</v>
      </c>
      <c r="CX89" s="13">
        <v>5110.5</v>
      </c>
      <c r="CY89" s="13">
        <v>5115.18</v>
      </c>
      <c r="CZ89" s="13">
        <v>5115.18</v>
      </c>
      <c r="DA89" s="13">
        <v>5120.22</v>
      </c>
      <c r="DB89" s="13">
        <v>5119.4799999999996</v>
      </c>
      <c r="DC89" s="13">
        <v>5120.84</v>
      </c>
      <c r="DD89" s="13">
        <v>5120.04</v>
      </c>
      <c r="DE89" s="13">
        <v>5115.76</v>
      </c>
      <c r="DF89" s="13">
        <v>5115.8100000000004</v>
      </c>
      <c r="DG89" s="13">
        <v>5112.8900000000003</v>
      </c>
      <c r="DH89" s="13">
        <v>5108.7700000000004</v>
      </c>
      <c r="DI89" s="13">
        <v>5109.6000000000004</v>
      </c>
      <c r="DJ89" s="13">
        <v>5111.76</v>
      </c>
      <c r="DK89" s="13">
        <v>5106.6899999999996</v>
      </c>
      <c r="DL89" s="13">
        <v>5101.22</v>
      </c>
      <c r="DM89" s="32"/>
      <c r="DN89" s="33"/>
      <c r="DO89" s="32"/>
      <c r="DP89" s="33"/>
      <c r="DQ89" s="32"/>
      <c r="DR89" s="33"/>
      <c r="DS89" s="32"/>
      <c r="DT89" s="33"/>
      <c r="DU89" s="32"/>
      <c r="DV89" s="33"/>
    </row>
    <row r="90" spans="1:126" ht="15.75" x14ac:dyDescent="0.25">
      <c r="A90" s="14"/>
      <c r="B90" s="12"/>
      <c r="C90" s="13">
        <f t="shared" ref="C90:AH90" si="54">(C86+C87+C88+C89)/4</f>
        <v>5155</v>
      </c>
      <c r="D90" s="13">
        <f t="shared" si="54"/>
        <v>5166.75</v>
      </c>
      <c r="E90" s="13">
        <f t="shared" si="54"/>
        <v>5190.66</v>
      </c>
      <c r="F90" s="13">
        <f t="shared" si="54"/>
        <v>5212.2275</v>
      </c>
      <c r="G90" s="13">
        <f t="shared" si="54"/>
        <v>5209.1125000000002</v>
      </c>
      <c r="H90" s="13">
        <f t="shared" si="54"/>
        <v>5205.4775</v>
      </c>
      <c r="I90" s="13">
        <f t="shared" si="54"/>
        <v>5203.9650000000001</v>
      </c>
      <c r="J90" s="13">
        <f t="shared" si="54"/>
        <v>5210.4750000000004</v>
      </c>
      <c r="K90" s="13">
        <f t="shared" si="54"/>
        <v>5212.67</v>
      </c>
      <c r="L90" s="13">
        <f t="shared" si="54"/>
        <v>5206.41</v>
      </c>
      <c r="M90" s="13">
        <f t="shared" si="54"/>
        <v>5195.3049999999994</v>
      </c>
      <c r="N90" s="13">
        <f t="shared" si="54"/>
        <v>5193.1475</v>
      </c>
      <c r="O90" s="13">
        <f t="shared" si="54"/>
        <v>5186.6324999999997</v>
      </c>
      <c r="P90" s="13">
        <f t="shared" si="54"/>
        <v>5188.25</v>
      </c>
      <c r="Q90" s="13">
        <f t="shared" si="54"/>
        <v>5192.3525000000009</v>
      </c>
      <c r="R90" s="13">
        <f t="shared" si="54"/>
        <v>5191.7650000000003</v>
      </c>
      <c r="S90" s="13">
        <f t="shared" si="54"/>
        <v>5197.5775000000003</v>
      </c>
      <c r="T90" s="13">
        <f t="shared" si="54"/>
        <v>5193.8549999999996</v>
      </c>
      <c r="U90" s="13">
        <f t="shared" si="54"/>
        <v>5191.8325000000004</v>
      </c>
      <c r="V90" s="13">
        <f t="shared" si="54"/>
        <v>5191.5924999999997</v>
      </c>
      <c r="W90" s="13">
        <f t="shared" si="54"/>
        <v>5188.68</v>
      </c>
      <c r="X90" s="13">
        <f t="shared" si="54"/>
        <v>5181.7625000000007</v>
      </c>
      <c r="Y90" s="13">
        <f t="shared" si="54"/>
        <v>5183.04</v>
      </c>
      <c r="Z90" s="13">
        <f t="shared" si="54"/>
        <v>5184.1124999999993</v>
      </c>
      <c r="AA90" s="13">
        <f t="shared" si="54"/>
        <v>5182.8424999999997</v>
      </c>
      <c r="AB90" s="13">
        <f t="shared" si="54"/>
        <v>5169.8725000000004</v>
      </c>
      <c r="AC90" s="13">
        <f t="shared" si="54"/>
        <v>5163.4925000000003</v>
      </c>
      <c r="AD90" s="13">
        <f t="shared" si="54"/>
        <v>5163.1000000000004</v>
      </c>
      <c r="AE90" s="13">
        <f t="shared" si="54"/>
        <v>5165.0574999999999</v>
      </c>
      <c r="AF90" s="13">
        <f t="shared" si="54"/>
        <v>5161.7925000000005</v>
      </c>
      <c r="AG90" s="13">
        <f t="shared" si="54"/>
        <v>5171.8050000000003</v>
      </c>
      <c r="AH90" s="13">
        <f t="shared" si="54"/>
        <v>5171.0450000000001</v>
      </c>
      <c r="AI90" s="13">
        <f t="shared" ref="AI90:BN90" si="55">(AI86+AI87+AI88+AI89)/4</f>
        <v>5165.9775</v>
      </c>
      <c r="AJ90" s="13">
        <f t="shared" si="55"/>
        <v>5162.625</v>
      </c>
      <c r="AK90" s="13">
        <f t="shared" si="55"/>
        <v>5170.7950000000001</v>
      </c>
      <c r="AL90" s="13">
        <f t="shared" si="55"/>
        <v>5165.5974999999999</v>
      </c>
      <c r="AM90" s="13">
        <f t="shared" si="55"/>
        <v>5162.5724999999993</v>
      </c>
      <c r="AN90" s="13">
        <f t="shared" si="55"/>
        <v>5162.3824999999997</v>
      </c>
      <c r="AO90" s="13">
        <f t="shared" si="55"/>
        <v>5163.915</v>
      </c>
      <c r="AP90" s="13">
        <f t="shared" si="55"/>
        <v>5160.2875000000004</v>
      </c>
      <c r="AQ90" s="13">
        <f t="shared" si="55"/>
        <v>5159.9524999999994</v>
      </c>
      <c r="AR90" s="13">
        <f t="shared" si="55"/>
        <v>5159.085</v>
      </c>
      <c r="AS90" s="13">
        <f t="shared" si="55"/>
        <v>5157.5025000000005</v>
      </c>
      <c r="AT90" s="13">
        <f t="shared" si="55"/>
        <v>5156.6525000000001</v>
      </c>
      <c r="AU90" s="13">
        <f t="shared" si="55"/>
        <v>5156.8924999999999</v>
      </c>
      <c r="AV90" s="13">
        <f t="shared" si="55"/>
        <v>5155.8424999999997</v>
      </c>
      <c r="AW90" s="13">
        <f t="shared" si="55"/>
        <v>5165.7574999999997</v>
      </c>
      <c r="AX90" s="13">
        <f t="shared" si="55"/>
        <v>5156.4974999999995</v>
      </c>
      <c r="AY90" s="13">
        <f t="shared" si="55"/>
        <v>5157.5749999999998</v>
      </c>
      <c r="AZ90" s="13">
        <f t="shared" si="55"/>
        <v>5153.6275000000005</v>
      </c>
      <c r="BA90" s="13">
        <f t="shared" si="55"/>
        <v>5153.4925000000003</v>
      </c>
      <c r="BB90" s="13">
        <f t="shared" si="55"/>
        <v>5152.7224999999999</v>
      </c>
      <c r="BC90" s="13">
        <f t="shared" si="55"/>
        <v>5148.9875000000002</v>
      </c>
      <c r="BD90" s="13">
        <f t="shared" si="55"/>
        <v>5151.0349999999999</v>
      </c>
      <c r="BE90" s="13">
        <f t="shared" si="55"/>
        <v>5156.9025000000001</v>
      </c>
      <c r="BF90" s="13">
        <f t="shared" si="55"/>
        <v>5148.7325000000001</v>
      </c>
      <c r="BG90" s="13">
        <f t="shared" si="55"/>
        <v>5145.8149999999996</v>
      </c>
      <c r="BH90" s="13">
        <f t="shared" si="55"/>
        <v>5147.335</v>
      </c>
      <c r="BI90" s="13">
        <f t="shared" si="55"/>
        <v>5147.0124999999998</v>
      </c>
      <c r="BJ90" s="13">
        <f t="shared" si="55"/>
        <v>5144.1099999999997</v>
      </c>
      <c r="BK90" s="13">
        <f t="shared" si="55"/>
        <v>5146.2</v>
      </c>
      <c r="BL90" s="13">
        <f t="shared" si="55"/>
        <v>5142.88</v>
      </c>
      <c r="BM90" s="13">
        <f t="shared" si="55"/>
        <v>5141.9575000000004</v>
      </c>
      <c r="BN90" s="13">
        <f t="shared" si="55"/>
        <v>5147.2800000000007</v>
      </c>
      <c r="BO90" s="13">
        <f t="shared" ref="BO90:CT90" si="56">(BO86+BO87+BO88+BO89)/4</f>
        <v>5146.1225000000004</v>
      </c>
      <c r="BP90" s="13">
        <f t="shared" si="56"/>
        <v>5144.9874999999993</v>
      </c>
      <c r="BQ90" s="13">
        <f t="shared" si="56"/>
        <v>5142.8600000000006</v>
      </c>
      <c r="BR90" s="13">
        <f t="shared" si="56"/>
        <v>5138.835</v>
      </c>
      <c r="BS90" s="13">
        <f t="shared" si="56"/>
        <v>5146.07</v>
      </c>
      <c r="BT90" s="13">
        <f t="shared" si="56"/>
        <v>5152.3874999999998</v>
      </c>
      <c r="BU90" s="13">
        <f t="shared" si="56"/>
        <v>5149.3224999999993</v>
      </c>
      <c r="BV90" s="13">
        <f t="shared" si="56"/>
        <v>5147.5275000000001</v>
      </c>
      <c r="BW90" s="13">
        <f t="shared" si="56"/>
        <v>5143.38</v>
      </c>
      <c r="BX90" s="13">
        <f t="shared" si="56"/>
        <v>5147.24</v>
      </c>
      <c r="BY90" s="13">
        <f t="shared" si="56"/>
        <v>5153.1075000000001</v>
      </c>
      <c r="BZ90" s="13">
        <f t="shared" si="56"/>
        <v>5151.96</v>
      </c>
      <c r="CA90" s="13">
        <f t="shared" si="56"/>
        <v>5148.2124999999996</v>
      </c>
      <c r="CB90" s="13">
        <f t="shared" si="56"/>
        <v>5147.4650000000001</v>
      </c>
      <c r="CC90" s="13">
        <f t="shared" si="56"/>
        <v>5150.8450000000003</v>
      </c>
      <c r="CD90" s="13">
        <f t="shared" si="56"/>
        <v>5146.4850000000006</v>
      </c>
      <c r="CE90" s="13">
        <f t="shared" si="56"/>
        <v>5145.1424999999999</v>
      </c>
      <c r="CF90" s="13">
        <f t="shared" si="56"/>
        <v>5145.8499999999995</v>
      </c>
      <c r="CG90" s="13">
        <f t="shared" si="56"/>
        <v>5137.8399999999992</v>
      </c>
      <c r="CH90" s="13">
        <f t="shared" si="56"/>
        <v>5128.5824999999995</v>
      </c>
      <c r="CI90" s="13">
        <f t="shared" si="56"/>
        <v>5132.1274999999996</v>
      </c>
      <c r="CJ90" s="13">
        <f t="shared" si="56"/>
        <v>5131.7950000000001</v>
      </c>
      <c r="CK90" s="13">
        <f t="shared" si="56"/>
        <v>5137.3999999999996</v>
      </c>
      <c r="CL90" s="13">
        <f t="shared" si="56"/>
        <v>5141.4425000000001</v>
      </c>
      <c r="CM90" s="13">
        <f t="shared" si="56"/>
        <v>5139.0474999999997</v>
      </c>
      <c r="CN90" s="13">
        <f t="shared" si="56"/>
        <v>5142.2574999999997</v>
      </c>
      <c r="CO90" s="13">
        <f t="shared" si="56"/>
        <v>5145.67</v>
      </c>
      <c r="CP90" s="13">
        <f t="shared" si="56"/>
        <v>5141.3725000000004</v>
      </c>
      <c r="CQ90" s="13">
        <f t="shared" si="56"/>
        <v>5132.1050000000005</v>
      </c>
      <c r="CR90" s="13">
        <f t="shared" si="56"/>
        <v>5139.1075000000001</v>
      </c>
      <c r="CS90" s="13">
        <f t="shared" si="56"/>
        <v>5137.8525</v>
      </c>
      <c r="CT90" s="13">
        <f t="shared" si="56"/>
        <v>5144.2775000000001</v>
      </c>
      <c r="CU90" s="13">
        <f t="shared" ref="CU90:DL90" si="57">(CU86+CU87+CU88+CU89)/4</f>
        <v>5144.7775000000001</v>
      </c>
      <c r="CV90" s="13">
        <f t="shared" si="57"/>
        <v>5140.6050000000005</v>
      </c>
      <c r="CW90" s="13">
        <f t="shared" si="57"/>
        <v>5144.6074999999992</v>
      </c>
      <c r="CX90" s="13">
        <f t="shared" si="57"/>
        <v>5144.8549999999996</v>
      </c>
      <c r="CY90" s="13">
        <f t="shared" si="57"/>
        <v>5146.7025000000003</v>
      </c>
      <c r="CZ90" s="13">
        <f t="shared" si="57"/>
        <v>5151.1424999999999</v>
      </c>
      <c r="DA90" s="13">
        <f t="shared" si="57"/>
        <v>5153.51</v>
      </c>
      <c r="DB90" s="13">
        <f t="shared" si="57"/>
        <v>5153.5024999999996</v>
      </c>
      <c r="DC90" s="13">
        <f t="shared" si="57"/>
        <v>5152.1850000000004</v>
      </c>
      <c r="DD90" s="13">
        <f t="shared" si="57"/>
        <v>5147.1050000000005</v>
      </c>
      <c r="DE90" s="13">
        <f t="shared" si="57"/>
        <v>5148.6025</v>
      </c>
      <c r="DF90" s="13">
        <f t="shared" si="57"/>
        <v>5144.3475000000008</v>
      </c>
      <c r="DG90" s="13">
        <f t="shared" si="57"/>
        <v>5140.0149999999994</v>
      </c>
      <c r="DH90" s="13">
        <f t="shared" si="57"/>
        <v>5143.97</v>
      </c>
      <c r="DI90" s="13">
        <f t="shared" si="57"/>
        <v>5143.0475000000006</v>
      </c>
      <c r="DJ90" s="13">
        <f t="shared" si="57"/>
        <v>5140.5249999999996</v>
      </c>
      <c r="DK90" s="13">
        <f t="shared" si="57"/>
        <v>5135.2</v>
      </c>
      <c r="DL90" s="13">
        <f t="shared" si="57"/>
        <v>5136.88</v>
      </c>
      <c r="DM90" s="26"/>
      <c r="DN90" s="25"/>
      <c r="DO90" s="27"/>
      <c r="DP90" s="25"/>
      <c r="DQ90" s="27"/>
      <c r="DR90" s="25"/>
      <c r="DS90" s="27"/>
      <c r="DT90" s="25"/>
    </row>
    <row r="91" spans="1:126" ht="15.75" x14ac:dyDescent="0.25">
      <c r="A91" s="11" t="s">
        <v>5</v>
      </c>
      <c r="B91" s="11" t="s">
        <v>11</v>
      </c>
      <c r="C91" s="15">
        <v>0.375</v>
      </c>
      <c r="D91" s="15">
        <v>0.37847222222222227</v>
      </c>
      <c r="E91" s="15">
        <v>0.38194444444444442</v>
      </c>
      <c r="F91" s="15">
        <v>0.38541666666666669</v>
      </c>
      <c r="G91" s="15">
        <v>0.3888888888888889</v>
      </c>
      <c r="H91" s="15">
        <v>0.3923611111111111</v>
      </c>
      <c r="I91" s="15">
        <v>0.39583333333333331</v>
      </c>
      <c r="J91" s="15">
        <v>0.39930555555555558</v>
      </c>
      <c r="K91" s="15">
        <v>0.40277777777777773</v>
      </c>
      <c r="L91" s="15">
        <v>0.40625</v>
      </c>
      <c r="M91" s="15">
        <v>0.40972222222222227</v>
      </c>
      <c r="N91" s="15">
        <v>0.41319444444444442</v>
      </c>
      <c r="O91" s="15">
        <v>0.41666666666666669</v>
      </c>
      <c r="P91" s="15">
        <v>0.4201388888888889</v>
      </c>
      <c r="Q91" s="15">
        <v>0.4236111111111111</v>
      </c>
      <c r="R91" s="15">
        <v>0.42708333333333331</v>
      </c>
      <c r="S91" s="15">
        <v>0.43055555555555558</v>
      </c>
      <c r="T91" s="15">
        <v>0.43402777777777773</v>
      </c>
      <c r="U91" s="15">
        <v>0.4375</v>
      </c>
      <c r="V91" s="15">
        <v>0.44097222222222227</v>
      </c>
      <c r="W91" s="15">
        <v>0.44444444444444442</v>
      </c>
      <c r="X91" s="15">
        <v>0.44791666666666669</v>
      </c>
      <c r="Y91" s="15">
        <v>0.4513888888888889</v>
      </c>
      <c r="Z91" s="15">
        <v>0.4548611111111111</v>
      </c>
      <c r="AA91" s="15">
        <v>0.45833333333333331</v>
      </c>
      <c r="AB91" s="15">
        <v>0.46180555555555558</v>
      </c>
      <c r="AC91" s="15">
        <v>0.46527777777777773</v>
      </c>
      <c r="AD91" s="15">
        <v>0.46875</v>
      </c>
      <c r="AE91" s="15">
        <v>0.47222222222222227</v>
      </c>
      <c r="AF91" s="15">
        <v>0.47569444444444442</v>
      </c>
      <c r="AG91" s="15">
        <v>0.47916666666666669</v>
      </c>
      <c r="AH91" s="15">
        <v>0.4826388888888889</v>
      </c>
      <c r="AI91" s="15">
        <v>0.4861111111111111</v>
      </c>
      <c r="AJ91" s="15">
        <v>0.48958333333333331</v>
      </c>
      <c r="AK91" s="15">
        <v>0.49305555555555558</v>
      </c>
      <c r="AL91" s="15">
        <v>0.49652777777777773</v>
      </c>
      <c r="AM91" s="15">
        <v>0.5</v>
      </c>
      <c r="AN91" s="15">
        <v>0.50347222222222221</v>
      </c>
      <c r="AO91" s="15">
        <v>0.50694444444444442</v>
      </c>
      <c r="AP91" s="15">
        <v>0.51041666666666663</v>
      </c>
      <c r="AQ91" s="15">
        <v>0.51388888888888895</v>
      </c>
      <c r="AR91" s="15">
        <v>0.51736111111111105</v>
      </c>
      <c r="AS91" s="15">
        <v>0.52083333333333337</v>
      </c>
      <c r="AT91" s="15">
        <v>0.52430555555555558</v>
      </c>
      <c r="AU91" s="15">
        <v>0.52777777777777779</v>
      </c>
      <c r="AV91" s="15">
        <v>0.53125</v>
      </c>
      <c r="AW91" s="15">
        <v>0.53472222222222221</v>
      </c>
      <c r="AX91" s="15">
        <v>0.53819444444444442</v>
      </c>
      <c r="AY91" s="15">
        <v>0.54166666666666663</v>
      </c>
      <c r="AZ91" s="15">
        <v>0.54513888888888895</v>
      </c>
      <c r="BA91" s="15">
        <v>0.54861111111111105</v>
      </c>
      <c r="BB91" s="15">
        <v>0.55208333333333337</v>
      </c>
      <c r="BC91" s="15">
        <v>0.55555555555555558</v>
      </c>
      <c r="BD91" s="15">
        <v>0.55902777777777779</v>
      </c>
      <c r="BE91" s="15">
        <v>0.5625</v>
      </c>
      <c r="BF91" s="15">
        <v>0.56597222222222221</v>
      </c>
      <c r="BG91" s="15">
        <v>0.56944444444444442</v>
      </c>
      <c r="BH91" s="15">
        <v>0.57291666666666663</v>
      </c>
      <c r="BI91" s="15">
        <v>0.57638888888888895</v>
      </c>
      <c r="BJ91" s="15">
        <v>0.57986111111111105</v>
      </c>
      <c r="BK91" s="15">
        <v>0.58333333333333337</v>
      </c>
      <c r="BL91" s="15">
        <v>0.58680555555555558</v>
      </c>
      <c r="BM91" s="15">
        <v>0.59027777777777779</v>
      </c>
      <c r="BN91" s="15">
        <v>0.59375</v>
      </c>
      <c r="BO91" s="15">
        <v>0.59722222222222221</v>
      </c>
      <c r="BP91" s="15">
        <v>0.60069444444444442</v>
      </c>
      <c r="BQ91" s="15">
        <v>0.60416666666666663</v>
      </c>
      <c r="BR91" s="15">
        <v>0.60763888888888895</v>
      </c>
      <c r="BS91" s="15">
        <v>0.61111111111111105</v>
      </c>
      <c r="BT91" s="15">
        <v>0.61458333333333337</v>
      </c>
      <c r="BU91" s="15">
        <v>0.61805555555555558</v>
      </c>
      <c r="BV91" s="15">
        <v>0.62152777777777779</v>
      </c>
      <c r="BW91" s="15">
        <v>0.625</v>
      </c>
      <c r="BX91" s="15">
        <v>0.62847222222222221</v>
      </c>
      <c r="BY91" s="15">
        <v>0.63194444444444442</v>
      </c>
      <c r="BZ91" s="15">
        <v>0.63541666666666663</v>
      </c>
      <c r="CA91" s="15">
        <v>0.63888888888888895</v>
      </c>
      <c r="CB91" s="15">
        <v>0.64236111111111105</v>
      </c>
      <c r="CC91" s="15">
        <v>0.64583333333333337</v>
      </c>
      <c r="CD91" s="15">
        <v>0.64930555555555558</v>
      </c>
      <c r="CE91" s="15">
        <v>0.65277777777777779</v>
      </c>
      <c r="CF91" s="15">
        <v>0.65625</v>
      </c>
      <c r="CG91" s="15">
        <v>0.65972222222222221</v>
      </c>
      <c r="CH91" s="15">
        <v>0.66319444444444442</v>
      </c>
      <c r="CI91" s="15">
        <v>0.66666666666666663</v>
      </c>
      <c r="CJ91" s="15">
        <v>0.67013888888888884</v>
      </c>
      <c r="CK91" s="15">
        <v>0.67361111111111116</v>
      </c>
      <c r="CL91" s="15">
        <v>0.67708333333333337</v>
      </c>
      <c r="CM91" s="15">
        <v>0.68055555555555547</v>
      </c>
      <c r="CN91" s="15">
        <v>0.68402777777777779</v>
      </c>
      <c r="CO91" s="15">
        <v>0.6875</v>
      </c>
      <c r="CP91" s="15">
        <v>0.69097222222222221</v>
      </c>
      <c r="CQ91" s="15">
        <v>0.69444444444444453</v>
      </c>
      <c r="CR91" s="15">
        <v>0.69791666666666663</v>
      </c>
      <c r="CS91" s="15">
        <v>0.70138888888888884</v>
      </c>
      <c r="CT91" s="15">
        <v>0.70486111111111116</v>
      </c>
      <c r="CU91" s="15">
        <v>0.70833333333333337</v>
      </c>
      <c r="CV91" s="15">
        <v>0.71180555555555547</v>
      </c>
      <c r="CW91" s="15">
        <v>0.71527777777777779</v>
      </c>
      <c r="CX91" s="15">
        <v>0.71875</v>
      </c>
      <c r="CY91" s="15">
        <v>0.72222222222222221</v>
      </c>
      <c r="CZ91" s="15">
        <v>0.72569444444444453</v>
      </c>
      <c r="DA91" s="15">
        <v>0.72916666666666663</v>
      </c>
      <c r="DB91" s="15">
        <v>0.73263888888888884</v>
      </c>
      <c r="DC91" s="15">
        <v>0.73611111111111116</v>
      </c>
      <c r="DD91" s="15">
        <v>0.73958333333333337</v>
      </c>
      <c r="DE91" s="15">
        <v>0.74305555555555547</v>
      </c>
      <c r="DF91" s="15">
        <v>0.74652777777777779</v>
      </c>
      <c r="DG91" s="15">
        <v>0.75</v>
      </c>
      <c r="DH91" s="15">
        <v>0.75347222222222221</v>
      </c>
      <c r="DI91" s="15">
        <v>0.75694444444444453</v>
      </c>
      <c r="DJ91" s="15">
        <v>0.76041666666666663</v>
      </c>
      <c r="DK91" s="15">
        <v>0.76388888888888884</v>
      </c>
      <c r="DL91" s="15">
        <v>0.76736111111111116</v>
      </c>
      <c r="DM91" s="23">
        <v>44368</v>
      </c>
    </row>
    <row r="92" spans="1:126" ht="15.75" x14ac:dyDescent="0.25">
      <c r="A92" s="14">
        <v>44187</v>
      </c>
      <c r="B92" s="12" t="s">
        <v>6</v>
      </c>
      <c r="C92" s="13">
        <v>5145.5</v>
      </c>
      <c r="D92" s="13">
        <v>5160.75</v>
      </c>
      <c r="E92" s="13">
        <v>5155.8900000000003</v>
      </c>
      <c r="F92" s="13">
        <v>5151.26</v>
      </c>
      <c r="G92" s="13">
        <v>5151.91</v>
      </c>
      <c r="H92" s="13">
        <v>5151.6499999999996</v>
      </c>
      <c r="I92" s="13">
        <v>5150.3</v>
      </c>
      <c r="J92" s="13">
        <v>5154.6099999999997</v>
      </c>
      <c r="K92" s="13">
        <v>5155.68</v>
      </c>
      <c r="L92" s="13">
        <v>5156.95</v>
      </c>
      <c r="M92" s="13">
        <v>5158.29</v>
      </c>
      <c r="N92" s="13">
        <v>5158.8999999999996</v>
      </c>
      <c r="O92" s="13">
        <v>5167.6000000000004</v>
      </c>
      <c r="P92" s="13">
        <v>5166.2299999999996</v>
      </c>
      <c r="Q92" s="13">
        <v>5167.9799999999996</v>
      </c>
      <c r="R92" s="13">
        <v>5166.71</v>
      </c>
      <c r="S92" s="13">
        <v>5160.93</v>
      </c>
      <c r="T92" s="13">
        <v>5168.42</v>
      </c>
      <c r="U92" s="13">
        <v>5164.03</v>
      </c>
      <c r="V92" s="13">
        <v>5166.26</v>
      </c>
      <c r="W92" s="13">
        <v>5161.8599999999997</v>
      </c>
      <c r="X92" s="13">
        <v>5152.5600000000004</v>
      </c>
      <c r="Y92" s="13">
        <v>5156.59</v>
      </c>
      <c r="Z92" s="13">
        <v>5158.6400000000003</v>
      </c>
      <c r="AA92" s="13">
        <v>5162.0200000000004</v>
      </c>
      <c r="AB92" s="13">
        <v>5162.4799999999996</v>
      </c>
      <c r="AC92" s="13">
        <v>5167.72</v>
      </c>
      <c r="AD92" s="13">
        <v>5167.3500000000004</v>
      </c>
      <c r="AE92" s="13">
        <v>5173.0600000000004</v>
      </c>
      <c r="AF92" s="13">
        <v>5172.34</v>
      </c>
      <c r="AG92" s="13">
        <v>5178.99</v>
      </c>
      <c r="AH92" s="13">
        <v>5187.4799999999996</v>
      </c>
      <c r="AI92" s="13">
        <v>5189.08</v>
      </c>
      <c r="AJ92" s="13">
        <v>5193.46</v>
      </c>
      <c r="AK92" s="13">
        <v>5186.88</v>
      </c>
      <c r="AL92" s="13">
        <v>5185.17</v>
      </c>
      <c r="AM92" s="13">
        <v>5185.16</v>
      </c>
      <c r="AN92" s="13">
        <v>5183.4399999999996</v>
      </c>
      <c r="AO92" s="13">
        <v>5184.55</v>
      </c>
      <c r="AP92" s="13">
        <v>5184.1499999999996</v>
      </c>
      <c r="AQ92" s="13">
        <v>5181.42</v>
      </c>
      <c r="AR92" s="13">
        <v>5180.22</v>
      </c>
      <c r="AS92" s="13">
        <v>5177.9799999999996</v>
      </c>
      <c r="AT92" s="13">
        <v>5173.91</v>
      </c>
      <c r="AU92" s="13">
        <v>5173.54</v>
      </c>
      <c r="AV92" s="13">
        <v>5169.0200000000004</v>
      </c>
      <c r="AW92" s="13">
        <v>5174.6000000000004</v>
      </c>
      <c r="AX92" s="13">
        <v>5178.3900000000003</v>
      </c>
      <c r="AY92" s="13">
        <v>5179.6000000000004</v>
      </c>
      <c r="AZ92" s="13">
        <v>5181.55</v>
      </c>
      <c r="BA92" s="13">
        <v>5175.8999999999996</v>
      </c>
      <c r="BB92" s="13">
        <v>5174.7700000000004</v>
      </c>
      <c r="BC92" s="13">
        <v>5176.51</v>
      </c>
      <c r="BD92" s="13">
        <v>5181.92</v>
      </c>
      <c r="BE92" s="13">
        <v>5186.34</v>
      </c>
      <c r="BF92" s="13">
        <v>5185.2299999999996</v>
      </c>
      <c r="BG92" s="13">
        <v>5186.45</v>
      </c>
      <c r="BH92" s="13">
        <v>5188.01</v>
      </c>
      <c r="BI92" s="13">
        <v>5189.99</v>
      </c>
      <c r="BJ92" s="13">
        <v>5188.82</v>
      </c>
      <c r="BK92" s="13">
        <v>5187.68</v>
      </c>
      <c r="BL92" s="13">
        <v>5185.76</v>
      </c>
      <c r="BM92" s="13">
        <v>5185.3500000000004</v>
      </c>
      <c r="BN92" s="13">
        <v>5186.57</v>
      </c>
      <c r="BO92" s="13">
        <v>5185.41</v>
      </c>
      <c r="BP92" s="13">
        <v>5183.17</v>
      </c>
      <c r="BQ92" s="13">
        <v>5184.1000000000004</v>
      </c>
      <c r="BR92" s="13">
        <v>5184.3</v>
      </c>
      <c r="BS92" s="13">
        <v>5184.91</v>
      </c>
      <c r="BT92" s="13">
        <v>5184.21</v>
      </c>
      <c r="BU92" s="13">
        <v>5184.59</v>
      </c>
      <c r="BV92" s="13">
        <v>5184.1000000000004</v>
      </c>
      <c r="BW92" s="13">
        <v>5183.22</v>
      </c>
      <c r="BX92" s="13">
        <v>5185.13</v>
      </c>
      <c r="BY92" s="13">
        <v>5181.49</v>
      </c>
      <c r="BZ92" s="13">
        <v>5181.1099999999997</v>
      </c>
      <c r="CA92" s="13">
        <v>5180.13</v>
      </c>
      <c r="CB92" s="13">
        <v>5178.1499999999996</v>
      </c>
      <c r="CC92" s="13">
        <v>5180.03</v>
      </c>
      <c r="CD92" s="13">
        <v>5182.9799999999996</v>
      </c>
      <c r="CE92" s="13">
        <v>5180.2</v>
      </c>
      <c r="CF92" s="13">
        <v>5188.75</v>
      </c>
      <c r="CG92" s="13">
        <v>5188.66</v>
      </c>
      <c r="CH92" s="13">
        <v>5186.46</v>
      </c>
      <c r="CI92" s="13">
        <v>5186.22</v>
      </c>
      <c r="CJ92" s="13">
        <v>5184.75</v>
      </c>
      <c r="CK92" s="13">
        <v>5183.67</v>
      </c>
      <c r="CL92" s="13">
        <v>5184.51</v>
      </c>
      <c r="CM92" s="13">
        <v>5186.92</v>
      </c>
      <c r="CN92" s="13">
        <v>5188.3100000000004</v>
      </c>
      <c r="CO92" s="13">
        <v>5191.1499999999996</v>
      </c>
      <c r="CP92" s="13">
        <v>5190.1400000000003</v>
      </c>
      <c r="CQ92" s="13">
        <v>5191.84</v>
      </c>
      <c r="CR92" s="13">
        <v>5192.6899999999996</v>
      </c>
      <c r="CS92" s="13">
        <v>5191.05</v>
      </c>
      <c r="CT92" s="13">
        <v>5190.68</v>
      </c>
      <c r="CU92" s="13">
        <v>5188.6400000000003</v>
      </c>
      <c r="CV92" s="13">
        <v>5190.5200000000004</v>
      </c>
      <c r="CW92" s="13">
        <v>5193.4399999999996</v>
      </c>
      <c r="CX92" s="13">
        <v>5197.38</v>
      </c>
      <c r="CY92" s="13">
        <v>5195.8</v>
      </c>
      <c r="CZ92" s="13">
        <v>5195.6899999999996</v>
      </c>
      <c r="DA92" s="13">
        <v>5194.2</v>
      </c>
      <c r="DB92" s="13">
        <v>5191.2299999999996</v>
      </c>
      <c r="DC92" s="13">
        <v>5194.6000000000004</v>
      </c>
      <c r="DD92" s="13">
        <v>5191.16</v>
      </c>
      <c r="DE92" s="13">
        <v>5188.5200000000004</v>
      </c>
      <c r="DF92" s="13">
        <v>5190.9799999999996</v>
      </c>
      <c r="DG92" s="13">
        <v>5189.58</v>
      </c>
      <c r="DH92" s="13">
        <v>5188.96</v>
      </c>
      <c r="DI92" s="13">
        <v>5186.1400000000003</v>
      </c>
      <c r="DJ92" s="13">
        <v>5185.1099999999997</v>
      </c>
      <c r="DK92" s="13">
        <v>5190.53</v>
      </c>
      <c r="DL92" s="13">
        <v>5193.13</v>
      </c>
      <c r="DM92" s="32"/>
      <c r="DN92" s="33"/>
      <c r="DO92" s="32"/>
      <c r="DP92" s="33"/>
      <c r="DQ92" s="32"/>
      <c r="DR92" s="33"/>
      <c r="DS92" s="32"/>
      <c r="DT92" s="33"/>
      <c r="DU92" s="32"/>
      <c r="DV92" s="33"/>
    </row>
    <row r="93" spans="1:126" ht="15.75" x14ac:dyDescent="0.25">
      <c r="A93" s="14" t="s">
        <v>12</v>
      </c>
      <c r="B93" s="12" t="s">
        <v>10</v>
      </c>
      <c r="C93" s="13">
        <v>5145.5</v>
      </c>
      <c r="D93" s="13">
        <v>5153.0600000000004</v>
      </c>
      <c r="E93" s="13">
        <v>5150.76</v>
      </c>
      <c r="F93" s="13">
        <v>5149.1499999999996</v>
      </c>
      <c r="G93" s="13">
        <v>5148.76</v>
      </c>
      <c r="H93" s="13">
        <v>5145.4799999999996</v>
      </c>
      <c r="I93" s="13">
        <v>5146.7299999999996</v>
      </c>
      <c r="J93" s="13">
        <v>5152.4799999999996</v>
      </c>
      <c r="K93" s="13">
        <v>5154.07</v>
      </c>
      <c r="L93" s="13">
        <v>5155.4799999999996</v>
      </c>
      <c r="M93" s="13">
        <v>5157.3500000000004</v>
      </c>
      <c r="N93" s="13">
        <v>5152.42</v>
      </c>
      <c r="O93" s="13">
        <v>5163.55</v>
      </c>
      <c r="P93" s="13">
        <v>5161.26</v>
      </c>
      <c r="Q93" s="13">
        <v>5165.16</v>
      </c>
      <c r="R93" s="13">
        <v>5148.6099999999997</v>
      </c>
      <c r="S93" s="13">
        <v>5153.84</v>
      </c>
      <c r="T93" s="13">
        <v>5146.6000000000004</v>
      </c>
      <c r="U93" s="13">
        <v>5162.3999999999996</v>
      </c>
      <c r="V93" s="13">
        <v>5150.62</v>
      </c>
      <c r="W93" s="13">
        <v>5147.3900000000003</v>
      </c>
      <c r="X93" s="13">
        <v>5137.3599999999997</v>
      </c>
      <c r="Y93" s="13">
        <v>5144.28</v>
      </c>
      <c r="Z93" s="13">
        <v>5151</v>
      </c>
      <c r="AA93" s="13">
        <v>5159.25</v>
      </c>
      <c r="AB93" s="13">
        <v>5154.51</v>
      </c>
      <c r="AC93" s="13">
        <v>5161.5200000000004</v>
      </c>
      <c r="AD93" s="13">
        <v>5152.37</v>
      </c>
      <c r="AE93" s="13">
        <v>5166.24</v>
      </c>
      <c r="AF93" s="13">
        <v>5169.92</v>
      </c>
      <c r="AG93" s="13">
        <v>5178.3900000000003</v>
      </c>
      <c r="AH93" s="13">
        <v>5187.4799999999996</v>
      </c>
      <c r="AI93" s="13">
        <v>5187.6499999999996</v>
      </c>
      <c r="AJ93" s="13">
        <v>5188.9399999999996</v>
      </c>
      <c r="AK93" s="13">
        <v>5183.7</v>
      </c>
      <c r="AL93" s="13">
        <v>5179.84</v>
      </c>
      <c r="AM93" s="13">
        <v>5184.43</v>
      </c>
      <c r="AN93" s="13">
        <v>5179.95</v>
      </c>
      <c r="AO93" s="13">
        <v>5179.71</v>
      </c>
      <c r="AP93" s="13">
        <v>5181.24</v>
      </c>
      <c r="AQ93" s="13">
        <v>5176.09</v>
      </c>
      <c r="AR93" s="13">
        <v>5174.91</v>
      </c>
      <c r="AS93" s="13">
        <v>5173.97</v>
      </c>
      <c r="AT93" s="13">
        <v>5170.6400000000003</v>
      </c>
      <c r="AU93" s="13">
        <v>5162.59</v>
      </c>
      <c r="AV93" s="13">
        <v>5169.0200000000004</v>
      </c>
      <c r="AW93" s="13">
        <v>5173.7700000000004</v>
      </c>
      <c r="AX93" s="13">
        <v>5174.1400000000003</v>
      </c>
      <c r="AY93" s="13">
        <v>5170.7700000000004</v>
      </c>
      <c r="AZ93" s="13">
        <v>5177.1899999999996</v>
      </c>
      <c r="BA93" s="13">
        <v>5173.2</v>
      </c>
      <c r="BB93" s="13">
        <v>5171.1499999999996</v>
      </c>
      <c r="BC93" s="13">
        <v>5174.79</v>
      </c>
      <c r="BD93" s="13">
        <v>5180.9399999999996</v>
      </c>
      <c r="BE93" s="13">
        <v>5178.43</v>
      </c>
      <c r="BF93" s="13">
        <v>5185.2299999999996</v>
      </c>
      <c r="BG93" s="13">
        <v>5186.45</v>
      </c>
      <c r="BH93" s="13">
        <v>5186.0200000000004</v>
      </c>
      <c r="BI93" s="13">
        <v>5184.32</v>
      </c>
      <c r="BJ93" s="13">
        <v>5182.2299999999996</v>
      </c>
      <c r="BK93" s="13">
        <v>5187.68</v>
      </c>
      <c r="BL93" s="13">
        <v>5181.4399999999996</v>
      </c>
      <c r="BM93" s="13">
        <v>5183.57</v>
      </c>
      <c r="BN93" s="13">
        <v>5181.5</v>
      </c>
      <c r="BO93" s="13">
        <v>5182.76</v>
      </c>
      <c r="BP93" s="13">
        <v>5180.63</v>
      </c>
      <c r="BQ93" s="13">
        <v>5182.7</v>
      </c>
      <c r="BR93" s="13">
        <v>5176.63</v>
      </c>
      <c r="BS93" s="13">
        <v>5179.82</v>
      </c>
      <c r="BT93" s="13">
        <v>5180.5</v>
      </c>
      <c r="BU93" s="13">
        <v>5178.3900000000003</v>
      </c>
      <c r="BV93" s="13">
        <v>5176.66</v>
      </c>
      <c r="BW93" s="13">
        <v>5183.22</v>
      </c>
      <c r="BX93" s="13">
        <v>5178.09</v>
      </c>
      <c r="BY93" s="13">
        <v>5175.54</v>
      </c>
      <c r="BZ93" s="13">
        <v>5176.45</v>
      </c>
      <c r="CA93" s="13">
        <v>5174.09</v>
      </c>
      <c r="CB93" s="13">
        <v>5173.01</v>
      </c>
      <c r="CC93" s="13">
        <v>5177.6899999999996</v>
      </c>
      <c r="CD93" s="13">
        <v>5176.1099999999997</v>
      </c>
      <c r="CE93" s="13">
        <v>5178.9799999999996</v>
      </c>
      <c r="CF93" s="13">
        <v>5187.37</v>
      </c>
      <c r="CG93" s="13">
        <v>5184.88</v>
      </c>
      <c r="CH93" s="13">
        <v>5185.45</v>
      </c>
      <c r="CI93" s="13">
        <v>5184.28</v>
      </c>
      <c r="CJ93" s="13">
        <v>5177.49</v>
      </c>
      <c r="CK93" s="13">
        <v>5178.34</v>
      </c>
      <c r="CL93" s="13">
        <v>5182.78</v>
      </c>
      <c r="CM93" s="13">
        <v>5183.76</v>
      </c>
      <c r="CN93" s="13">
        <v>5186.1499999999996</v>
      </c>
      <c r="CO93" s="13">
        <v>5186.9799999999996</v>
      </c>
      <c r="CP93" s="13">
        <v>5187.2</v>
      </c>
      <c r="CQ93" s="13">
        <v>5191.78</v>
      </c>
      <c r="CR93" s="13">
        <v>5187.66</v>
      </c>
      <c r="CS93" s="13">
        <v>5185.91</v>
      </c>
      <c r="CT93" s="13">
        <v>5187.88</v>
      </c>
      <c r="CU93" s="13">
        <v>5186.37</v>
      </c>
      <c r="CV93" s="13">
        <v>5187.63</v>
      </c>
      <c r="CW93" s="13">
        <v>5191.76</v>
      </c>
      <c r="CX93" s="13">
        <v>5194.95</v>
      </c>
      <c r="CY93" s="13">
        <v>5195.3999999999996</v>
      </c>
      <c r="CZ93" s="13">
        <v>5193.38</v>
      </c>
      <c r="DA93" s="13">
        <v>5190.47</v>
      </c>
      <c r="DB93" s="13">
        <v>5189.3599999999997</v>
      </c>
      <c r="DC93" s="13">
        <v>5189.43</v>
      </c>
      <c r="DD93" s="13">
        <v>5185.8900000000003</v>
      </c>
      <c r="DE93" s="13">
        <v>5185.54</v>
      </c>
      <c r="DF93" s="13">
        <v>5185.7299999999996</v>
      </c>
      <c r="DG93" s="13">
        <v>5187.93</v>
      </c>
      <c r="DH93" s="13">
        <v>5186.75</v>
      </c>
      <c r="DI93" s="13">
        <v>5184.01</v>
      </c>
      <c r="DJ93" s="13">
        <v>5184.5</v>
      </c>
      <c r="DK93" s="13">
        <v>5184.18</v>
      </c>
      <c r="DL93" s="13">
        <v>5188.2</v>
      </c>
      <c r="DM93" s="32"/>
      <c r="DN93" s="33"/>
      <c r="DO93" s="32"/>
      <c r="DP93" s="33"/>
      <c r="DQ93" s="32"/>
      <c r="DR93" s="33"/>
      <c r="DS93" s="32"/>
      <c r="DT93" s="33"/>
      <c r="DU93" s="32"/>
      <c r="DV93" s="33"/>
    </row>
    <row r="94" spans="1:126" ht="15.75" x14ac:dyDescent="0.25">
      <c r="A94" s="14" t="s">
        <v>12</v>
      </c>
      <c r="B94" s="12" t="s">
        <v>9</v>
      </c>
      <c r="C94" s="13">
        <v>5127</v>
      </c>
      <c r="D94" s="13">
        <v>5140.49</v>
      </c>
      <c r="E94" s="13">
        <v>5133.6000000000004</v>
      </c>
      <c r="F94" s="13">
        <v>5132</v>
      </c>
      <c r="G94" s="13">
        <v>5133.1400000000003</v>
      </c>
      <c r="H94" s="13">
        <v>5126.79</v>
      </c>
      <c r="I94" s="13">
        <v>5130.68</v>
      </c>
      <c r="J94" s="13">
        <v>5135.76</v>
      </c>
      <c r="K94" s="13">
        <v>5139</v>
      </c>
      <c r="L94" s="13">
        <v>5139.95</v>
      </c>
      <c r="M94" s="13">
        <v>5145.47</v>
      </c>
      <c r="N94" s="13">
        <v>5138.16</v>
      </c>
      <c r="O94" s="13">
        <v>5139.3599999999997</v>
      </c>
      <c r="P94" s="13">
        <v>5135.6400000000003</v>
      </c>
      <c r="Q94" s="13">
        <v>5131.1899999999996</v>
      </c>
      <c r="R94" s="13">
        <v>5124</v>
      </c>
      <c r="S94" s="13">
        <v>5126.66</v>
      </c>
      <c r="T94" s="13">
        <v>5124.4399999999996</v>
      </c>
      <c r="U94" s="13">
        <v>5121.6099999999997</v>
      </c>
      <c r="V94" s="13">
        <v>5121.9799999999996</v>
      </c>
      <c r="W94" s="13">
        <v>5114.46</v>
      </c>
      <c r="X94" s="13">
        <v>5106.6499999999996</v>
      </c>
      <c r="Y94" s="13">
        <v>5107.38</v>
      </c>
      <c r="Z94" s="13">
        <v>5112.88</v>
      </c>
      <c r="AA94" s="13">
        <v>5117.5</v>
      </c>
      <c r="AB94" s="13">
        <v>5113.45</v>
      </c>
      <c r="AC94" s="13">
        <v>5117.58</v>
      </c>
      <c r="AD94" s="13">
        <v>5117.33</v>
      </c>
      <c r="AE94" s="13">
        <v>5119.28</v>
      </c>
      <c r="AF94" s="13">
        <v>5122.58</v>
      </c>
      <c r="AG94" s="13">
        <v>5129.3100000000004</v>
      </c>
      <c r="AH94" s="13">
        <v>5138.2299999999996</v>
      </c>
      <c r="AI94" s="13">
        <v>5142.25</v>
      </c>
      <c r="AJ94" s="13">
        <v>5126.8599999999997</v>
      </c>
      <c r="AK94" s="13">
        <v>5113.55</v>
      </c>
      <c r="AL94" s="13">
        <v>5117.29</v>
      </c>
      <c r="AM94" s="13">
        <v>5120.03</v>
      </c>
      <c r="AN94" s="13">
        <v>5112.42</v>
      </c>
      <c r="AO94" s="13">
        <v>5113.87</v>
      </c>
      <c r="AP94" s="13">
        <v>5110.0200000000004</v>
      </c>
      <c r="AQ94" s="13">
        <v>5113.03</v>
      </c>
      <c r="AR94" s="13">
        <v>5113.34</v>
      </c>
      <c r="AS94" s="13">
        <v>5098.1899999999996</v>
      </c>
      <c r="AT94" s="13">
        <v>5093.72</v>
      </c>
      <c r="AU94" s="13">
        <v>5092.03</v>
      </c>
      <c r="AV94" s="13">
        <v>5097.6099999999997</v>
      </c>
      <c r="AW94" s="13">
        <v>5106.47</v>
      </c>
      <c r="AX94" s="13">
        <v>5106.92</v>
      </c>
      <c r="AY94" s="13">
        <v>5097.32</v>
      </c>
      <c r="AZ94" s="13">
        <v>5099.4399999999996</v>
      </c>
      <c r="BA94" s="13">
        <v>5096.75</v>
      </c>
      <c r="BB94" s="13">
        <v>5097.5600000000004</v>
      </c>
      <c r="BC94" s="13">
        <v>5099.13</v>
      </c>
      <c r="BD94" s="13">
        <v>5108.33</v>
      </c>
      <c r="BE94" s="13">
        <v>5105.58</v>
      </c>
      <c r="BF94" s="13">
        <v>5103.59</v>
      </c>
      <c r="BG94" s="13">
        <v>5106.55</v>
      </c>
      <c r="BH94" s="13">
        <v>5106.1899999999996</v>
      </c>
      <c r="BI94" s="13">
        <v>5109.79</v>
      </c>
      <c r="BJ94" s="13">
        <v>5107.1400000000003</v>
      </c>
      <c r="BK94" s="13">
        <v>5108.03</v>
      </c>
      <c r="BL94" s="13">
        <v>5105.9799999999996</v>
      </c>
      <c r="BM94" s="13">
        <v>5106.24</v>
      </c>
      <c r="BN94" s="13">
        <v>5105.9799999999996</v>
      </c>
      <c r="BO94" s="13">
        <v>5105.95</v>
      </c>
      <c r="BP94" s="13">
        <v>5105.41</v>
      </c>
      <c r="BQ94" s="13">
        <v>5104.5200000000004</v>
      </c>
      <c r="BR94" s="13">
        <v>5104.91</v>
      </c>
      <c r="BS94" s="13">
        <v>5102.67</v>
      </c>
      <c r="BT94" s="13">
        <v>5103.5200000000004</v>
      </c>
      <c r="BU94" s="13">
        <v>5103.8100000000004</v>
      </c>
      <c r="BV94" s="13">
        <v>5103.04</v>
      </c>
      <c r="BW94" s="13">
        <v>5105.1099999999997</v>
      </c>
      <c r="BX94" s="13">
        <v>5105.32</v>
      </c>
      <c r="BY94" s="13">
        <v>5105.03</v>
      </c>
      <c r="BZ94" s="13">
        <v>5105.32</v>
      </c>
      <c r="CA94" s="13">
        <v>5104.49</v>
      </c>
      <c r="CB94" s="13">
        <v>5103.34</v>
      </c>
      <c r="CC94" s="13">
        <v>5115.99</v>
      </c>
      <c r="CD94" s="13">
        <v>5118.8500000000004</v>
      </c>
      <c r="CE94" s="13">
        <v>5119.76</v>
      </c>
      <c r="CF94" s="13">
        <v>5121.74</v>
      </c>
      <c r="CG94" s="13">
        <v>5131.3999999999996</v>
      </c>
      <c r="CH94" s="13">
        <v>5131.3999999999996</v>
      </c>
      <c r="CI94" s="13">
        <v>5130.25</v>
      </c>
      <c r="CJ94" s="13">
        <v>5127.67</v>
      </c>
      <c r="CK94" s="13">
        <v>5126.41</v>
      </c>
      <c r="CL94" s="13">
        <v>5127.0600000000004</v>
      </c>
      <c r="CM94" s="13">
        <v>5127.91</v>
      </c>
      <c r="CN94" s="13">
        <v>5128.28</v>
      </c>
      <c r="CO94" s="13">
        <v>5127.8500000000004</v>
      </c>
      <c r="CP94" s="13">
        <v>5128.34</v>
      </c>
      <c r="CQ94" s="13">
        <v>5130.32</v>
      </c>
      <c r="CR94" s="13">
        <v>5131.2700000000004</v>
      </c>
      <c r="CS94" s="13">
        <v>5130.2</v>
      </c>
      <c r="CT94" s="13">
        <v>5130.2</v>
      </c>
      <c r="CU94" s="13">
        <v>5129.45</v>
      </c>
      <c r="CV94" s="13">
        <v>5127.0600000000004</v>
      </c>
      <c r="CW94" s="13">
        <v>5131.38</v>
      </c>
      <c r="CX94" s="13">
        <v>5132.04</v>
      </c>
      <c r="CY94" s="13">
        <v>5133.87</v>
      </c>
      <c r="CZ94" s="13">
        <v>5134.47</v>
      </c>
      <c r="DA94" s="13">
        <v>5130.07</v>
      </c>
      <c r="DB94" s="13">
        <v>5129.79</v>
      </c>
      <c r="DC94" s="13">
        <v>5132.3500000000004</v>
      </c>
      <c r="DD94" s="13">
        <v>5129.79</v>
      </c>
      <c r="DE94" s="13">
        <v>5128.47</v>
      </c>
      <c r="DF94" s="13">
        <v>5128.75</v>
      </c>
      <c r="DG94" s="13">
        <v>5128.97</v>
      </c>
      <c r="DH94" s="13">
        <v>5124.46</v>
      </c>
      <c r="DI94" s="13">
        <v>5128.04</v>
      </c>
      <c r="DJ94" s="13">
        <v>5126.13</v>
      </c>
      <c r="DK94" s="13">
        <v>5126.42</v>
      </c>
      <c r="DL94" s="13">
        <v>5126.1899999999996</v>
      </c>
      <c r="DM94" s="32"/>
      <c r="DN94" s="33"/>
      <c r="DO94" s="32"/>
      <c r="DP94" s="33"/>
      <c r="DQ94" s="32"/>
      <c r="DR94" s="33"/>
      <c r="DS94" s="32"/>
      <c r="DT94" s="33"/>
      <c r="DU94" s="32"/>
      <c r="DV94" s="33"/>
    </row>
    <row r="95" spans="1:126" ht="15.75" x14ac:dyDescent="0.25">
      <c r="A95" s="14" t="s">
        <v>12</v>
      </c>
      <c r="B95" s="12" t="s">
        <v>7</v>
      </c>
      <c r="C95" s="13">
        <v>5127</v>
      </c>
      <c r="D95" s="13">
        <v>5133.13</v>
      </c>
      <c r="E95" s="13">
        <v>5130.71</v>
      </c>
      <c r="F95" s="13">
        <v>5130.03</v>
      </c>
      <c r="G95" s="13">
        <v>5129.71</v>
      </c>
      <c r="H95" s="13">
        <v>5126.79</v>
      </c>
      <c r="I95" s="13">
        <v>5125.9399999999996</v>
      </c>
      <c r="J95" s="13">
        <v>5128.18</v>
      </c>
      <c r="K95" s="13">
        <v>5133.51</v>
      </c>
      <c r="L95" s="13">
        <v>5135.66</v>
      </c>
      <c r="M95" s="13">
        <v>5136.7700000000004</v>
      </c>
      <c r="N95" s="13">
        <v>5135.8100000000004</v>
      </c>
      <c r="O95" s="13">
        <v>5133.7700000000004</v>
      </c>
      <c r="P95" s="13">
        <v>5131.5</v>
      </c>
      <c r="Q95" s="13">
        <v>5128.29</v>
      </c>
      <c r="R95" s="13">
        <v>5120.97</v>
      </c>
      <c r="S95" s="13">
        <v>5121.13</v>
      </c>
      <c r="T95" s="13">
        <v>5122.55</v>
      </c>
      <c r="U95" s="13">
        <v>5120.57</v>
      </c>
      <c r="V95" s="13">
        <v>5119.8900000000003</v>
      </c>
      <c r="W95" s="13">
        <v>5113.95</v>
      </c>
      <c r="X95" s="13">
        <v>5105.72</v>
      </c>
      <c r="Y95" s="13">
        <v>5105.05</v>
      </c>
      <c r="Z95" s="13">
        <v>5107.88</v>
      </c>
      <c r="AA95" s="13">
        <v>5113.24</v>
      </c>
      <c r="AB95" s="13">
        <v>5111.71</v>
      </c>
      <c r="AC95" s="13">
        <v>5113.84</v>
      </c>
      <c r="AD95" s="13">
        <v>5117.33</v>
      </c>
      <c r="AE95" s="13">
        <v>5116.34</v>
      </c>
      <c r="AF95" s="13">
        <v>5116.84</v>
      </c>
      <c r="AG95" s="13">
        <v>5120.72</v>
      </c>
      <c r="AH95" s="13">
        <v>5129.8100000000004</v>
      </c>
      <c r="AI95" s="13">
        <v>5131.5600000000004</v>
      </c>
      <c r="AJ95" s="13">
        <v>5113.7299999999996</v>
      </c>
      <c r="AK95" s="13">
        <v>5108.18</v>
      </c>
      <c r="AL95" s="13">
        <v>5107.8999999999996</v>
      </c>
      <c r="AM95" s="13">
        <v>5106.43</v>
      </c>
      <c r="AN95" s="13">
        <v>5106.22</v>
      </c>
      <c r="AO95" s="13">
        <v>5103.3999999999996</v>
      </c>
      <c r="AP95" s="13">
        <v>5103.08</v>
      </c>
      <c r="AQ95" s="13">
        <v>5103.79</v>
      </c>
      <c r="AR95" s="13">
        <v>5104.22</v>
      </c>
      <c r="AS95" s="13">
        <v>5098.1899999999996</v>
      </c>
      <c r="AT95" s="13">
        <v>5056.1099999999997</v>
      </c>
      <c r="AU95" s="13">
        <v>5071.92</v>
      </c>
      <c r="AV95" s="13">
        <v>5072.82</v>
      </c>
      <c r="AW95" s="13">
        <v>5095.41</v>
      </c>
      <c r="AX95" s="13">
        <v>5091.63</v>
      </c>
      <c r="AY95" s="13">
        <v>5096.1400000000003</v>
      </c>
      <c r="AZ95" s="13">
        <v>5097.1099999999997</v>
      </c>
      <c r="BA95" s="13">
        <v>5095.6099999999997</v>
      </c>
      <c r="BB95" s="13">
        <v>5092.3</v>
      </c>
      <c r="BC95" s="13">
        <v>5094.51</v>
      </c>
      <c r="BD95" s="13">
        <v>5099.13</v>
      </c>
      <c r="BE95" s="13">
        <v>5105.08</v>
      </c>
      <c r="BF95" s="13">
        <v>5101.87</v>
      </c>
      <c r="BG95" s="13">
        <v>5103.66</v>
      </c>
      <c r="BH95" s="13">
        <v>5105.08</v>
      </c>
      <c r="BI95" s="13">
        <v>5107.01</v>
      </c>
      <c r="BJ95" s="13">
        <v>5106.3100000000004</v>
      </c>
      <c r="BK95" s="13">
        <v>5105.95</v>
      </c>
      <c r="BL95" s="13">
        <v>5103.18</v>
      </c>
      <c r="BM95" s="13">
        <v>5099.88</v>
      </c>
      <c r="BN95" s="13">
        <v>5104.43</v>
      </c>
      <c r="BO95" s="13">
        <v>5104.68</v>
      </c>
      <c r="BP95" s="13">
        <v>5103.6000000000004</v>
      </c>
      <c r="BQ95" s="13">
        <v>5103.45</v>
      </c>
      <c r="BR95" s="13">
        <v>5103.47</v>
      </c>
      <c r="BS95" s="13">
        <v>5101.5</v>
      </c>
      <c r="BT95" s="13">
        <v>5101.2299999999996</v>
      </c>
      <c r="BU95" s="13">
        <v>5102.87</v>
      </c>
      <c r="BV95" s="13">
        <v>5101.96</v>
      </c>
      <c r="BW95" s="13">
        <v>5096.96</v>
      </c>
      <c r="BX95" s="13">
        <v>5104.17</v>
      </c>
      <c r="BY95" s="13">
        <v>5103.57</v>
      </c>
      <c r="BZ95" s="13">
        <v>5103.32</v>
      </c>
      <c r="CA95" s="13">
        <v>5103.91</v>
      </c>
      <c r="CB95" s="13">
        <v>5103.0600000000004</v>
      </c>
      <c r="CC95" s="13">
        <v>5098.3</v>
      </c>
      <c r="CD95" s="13">
        <v>5115.9799999999996</v>
      </c>
      <c r="CE95" s="13">
        <v>5118.26</v>
      </c>
      <c r="CF95" s="13">
        <v>5119.2700000000004</v>
      </c>
      <c r="CG95" s="13">
        <v>5122.54</v>
      </c>
      <c r="CH95" s="13">
        <v>5129.9799999999996</v>
      </c>
      <c r="CI95" s="13">
        <v>5128.0600000000004</v>
      </c>
      <c r="CJ95" s="13">
        <v>5127.67</v>
      </c>
      <c r="CK95" s="13">
        <v>5124.8100000000004</v>
      </c>
      <c r="CL95" s="13">
        <v>5124.95</v>
      </c>
      <c r="CM95" s="13">
        <v>5126.28</v>
      </c>
      <c r="CN95" s="13">
        <v>5127.13</v>
      </c>
      <c r="CO95" s="13">
        <v>5127.7700000000004</v>
      </c>
      <c r="CP95" s="13">
        <v>5127.51</v>
      </c>
      <c r="CQ95" s="13">
        <v>5127.51</v>
      </c>
      <c r="CR95" s="13">
        <v>5128.49</v>
      </c>
      <c r="CS95" s="13">
        <v>5127.92</v>
      </c>
      <c r="CT95" s="13">
        <v>5129.24</v>
      </c>
      <c r="CU95" s="13">
        <v>5127.63</v>
      </c>
      <c r="CV95" s="13">
        <v>5127.0600000000004</v>
      </c>
      <c r="CW95" s="13">
        <v>5127.0600000000004</v>
      </c>
      <c r="CX95" s="13">
        <v>5132.04</v>
      </c>
      <c r="CY95" s="13">
        <v>5131.74</v>
      </c>
      <c r="CZ95" s="13">
        <v>5133.87</v>
      </c>
      <c r="DA95" s="13">
        <v>5130.07</v>
      </c>
      <c r="DB95" s="13">
        <v>5129.79</v>
      </c>
      <c r="DC95" s="13">
        <v>5130.97</v>
      </c>
      <c r="DD95" s="13">
        <v>5129.79</v>
      </c>
      <c r="DE95" s="13">
        <v>5125.72</v>
      </c>
      <c r="DF95" s="13">
        <v>5128.66</v>
      </c>
      <c r="DG95" s="13">
        <v>5128.75</v>
      </c>
      <c r="DH95" s="13">
        <v>5124.22</v>
      </c>
      <c r="DI95" s="13">
        <v>5124.01</v>
      </c>
      <c r="DJ95" s="13">
        <v>5124.5</v>
      </c>
      <c r="DK95" s="13">
        <v>5123.3</v>
      </c>
      <c r="DL95" s="13">
        <v>5124.6000000000004</v>
      </c>
      <c r="DM95" s="32"/>
      <c r="DN95" s="33"/>
      <c r="DO95" s="32"/>
      <c r="DP95" s="33"/>
      <c r="DQ95" s="32"/>
      <c r="DR95" s="33"/>
      <c r="DS95" s="32"/>
      <c r="DT95" s="33"/>
      <c r="DU95" s="32"/>
      <c r="DV95" s="33"/>
    </row>
    <row r="96" spans="1:126" ht="15.75" x14ac:dyDescent="0.25">
      <c r="A96" s="14"/>
      <c r="B96" s="12"/>
      <c r="C96" s="13">
        <f t="shared" ref="C96:AH96" si="58">(C92+C93+C94+C95)/4</f>
        <v>5136.25</v>
      </c>
      <c r="D96" s="13">
        <f t="shared" si="58"/>
        <v>5146.8575000000001</v>
      </c>
      <c r="E96" s="13">
        <f t="shared" si="58"/>
        <v>5142.7400000000007</v>
      </c>
      <c r="F96" s="13">
        <f t="shared" si="58"/>
        <v>5140.6099999999997</v>
      </c>
      <c r="G96" s="13">
        <f t="shared" si="58"/>
        <v>5140.88</v>
      </c>
      <c r="H96" s="13">
        <f t="shared" si="58"/>
        <v>5137.6774999999998</v>
      </c>
      <c r="I96" s="13">
        <f t="shared" si="58"/>
        <v>5138.4124999999995</v>
      </c>
      <c r="J96" s="13">
        <f t="shared" si="58"/>
        <v>5142.7574999999997</v>
      </c>
      <c r="K96" s="13">
        <f t="shared" si="58"/>
        <v>5145.5650000000005</v>
      </c>
      <c r="L96" s="13">
        <f t="shared" si="58"/>
        <v>5147.01</v>
      </c>
      <c r="M96" s="13">
        <f t="shared" si="58"/>
        <v>5149.47</v>
      </c>
      <c r="N96" s="13">
        <f t="shared" si="58"/>
        <v>5146.3225000000002</v>
      </c>
      <c r="O96" s="13">
        <f t="shared" si="58"/>
        <v>5151.0700000000006</v>
      </c>
      <c r="P96" s="13">
        <f t="shared" si="58"/>
        <v>5148.6575000000003</v>
      </c>
      <c r="Q96" s="13">
        <f t="shared" si="58"/>
        <v>5148.1549999999997</v>
      </c>
      <c r="R96" s="13">
        <f t="shared" si="58"/>
        <v>5140.0725000000002</v>
      </c>
      <c r="S96" s="13">
        <f t="shared" si="58"/>
        <v>5140.6400000000003</v>
      </c>
      <c r="T96" s="13">
        <f t="shared" si="58"/>
        <v>5140.5024999999996</v>
      </c>
      <c r="U96" s="13">
        <f t="shared" si="58"/>
        <v>5142.1525000000001</v>
      </c>
      <c r="V96" s="13">
        <f t="shared" si="58"/>
        <v>5139.6875</v>
      </c>
      <c r="W96" s="13">
        <f t="shared" si="58"/>
        <v>5134.415</v>
      </c>
      <c r="X96" s="13">
        <f t="shared" si="58"/>
        <v>5125.5725000000002</v>
      </c>
      <c r="Y96" s="13">
        <f t="shared" si="58"/>
        <v>5128.3249999999998</v>
      </c>
      <c r="Z96" s="13">
        <f t="shared" si="58"/>
        <v>5132.6000000000004</v>
      </c>
      <c r="AA96" s="13">
        <f t="shared" si="58"/>
        <v>5138.0025000000005</v>
      </c>
      <c r="AB96" s="13">
        <f t="shared" si="58"/>
        <v>5135.5374999999995</v>
      </c>
      <c r="AC96" s="13">
        <f t="shared" si="58"/>
        <v>5140.1650000000009</v>
      </c>
      <c r="AD96" s="13">
        <f t="shared" si="58"/>
        <v>5138.5950000000003</v>
      </c>
      <c r="AE96" s="13">
        <f t="shared" si="58"/>
        <v>5143.7299999999996</v>
      </c>
      <c r="AF96" s="13">
        <f t="shared" si="58"/>
        <v>5145.42</v>
      </c>
      <c r="AG96" s="13">
        <f t="shared" si="58"/>
        <v>5151.8525000000009</v>
      </c>
      <c r="AH96" s="13">
        <f t="shared" si="58"/>
        <v>5160.75</v>
      </c>
      <c r="AI96" s="13">
        <f t="shared" ref="AI96:BN96" si="59">(AI92+AI93+AI94+AI95)/4</f>
        <v>5162.6350000000002</v>
      </c>
      <c r="AJ96" s="13">
        <f t="shared" si="59"/>
        <v>5155.7474999999995</v>
      </c>
      <c r="AK96" s="13">
        <f t="shared" si="59"/>
        <v>5148.0775000000003</v>
      </c>
      <c r="AL96" s="13">
        <f t="shared" si="59"/>
        <v>5147.5499999999993</v>
      </c>
      <c r="AM96" s="13">
        <f t="shared" si="59"/>
        <v>5149.0124999999998</v>
      </c>
      <c r="AN96" s="13">
        <f t="shared" si="59"/>
        <v>5145.5074999999997</v>
      </c>
      <c r="AO96" s="13">
        <f t="shared" si="59"/>
        <v>5145.3824999999997</v>
      </c>
      <c r="AP96" s="13">
        <f t="shared" si="59"/>
        <v>5144.6224999999995</v>
      </c>
      <c r="AQ96" s="13">
        <f t="shared" si="59"/>
        <v>5143.5825000000004</v>
      </c>
      <c r="AR96" s="13">
        <f t="shared" si="59"/>
        <v>5143.1725000000006</v>
      </c>
      <c r="AS96" s="13">
        <f t="shared" si="59"/>
        <v>5137.0824999999995</v>
      </c>
      <c r="AT96" s="13">
        <f t="shared" si="59"/>
        <v>5123.5950000000003</v>
      </c>
      <c r="AU96" s="13">
        <f t="shared" si="59"/>
        <v>5125.0200000000004</v>
      </c>
      <c r="AV96" s="13">
        <f t="shared" si="59"/>
        <v>5127.1175000000003</v>
      </c>
      <c r="AW96" s="13">
        <f t="shared" si="59"/>
        <v>5137.5625</v>
      </c>
      <c r="AX96" s="13">
        <f t="shared" si="59"/>
        <v>5137.7700000000004</v>
      </c>
      <c r="AY96" s="13">
        <f t="shared" si="59"/>
        <v>5135.9575000000004</v>
      </c>
      <c r="AZ96" s="13">
        <f t="shared" si="59"/>
        <v>5138.8225000000002</v>
      </c>
      <c r="BA96" s="13">
        <f t="shared" si="59"/>
        <v>5135.3649999999998</v>
      </c>
      <c r="BB96" s="13">
        <f t="shared" si="59"/>
        <v>5133.9449999999997</v>
      </c>
      <c r="BC96" s="13">
        <f t="shared" si="59"/>
        <v>5136.2350000000006</v>
      </c>
      <c r="BD96" s="13">
        <f t="shared" si="59"/>
        <v>5142.58</v>
      </c>
      <c r="BE96" s="13">
        <f t="shared" si="59"/>
        <v>5143.8575000000001</v>
      </c>
      <c r="BF96" s="13">
        <f t="shared" si="59"/>
        <v>5143.9799999999996</v>
      </c>
      <c r="BG96" s="13">
        <f t="shared" si="59"/>
        <v>5145.7775000000001</v>
      </c>
      <c r="BH96" s="13">
        <f t="shared" si="59"/>
        <v>5146.3250000000007</v>
      </c>
      <c r="BI96" s="13">
        <f t="shared" si="59"/>
        <v>5147.7775000000001</v>
      </c>
      <c r="BJ96" s="13">
        <f t="shared" si="59"/>
        <v>5146.125</v>
      </c>
      <c r="BK96" s="13">
        <f t="shared" si="59"/>
        <v>5147.335</v>
      </c>
      <c r="BL96" s="13">
        <f t="shared" si="59"/>
        <v>5144.09</v>
      </c>
      <c r="BM96" s="13">
        <f t="shared" si="59"/>
        <v>5143.76</v>
      </c>
      <c r="BN96" s="13">
        <f t="shared" si="59"/>
        <v>5144.62</v>
      </c>
      <c r="BO96" s="13">
        <f t="shared" ref="BO96:CT96" si="60">(BO92+BO93+BO94+BO95)/4</f>
        <v>5144.7</v>
      </c>
      <c r="BP96" s="13">
        <f t="shared" si="60"/>
        <v>5143.2024999999994</v>
      </c>
      <c r="BQ96" s="13">
        <f t="shared" si="60"/>
        <v>5143.6925000000001</v>
      </c>
      <c r="BR96" s="13">
        <f t="shared" si="60"/>
        <v>5142.3275000000003</v>
      </c>
      <c r="BS96" s="13">
        <f t="shared" si="60"/>
        <v>5142.2250000000004</v>
      </c>
      <c r="BT96" s="13">
        <f t="shared" si="60"/>
        <v>5142.3649999999998</v>
      </c>
      <c r="BU96" s="13">
        <f t="shared" si="60"/>
        <v>5142.415</v>
      </c>
      <c r="BV96" s="13">
        <f t="shared" si="60"/>
        <v>5141.4399999999996</v>
      </c>
      <c r="BW96" s="13">
        <f t="shared" si="60"/>
        <v>5142.1274999999996</v>
      </c>
      <c r="BX96" s="13">
        <f t="shared" si="60"/>
        <v>5143.1774999999998</v>
      </c>
      <c r="BY96" s="13">
        <f t="shared" si="60"/>
        <v>5141.4074999999993</v>
      </c>
      <c r="BZ96" s="13">
        <f t="shared" si="60"/>
        <v>5141.5499999999993</v>
      </c>
      <c r="CA96" s="13">
        <f t="shared" si="60"/>
        <v>5140.6550000000007</v>
      </c>
      <c r="CB96" s="13">
        <f t="shared" si="60"/>
        <v>5139.3900000000003</v>
      </c>
      <c r="CC96" s="13">
        <f t="shared" si="60"/>
        <v>5143.0024999999996</v>
      </c>
      <c r="CD96" s="13">
        <f t="shared" si="60"/>
        <v>5148.4799999999996</v>
      </c>
      <c r="CE96" s="13">
        <f t="shared" si="60"/>
        <v>5149.3</v>
      </c>
      <c r="CF96" s="13">
        <f t="shared" si="60"/>
        <v>5154.2824999999993</v>
      </c>
      <c r="CG96" s="13">
        <f t="shared" si="60"/>
        <v>5156.87</v>
      </c>
      <c r="CH96" s="13">
        <f t="shared" si="60"/>
        <v>5158.3225000000002</v>
      </c>
      <c r="CI96" s="13">
        <f t="shared" si="60"/>
        <v>5157.2025000000003</v>
      </c>
      <c r="CJ96" s="13">
        <f t="shared" si="60"/>
        <v>5154.3950000000004</v>
      </c>
      <c r="CK96" s="13">
        <f t="shared" si="60"/>
        <v>5153.3074999999999</v>
      </c>
      <c r="CL96" s="13">
        <f t="shared" si="60"/>
        <v>5154.8250000000007</v>
      </c>
      <c r="CM96" s="13">
        <f t="shared" si="60"/>
        <v>5156.2174999999997</v>
      </c>
      <c r="CN96" s="13">
        <f t="shared" si="60"/>
        <v>5157.4674999999997</v>
      </c>
      <c r="CO96" s="13">
        <f t="shared" si="60"/>
        <v>5158.4375</v>
      </c>
      <c r="CP96" s="13">
        <f t="shared" si="60"/>
        <v>5158.2975000000006</v>
      </c>
      <c r="CQ96" s="13">
        <f t="shared" si="60"/>
        <v>5160.3624999999993</v>
      </c>
      <c r="CR96" s="13">
        <f t="shared" si="60"/>
        <v>5160.0275000000001</v>
      </c>
      <c r="CS96" s="13">
        <f t="shared" si="60"/>
        <v>5158.7700000000004</v>
      </c>
      <c r="CT96" s="13">
        <f t="shared" si="60"/>
        <v>5159.5</v>
      </c>
      <c r="CU96" s="13">
        <f t="shared" ref="CU96:DL96" si="61">(CU92+CU93+CU94+CU95)/4</f>
        <v>5158.0225</v>
      </c>
      <c r="CV96" s="13">
        <f t="shared" si="61"/>
        <v>5158.067500000001</v>
      </c>
      <c r="CW96" s="13">
        <f t="shared" si="61"/>
        <v>5160.9100000000008</v>
      </c>
      <c r="CX96" s="13">
        <f t="shared" si="61"/>
        <v>5164.1025</v>
      </c>
      <c r="CY96" s="13">
        <f t="shared" si="61"/>
        <v>5164.2024999999994</v>
      </c>
      <c r="CZ96" s="13">
        <f t="shared" si="61"/>
        <v>5164.3525</v>
      </c>
      <c r="DA96" s="13">
        <f t="shared" si="61"/>
        <v>5161.2024999999994</v>
      </c>
      <c r="DB96" s="13">
        <f t="shared" si="61"/>
        <v>5160.0425000000005</v>
      </c>
      <c r="DC96" s="13">
        <f t="shared" si="61"/>
        <v>5161.8375000000005</v>
      </c>
      <c r="DD96" s="13">
        <f t="shared" si="61"/>
        <v>5159.1575000000003</v>
      </c>
      <c r="DE96" s="13">
        <f t="shared" si="61"/>
        <v>5157.0625000000009</v>
      </c>
      <c r="DF96" s="13">
        <f t="shared" si="61"/>
        <v>5158.53</v>
      </c>
      <c r="DG96" s="13">
        <f t="shared" si="61"/>
        <v>5158.8074999999999</v>
      </c>
      <c r="DH96" s="13">
        <f t="shared" si="61"/>
        <v>5156.0974999999999</v>
      </c>
      <c r="DI96" s="13">
        <f t="shared" si="61"/>
        <v>5155.5500000000011</v>
      </c>
      <c r="DJ96" s="13">
        <f t="shared" si="61"/>
        <v>5155.0600000000004</v>
      </c>
      <c r="DK96" s="13">
        <f t="shared" si="61"/>
        <v>5156.1075000000001</v>
      </c>
      <c r="DL96" s="13">
        <f t="shared" si="61"/>
        <v>5158.0300000000007</v>
      </c>
      <c r="DM96" s="26"/>
      <c r="DN96" s="25"/>
      <c r="DO96" s="27"/>
      <c r="DP96" s="25"/>
      <c r="DQ96" s="27"/>
      <c r="DR96" s="25"/>
      <c r="DS96" s="27"/>
      <c r="DT96" s="25"/>
    </row>
    <row r="97" spans="1:126" ht="15.75" x14ac:dyDescent="0.25">
      <c r="A97" s="11" t="s">
        <v>5</v>
      </c>
      <c r="B97" s="11" t="s">
        <v>11</v>
      </c>
      <c r="C97" s="15">
        <v>0.375</v>
      </c>
      <c r="D97" s="15">
        <v>0.37847222222222227</v>
      </c>
      <c r="E97" s="15">
        <v>0.38194444444444442</v>
      </c>
      <c r="F97" s="15">
        <v>0.38541666666666669</v>
      </c>
      <c r="G97" s="15">
        <v>0.3888888888888889</v>
      </c>
      <c r="H97" s="15">
        <v>0.3923611111111111</v>
      </c>
      <c r="I97" s="15">
        <v>0.39583333333333331</v>
      </c>
      <c r="J97" s="15">
        <v>0.39930555555555558</v>
      </c>
      <c r="K97" s="15">
        <v>0.40277777777777773</v>
      </c>
      <c r="L97" s="15">
        <v>0.40625</v>
      </c>
      <c r="M97" s="15">
        <v>0.40972222222222227</v>
      </c>
      <c r="N97" s="15">
        <v>0.41319444444444442</v>
      </c>
      <c r="O97" s="15">
        <v>0.41666666666666669</v>
      </c>
      <c r="P97" s="15">
        <v>0.4201388888888889</v>
      </c>
      <c r="Q97" s="15">
        <v>0.4236111111111111</v>
      </c>
      <c r="R97" s="15">
        <v>0.42708333333333331</v>
      </c>
      <c r="S97" s="15">
        <v>0.43055555555555558</v>
      </c>
      <c r="T97" s="15">
        <v>0.43402777777777773</v>
      </c>
      <c r="U97" s="15">
        <v>0.4375</v>
      </c>
      <c r="V97" s="15">
        <v>0.44097222222222227</v>
      </c>
      <c r="W97" s="15">
        <v>0.44444444444444442</v>
      </c>
      <c r="X97" s="15">
        <v>0.44791666666666669</v>
      </c>
      <c r="Y97" s="15">
        <v>0.4513888888888889</v>
      </c>
      <c r="Z97" s="15">
        <v>0.4548611111111111</v>
      </c>
      <c r="AA97" s="15">
        <v>0.45833333333333331</v>
      </c>
      <c r="AB97" s="15">
        <v>0.46180555555555558</v>
      </c>
      <c r="AC97" s="15">
        <v>0.46527777777777773</v>
      </c>
      <c r="AD97" s="15">
        <v>0.46875</v>
      </c>
      <c r="AE97" s="15">
        <v>0.47222222222222227</v>
      </c>
      <c r="AF97" s="15">
        <v>0.47569444444444442</v>
      </c>
      <c r="AG97" s="15">
        <v>0.47916666666666669</v>
      </c>
      <c r="AH97" s="15">
        <v>0.4826388888888889</v>
      </c>
      <c r="AI97" s="15">
        <v>0.4861111111111111</v>
      </c>
      <c r="AJ97" s="15">
        <v>0.48958333333333331</v>
      </c>
      <c r="AK97" s="15">
        <v>0.49305555555555558</v>
      </c>
      <c r="AL97" s="15">
        <v>0.49652777777777773</v>
      </c>
      <c r="AM97" s="15">
        <v>0.5</v>
      </c>
      <c r="AN97" s="15">
        <v>0.50347222222222221</v>
      </c>
      <c r="AO97" s="15">
        <v>0.50694444444444442</v>
      </c>
      <c r="AP97" s="15">
        <v>0.51041666666666663</v>
      </c>
      <c r="AQ97" s="15">
        <v>0.51388888888888895</v>
      </c>
      <c r="AR97" s="15">
        <v>0.51736111111111105</v>
      </c>
      <c r="AS97" s="15">
        <v>0.52083333333333337</v>
      </c>
      <c r="AT97" s="15">
        <v>0.52430555555555558</v>
      </c>
      <c r="AU97" s="15">
        <v>0.52777777777777779</v>
      </c>
      <c r="AV97" s="15">
        <v>0.53125</v>
      </c>
      <c r="AW97" s="15">
        <v>0.53472222222222221</v>
      </c>
      <c r="AX97" s="15">
        <v>0.53819444444444442</v>
      </c>
      <c r="AY97" s="15">
        <v>0.54166666666666663</v>
      </c>
      <c r="AZ97" s="15">
        <v>0.54513888888888895</v>
      </c>
      <c r="BA97" s="15">
        <v>0.54861111111111105</v>
      </c>
      <c r="BB97" s="15">
        <v>0.55208333333333337</v>
      </c>
      <c r="BC97" s="15">
        <v>0.55555555555555558</v>
      </c>
      <c r="BD97" s="15">
        <v>0.55902777777777779</v>
      </c>
      <c r="BE97" s="15">
        <v>0.5625</v>
      </c>
      <c r="BF97" s="15">
        <v>0.56597222222222221</v>
      </c>
      <c r="BG97" s="15">
        <v>0.56944444444444442</v>
      </c>
      <c r="BH97" s="15">
        <v>0.57291666666666663</v>
      </c>
      <c r="BI97" s="15">
        <v>0.57638888888888895</v>
      </c>
      <c r="BJ97" s="15">
        <v>0.57986111111111105</v>
      </c>
      <c r="BK97" s="15">
        <v>0.58333333333333337</v>
      </c>
      <c r="BL97" s="15">
        <v>0.58680555555555558</v>
      </c>
      <c r="BM97" s="15">
        <v>0.59027777777777779</v>
      </c>
      <c r="BN97" s="15">
        <v>0.59375</v>
      </c>
      <c r="BO97" s="15">
        <v>0.59722222222222221</v>
      </c>
      <c r="BP97" s="15">
        <v>0.60069444444444442</v>
      </c>
      <c r="BQ97" s="15">
        <v>0.60416666666666663</v>
      </c>
      <c r="BR97" s="15">
        <v>0.60763888888888895</v>
      </c>
      <c r="BS97" s="15">
        <v>0.61111111111111105</v>
      </c>
      <c r="BT97" s="15">
        <v>0.61458333333333337</v>
      </c>
      <c r="BU97" s="15">
        <v>0.61805555555555558</v>
      </c>
      <c r="BV97" s="15">
        <v>0.62152777777777779</v>
      </c>
      <c r="BW97" s="15">
        <v>0.625</v>
      </c>
      <c r="BX97" s="15">
        <v>0.62847222222222221</v>
      </c>
      <c r="BY97" s="15">
        <v>0.63194444444444442</v>
      </c>
      <c r="BZ97" s="15">
        <v>0.63541666666666663</v>
      </c>
      <c r="CA97" s="15">
        <v>0.63888888888888895</v>
      </c>
      <c r="CB97" s="15">
        <v>0.64236111111111105</v>
      </c>
      <c r="CC97" s="15">
        <v>0.64583333333333337</v>
      </c>
      <c r="CD97" s="15">
        <v>0.64930555555555558</v>
      </c>
      <c r="CE97" s="15">
        <v>0.65277777777777779</v>
      </c>
      <c r="CF97" s="15">
        <v>0.65625</v>
      </c>
      <c r="CG97" s="15">
        <v>0.65972222222222221</v>
      </c>
      <c r="CH97" s="15">
        <v>0.66319444444444442</v>
      </c>
      <c r="CI97" s="15">
        <v>0.66666666666666663</v>
      </c>
      <c r="CJ97" s="15">
        <v>0.67013888888888884</v>
      </c>
      <c r="CK97" s="15">
        <v>0.67361111111111116</v>
      </c>
      <c r="CL97" s="15">
        <v>0.67708333333333337</v>
      </c>
      <c r="CM97" s="15">
        <v>0.68055555555555547</v>
      </c>
      <c r="CN97" s="15">
        <v>0.68402777777777779</v>
      </c>
      <c r="CO97" s="15">
        <v>0.6875</v>
      </c>
      <c r="CP97" s="15">
        <v>0.69097222222222221</v>
      </c>
      <c r="CQ97" s="15">
        <v>0.69444444444444453</v>
      </c>
      <c r="CR97" s="15">
        <v>0.69791666666666663</v>
      </c>
      <c r="CS97" s="15">
        <v>0.70138888888888884</v>
      </c>
      <c r="CT97" s="15">
        <v>0.70486111111111116</v>
      </c>
      <c r="CU97" s="15">
        <v>0.70833333333333337</v>
      </c>
      <c r="CV97" s="15">
        <v>0.71180555555555547</v>
      </c>
      <c r="CW97" s="15">
        <v>0.71527777777777779</v>
      </c>
      <c r="CX97" s="15">
        <v>0.71875</v>
      </c>
      <c r="CY97" s="15">
        <v>0.72222222222222221</v>
      </c>
      <c r="CZ97" s="15">
        <v>0.72569444444444453</v>
      </c>
      <c r="DA97" s="15">
        <v>0.72916666666666663</v>
      </c>
      <c r="DB97" s="15">
        <v>0.73263888888888884</v>
      </c>
      <c r="DC97" s="15">
        <v>0.73611111111111116</v>
      </c>
      <c r="DD97" s="15">
        <v>0.73958333333333337</v>
      </c>
      <c r="DE97" s="15">
        <v>0.74305555555555547</v>
      </c>
      <c r="DF97" s="15">
        <v>0.74652777777777779</v>
      </c>
      <c r="DG97" s="15">
        <v>0.75</v>
      </c>
      <c r="DH97" s="15">
        <v>0.75347222222222221</v>
      </c>
      <c r="DI97" s="15">
        <v>0.75694444444444453</v>
      </c>
      <c r="DJ97" s="15">
        <v>0.76041666666666663</v>
      </c>
      <c r="DK97" s="15">
        <v>0.76388888888888884</v>
      </c>
      <c r="DL97" s="15">
        <v>0.76736111111111116</v>
      </c>
      <c r="DM97" s="23">
        <v>44369</v>
      </c>
    </row>
    <row r="98" spans="1:126" ht="15.75" x14ac:dyDescent="0.25">
      <c r="A98" s="14">
        <v>44188</v>
      </c>
      <c r="B98" s="12" t="s">
        <v>6</v>
      </c>
      <c r="C98" s="13">
        <v>5265.35</v>
      </c>
      <c r="D98" s="13">
        <v>5265.35</v>
      </c>
      <c r="E98" s="13">
        <v>5259.87</v>
      </c>
      <c r="F98" s="13">
        <v>5258.71</v>
      </c>
      <c r="G98" s="13">
        <v>5258.71</v>
      </c>
      <c r="H98" s="13">
        <v>5253.96</v>
      </c>
      <c r="I98" s="13">
        <v>5246.51</v>
      </c>
      <c r="J98" s="13">
        <v>5258.83</v>
      </c>
      <c r="K98" s="13">
        <v>5250.78</v>
      </c>
      <c r="L98" s="13">
        <v>5242.17</v>
      </c>
      <c r="M98" s="13">
        <v>5248.56</v>
      </c>
      <c r="N98" s="13">
        <v>5248.74</v>
      </c>
      <c r="O98" s="13">
        <v>5260.39</v>
      </c>
      <c r="P98" s="13">
        <v>5255.92</v>
      </c>
      <c r="Q98" s="13">
        <v>5255.39</v>
      </c>
      <c r="R98" s="13">
        <v>5259.3</v>
      </c>
      <c r="S98" s="13">
        <v>5257.56</v>
      </c>
      <c r="T98" s="13">
        <v>5252.31</v>
      </c>
      <c r="U98" s="13">
        <v>5249.19</v>
      </c>
      <c r="V98" s="13">
        <v>5249.74</v>
      </c>
      <c r="W98" s="13">
        <v>5246.62</v>
      </c>
      <c r="X98" s="13">
        <v>5254.91</v>
      </c>
      <c r="Y98" s="13">
        <v>5254.93</v>
      </c>
      <c r="Z98" s="13">
        <v>5249.34</v>
      </c>
      <c r="AA98" s="13">
        <v>5251.18</v>
      </c>
      <c r="AB98" s="13">
        <v>5253.87</v>
      </c>
      <c r="AC98" s="13">
        <v>5247.8</v>
      </c>
      <c r="AD98" s="13">
        <v>5241.8599999999997</v>
      </c>
      <c r="AE98" s="13">
        <v>5252.44</v>
      </c>
      <c r="AF98" s="13">
        <v>5248.56</v>
      </c>
      <c r="AG98" s="13">
        <v>5246.4</v>
      </c>
      <c r="AH98" s="13">
        <v>5250.13</v>
      </c>
      <c r="AI98" s="13">
        <v>5249.37</v>
      </c>
      <c r="AJ98" s="13">
        <v>5233.43</v>
      </c>
      <c r="AK98" s="13">
        <v>5233.3100000000004</v>
      </c>
      <c r="AL98" s="13">
        <v>5239.8500000000004</v>
      </c>
      <c r="AM98" s="13">
        <v>5242.2299999999996</v>
      </c>
      <c r="AN98" s="13">
        <v>5256.09</v>
      </c>
      <c r="AO98" s="13">
        <v>5253.86</v>
      </c>
      <c r="AP98" s="13">
        <v>5256.41</v>
      </c>
      <c r="AQ98" s="13">
        <v>5271.84</v>
      </c>
      <c r="AR98" s="13">
        <v>5276.79</v>
      </c>
      <c r="AS98" s="13">
        <v>5283.14</v>
      </c>
      <c r="AT98" s="13">
        <v>5284.56</v>
      </c>
      <c r="AU98" s="13">
        <v>5285.34</v>
      </c>
      <c r="AV98" s="13">
        <v>5286.19</v>
      </c>
      <c r="AW98" s="13">
        <v>5288.87</v>
      </c>
      <c r="AX98" s="13">
        <v>5293.48</v>
      </c>
      <c r="AY98" s="13">
        <v>5294.56</v>
      </c>
      <c r="AZ98" s="13">
        <v>5293.27</v>
      </c>
      <c r="BA98" s="13">
        <v>5295.72</v>
      </c>
      <c r="BB98" s="13">
        <v>5284.65</v>
      </c>
      <c r="BC98" s="13">
        <v>5284.58</v>
      </c>
      <c r="BD98" s="13">
        <v>5280.38</v>
      </c>
      <c r="BE98" s="13">
        <v>5291.19</v>
      </c>
      <c r="BF98" s="13">
        <v>5292.65</v>
      </c>
      <c r="BG98" s="13">
        <v>5292.14</v>
      </c>
      <c r="BH98" s="13">
        <v>5291.96</v>
      </c>
      <c r="BI98" s="13">
        <v>5293.29</v>
      </c>
      <c r="BJ98" s="13">
        <v>5289.11</v>
      </c>
      <c r="BK98" s="13">
        <v>5291.73</v>
      </c>
      <c r="BL98" s="13">
        <v>5288.65</v>
      </c>
      <c r="BM98" s="13">
        <v>5287.34</v>
      </c>
      <c r="BN98" s="13">
        <v>5291.28</v>
      </c>
      <c r="BO98" s="13">
        <v>5286.58</v>
      </c>
      <c r="BP98" s="13">
        <v>5289.01</v>
      </c>
      <c r="BQ98" s="13">
        <v>5290.94</v>
      </c>
      <c r="BR98" s="13">
        <v>5292.79</v>
      </c>
      <c r="BS98" s="13">
        <v>5292.75</v>
      </c>
      <c r="BT98" s="13">
        <v>5294.44</v>
      </c>
      <c r="BU98" s="13">
        <v>5291.36</v>
      </c>
      <c r="BV98" s="13">
        <v>5291.65</v>
      </c>
      <c r="BW98" s="13">
        <v>5290.6</v>
      </c>
      <c r="BX98" s="13">
        <v>5286.01</v>
      </c>
      <c r="BY98" s="13">
        <v>5283.58</v>
      </c>
      <c r="BZ98" s="13">
        <v>5275.92</v>
      </c>
      <c r="CA98" s="13">
        <v>5276.89</v>
      </c>
      <c r="CB98" s="13">
        <v>5280.88</v>
      </c>
      <c r="CC98" s="13">
        <v>5282.31</v>
      </c>
      <c r="CD98" s="13">
        <v>5278.65</v>
      </c>
      <c r="CE98" s="13">
        <v>5273.11</v>
      </c>
      <c r="CF98" s="13">
        <v>5263.1</v>
      </c>
      <c r="CG98" s="13">
        <v>5273.65</v>
      </c>
      <c r="CH98" s="13">
        <v>5268.34</v>
      </c>
      <c r="CI98" s="13">
        <v>5275.88</v>
      </c>
      <c r="CJ98" s="13">
        <v>5264.4</v>
      </c>
      <c r="CK98" s="13">
        <v>5267.87</v>
      </c>
      <c r="CL98" s="13">
        <v>5267.91</v>
      </c>
      <c r="CM98" s="13">
        <v>5271.68</v>
      </c>
      <c r="CN98" s="13">
        <v>5271.59</v>
      </c>
      <c r="CO98" s="13">
        <v>5276.61</v>
      </c>
      <c r="CP98" s="13">
        <v>5250.45</v>
      </c>
      <c r="CQ98" s="13">
        <v>5254.01</v>
      </c>
      <c r="CR98" s="13">
        <v>5244.91</v>
      </c>
      <c r="CS98" s="13">
        <v>5245.35</v>
      </c>
      <c r="CT98" s="13">
        <v>5248.48</v>
      </c>
      <c r="CU98" s="13">
        <v>5244.44</v>
      </c>
      <c r="CV98" s="13">
        <v>5246.98</v>
      </c>
      <c r="CW98" s="13">
        <v>5249.55</v>
      </c>
      <c r="CX98" s="13">
        <v>5248.77</v>
      </c>
      <c r="CY98" s="13">
        <v>5244.68</v>
      </c>
      <c r="CZ98" s="13">
        <v>5227.57</v>
      </c>
      <c r="DA98" s="13">
        <v>5229.34</v>
      </c>
      <c r="DB98" s="13">
        <v>5229.38</v>
      </c>
      <c r="DC98" s="13">
        <v>5229.1099999999997</v>
      </c>
      <c r="DD98" s="13">
        <v>5229.01</v>
      </c>
      <c r="DE98" s="13">
        <v>5228.41</v>
      </c>
      <c r="DF98" s="13">
        <v>5237.1000000000004</v>
      </c>
      <c r="DG98" s="13">
        <v>5237.24</v>
      </c>
      <c r="DH98" s="13">
        <v>5250.32</v>
      </c>
      <c r="DI98" s="13">
        <v>5251.47</v>
      </c>
      <c r="DJ98" s="13">
        <v>5250.58</v>
      </c>
      <c r="DK98" s="13">
        <v>5249.99</v>
      </c>
      <c r="DL98" s="13">
        <v>5250.48</v>
      </c>
      <c r="DM98" s="32"/>
      <c r="DN98" s="33"/>
      <c r="DO98" s="32"/>
      <c r="DP98" s="33"/>
      <c r="DQ98" s="32"/>
      <c r="DR98" s="33"/>
      <c r="DS98" s="32"/>
      <c r="DT98" s="33"/>
      <c r="DU98" s="32"/>
      <c r="DV98" s="33"/>
    </row>
    <row r="99" spans="1:126" ht="15.75" x14ac:dyDescent="0.25">
      <c r="A99" s="14" t="s">
        <v>12</v>
      </c>
      <c r="B99" s="12" t="s">
        <v>10</v>
      </c>
      <c r="C99" s="13">
        <v>5265.35</v>
      </c>
      <c r="D99" s="13">
        <v>5243.58</v>
      </c>
      <c r="E99" s="13">
        <v>5243.2</v>
      </c>
      <c r="F99" s="13">
        <v>5250.83</v>
      </c>
      <c r="G99" s="13">
        <v>5246.14</v>
      </c>
      <c r="H99" s="13">
        <v>5246.27</v>
      </c>
      <c r="I99" s="13">
        <v>5236.95</v>
      </c>
      <c r="J99" s="13">
        <v>5245.83</v>
      </c>
      <c r="K99" s="13">
        <v>5241.42</v>
      </c>
      <c r="L99" s="13">
        <v>5241.1499999999996</v>
      </c>
      <c r="M99" s="13">
        <v>5240.74</v>
      </c>
      <c r="N99" s="13">
        <v>5241.04</v>
      </c>
      <c r="O99" s="13">
        <v>5231.54</v>
      </c>
      <c r="P99" s="13">
        <v>5243.4</v>
      </c>
      <c r="Q99" s="13">
        <v>5247.35</v>
      </c>
      <c r="R99" s="13">
        <v>5244.18</v>
      </c>
      <c r="S99" s="13">
        <v>5252.42</v>
      </c>
      <c r="T99" s="13">
        <v>5243.29</v>
      </c>
      <c r="U99" s="13">
        <v>5242.78</v>
      </c>
      <c r="V99" s="13">
        <v>5242.78</v>
      </c>
      <c r="W99" s="13">
        <v>5234.6499999999996</v>
      </c>
      <c r="X99" s="13">
        <v>5254.91</v>
      </c>
      <c r="Y99" s="13">
        <v>5249.23</v>
      </c>
      <c r="Z99" s="13">
        <v>5232.0600000000004</v>
      </c>
      <c r="AA99" s="13">
        <v>5234.46</v>
      </c>
      <c r="AB99" s="13">
        <v>5232.21</v>
      </c>
      <c r="AC99" s="13">
        <v>5233.54</v>
      </c>
      <c r="AD99" s="13">
        <v>5232.46</v>
      </c>
      <c r="AE99" s="13">
        <v>5233.46</v>
      </c>
      <c r="AF99" s="13">
        <v>5242.34</v>
      </c>
      <c r="AG99" s="13">
        <v>5234.29</v>
      </c>
      <c r="AH99" s="13">
        <v>5242.6000000000004</v>
      </c>
      <c r="AI99" s="13">
        <v>5234.03</v>
      </c>
      <c r="AJ99" s="13">
        <v>5225.21</v>
      </c>
      <c r="AK99" s="13">
        <v>5225.08</v>
      </c>
      <c r="AL99" s="13">
        <v>5232.6099999999997</v>
      </c>
      <c r="AM99" s="13">
        <v>5233.41</v>
      </c>
      <c r="AN99" s="13">
        <v>5248.57</v>
      </c>
      <c r="AO99" s="13">
        <v>5240.87</v>
      </c>
      <c r="AP99" s="13">
        <v>5239.16</v>
      </c>
      <c r="AQ99" s="13">
        <v>5262.28</v>
      </c>
      <c r="AR99" s="13">
        <v>5263.73</v>
      </c>
      <c r="AS99" s="13">
        <v>5279.71</v>
      </c>
      <c r="AT99" s="13">
        <v>5280.27</v>
      </c>
      <c r="AU99" s="13">
        <v>5283.63</v>
      </c>
      <c r="AV99" s="13">
        <v>5280.56</v>
      </c>
      <c r="AW99" s="13">
        <v>5281.04</v>
      </c>
      <c r="AX99" s="13">
        <v>5291.91</v>
      </c>
      <c r="AY99" s="13">
        <v>5290.37</v>
      </c>
      <c r="AZ99" s="13">
        <v>5293.27</v>
      </c>
      <c r="BA99" s="13">
        <v>5274.41</v>
      </c>
      <c r="BB99" s="13">
        <v>5266.68</v>
      </c>
      <c r="BC99" s="13">
        <v>5278.77</v>
      </c>
      <c r="BD99" s="13">
        <v>5259.55</v>
      </c>
      <c r="BE99" s="13">
        <v>5289.87</v>
      </c>
      <c r="BF99" s="13">
        <v>5286</v>
      </c>
      <c r="BG99" s="13">
        <v>5290.45</v>
      </c>
      <c r="BH99" s="13">
        <v>5286.06</v>
      </c>
      <c r="BI99" s="13">
        <v>5289.11</v>
      </c>
      <c r="BJ99" s="13">
        <v>5288.87</v>
      </c>
      <c r="BK99" s="13">
        <v>5288.33</v>
      </c>
      <c r="BL99" s="13">
        <v>5287.34</v>
      </c>
      <c r="BM99" s="13">
        <v>5287.17</v>
      </c>
      <c r="BN99" s="13">
        <v>5286.58</v>
      </c>
      <c r="BO99" s="13">
        <v>5284.07</v>
      </c>
      <c r="BP99" s="13">
        <v>5288.37</v>
      </c>
      <c r="BQ99" s="13">
        <v>5288.58</v>
      </c>
      <c r="BR99" s="13">
        <v>5286.8</v>
      </c>
      <c r="BS99" s="13">
        <v>5290.79</v>
      </c>
      <c r="BT99" s="13">
        <v>5291.36</v>
      </c>
      <c r="BU99" s="13">
        <v>5289.15</v>
      </c>
      <c r="BV99" s="13">
        <v>5287.91</v>
      </c>
      <c r="BW99" s="13">
        <v>5283.89</v>
      </c>
      <c r="BX99" s="13">
        <v>5279.9</v>
      </c>
      <c r="BY99" s="13">
        <v>5238.93</v>
      </c>
      <c r="BZ99" s="13">
        <v>5275.92</v>
      </c>
      <c r="CA99" s="13">
        <v>5271.82</v>
      </c>
      <c r="CB99" s="13">
        <v>5278.5</v>
      </c>
      <c r="CC99" s="13">
        <v>5278.82</v>
      </c>
      <c r="CD99" s="13">
        <v>5229.28</v>
      </c>
      <c r="CE99" s="13">
        <v>5258.19</v>
      </c>
      <c r="CF99" s="13">
        <v>5231.45</v>
      </c>
      <c r="CG99" s="13">
        <v>5257.88</v>
      </c>
      <c r="CH99" s="13">
        <v>5247.85</v>
      </c>
      <c r="CI99" s="13">
        <v>5275.88</v>
      </c>
      <c r="CJ99" s="13">
        <v>5253.32</v>
      </c>
      <c r="CK99" s="13">
        <v>5258.67</v>
      </c>
      <c r="CL99" s="13">
        <v>5256.56</v>
      </c>
      <c r="CM99" s="13">
        <v>5261.71</v>
      </c>
      <c r="CN99" s="13">
        <v>5260.72</v>
      </c>
      <c r="CO99" s="13">
        <v>5256.74</v>
      </c>
      <c r="CP99" s="13">
        <v>5228.62</v>
      </c>
      <c r="CQ99" s="13">
        <v>5230.0600000000004</v>
      </c>
      <c r="CR99" s="13">
        <v>5240.28</v>
      </c>
      <c r="CS99" s="13">
        <v>5237.2</v>
      </c>
      <c r="CT99" s="13">
        <v>5243.29</v>
      </c>
      <c r="CU99" s="13">
        <v>5241.2700000000004</v>
      </c>
      <c r="CV99" s="13">
        <v>5244.35</v>
      </c>
      <c r="CW99" s="13">
        <v>5244.59</v>
      </c>
      <c r="CX99" s="13">
        <v>5246.74</v>
      </c>
      <c r="CY99" s="13">
        <v>5229.6400000000003</v>
      </c>
      <c r="CZ99" s="13">
        <v>5227.25</v>
      </c>
      <c r="DA99" s="13">
        <v>5226.63</v>
      </c>
      <c r="DB99" s="13">
        <v>5227.33</v>
      </c>
      <c r="DC99" s="13">
        <v>5223.8999999999996</v>
      </c>
      <c r="DD99" s="13">
        <v>5228.17</v>
      </c>
      <c r="DE99" s="13">
        <v>5228.41</v>
      </c>
      <c r="DF99" s="13">
        <v>5234.07</v>
      </c>
      <c r="DG99" s="13">
        <v>5234.83</v>
      </c>
      <c r="DH99" s="13">
        <v>5248.31</v>
      </c>
      <c r="DI99" s="13">
        <v>5243.99</v>
      </c>
      <c r="DJ99" s="13">
        <v>5245.37</v>
      </c>
      <c r="DK99" s="13">
        <v>5249.99</v>
      </c>
      <c r="DL99" s="13">
        <v>5243.96</v>
      </c>
      <c r="DM99" s="32"/>
      <c r="DN99" s="33"/>
      <c r="DO99" s="32"/>
      <c r="DP99" s="33"/>
      <c r="DQ99" s="32"/>
      <c r="DR99" s="33"/>
      <c r="DS99" s="32"/>
      <c r="DT99" s="33"/>
      <c r="DU99" s="32"/>
      <c r="DV99" s="33"/>
    </row>
    <row r="100" spans="1:126" ht="15.75" x14ac:dyDescent="0.25">
      <c r="A100" s="14" t="s">
        <v>12</v>
      </c>
      <c r="B100" s="12" t="s">
        <v>9</v>
      </c>
      <c r="C100" s="13">
        <v>5097.71</v>
      </c>
      <c r="D100" s="13">
        <v>5124.9399999999996</v>
      </c>
      <c r="E100" s="13">
        <v>5120</v>
      </c>
      <c r="F100" s="13">
        <v>5125.1499999999996</v>
      </c>
      <c r="G100" s="13">
        <v>5125.68</v>
      </c>
      <c r="H100" s="13">
        <v>5124.7700000000004</v>
      </c>
      <c r="I100" s="13">
        <v>5125.33</v>
      </c>
      <c r="J100" s="13">
        <v>5125.1400000000003</v>
      </c>
      <c r="K100" s="13">
        <v>5124.83</v>
      </c>
      <c r="L100" s="13">
        <v>5127.2700000000004</v>
      </c>
      <c r="M100" s="13">
        <v>5126.63</v>
      </c>
      <c r="N100" s="13">
        <v>5127.22</v>
      </c>
      <c r="O100" s="13">
        <v>5133.05</v>
      </c>
      <c r="P100" s="13">
        <v>5135.51</v>
      </c>
      <c r="Q100" s="13">
        <v>5135.8999999999996</v>
      </c>
      <c r="R100" s="13">
        <v>5137.4799999999996</v>
      </c>
      <c r="S100" s="13">
        <v>5139.1400000000003</v>
      </c>
      <c r="T100" s="13">
        <v>5137.2700000000004</v>
      </c>
      <c r="U100" s="13">
        <v>5136.17</v>
      </c>
      <c r="V100" s="13">
        <v>5135.45</v>
      </c>
      <c r="W100" s="13">
        <v>5136.46</v>
      </c>
      <c r="X100" s="13">
        <v>5139.1099999999997</v>
      </c>
      <c r="Y100" s="13">
        <v>5139.8</v>
      </c>
      <c r="Z100" s="13">
        <v>5136.79</v>
      </c>
      <c r="AA100" s="13">
        <v>5138.1899999999996</v>
      </c>
      <c r="AB100" s="13">
        <v>5141.3100000000004</v>
      </c>
      <c r="AC100" s="13">
        <v>5144.1000000000004</v>
      </c>
      <c r="AD100" s="13">
        <v>5140.46</v>
      </c>
      <c r="AE100" s="13">
        <v>5140.1499999999996</v>
      </c>
      <c r="AF100" s="13">
        <v>5138.71</v>
      </c>
      <c r="AG100" s="13">
        <v>5140.63</v>
      </c>
      <c r="AH100" s="13">
        <v>5140.09</v>
      </c>
      <c r="AI100" s="13">
        <v>5135.78</v>
      </c>
      <c r="AJ100" s="13">
        <v>5135.8100000000004</v>
      </c>
      <c r="AK100" s="13">
        <v>5138</v>
      </c>
      <c r="AL100" s="13">
        <v>5138.66</v>
      </c>
      <c r="AM100" s="13">
        <v>5141.2</v>
      </c>
      <c r="AN100" s="13">
        <v>5141.84</v>
      </c>
      <c r="AO100" s="13">
        <v>5138.82</v>
      </c>
      <c r="AP100" s="13">
        <v>5137.92</v>
      </c>
      <c r="AQ100" s="13">
        <v>5138.54</v>
      </c>
      <c r="AR100" s="13">
        <v>5144.99</v>
      </c>
      <c r="AS100" s="13">
        <v>5142.45</v>
      </c>
      <c r="AT100" s="13">
        <v>5140.13</v>
      </c>
      <c r="AU100" s="13">
        <v>5142.7700000000004</v>
      </c>
      <c r="AV100" s="13">
        <v>5144.6400000000003</v>
      </c>
      <c r="AW100" s="13">
        <v>5146.0200000000004</v>
      </c>
      <c r="AX100" s="13">
        <v>5149.3599999999997</v>
      </c>
      <c r="AY100" s="13">
        <v>5147.32</v>
      </c>
      <c r="AZ100" s="13">
        <v>5149.8</v>
      </c>
      <c r="BA100" s="13">
        <v>5152.42</v>
      </c>
      <c r="BB100" s="13">
        <v>5150.01</v>
      </c>
      <c r="BC100" s="13">
        <v>5148.93</v>
      </c>
      <c r="BD100" s="13">
        <v>5149.6400000000003</v>
      </c>
      <c r="BE100" s="13">
        <v>5151.76</v>
      </c>
      <c r="BF100" s="13">
        <v>5151.3999999999996</v>
      </c>
      <c r="BG100" s="13">
        <v>5156.82</v>
      </c>
      <c r="BH100" s="13">
        <v>5156.82</v>
      </c>
      <c r="BI100" s="13">
        <v>5177.7700000000004</v>
      </c>
      <c r="BJ100" s="13">
        <v>5165.32</v>
      </c>
      <c r="BK100" s="13">
        <v>5156.67</v>
      </c>
      <c r="BL100" s="13">
        <v>5165.8</v>
      </c>
      <c r="BM100" s="13">
        <v>5156.67</v>
      </c>
      <c r="BN100" s="13">
        <v>5164.6000000000004</v>
      </c>
      <c r="BO100" s="13">
        <v>5163.9799999999996</v>
      </c>
      <c r="BP100" s="13">
        <v>5176.8599999999997</v>
      </c>
      <c r="BQ100" s="13">
        <v>5178.8100000000004</v>
      </c>
      <c r="BR100" s="13">
        <v>5164.7299999999996</v>
      </c>
      <c r="BS100" s="13">
        <v>5180.96</v>
      </c>
      <c r="BT100" s="13">
        <v>5181.63</v>
      </c>
      <c r="BU100" s="13">
        <v>5167.3999999999996</v>
      </c>
      <c r="BV100" s="13">
        <v>5167.2</v>
      </c>
      <c r="BW100" s="13">
        <v>5173.05</v>
      </c>
      <c r="BX100" s="13">
        <v>5165.82</v>
      </c>
      <c r="BY100" s="13">
        <v>5157.18</v>
      </c>
      <c r="BZ100" s="13">
        <v>5166.41</v>
      </c>
      <c r="CA100" s="13">
        <v>5162.49</v>
      </c>
      <c r="CB100" s="13">
        <v>5164.1400000000003</v>
      </c>
      <c r="CC100" s="13">
        <v>5151.09</v>
      </c>
      <c r="CD100" s="13">
        <v>5149.21</v>
      </c>
      <c r="CE100" s="13">
        <v>5154.66</v>
      </c>
      <c r="CF100" s="13">
        <v>5151.79</v>
      </c>
      <c r="CG100" s="13">
        <v>5151.79</v>
      </c>
      <c r="CH100" s="13">
        <v>5153.53</v>
      </c>
      <c r="CI100" s="13">
        <v>5156.7700000000004</v>
      </c>
      <c r="CJ100" s="13">
        <v>5165.3999999999996</v>
      </c>
      <c r="CK100" s="13">
        <v>5165.67</v>
      </c>
      <c r="CL100" s="13">
        <v>5151.6499999999996</v>
      </c>
      <c r="CM100" s="13">
        <v>5152.45</v>
      </c>
      <c r="CN100" s="13">
        <v>5150.9399999999996</v>
      </c>
      <c r="CO100" s="13">
        <v>5152.55</v>
      </c>
      <c r="CP100" s="13">
        <v>5150.04</v>
      </c>
      <c r="CQ100" s="13">
        <v>5151.12</v>
      </c>
      <c r="CR100" s="13">
        <v>5151.58</v>
      </c>
      <c r="CS100" s="13">
        <v>5151.58</v>
      </c>
      <c r="CT100" s="13">
        <v>5151.79</v>
      </c>
      <c r="CU100" s="13">
        <v>5161.0200000000004</v>
      </c>
      <c r="CV100" s="13">
        <v>5151.79</v>
      </c>
      <c r="CW100" s="13">
        <v>5154.0200000000004</v>
      </c>
      <c r="CX100" s="13">
        <v>5162.3999999999996</v>
      </c>
      <c r="CY100" s="13">
        <v>5168.3</v>
      </c>
      <c r="CZ100" s="13">
        <v>5165.95</v>
      </c>
      <c r="DA100" s="13">
        <v>5164.8500000000004</v>
      </c>
      <c r="DB100" s="13">
        <v>5164.34</v>
      </c>
      <c r="DC100" s="13">
        <v>5153.33</v>
      </c>
      <c r="DD100" s="13">
        <v>5163.99</v>
      </c>
      <c r="DE100" s="13">
        <v>5155.45</v>
      </c>
      <c r="DF100" s="13">
        <v>5164.83</v>
      </c>
      <c r="DG100" s="13">
        <v>5153.8999999999996</v>
      </c>
      <c r="DH100" s="13">
        <v>5160.25</v>
      </c>
      <c r="DI100" s="13">
        <v>5155.3599999999997</v>
      </c>
      <c r="DJ100" s="13">
        <v>5153.66</v>
      </c>
      <c r="DK100" s="13">
        <v>5154.3599999999997</v>
      </c>
      <c r="DL100" s="13">
        <v>5155.45</v>
      </c>
      <c r="DM100" s="32"/>
      <c r="DN100" s="33"/>
      <c r="DO100" s="32"/>
      <c r="DP100" s="33"/>
      <c r="DQ100" s="32"/>
      <c r="DR100" s="33"/>
      <c r="DS100" s="32"/>
      <c r="DT100" s="33"/>
      <c r="DU100" s="32"/>
      <c r="DV100" s="33"/>
    </row>
    <row r="101" spans="1:126" ht="15.75" x14ac:dyDescent="0.25">
      <c r="A101" s="14" t="s">
        <v>12</v>
      </c>
      <c r="B101" s="12" t="s">
        <v>7</v>
      </c>
      <c r="C101" s="13">
        <v>5097.71</v>
      </c>
      <c r="D101" s="13">
        <v>5112</v>
      </c>
      <c r="E101" s="13">
        <v>5119.32</v>
      </c>
      <c r="F101" s="13">
        <v>5120.88</v>
      </c>
      <c r="G101" s="13">
        <v>5124.92</v>
      </c>
      <c r="H101" s="13">
        <v>5124.7299999999996</v>
      </c>
      <c r="I101" s="13">
        <v>5123.68</v>
      </c>
      <c r="J101" s="13">
        <v>5122.75</v>
      </c>
      <c r="K101" s="13">
        <v>5122.5</v>
      </c>
      <c r="L101" s="13">
        <v>5124.37</v>
      </c>
      <c r="M101" s="13">
        <v>5126.16</v>
      </c>
      <c r="N101" s="13">
        <v>5125.1899999999996</v>
      </c>
      <c r="O101" s="13">
        <v>5127.6099999999997</v>
      </c>
      <c r="P101" s="13">
        <v>5131.2</v>
      </c>
      <c r="Q101" s="13">
        <v>5133.63</v>
      </c>
      <c r="R101" s="13">
        <v>5133.03</v>
      </c>
      <c r="S101" s="13">
        <v>5137.22</v>
      </c>
      <c r="T101" s="13">
        <v>5135.24</v>
      </c>
      <c r="U101" s="13">
        <v>5134.3900000000003</v>
      </c>
      <c r="V101" s="13">
        <v>5135.37</v>
      </c>
      <c r="W101" s="13">
        <v>5134</v>
      </c>
      <c r="X101" s="13">
        <v>5135.76</v>
      </c>
      <c r="Y101" s="13">
        <v>5137.7299999999996</v>
      </c>
      <c r="Z101" s="13">
        <v>5132.91</v>
      </c>
      <c r="AA101" s="13">
        <v>5133.47</v>
      </c>
      <c r="AB101" s="13">
        <v>5137.51</v>
      </c>
      <c r="AC101" s="13">
        <v>5137.6400000000003</v>
      </c>
      <c r="AD101" s="13">
        <v>5138.1099999999997</v>
      </c>
      <c r="AE101" s="13">
        <v>5136.13</v>
      </c>
      <c r="AF101" s="13">
        <v>5136.83</v>
      </c>
      <c r="AG101" s="13">
        <v>5140.12</v>
      </c>
      <c r="AH101" s="13">
        <v>5138</v>
      </c>
      <c r="AI101" s="13">
        <v>5135.37</v>
      </c>
      <c r="AJ101" s="13">
        <v>5132.71</v>
      </c>
      <c r="AK101" s="13">
        <v>5135.47</v>
      </c>
      <c r="AL101" s="13">
        <v>5136.4399999999996</v>
      </c>
      <c r="AM101" s="13">
        <v>5136.4399999999996</v>
      </c>
      <c r="AN101" s="13">
        <v>5136.87</v>
      </c>
      <c r="AO101" s="13">
        <v>5138.09</v>
      </c>
      <c r="AP101" s="13">
        <v>5136.54</v>
      </c>
      <c r="AQ101" s="13">
        <v>5138.13</v>
      </c>
      <c r="AR101" s="13">
        <v>5139.45</v>
      </c>
      <c r="AS101" s="13">
        <v>5139.92</v>
      </c>
      <c r="AT101" s="13">
        <v>5139.72</v>
      </c>
      <c r="AU101" s="13">
        <v>5140.12</v>
      </c>
      <c r="AV101" s="13">
        <v>5140.7299999999996</v>
      </c>
      <c r="AW101" s="13">
        <v>5140.7299999999996</v>
      </c>
      <c r="AX101" s="13">
        <v>5143.75</v>
      </c>
      <c r="AY101" s="13">
        <v>5147.32</v>
      </c>
      <c r="AZ101" s="13">
        <v>5146.3999999999996</v>
      </c>
      <c r="BA101" s="13">
        <v>5149.68</v>
      </c>
      <c r="BB101" s="13">
        <v>5149.0600000000004</v>
      </c>
      <c r="BC101" s="13">
        <v>5147.76</v>
      </c>
      <c r="BD101" s="13">
        <v>5147.9799999999996</v>
      </c>
      <c r="BE101" s="13">
        <v>5148.17</v>
      </c>
      <c r="BF101" s="13">
        <v>5148.5600000000004</v>
      </c>
      <c r="BG101" s="13">
        <v>5151.3999999999996</v>
      </c>
      <c r="BH101" s="13">
        <v>5152.8900000000003</v>
      </c>
      <c r="BI101" s="13">
        <v>5152.01</v>
      </c>
      <c r="BJ101" s="13">
        <v>5154.07</v>
      </c>
      <c r="BK101" s="13">
        <v>5154.6099999999997</v>
      </c>
      <c r="BL101" s="13">
        <v>5156.67</v>
      </c>
      <c r="BM101" s="13">
        <v>5155.47</v>
      </c>
      <c r="BN101" s="13">
        <v>5156.47</v>
      </c>
      <c r="BO101" s="13">
        <v>5154.97</v>
      </c>
      <c r="BP101" s="13">
        <v>5152.53</v>
      </c>
      <c r="BQ101" s="13">
        <v>5162.9399999999996</v>
      </c>
      <c r="BR101" s="13">
        <v>5154.3900000000003</v>
      </c>
      <c r="BS101" s="13">
        <v>5164.3100000000004</v>
      </c>
      <c r="BT101" s="13">
        <v>5167.5600000000004</v>
      </c>
      <c r="BU101" s="13">
        <v>5158.16</v>
      </c>
      <c r="BV101" s="13">
        <v>5157.6099999999997</v>
      </c>
      <c r="BW101" s="13">
        <v>5163.53</v>
      </c>
      <c r="BX101" s="13">
        <v>5156.01</v>
      </c>
      <c r="BY101" s="13">
        <v>5157.18</v>
      </c>
      <c r="BZ101" s="13">
        <v>5157.09</v>
      </c>
      <c r="CA101" s="13">
        <v>5154.62</v>
      </c>
      <c r="CB101" s="13">
        <v>5150.42</v>
      </c>
      <c r="CC101" s="13">
        <v>5151.09</v>
      </c>
      <c r="CD101" s="13">
        <v>5149.21</v>
      </c>
      <c r="CE101" s="13">
        <v>5149.93</v>
      </c>
      <c r="CF101" s="13">
        <v>5151.79</v>
      </c>
      <c r="CG101" s="13">
        <v>5151.71</v>
      </c>
      <c r="CH101" s="13">
        <v>5151.76</v>
      </c>
      <c r="CI101" s="13">
        <v>5153.03</v>
      </c>
      <c r="CJ101" s="13">
        <v>5154.3500000000004</v>
      </c>
      <c r="CK101" s="13">
        <v>5163.4799999999996</v>
      </c>
      <c r="CL101" s="13">
        <v>5150.93</v>
      </c>
      <c r="CM101" s="13">
        <v>5151.0200000000004</v>
      </c>
      <c r="CN101" s="13">
        <v>5148.28</v>
      </c>
      <c r="CO101" s="13">
        <v>5150.9399999999996</v>
      </c>
      <c r="CP101" s="13">
        <v>5150.04</v>
      </c>
      <c r="CQ101" s="13">
        <v>5149.58</v>
      </c>
      <c r="CR101" s="13">
        <v>5150.12</v>
      </c>
      <c r="CS101" s="13">
        <v>5151.58</v>
      </c>
      <c r="CT101" s="13">
        <v>5151.58</v>
      </c>
      <c r="CU101" s="13">
        <v>5151.79</v>
      </c>
      <c r="CV101" s="13">
        <v>5149.4399999999996</v>
      </c>
      <c r="CW101" s="13">
        <v>5151.79</v>
      </c>
      <c r="CX101" s="13">
        <v>5153.91</v>
      </c>
      <c r="CY101" s="13">
        <v>5153.58</v>
      </c>
      <c r="CZ101" s="13">
        <v>5149.05</v>
      </c>
      <c r="DA101" s="13">
        <v>5153.2</v>
      </c>
      <c r="DB101" s="13">
        <v>5152.09</v>
      </c>
      <c r="DC101" s="13">
        <v>5153.28</v>
      </c>
      <c r="DD101" s="13">
        <v>5150.54</v>
      </c>
      <c r="DE101" s="13">
        <v>5153.3500000000004</v>
      </c>
      <c r="DF101" s="13">
        <v>5153.01</v>
      </c>
      <c r="DG101" s="13">
        <v>5153.7700000000004</v>
      </c>
      <c r="DH101" s="13">
        <v>5149.9399999999996</v>
      </c>
      <c r="DI101" s="13">
        <v>5150.13</v>
      </c>
      <c r="DJ101" s="13">
        <v>5152.1099999999997</v>
      </c>
      <c r="DK101" s="13">
        <v>5153.6000000000004</v>
      </c>
      <c r="DL101" s="13">
        <v>5153.7299999999996</v>
      </c>
      <c r="DM101" s="32"/>
      <c r="DN101" s="33"/>
      <c r="DO101" s="32"/>
      <c r="DP101" s="33"/>
      <c r="DQ101" s="32"/>
      <c r="DR101" s="33"/>
      <c r="DS101" s="32"/>
      <c r="DT101" s="33"/>
      <c r="DU101" s="32"/>
      <c r="DV101" s="33"/>
    </row>
    <row r="102" spans="1:126" ht="15.75" x14ac:dyDescent="0.25">
      <c r="A102" s="14"/>
      <c r="B102" s="12"/>
      <c r="C102" s="13">
        <f t="shared" ref="C102:AH102" si="62">(C98+C99+C100+C101)/4</f>
        <v>5181.53</v>
      </c>
      <c r="D102" s="13">
        <f t="shared" si="62"/>
        <v>5186.4674999999997</v>
      </c>
      <c r="E102" s="13">
        <f t="shared" si="62"/>
        <v>5185.5974999999999</v>
      </c>
      <c r="F102" s="13">
        <f t="shared" si="62"/>
        <v>5188.8924999999999</v>
      </c>
      <c r="G102" s="13">
        <f t="shared" si="62"/>
        <v>5188.8625000000002</v>
      </c>
      <c r="H102" s="13">
        <f t="shared" si="62"/>
        <v>5187.4324999999999</v>
      </c>
      <c r="I102" s="13">
        <f t="shared" si="62"/>
        <v>5183.1175000000003</v>
      </c>
      <c r="J102" s="13">
        <f t="shared" si="62"/>
        <v>5188.1374999999998</v>
      </c>
      <c r="K102" s="13">
        <f t="shared" si="62"/>
        <v>5184.8824999999997</v>
      </c>
      <c r="L102" s="13">
        <f t="shared" si="62"/>
        <v>5183.74</v>
      </c>
      <c r="M102" s="13">
        <f t="shared" si="62"/>
        <v>5185.5225</v>
      </c>
      <c r="N102" s="13">
        <f t="shared" si="62"/>
        <v>5185.5474999999997</v>
      </c>
      <c r="O102" s="13">
        <f t="shared" si="62"/>
        <v>5188.1475</v>
      </c>
      <c r="P102" s="13">
        <f t="shared" si="62"/>
        <v>5191.5074999999997</v>
      </c>
      <c r="Q102" s="13">
        <f t="shared" si="62"/>
        <v>5193.0675000000001</v>
      </c>
      <c r="R102" s="13">
        <f t="shared" si="62"/>
        <v>5193.4974999999995</v>
      </c>
      <c r="S102" s="13">
        <f t="shared" si="62"/>
        <v>5196.585</v>
      </c>
      <c r="T102" s="13">
        <f t="shared" si="62"/>
        <v>5192.0275000000001</v>
      </c>
      <c r="U102" s="13">
        <f t="shared" si="62"/>
        <v>5190.6324999999997</v>
      </c>
      <c r="V102" s="13">
        <f t="shared" si="62"/>
        <v>5190.835</v>
      </c>
      <c r="W102" s="13">
        <f t="shared" si="62"/>
        <v>5187.9324999999999</v>
      </c>
      <c r="X102" s="13">
        <f t="shared" si="62"/>
        <v>5196.1725000000006</v>
      </c>
      <c r="Y102" s="13">
        <f t="shared" si="62"/>
        <v>5195.4224999999997</v>
      </c>
      <c r="Z102" s="13">
        <f t="shared" si="62"/>
        <v>5187.7750000000005</v>
      </c>
      <c r="AA102" s="13">
        <f t="shared" si="62"/>
        <v>5189.3249999999998</v>
      </c>
      <c r="AB102" s="13">
        <f t="shared" si="62"/>
        <v>5191.2250000000004</v>
      </c>
      <c r="AC102" s="13">
        <f t="shared" si="62"/>
        <v>5190.7700000000004</v>
      </c>
      <c r="AD102" s="13">
        <f t="shared" si="62"/>
        <v>5188.2224999999999</v>
      </c>
      <c r="AE102" s="13">
        <f t="shared" si="62"/>
        <v>5190.5450000000001</v>
      </c>
      <c r="AF102" s="13">
        <f t="shared" si="62"/>
        <v>5191.6100000000006</v>
      </c>
      <c r="AG102" s="13">
        <f t="shared" si="62"/>
        <v>5190.3599999999997</v>
      </c>
      <c r="AH102" s="13">
        <f t="shared" si="62"/>
        <v>5192.7049999999999</v>
      </c>
      <c r="AI102" s="13">
        <f t="shared" ref="AI102:BN102" si="63">(AI98+AI99+AI100+AI101)/4</f>
        <v>5188.6374999999998</v>
      </c>
      <c r="AJ102" s="13">
        <f t="shared" si="63"/>
        <v>5181.79</v>
      </c>
      <c r="AK102" s="13">
        <f t="shared" si="63"/>
        <v>5182.9650000000001</v>
      </c>
      <c r="AL102" s="13">
        <f t="shared" si="63"/>
        <v>5186.8899999999994</v>
      </c>
      <c r="AM102" s="13">
        <f t="shared" si="63"/>
        <v>5188.32</v>
      </c>
      <c r="AN102" s="13">
        <f t="shared" si="63"/>
        <v>5195.8424999999997</v>
      </c>
      <c r="AO102" s="13">
        <f t="shared" si="63"/>
        <v>5192.91</v>
      </c>
      <c r="AP102" s="13">
        <f t="shared" si="63"/>
        <v>5192.5074999999997</v>
      </c>
      <c r="AQ102" s="13">
        <f t="shared" si="63"/>
        <v>5202.6975000000002</v>
      </c>
      <c r="AR102" s="13">
        <f t="shared" si="63"/>
        <v>5206.24</v>
      </c>
      <c r="AS102" s="13">
        <f t="shared" si="63"/>
        <v>5211.3050000000003</v>
      </c>
      <c r="AT102" s="13">
        <f t="shared" si="63"/>
        <v>5211.170000000001</v>
      </c>
      <c r="AU102" s="13">
        <f t="shared" si="63"/>
        <v>5212.9650000000001</v>
      </c>
      <c r="AV102" s="13">
        <f t="shared" si="63"/>
        <v>5213.03</v>
      </c>
      <c r="AW102" s="13">
        <f t="shared" si="63"/>
        <v>5214.165</v>
      </c>
      <c r="AX102" s="13">
        <f t="shared" si="63"/>
        <v>5219.625</v>
      </c>
      <c r="AY102" s="13">
        <f t="shared" si="63"/>
        <v>5219.8924999999999</v>
      </c>
      <c r="AZ102" s="13">
        <f t="shared" si="63"/>
        <v>5220.6849999999995</v>
      </c>
      <c r="BA102" s="13">
        <f t="shared" si="63"/>
        <v>5218.0575000000008</v>
      </c>
      <c r="BB102" s="13">
        <f t="shared" si="63"/>
        <v>5212.6000000000004</v>
      </c>
      <c r="BC102" s="13">
        <f t="shared" si="63"/>
        <v>5215.01</v>
      </c>
      <c r="BD102" s="13">
        <f t="shared" si="63"/>
        <v>5209.3874999999998</v>
      </c>
      <c r="BE102" s="13">
        <f t="shared" si="63"/>
        <v>5220.2474999999995</v>
      </c>
      <c r="BF102" s="13">
        <f t="shared" si="63"/>
        <v>5219.6525000000001</v>
      </c>
      <c r="BG102" s="13">
        <f t="shared" si="63"/>
        <v>5222.7024999999994</v>
      </c>
      <c r="BH102" s="13">
        <f t="shared" si="63"/>
        <v>5221.9324999999999</v>
      </c>
      <c r="BI102" s="13">
        <f t="shared" si="63"/>
        <v>5228.0450000000001</v>
      </c>
      <c r="BJ102" s="13">
        <f t="shared" si="63"/>
        <v>5224.3424999999997</v>
      </c>
      <c r="BK102" s="13">
        <f t="shared" si="63"/>
        <v>5222.835</v>
      </c>
      <c r="BL102" s="13">
        <f t="shared" si="63"/>
        <v>5224.6149999999998</v>
      </c>
      <c r="BM102" s="13">
        <f t="shared" si="63"/>
        <v>5221.6625000000004</v>
      </c>
      <c r="BN102" s="13">
        <f t="shared" si="63"/>
        <v>5224.7325000000001</v>
      </c>
      <c r="BO102" s="13">
        <f t="shared" ref="BO102:CT102" si="64">(BO98+BO99+BO100+BO101)/4</f>
        <v>5222.3999999999996</v>
      </c>
      <c r="BP102" s="13">
        <f t="shared" si="64"/>
        <v>5226.6925000000001</v>
      </c>
      <c r="BQ102" s="13">
        <f t="shared" si="64"/>
        <v>5230.3175000000001</v>
      </c>
      <c r="BR102" s="13">
        <f t="shared" si="64"/>
        <v>5224.6774999999998</v>
      </c>
      <c r="BS102" s="13">
        <f t="shared" si="64"/>
        <v>5232.2025000000003</v>
      </c>
      <c r="BT102" s="13">
        <f t="shared" si="64"/>
        <v>5233.7475000000004</v>
      </c>
      <c r="BU102" s="13">
        <f t="shared" si="64"/>
        <v>5226.5174999999999</v>
      </c>
      <c r="BV102" s="13">
        <f t="shared" si="64"/>
        <v>5226.0924999999997</v>
      </c>
      <c r="BW102" s="13">
        <f t="shared" si="64"/>
        <v>5227.7674999999999</v>
      </c>
      <c r="BX102" s="13">
        <f t="shared" si="64"/>
        <v>5221.9349999999995</v>
      </c>
      <c r="BY102" s="13">
        <f t="shared" si="64"/>
        <v>5209.2175000000007</v>
      </c>
      <c r="BZ102" s="13">
        <f t="shared" si="64"/>
        <v>5218.835</v>
      </c>
      <c r="CA102" s="13">
        <f t="shared" si="64"/>
        <v>5216.4549999999999</v>
      </c>
      <c r="CB102" s="13">
        <f t="shared" si="64"/>
        <v>5218.4850000000006</v>
      </c>
      <c r="CC102" s="13">
        <f t="shared" si="64"/>
        <v>5215.8275000000003</v>
      </c>
      <c r="CD102" s="13">
        <f t="shared" si="64"/>
        <v>5201.5874999999996</v>
      </c>
      <c r="CE102" s="13">
        <f t="shared" si="64"/>
        <v>5208.9724999999999</v>
      </c>
      <c r="CF102" s="13">
        <f t="shared" si="64"/>
        <v>5199.5325000000003</v>
      </c>
      <c r="CG102" s="13">
        <f t="shared" si="64"/>
        <v>5208.7574999999997</v>
      </c>
      <c r="CH102" s="13">
        <f t="shared" si="64"/>
        <v>5205.3700000000008</v>
      </c>
      <c r="CI102" s="13">
        <f t="shared" si="64"/>
        <v>5215.3900000000003</v>
      </c>
      <c r="CJ102" s="13">
        <f t="shared" si="64"/>
        <v>5209.3675000000003</v>
      </c>
      <c r="CK102" s="13">
        <f t="shared" si="64"/>
        <v>5213.9225000000006</v>
      </c>
      <c r="CL102" s="13">
        <f t="shared" si="64"/>
        <v>5206.7625000000007</v>
      </c>
      <c r="CM102" s="13">
        <f t="shared" si="64"/>
        <v>5209.2150000000001</v>
      </c>
      <c r="CN102" s="13">
        <f t="shared" si="64"/>
        <v>5207.8824999999997</v>
      </c>
      <c r="CO102" s="13">
        <f t="shared" si="64"/>
        <v>5209.2099999999991</v>
      </c>
      <c r="CP102" s="13">
        <f t="shared" si="64"/>
        <v>5194.7875000000004</v>
      </c>
      <c r="CQ102" s="13">
        <f t="shared" si="64"/>
        <v>5196.1924999999992</v>
      </c>
      <c r="CR102" s="13">
        <f t="shared" si="64"/>
        <v>5196.7224999999999</v>
      </c>
      <c r="CS102" s="13">
        <f t="shared" si="64"/>
        <v>5196.4274999999998</v>
      </c>
      <c r="CT102" s="13">
        <f t="shared" si="64"/>
        <v>5198.7849999999999</v>
      </c>
      <c r="CU102" s="13">
        <f t="shared" ref="CU102:DL102" si="65">(CU98+CU99+CU100+CU101)/4</f>
        <v>5199.63</v>
      </c>
      <c r="CV102" s="13">
        <f t="shared" si="65"/>
        <v>5198.1399999999994</v>
      </c>
      <c r="CW102" s="13">
        <f t="shared" si="65"/>
        <v>5199.9875000000002</v>
      </c>
      <c r="CX102" s="13">
        <f t="shared" si="65"/>
        <v>5202.9549999999999</v>
      </c>
      <c r="CY102" s="13">
        <f t="shared" si="65"/>
        <v>5199.0499999999993</v>
      </c>
      <c r="CZ102" s="13">
        <f t="shared" si="65"/>
        <v>5192.4549999999999</v>
      </c>
      <c r="DA102" s="13">
        <f t="shared" si="65"/>
        <v>5193.5050000000001</v>
      </c>
      <c r="DB102" s="13">
        <f t="shared" si="65"/>
        <v>5193.2849999999999</v>
      </c>
      <c r="DC102" s="13">
        <f t="shared" si="65"/>
        <v>5189.9049999999997</v>
      </c>
      <c r="DD102" s="13">
        <f t="shared" si="65"/>
        <v>5192.9274999999998</v>
      </c>
      <c r="DE102" s="13">
        <f t="shared" si="65"/>
        <v>5191.4050000000007</v>
      </c>
      <c r="DF102" s="13">
        <f t="shared" si="65"/>
        <v>5197.2525000000005</v>
      </c>
      <c r="DG102" s="13">
        <f t="shared" si="65"/>
        <v>5194.9349999999995</v>
      </c>
      <c r="DH102" s="13">
        <f t="shared" si="65"/>
        <v>5202.2049999999999</v>
      </c>
      <c r="DI102" s="13">
        <f t="shared" si="65"/>
        <v>5200.2375000000002</v>
      </c>
      <c r="DJ102" s="13">
        <f t="shared" si="65"/>
        <v>5200.43</v>
      </c>
      <c r="DK102" s="13">
        <f t="shared" si="65"/>
        <v>5201.9850000000006</v>
      </c>
      <c r="DL102" s="13">
        <f t="shared" si="65"/>
        <v>5200.9049999999997</v>
      </c>
      <c r="DM102" s="26"/>
      <c r="DN102" s="25"/>
      <c r="DO102" s="27"/>
      <c r="DP102" s="25"/>
      <c r="DQ102" s="27"/>
      <c r="DR102" s="25"/>
      <c r="DS102" s="27"/>
      <c r="DT102" s="25"/>
    </row>
    <row r="103" spans="1:126" ht="15.75" x14ac:dyDescent="0.25">
      <c r="A103" s="11" t="s">
        <v>5</v>
      </c>
      <c r="B103" s="11" t="s">
        <v>11</v>
      </c>
      <c r="C103" s="15">
        <v>0.375</v>
      </c>
      <c r="D103" s="15">
        <v>0.37847222222222227</v>
      </c>
      <c r="E103" s="15">
        <v>0.38194444444444442</v>
      </c>
      <c r="F103" s="15">
        <v>0.38541666666666669</v>
      </c>
      <c r="G103" s="15">
        <v>0.3888888888888889</v>
      </c>
      <c r="H103" s="15">
        <v>0.3923611111111111</v>
      </c>
      <c r="I103" s="15">
        <v>0.39583333333333331</v>
      </c>
      <c r="J103" s="15">
        <v>0.39930555555555558</v>
      </c>
      <c r="K103" s="15">
        <v>0.40277777777777773</v>
      </c>
      <c r="L103" s="15">
        <v>0.40625</v>
      </c>
      <c r="M103" s="15">
        <v>0.40972222222222227</v>
      </c>
      <c r="N103" s="15">
        <v>0.41319444444444442</v>
      </c>
      <c r="O103" s="15">
        <v>0.41666666666666669</v>
      </c>
      <c r="P103" s="15">
        <v>0.4201388888888889</v>
      </c>
      <c r="Q103" s="15">
        <v>0.4236111111111111</v>
      </c>
      <c r="R103" s="15">
        <v>0.42708333333333331</v>
      </c>
      <c r="S103" s="15">
        <v>0.43055555555555558</v>
      </c>
      <c r="T103" s="15">
        <v>0.43402777777777773</v>
      </c>
      <c r="U103" s="15">
        <v>0.4375</v>
      </c>
      <c r="V103" s="15">
        <v>0.44097222222222227</v>
      </c>
      <c r="W103" s="15">
        <v>0.44444444444444442</v>
      </c>
      <c r="X103" s="15">
        <v>0.44791666666666669</v>
      </c>
      <c r="Y103" s="15">
        <v>0.4513888888888889</v>
      </c>
      <c r="Z103" s="15">
        <v>0.4548611111111111</v>
      </c>
      <c r="AA103" s="15">
        <v>0.45833333333333331</v>
      </c>
      <c r="AB103" s="15">
        <v>0.46180555555555558</v>
      </c>
      <c r="AC103" s="15">
        <v>0.46527777777777773</v>
      </c>
      <c r="AD103" s="15">
        <v>0.46875</v>
      </c>
      <c r="AE103" s="15">
        <v>0.47222222222222227</v>
      </c>
      <c r="AF103" s="15">
        <v>0.47569444444444442</v>
      </c>
      <c r="AG103" s="15">
        <v>0.47916666666666669</v>
      </c>
      <c r="AH103" s="15">
        <v>0.4826388888888889</v>
      </c>
      <c r="AI103" s="15">
        <v>0.4861111111111111</v>
      </c>
      <c r="AJ103" s="15">
        <v>0.48958333333333331</v>
      </c>
      <c r="AK103" s="15">
        <v>0.49305555555555558</v>
      </c>
      <c r="AL103" s="15">
        <v>0.49652777777777773</v>
      </c>
      <c r="AM103" s="15">
        <v>0.5</v>
      </c>
      <c r="AN103" s="15">
        <v>0.50347222222222221</v>
      </c>
      <c r="AO103" s="15">
        <v>0.50694444444444442</v>
      </c>
      <c r="AP103" s="15">
        <v>0.51041666666666663</v>
      </c>
      <c r="AQ103" s="15">
        <v>0.51388888888888895</v>
      </c>
      <c r="AR103" s="15">
        <v>0.51736111111111105</v>
      </c>
      <c r="AS103" s="15">
        <v>0.52083333333333337</v>
      </c>
      <c r="AT103" s="15">
        <v>0.52430555555555558</v>
      </c>
      <c r="AU103" s="15">
        <v>0.52777777777777779</v>
      </c>
      <c r="AV103" s="15">
        <v>0.53125</v>
      </c>
      <c r="AW103" s="15">
        <v>0.53472222222222221</v>
      </c>
      <c r="AX103" s="15">
        <v>0.53819444444444442</v>
      </c>
      <c r="AY103" s="15">
        <v>0.54166666666666663</v>
      </c>
      <c r="AZ103" s="15">
        <v>0.54513888888888895</v>
      </c>
      <c r="BA103" s="15">
        <v>0.54861111111111105</v>
      </c>
      <c r="BB103" s="15">
        <v>0.55208333333333337</v>
      </c>
      <c r="BC103" s="15">
        <v>0.55555555555555558</v>
      </c>
      <c r="BD103" s="15">
        <v>0.55902777777777779</v>
      </c>
      <c r="BE103" s="15">
        <v>0.5625</v>
      </c>
      <c r="BF103" s="15">
        <v>0.56597222222222221</v>
      </c>
      <c r="BG103" s="15">
        <v>0.56944444444444442</v>
      </c>
      <c r="BH103" s="15">
        <v>0.57291666666666663</v>
      </c>
      <c r="BI103" s="15">
        <v>0.57638888888888895</v>
      </c>
      <c r="BJ103" s="15">
        <v>0.57986111111111105</v>
      </c>
      <c r="BK103" s="15">
        <v>0.58333333333333337</v>
      </c>
      <c r="BL103" s="15">
        <v>0.58680555555555558</v>
      </c>
      <c r="BM103" s="15">
        <v>0.59027777777777779</v>
      </c>
      <c r="BN103" s="15">
        <v>0.59375</v>
      </c>
      <c r="BO103" s="15">
        <v>0.59722222222222221</v>
      </c>
      <c r="BP103" s="15">
        <v>0.60069444444444442</v>
      </c>
      <c r="BQ103" s="15">
        <v>0.60416666666666663</v>
      </c>
      <c r="BR103" s="15">
        <v>0.60763888888888895</v>
      </c>
      <c r="BS103" s="15">
        <v>0.61111111111111105</v>
      </c>
      <c r="BT103" s="15">
        <v>0.61458333333333337</v>
      </c>
      <c r="BU103" s="15">
        <v>0.61805555555555558</v>
      </c>
      <c r="BV103" s="15">
        <v>0.62152777777777779</v>
      </c>
      <c r="BW103" s="15">
        <v>0.625</v>
      </c>
      <c r="BX103" s="15">
        <v>0.62847222222222221</v>
      </c>
      <c r="BY103" s="15">
        <v>0.63194444444444442</v>
      </c>
      <c r="BZ103" s="15">
        <v>0.63541666666666663</v>
      </c>
      <c r="CA103" s="15">
        <v>0.63888888888888895</v>
      </c>
      <c r="CB103" s="15">
        <v>0.64236111111111105</v>
      </c>
      <c r="CC103" s="15">
        <v>0.64583333333333337</v>
      </c>
      <c r="CD103" s="15">
        <v>0.64930555555555558</v>
      </c>
      <c r="CE103" s="15">
        <v>0.65277777777777779</v>
      </c>
      <c r="CF103" s="15">
        <v>0.65625</v>
      </c>
      <c r="CG103" s="15">
        <v>0.65972222222222221</v>
      </c>
      <c r="CH103" s="15">
        <v>0.66319444444444442</v>
      </c>
      <c r="CI103" s="15">
        <v>0.66666666666666663</v>
      </c>
      <c r="CJ103" s="15">
        <v>0.67013888888888884</v>
      </c>
      <c r="CK103" s="15">
        <v>0.67361111111111116</v>
      </c>
      <c r="CL103" s="15">
        <v>0.67708333333333337</v>
      </c>
      <c r="CM103" s="15">
        <v>0.68055555555555547</v>
      </c>
      <c r="CN103" s="15">
        <v>0.68402777777777779</v>
      </c>
      <c r="CO103" s="15">
        <v>0.6875</v>
      </c>
      <c r="CP103" s="15">
        <v>0.69097222222222221</v>
      </c>
      <c r="CQ103" s="15">
        <v>0.69444444444444453</v>
      </c>
      <c r="CR103" s="15">
        <v>0.69791666666666663</v>
      </c>
      <c r="CS103" s="15">
        <v>0.70138888888888884</v>
      </c>
      <c r="CT103" s="15">
        <v>0.70486111111111116</v>
      </c>
      <c r="CU103" s="15">
        <v>0.70833333333333337</v>
      </c>
      <c r="CV103" s="15">
        <v>0.71180555555555547</v>
      </c>
      <c r="CW103" s="15">
        <v>0.71527777777777779</v>
      </c>
      <c r="CX103" s="15">
        <v>0.71875</v>
      </c>
      <c r="CY103" s="15">
        <v>0.72222222222222221</v>
      </c>
      <c r="CZ103" s="15">
        <v>0.72569444444444453</v>
      </c>
      <c r="DA103" s="15">
        <v>0.72916666666666663</v>
      </c>
      <c r="DB103" s="15">
        <v>0.73263888888888884</v>
      </c>
      <c r="DC103" s="15">
        <v>0.73611111111111116</v>
      </c>
      <c r="DD103" s="15">
        <v>0.73958333333333337</v>
      </c>
      <c r="DE103" s="15">
        <v>0.74305555555555547</v>
      </c>
      <c r="DF103" s="15">
        <v>0.74652777777777779</v>
      </c>
      <c r="DG103" s="15">
        <v>0.75</v>
      </c>
      <c r="DH103" s="15">
        <v>0.75347222222222221</v>
      </c>
      <c r="DI103" s="15">
        <v>0.75694444444444453</v>
      </c>
      <c r="DJ103" s="15">
        <v>0.76041666666666663</v>
      </c>
      <c r="DK103" s="15">
        <v>0.76388888888888884</v>
      </c>
      <c r="DL103" s="15">
        <v>0.76736111111111116</v>
      </c>
      <c r="DM103" s="23">
        <v>44370</v>
      </c>
    </row>
    <row r="104" spans="1:126" ht="15.75" x14ac:dyDescent="0.25">
      <c r="A104" s="14">
        <v>44193</v>
      </c>
      <c r="B104" s="12" t="s">
        <v>6</v>
      </c>
      <c r="C104" s="13">
        <v>5253.5</v>
      </c>
      <c r="D104" s="13">
        <v>5237.76</v>
      </c>
      <c r="E104" s="13">
        <v>5199.8900000000003</v>
      </c>
      <c r="F104" s="13">
        <v>5192.9399999999996</v>
      </c>
      <c r="G104" s="13">
        <v>5182.7299999999996</v>
      </c>
      <c r="H104" s="13">
        <v>5177.3100000000004</v>
      </c>
      <c r="I104" s="13">
        <v>5173.58</v>
      </c>
      <c r="J104" s="13">
        <v>5174.01</v>
      </c>
      <c r="K104" s="13">
        <v>5175.53</v>
      </c>
      <c r="L104" s="13">
        <v>5180.97</v>
      </c>
      <c r="M104" s="13">
        <v>5179.03</v>
      </c>
      <c r="N104" s="13">
        <v>5181.04</v>
      </c>
      <c r="O104" s="13">
        <v>5185.5600000000004</v>
      </c>
      <c r="P104" s="13">
        <v>5188.96</v>
      </c>
      <c r="Q104" s="13">
        <v>5196.51</v>
      </c>
      <c r="R104" s="13">
        <v>5199.8</v>
      </c>
      <c r="S104" s="13">
        <v>5196.8900000000003</v>
      </c>
      <c r="T104" s="13">
        <v>5205.5</v>
      </c>
      <c r="U104" s="13">
        <v>5204.66</v>
      </c>
      <c r="V104" s="13">
        <v>5203.95</v>
      </c>
      <c r="W104" s="13">
        <v>5203.41</v>
      </c>
      <c r="X104" s="13">
        <v>5199.8500000000004</v>
      </c>
      <c r="Y104" s="13">
        <v>5200.4399999999996</v>
      </c>
      <c r="Z104" s="13">
        <v>5204.4799999999996</v>
      </c>
      <c r="AA104" s="13">
        <v>5205.55</v>
      </c>
      <c r="AB104" s="13">
        <v>5209</v>
      </c>
      <c r="AC104" s="13">
        <v>5210.67</v>
      </c>
      <c r="AD104" s="13">
        <v>5220.17</v>
      </c>
      <c r="AE104" s="13">
        <v>5221</v>
      </c>
      <c r="AF104" s="13">
        <v>5220.87</v>
      </c>
      <c r="AG104" s="13">
        <v>5220.53</v>
      </c>
      <c r="AH104" s="13">
        <v>5233.71</v>
      </c>
      <c r="AI104" s="13">
        <v>5244.03</v>
      </c>
      <c r="AJ104" s="13">
        <v>5240.7299999999996</v>
      </c>
      <c r="AK104" s="13">
        <v>5241.7</v>
      </c>
      <c r="AL104" s="13">
        <v>5242.5200000000004</v>
      </c>
      <c r="AM104" s="13">
        <v>5247.96</v>
      </c>
      <c r="AN104" s="13">
        <v>5248.73</v>
      </c>
      <c r="AO104" s="13">
        <v>5249.82</v>
      </c>
      <c r="AP104" s="13">
        <v>5250.56</v>
      </c>
      <c r="AQ104" s="13">
        <v>5253.45</v>
      </c>
      <c r="AR104" s="13">
        <v>5250.46</v>
      </c>
      <c r="AS104" s="13">
        <v>5251.57</v>
      </c>
      <c r="AT104" s="13">
        <v>5256.23</v>
      </c>
      <c r="AU104" s="13">
        <v>5266.28</v>
      </c>
      <c r="AV104" s="13">
        <v>5267.2</v>
      </c>
      <c r="AW104" s="13">
        <v>5281.61</v>
      </c>
      <c r="AX104" s="13">
        <v>5279.03</v>
      </c>
      <c r="AY104" s="13">
        <v>5288.38</v>
      </c>
      <c r="AZ104" s="13">
        <v>5292.21</v>
      </c>
      <c r="BA104" s="13">
        <v>5291.79</v>
      </c>
      <c r="BB104" s="13">
        <v>5290.71</v>
      </c>
      <c r="BC104" s="13">
        <v>5292.42</v>
      </c>
      <c r="BD104" s="13">
        <v>5293.97</v>
      </c>
      <c r="BE104" s="13">
        <v>5291.84</v>
      </c>
      <c r="BF104" s="13">
        <v>5289.91</v>
      </c>
      <c r="BG104" s="13">
        <v>5292.23</v>
      </c>
      <c r="BH104" s="13">
        <v>5292.43</v>
      </c>
      <c r="BI104" s="13">
        <v>5291.79</v>
      </c>
      <c r="BJ104" s="13">
        <v>5294.19</v>
      </c>
      <c r="BK104" s="13">
        <v>5297.68</v>
      </c>
      <c r="BL104" s="13">
        <v>5301.69</v>
      </c>
      <c r="BM104" s="13">
        <v>5301.03</v>
      </c>
      <c r="BN104" s="13">
        <v>5299.6</v>
      </c>
      <c r="BO104" s="13">
        <v>5288.15</v>
      </c>
      <c r="BP104" s="13">
        <v>5284.07</v>
      </c>
      <c r="BQ104" s="13">
        <v>5281.4</v>
      </c>
      <c r="BR104" s="13">
        <v>5279.56</v>
      </c>
      <c r="BS104" s="13">
        <v>5280.12</v>
      </c>
      <c r="BT104" s="13">
        <v>5282.75</v>
      </c>
      <c r="BU104" s="13">
        <v>5284.36</v>
      </c>
      <c r="BV104" s="13">
        <v>5283.65</v>
      </c>
      <c r="BW104" s="13">
        <v>5280.83</v>
      </c>
      <c r="BX104" s="13">
        <v>5280.72</v>
      </c>
      <c r="BY104" s="13">
        <v>5281.23</v>
      </c>
      <c r="BZ104" s="13">
        <v>5279.16</v>
      </c>
      <c r="CA104" s="13">
        <v>5281.61</v>
      </c>
      <c r="CB104" s="13">
        <v>5279.92</v>
      </c>
      <c r="CC104" s="13">
        <v>5280.32</v>
      </c>
      <c r="CD104" s="13">
        <v>5278.62</v>
      </c>
      <c r="CE104" s="13">
        <v>5279.11</v>
      </c>
      <c r="CF104" s="13">
        <v>5283.19</v>
      </c>
      <c r="CG104" s="13">
        <v>5282.99</v>
      </c>
      <c r="CH104" s="13">
        <v>5282.07</v>
      </c>
      <c r="CI104" s="13">
        <v>5274.64</v>
      </c>
      <c r="CJ104" s="13">
        <v>5273.49</v>
      </c>
      <c r="CK104" s="13">
        <v>5270.72</v>
      </c>
      <c r="CL104" s="13">
        <v>5263.44</v>
      </c>
      <c r="CM104" s="13">
        <v>5262.16</v>
      </c>
      <c r="CN104" s="13">
        <v>5260.33</v>
      </c>
      <c r="CO104" s="13">
        <v>5257.49</v>
      </c>
      <c r="CP104" s="13">
        <v>5255.9</v>
      </c>
      <c r="CQ104" s="13">
        <v>5257.05</v>
      </c>
      <c r="CR104" s="13">
        <v>5256.91</v>
      </c>
      <c r="CS104" s="13">
        <v>5256.68</v>
      </c>
      <c r="CT104" s="13">
        <v>5255.02</v>
      </c>
      <c r="CU104" s="13">
        <v>5254.95</v>
      </c>
      <c r="CV104" s="13">
        <v>5256.38</v>
      </c>
      <c r="CW104" s="13">
        <v>5255.24</v>
      </c>
      <c r="CX104" s="13">
        <v>5255.35</v>
      </c>
      <c r="CY104" s="13">
        <v>5254.38</v>
      </c>
      <c r="CZ104" s="13">
        <v>5254.95</v>
      </c>
      <c r="DA104" s="13">
        <v>5256.73</v>
      </c>
      <c r="DB104" s="13">
        <v>5256.51</v>
      </c>
      <c r="DC104" s="13">
        <v>5258.52</v>
      </c>
      <c r="DD104" s="13">
        <v>5260.39</v>
      </c>
      <c r="DE104" s="13">
        <v>5261.9</v>
      </c>
      <c r="DF104" s="13">
        <v>5259.78</v>
      </c>
      <c r="DG104" s="13">
        <v>5259.13</v>
      </c>
      <c r="DH104" s="13">
        <v>5257.52</v>
      </c>
      <c r="DI104" s="13">
        <v>5256.37</v>
      </c>
      <c r="DJ104" s="13">
        <v>5256.38</v>
      </c>
      <c r="DK104" s="13">
        <v>5255.83</v>
      </c>
      <c r="DL104" s="13">
        <v>5257.29</v>
      </c>
      <c r="DM104" s="32"/>
      <c r="DN104" s="33"/>
      <c r="DO104" s="32"/>
      <c r="DP104" s="33"/>
      <c r="DQ104" s="32"/>
      <c r="DR104" s="33"/>
      <c r="DS104" s="32"/>
      <c r="DT104" s="33"/>
      <c r="DU104" s="32"/>
      <c r="DV104" s="33"/>
    </row>
    <row r="105" spans="1:126" ht="15.75" x14ac:dyDescent="0.25">
      <c r="A105" s="14" t="s">
        <v>12</v>
      </c>
      <c r="B105" s="12" t="s">
        <v>10</v>
      </c>
      <c r="C105" s="13">
        <v>5253.5</v>
      </c>
      <c r="D105" s="13">
        <v>5203.76</v>
      </c>
      <c r="E105" s="13">
        <v>5187.8</v>
      </c>
      <c r="F105" s="13">
        <v>5183.8</v>
      </c>
      <c r="G105" s="13">
        <v>5172.5200000000004</v>
      </c>
      <c r="H105" s="13">
        <v>5172.7700000000004</v>
      </c>
      <c r="I105" s="13">
        <v>5172.99</v>
      </c>
      <c r="J105" s="13">
        <v>5172.66</v>
      </c>
      <c r="K105" s="13">
        <v>5174.91</v>
      </c>
      <c r="L105" s="13">
        <v>5179.46</v>
      </c>
      <c r="M105" s="13">
        <v>5178.22</v>
      </c>
      <c r="N105" s="13">
        <v>5175.1099999999997</v>
      </c>
      <c r="O105" s="13">
        <v>5185.22</v>
      </c>
      <c r="P105" s="13">
        <v>5188.96</v>
      </c>
      <c r="Q105" s="13">
        <v>5194.6400000000003</v>
      </c>
      <c r="R105" s="13">
        <v>5195.96</v>
      </c>
      <c r="S105" s="13">
        <v>5194.1499999999996</v>
      </c>
      <c r="T105" s="13">
        <v>5205.24</v>
      </c>
      <c r="U105" s="13">
        <v>5204.1000000000004</v>
      </c>
      <c r="V105" s="13">
        <v>5202.8500000000004</v>
      </c>
      <c r="W105" s="13">
        <v>5198.25</v>
      </c>
      <c r="X105" s="13">
        <v>5198.3599999999997</v>
      </c>
      <c r="Y105" s="13">
        <v>5198.84</v>
      </c>
      <c r="Z105" s="13">
        <v>5204.46</v>
      </c>
      <c r="AA105" s="13">
        <v>5204.58</v>
      </c>
      <c r="AB105" s="13">
        <v>5207.71</v>
      </c>
      <c r="AC105" s="13">
        <v>5208.9799999999996</v>
      </c>
      <c r="AD105" s="13">
        <v>5219.63</v>
      </c>
      <c r="AE105" s="13">
        <v>5219.2700000000004</v>
      </c>
      <c r="AF105" s="13">
        <v>5219.8900000000003</v>
      </c>
      <c r="AG105" s="13">
        <v>5219.8999999999996</v>
      </c>
      <c r="AH105" s="13">
        <v>5233.07</v>
      </c>
      <c r="AI105" s="13">
        <v>5238.1899999999996</v>
      </c>
      <c r="AJ105" s="13">
        <v>5240.12</v>
      </c>
      <c r="AK105" s="13">
        <v>5241.46</v>
      </c>
      <c r="AL105" s="13">
        <v>5242.47</v>
      </c>
      <c r="AM105" s="13">
        <v>5247.45</v>
      </c>
      <c r="AN105" s="13">
        <v>5245.64</v>
      </c>
      <c r="AO105" s="13">
        <v>5249.17</v>
      </c>
      <c r="AP105" s="13">
        <v>5249.79</v>
      </c>
      <c r="AQ105" s="13">
        <v>5252.79</v>
      </c>
      <c r="AR105" s="13">
        <v>5247.38</v>
      </c>
      <c r="AS105" s="13">
        <v>5249.68</v>
      </c>
      <c r="AT105" s="13">
        <v>5255.43</v>
      </c>
      <c r="AU105" s="13">
        <v>5265.03</v>
      </c>
      <c r="AV105" s="13">
        <v>5265.19</v>
      </c>
      <c r="AW105" s="13">
        <v>5280.92</v>
      </c>
      <c r="AX105" s="13">
        <v>5278.4</v>
      </c>
      <c r="AY105" s="13">
        <v>5288.38</v>
      </c>
      <c r="AZ105" s="13">
        <v>5291.71</v>
      </c>
      <c r="BA105" s="13">
        <v>5288.07</v>
      </c>
      <c r="BB105" s="13">
        <v>5289.96</v>
      </c>
      <c r="BC105" s="13">
        <v>5289.18</v>
      </c>
      <c r="BD105" s="13">
        <v>5292.64</v>
      </c>
      <c r="BE105" s="13">
        <v>5287.65</v>
      </c>
      <c r="BF105" s="13">
        <v>5288.7</v>
      </c>
      <c r="BG105" s="13">
        <v>5291.95</v>
      </c>
      <c r="BH105" s="13">
        <v>5288.31</v>
      </c>
      <c r="BI105" s="13">
        <v>5289.95</v>
      </c>
      <c r="BJ105" s="13">
        <v>5293.73</v>
      </c>
      <c r="BK105" s="13">
        <v>5297.42</v>
      </c>
      <c r="BL105" s="13">
        <v>5300.44</v>
      </c>
      <c r="BM105" s="13">
        <v>5300.67</v>
      </c>
      <c r="BN105" s="13">
        <v>5285.69</v>
      </c>
      <c r="BO105" s="13">
        <v>5283.53</v>
      </c>
      <c r="BP105" s="13">
        <v>5278.93</v>
      </c>
      <c r="BQ105" s="13">
        <v>5275.15</v>
      </c>
      <c r="BR105" s="13">
        <v>5274.88</v>
      </c>
      <c r="BS105" s="13">
        <v>5279.89</v>
      </c>
      <c r="BT105" s="13">
        <v>5279.79</v>
      </c>
      <c r="BU105" s="13">
        <v>5284.32</v>
      </c>
      <c r="BV105" s="13">
        <v>5280.73</v>
      </c>
      <c r="BW105" s="13">
        <v>5280.55</v>
      </c>
      <c r="BX105" s="13">
        <v>5279.35</v>
      </c>
      <c r="BY105" s="13">
        <v>5277.94</v>
      </c>
      <c r="BZ105" s="13">
        <v>5278.34</v>
      </c>
      <c r="CA105" s="13">
        <v>5281.52</v>
      </c>
      <c r="CB105" s="13">
        <v>5279.52</v>
      </c>
      <c r="CC105" s="13">
        <v>5277.68</v>
      </c>
      <c r="CD105" s="13">
        <v>5277.72</v>
      </c>
      <c r="CE105" s="13">
        <v>5278.37</v>
      </c>
      <c r="CF105" s="13">
        <v>5282.42</v>
      </c>
      <c r="CG105" s="13">
        <v>5282.11</v>
      </c>
      <c r="CH105" s="13">
        <v>5275.1</v>
      </c>
      <c r="CI105" s="13">
        <v>5271.73</v>
      </c>
      <c r="CJ105" s="13">
        <v>5270.28</v>
      </c>
      <c r="CK105" s="13">
        <v>5260.66</v>
      </c>
      <c r="CL105" s="13">
        <v>5261.05</v>
      </c>
      <c r="CM105" s="13">
        <v>5259.21</v>
      </c>
      <c r="CN105" s="13">
        <v>5256.84</v>
      </c>
      <c r="CO105" s="13">
        <v>5255.14</v>
      </c>
      <c r="CP105" s="13">
        <v>5254.9</v>
      </c>
      <c r="CQ105" s="13">
        <v>5255.7</v>
      </c>
      <c r="CR105" s="13">
        <v>5255.85</v>
      </c>
      <c r="CS105" s="13">
        <v>5248.59</v>
      </c>
      <c r="CT105" s="13">
        <v>5254.69</v>
      </c>
      <c r="CU105" s="13">
        <v>5253.28</v>
      </c>
      <c r="CV105" s="13">
        <v>5254.76</v>
      </c>
      <c r="CW105" s="13">
        <v>5254.76</v>
      </c>
      <c r="CX105" s="13">
        <v>5254.27</v>
      </c>
      <c r="CY105" s="13">
        <v>5253.46</v>
      </c>
      <c r="CZ105" s="13">
        <v>5254.62</v>
      </c>
      <c r="DA105" s="13">
        <v>5255.8</v>
      </c>
      <c r="DB105" s="13">
        <v>5256.41</v>
      </c>
      <c r="DC105" s="13">
        <v>5256.41</v>
      </c>
      <c r="DD105" s="13">
        <v>5260.39</v>
      </c>
      <c r="DE105" s="13">
        <v>5259.82</v>
      </c>
      <c r="DF105" s="13">
        <v>5259.08</v>
      </c>
      <c r="DG105" s="13">
        <v>5256.97</v>
      </c>
      <c r="DH105" s="13">
        <v>5254.79</v>
      </c>
      <c r="DI105" s="13">
        <v>5256.37</v>
      </c>
      <c r="DJ105" s="13">
        <v>5252.84</v>
      </c>
      <c r="DK105" s="13">
        <v>5255.1</v>
      </c>
      <c r="DL105" s="13">
        <v>5255.16</v>
      </c>
      <c r="DM105" s="32"/>
      <c r="DN105" s="33"/>
      <c r="DO105" s="32"/>
      <c r="DP105" s="33"/>
      <c r="DQ105" s="32"/>
      <c r="DR105" s="33"/>
      <c r="DS105" s="32"/>
      <c r="DT105" s="33"/>
      <c r="DU105" s="32"/>
      <c r="DV105" s="33"/>
    </row>
    <row r="106" spans="1:126" ht="15.75" x14ac:dyDescent="0.25">
      <c r="A106" s="14" t="s">
        <v>12</v>
      </c>
      <c r="B106" s="12" t="s">
        <v>9</v>
      </c>
      <c r="C106" s="13">
        <v>5117.5</v>
      </c>
      <c r="D106" s="13">
        <v>5179.26</v>
      </c>
      <c r="E106" s="13">
        <v>5170.5200000000004</v>
      </c>
      <c r="F106" s="13">
        <v>5172.7299999999996</v>
      </c>
      <c r="G106" s="13">
        <v>5166.6000000000004</v>
      </c>
      <c r="H106" s="13">
        <v>5166.68</v>
      </c>
      <c r="I106" s="13">
        <v>5166.75</v>
      </c>
      <c r="J106" s="13">
        <v>5167.0600000000004</v>
      </c>
      <c r="K106" s="13">
        <v>5168.68</v>
      </c>
      <c r="L106" s="13">
        <v>5173.59</v>
      </c>
      <c r="M106" s="13">
        <v>5171.99</v>
      </c>
      <c r="N106" s="13">
        <v>5168.97</v>
      </c>
      <c r="O106" s="13">
        <v>5179.34</v>
      </c>
      <c r="P106" s="13">
        <v>5182.13</v>
      </c>
      <c r="Q106" s="13">
        <v>5187.41</v>
      </c>
      <c r="R106" s="13">
        <v>5189.76</v>
      </c>
      <c r="S106" s="13">
        <v>5187.1400000000003</v>
      </c>
      <c r="T106" s="13">
        <v>5194.13</v>
      </c>
      <c r="U106" s="13">
        <v>5194.32</v>
      </c>
      <c r="V106" s="13">
        <v>5194.95</v>
      </c>
      <c r="W106" s="13">
        <v>5190.3599999999997</v>
      </c>
      <c r="X106" s="13">
        <v>5189.59</v>
      </c>
      <c r="Y106" s="13">
        <v>5190.34</v>
      </c>
      <c r="Z106" s="13">
        <v>5194.74</v>
      </c>
      <c r="AA106" s="13">
        <v>5197.0200000000004</v>
      </c>
      <c r="AB106" s="13">
        <v>5199.6400000000003</v>
      </c>
      <c r="AC106" s="13">
        <v>5200.87</v>
      </c>
      <c r="AD106" s="13">
        <v>5210.1499999999996</v>
      </c>
      <c r="AE106" s="13">
        <v>5210.7</v>
      </c>
      <c r="AF106" s="13">
        <v>5211.62</v>
      </c>
      <c r="AG106" s="13">
        <v>5213.33</v>
      </c>
      <c r="AH106" s="13">
        <v>5223.63</v>
      </c>
      <c r="AI106" s="13">
        <v>5228.55</v>
      </c>
      <c r="AJ106" s="13">
        <v>5230.09</v>
      </c>
      <c r="AK106" s="13">
        <v>5229.53</v>
      </c>
      <c r="AL106" s="13">
        <v>5233.34</v>
      </c>
      <c r="AM106" s="13">
        <v>5241.03</v>
      </c>
      <c r="AN106" s="13">
        <v>5244.38</v>
      </c>
      <c r="AO106" s="13">
        <v>5245.79</v>
      </c>
      <c r="AP106" s="13">
        <v>5247.4</v>
      </c>
      <c r="AQ106" s="13">
        <v>5248.13</v>
      </c>
      <c r="AR106" s="13">
        <v>5244.42</v>
      </c>
      <c r="AS106" s="13">
        <v>5245.64</v>
      </c>
      <c r="AT106" s="13">
        <v>5252.46</v>
      </c>
      <c r="AU106" s="13">
        <v>5260.38</v>
      </c>
      <c r="AV106" s="13">
        <v>5262.31</v>
      </c>
      <c r="AW106" s="13">
        <v>5270.01</v>
      </c>
      <c r="AX106" s="13">
        <v>5270.46</v>
      </c>
      <c r="AY106" s="13">
        <v>5280.64</v>
      </c>
      <c r="AZ106" s="13">
        <v>5281.28</v>
      </c>
      <c r="BA106" s="13">
        <v>5281.13</v>
      </c>
      <c r="BB106" s="13">
        <v>5282.9</v>
      </c>
      <c r="BC106" s="13">
        <v>5281.29</v>
      </c>
      <c r="BD106" s="13">
        <v>5286.76</v>
      </c>
      <c r="BE106" s="13">
        <v>5281.2</v>
      </c>
      <c r="BF106" s="13">
        <v>5280.77</v>
      </c>
      <c r="BG106" s="13">
        <v>5284.66</v>
      </c>
      <c r="BH106" s="13">
        <v>5280.96</v>
      </c>
      <c r="BI106" s="13">
        <v>5282.72</v>
      </c>
      <c r="BJ106" s="13">
        <v>5286.95</v>
      </c>
      <c r="BK106" s="13">
        <v>5289.25</v>
      </c>
      <c r="BL106" s="13">
        <v>5292.85</v>
      </c>
      <c r="BM106" s="13">
        <v>5291.51</v>
      </c>
      <c r="BN106" s="13">
        <v>5275.98</v>
      </c>
      <c r="BO106" s="13">
        <v>5266.58</v>
      </c>
      <c r="BP106" s="13">
        <v>5266.5</v>
      </c>
      <c r="BQ106" s="13">
        <v>5263.73</v>
      </c>
      <c r="BR106" s="13">
        <v>5263.45</v>
      </c>
      <c r="BS106" s="13">
        <v>5265.39</v>
      </c>
      <c r="BT106" s="13">
        <v>5269.14</v>
      </c>
      <c r="BU106" s="13">
        <v>5271.62</v>
      </c>
      <c r="BV106" s="13">
        <v>5269.38</v>
      </c>
      <c r="BW106" s="13">
        <v>5265.42</v>
      </c>
      <c r="BX106" s="13">
        <v>5262.74</v>
      </c>
      <c r="BY106" s="13">
        <v>5260.96</v>
      </c>
      <c r="BZ106" s="13">
        <v>5260.9</v>
      </c>
      <c r="CA106" s="13">
        <v>5262.12</v>
      </c>
      <c r="CB106" s="13">
        <v>5261.38</v>
      </c>
      <c r="CC106" s="13">
        <v>5259.77</v>
      </c>
      <c r="CD106" s="13">
        <v>5258.95</v>
      </c>
      <c r="CE106" s="13">
        <v>5259.74</v>
      </c>
      <c r="CF106" s="13">
        <v>5261.12</v>
      </c>
      <c r="CG106" s="13">
        <v>5260.3</v>
      </c>
      <c r="CH106" s="13">
        <v>5254.82</v>
      </c>
      <c r="CI106" s="13">
        <v>5252.27</v>
      </c>
      <c r="CJ106" s="13">
        <v>5250.39</v>
      </c>
      <c r="CK106" s="13">
        <v>5245.92</v>
      </c>
      <c r="CL106" s="13">
        <v>5245.25</v>
      </c>
      <c r="CM106" s="13">
        <v>5243.64</v>
      </c>
      <c r="CN106" s="13">
        <v>5240.1099999999997</v>
      </c>
      <c r="CO106" s="13">
        <v>5238.05</v>
      </c>
      <c r="CP106" s="13">
        <v>5238.2700000000004</v>
      </c>
      <c r="CQ106" s="13">
        <v>5238.03</v>
      </c>
      <c r="CR106" s="13">
        <v>5239.5600000000004</v>
      </c>
      <c r="CS106" s="13">
        <v>5237.71</v>
      </c>
      <c r="CT106" s="13">
        <v>5238.84</v>
      </c>
      <c r="CU106" s="13">
        <v>5237.55</v>
      </c>
      <c r="CV106" s="13">
        <v>5237.2299999999996</v>
      </c>
      <c r="CW106" s="13">
        <v>5237.12</v>
      </c>
      <c r="CX106" s="13">
        <v>5236.5200000000004</v>
      </c>
      <c r="CY106" s="13">
        <v>5236.8900000000003</v>
      </c>
      <c r="CZ106" s="13">
        <v>5237.3</v>
      </c>
      <c r="DA106" s="13">
        <v>5236.92</v>
      </c>
      <c r="DB106" s="13">
        <v>5237.9799999999996</v>
      </c>
      <c r="DC106" s="13">
        <v>5238.08</v>
      </c>
      <c r="DD106" s="13">
        <v>5239.28</v>
      </c>
      <c r="DE106" s="13">
        <v>5236.88</v>
      </c>
      <c r="DF106" s="13">
        <v>5236.63</v>
      </c>
      <c r="DG106" s="13">
        <v>5235.51</v>
      </c>
      <c r="DH106" s="13">
        <v>5234.92</v>
      </c>
      <c r="DI106" s="13">
        <v>5233.9399999999996</v>
      </c>
      <c r="DJ106" s="13">
        <v>5231.9399999999996</v>
      </c>
      <c r="DK106" s="13">
        <v>5232.1099999999997</v>
      </c>
      <c r="DL106" s="13">
        <v>5231.91</v>
      </c>
      <c r="DM106" s="32"/>
      <c r="DN106" s="33"/>
      <c r="DO106" s="32"/>
      <c r="DP106" s="33"/>
      <c r="DQ106" s="32"/>
      <c r="DR106" s="33"/>
      <c r="DS106" s="32"/>
      <c r="DT106" s="33"/>
      <c r="DU106" s="32"/>
      <c r="DV106" s="33"/>
    </row>
    <row r="107" spans="1:126" ht="15.75" x14ac:dyDescent="0.25">
      <c r="A107" s="14" t="s">
        <v>12</v>
      </c>
      <c r="B107" s="12" t="s">
        <v>7</v>
      </c>
      <c r="C107" s="13">
        <v>5117.5</v>
      </c>
      <c r="D107" s="13">
        <v>5117.5</v>
      </c>
      <c r="E107" s="13">
        <v>5166.9799999999996</v>
      </c>
      <c r="F107" s="13">
        <v>5171.34</v>
      </c>
      <c r="G107" s="13">
        <v>5166.21</v>
      </c>
      <c r="H107" s="13">
        <v>5165.83</v>
      </c>
      <c r="I107" s="13">
        <v>5163.6000000000004</v>
      </c>
      <c r="J107" s="13">
        <v>5165.26</v>
      </c>
      <c r="K107" s="13">
        <v>5167.38</v>
      </c>
      <c r="L107" s="13">
        <v>5169.03</v>
      </c>
      <c r="M107" s="13">
        <v>5166.78</v>
      </c>
      <c r="N107" s="13">
        <v>5165.6000000000004</v>
      </c>
      <c r="O107" s="13">
        <v>5167.57</v>
      </c>
      <c r="P107" s="13">
        <v>5177.1899999999996</v>
      </c>
      <c r="Q107" s="13">
        <v>5182.3100000000004</v>
      </c>
      <c r="R107" s="13">
        <v>5188.9399999999996</v>
      </c>
      <c r="S107" s="13">
        <v>5185.71</v>
      </c>
      <c r="T107" s="13">
        <v>5187.78</v>
      </c>
      <c r="U107" s="13">
        <v>5193.5600000000004</v>
      </c>
      <c r="V107" s="13">
        <v>5193.91</v>
      </c>
      <c r="W107" s="13">
        <v>5190.3599999999997</v>
      </c>
      <c r="X107" s="13">
        <v>5188.53</v>
      </c>
      <c r="Y107" s="13">
        <v>5189.05</v>
      </c>
      <c r="Z107" s="13">
        <v>5190.1499999999996</v>
      </c>
      <c r="AA107" s="13">
        <v>5194.34</v>
      </c>
      <c r="AB107" s="13">
        <v>5197.2</v>
      </c>
      <c r="AC107" s="13">
        <v>5198.6899999999996</v>
      </c>
      <c r="AD107" s="13">
        <v>5200.05</v>
      </c>
      <c r="AE107" s="13">
        <v>5210.13</v>
      </c>
      <c r="AF107" s="13">
        <v>5209.6000000000004</v>
      </c>
      <c r="AG107" s="13">
        <v>5208.22</v>
      </c>
      <c r="AH107" s="13">
        <v>5214.0600000000004</v>
      </c>
      <c r="AI107" s="13">
        <v>5223.76</v>
      </c>
      <c r="AJ107" s="13">
        <v>5228.5600000000004</v>
      </c>
      <c r="AK107" s="13">
        <v>5228.7299999999996</v>
      </c>
      <c r="AL107" s="13">
        <v>5229.8100000000004</v>
      </c>
      <c r="AM107" s="13">
        <v>5233.47</v>
      </c>
      <c r="AN107" s="13">
        <v>5239.6000000000004</v>
      </c>
      <c r="AO107" s="13">
        <v>5241.63</v>
      </c>
      <c r="AP107" s="13">
        <v>5245.32</v>
      </c>
      <c r="AQ107" s="13">
        <v>5246.53</v>
      </c>
      <c r="AR107" s="13">
        <v>5243.54</v>
      </c>
      <c r="AS107" s="13">
        <v>5244.95</v>
      </c>
      <c r="AT107" s="13">
        <v>5245.21</v>
      </c>
      <c r="AU107" s="13">
        <v>5251.6</v>
      </c>
      <c r="AV107" s="13">
        <v>5260.1</v>
      </c>
      <c r="AW107" s="13">
        <v>5261.61</v>
      </c>
      <c r="AX107" s="13">
        <v>5267.83</v>
      </c>
      <c r="AY107" s="13">
        <v>5272.01</v>
      </c>
      <c r="AZ107" s="13">
        <v>5280.44</v>
      </c>
      <c r="BA107" s="13">
        <v>5280.73</v>
      </c>
      <c r="BB107" s="13">
        <v>5280.78</v>
      </c>
      <c r="BC107" s="13">
        <v>5280.42</v>
      </c>
      <c r="BD107" s="13">
        <v>5282.84</v>
      </c>
      <c r="BE107" s="13">
        <v>5280.53</v>
      </c>
      <c r="BF107" s="13">
        <v>5279.49</v>
      </c>
      <c r="BG107" s="13">
        <v>5281.07</v>
      </c>
      <c r="BH107" s="13">
        <v>5279.74</v>
      </c>
      <c r="BI107" s="13">
        <v>5281.77</v>
      </c>
      <c r="BJ107" s="13">
        <v>5282.76</v>
      </c>
      <c r="BK107" s="13">
        <v>5284.34</v>
      </c>
      <c r="BL107" s="13">
        <v>5289.29</v>
      </c>
      <c r="BM107" s="13">
        <v>5290.48</v>
      </c>
      <c r="BN107" s="13">
        <v>5274.46</v>
      </c>
      <c r="BO107" s="13">
        <v>5264.88</v>
      </c>
      <c r="BP107" s="13">
        <v>5265.2</v>
      </c>
      <c r="BQ107" s="13">
        <v>5263.39</v>
      </c>
      <c r="BR107" s="13">
        <v>5262.38</v>
      </c>
      <c r="BS107" s="13">
        <v>5262.34</v>
      </c>
      <c r="BT107" s="13">
        <v>5265.33</v>
      </c>
      <c r="BU107" s="13">
        <v>5269.23</v>
      </c>
      <c r="BV107" s="13">
        <v>5269.38</v>
      </c>
      <c r="BW107" s="13">
        <v>5264.95</v>
      </c>
      <c r="BX107" s="13">
        <v>5262.34</v>
      </c>
      <c r="BY107" s="13">
        <v>5260.61</v>
      </c>
      <c r="BZ107" s="13">
        <v>5259.87</v>
      </c>
      <c r="CA107" s="13">
        <v>5260.15</v>
      </c>
      <c r="CB107" s="13">
        <v>5259.73</v>
      </c>
      <c r="CC107" s="13">
        <v>5259.77</v>
      </c>
      <c r="CD107" s="13">
        <v>5257.81</v>
      </c>
      <c r="CE107" s="13">
        <v>5258.13</v>
      </c>
      <c r="CF107" s="13">
        <v>5259.65</v>
      </c>
      <c r="CG107" s="13">
        <v>5259.88</v>
      </c>
      <c r="CH107" s="13">
        <v>5252.79</v>
      </c>
      <c r="CI107" s="13">
        <v>5251.96</v>
      </c>
      <c r="CJ107" s="13">
        <v>5250.24</v>
      </c>
      <c r="CK107" s="13">
        <v>5245.23</v>
      </c>
      <c r="CL107" s="13">
        <v>5244.78</v>
      </c>
      <c r="CM107" s="13">
        <v>5243.64</v>
      </c>
      <c r="CN107" s="13">
        <v>5239.41</v>
      </c>
      <c r="CO107" s="13">
        <v>5237.08</v>
      </c>
      <c r="CP107" s="13">
        <v>5236.01</v>
      </c>
      <c r="CQ107" s="13">
        <v>5237.83</v>
      </c>
      <c r="CR107" s="13">
        <v>5236.91</v>
      </c>
      <c r="CS107" s="13">
        <v>5237.71</v>
      </c>
      <c r="CT107" s="13">
        <v>5237.41</v>
      </c>
      <c r="CU107" s="13">
        <v>5237.3900000000003</v>
      </c>
      <c r="CV107" s="13">
        <v>5236.66</v>
      </c>
      <c r="CW107" s="13">
        <v>5235.78</v>
      </c>
      <c r="CX107" s="13">
        <v>5236.34</v>
      </c>
      <c r="CY107" s="13">
        <v>5235.7700000000004</v>
      </c>
      <c r="CZ107" s="13">
        <v>5236.5600000000004</v>
      </c>
      <c r="DA107" s="13">
        <v>5236.6400000000003</v>
      </c>
      <c r="DB107" s="13">
        <v>5235.9799999999996</v>
      </c>
      <c r="DC107" s="13">
        <v>5237.29</v>
      </c>
      <c r="DD107" s="13">
        <v>5237.21</v>
      </c>
      <c r="DE107" s="13">
        <v>5236.1099999999997</v>
      </c>
      <c r="DF107" s="13">
        <v>5236.0600000000004</v>
      </c>
      <c r="DG107" s="13">
        <v>5235.51</v>
      </c>
      <c r="DH107" s="13">
        <v>5234.1499999999996</v>
      </c>
      <c r="DI107" s="13">
        <v>5233.3100000000004</v>
      </c>
      <c r="DJ107" s="13">
        <v>5231.9399999999996</v>
      </c>
      <c r="DK107" s="13">
        <v>5232.1099999999997</v>
      </c>
      <c r="DL107" s="13">
        <v>5231.6499999999996</v>
      </c>
      <c r="DM107" s="32"/>
      <c r="DN107" s="33"/>
      <c r="DO107" s="32"/>
      <c r="DP107" s="33"/>
      <c r="DQ107" s="32"/>
      <c r="DR107" s="33"/>
      <c r="DS107" s="32"/>
      <c r="DT107" s="33"/>
      <c r="DU107" s="32"/>
      <c r="DV107" s="33"/>
    </row>
    <row r="108" spans="1:126" ht="15.75" x14ac:dyDescent="0.25">
      <c r="A108" s="14"/>
      <c r="B108" s="12"/>
      <c r="C108" s="13">
        <f t="shared" ref="C108:AH108" si="66">(C104+C105+C106+C107)/4</f>
        <v>5185.5</v>
      </c>
      <c r="D108" s="13">
        <f t="shared" si="66"/>
        <v>5184.57</v>
      </c>
      <c r="E108" s="13">
        <f t="shared" si="66"/>
        <v>5181.2975000000006</v>
      </c>
      <c r="F108" s="13">
        <f t="shared" si="66"/>
        <v>5180.2024999999994</v>
      </c>
      <c r="G108" s="13">
        <f t="shared" si="66"/>
        <v>5172.0150000000003</v>
      </c>
      <c r="H108" s="13">
        <f t="shared" si="66"/>
        <v>5170.6475000000009</v>
      </c>
      <c r="I108" s="13">
        <f t="shared" si="66"/>
        <v>5169.2299999999996</v>
      </c>
      <c r="J108" s="13">
        <f t="shared" si="66"/>
        <v>5169.7474999999995</v>
      </c>
      <c r="K108" s="13">
        <f t="shared" si="66"/>
        <v>5171.625</v>
      </c>
      <c r="L108" s="13">
        <f t="shared" si="66"/>
        <v>5175.7624999999998</v>
      </c>
      <c r="M108" s="13">
        <f t="shared" si="66"/>
        <v>5174.0050000000001</v>
      </c>
      <c r="N108" s="13">
        <f t="shared" si="66"/>
        <v>5172.68</v>
      </c>
      <c r="O108" s="13">
        <f t="shared" si="66"/>
        <v>5179.4225000000006</v>
      </c>
      <c r="P108" s="13">
        <f t="shared" si="66"/>
        <v>5184.3099999999995</v>
      </c>
      <c r="Q108" s="13">
        <f t="shared" si="66"/>
        <v>5190.2175000000007</v>
      </c>
      <c r="R108" s="13">
        <f t="shared" si="66"/>
        <v>5193.6149999999998</v>
      </c>
      <c r="S108" s="13">
        <f t="shared" si="66"/>
        <v>5190.9724999999999</v>
      </c>
      <c r="T108" s="13">
        <f t="shared" si="66"/>
        <v>5198.1624999999995</v>
      </c>
      <c r="U108" s="13">
        <f t="shared" si="66"/>
        <v>5199.16</v>
      </c>
      <c r="V108" s="13">
        <f t="shared" si="66"/>
        <v>5198.915</v>
      </c>
      <c r="W108" s="13">
        <f t="shared" si="66"/>
        <v>5195.5950000000003</v>
      </c>
      <c r="X108" s="13">
        <f t="shared" si="66"/>
        <v>5194.0824999999995</v>
      </c>
      <c r="Y108" s="13">
        <f t="shared" si="66"/>
        <v>5194.6674999999996</v>
      </c>
      <c r="Z108" s="13">
        <f t="shared" si="66"/>
        <v>5198.4574999999995</v>
      </c>
      <c r="AA108" s="13">
        <f t="shared" si="66"/>
        <v>5200.3725000000004</v>
      </c>
      <c r="AB108" s="13">
        <f t="shared" si="66"/>
        <v>5203.3874999999998</v>
      </c>
      <c r="AC108" s="13">
        <f t="shared" si="66"/>
        <v>5204.8024999999998</v>
      </c>
      <c r="AD108" s="13">
        <f t="shared" si="66"/>
        <v>5212.5</v>
      </c>
      <c r="AE108" s="13">
        <f t="shared" si="66"/>
        <v>5215.2750000000005</v>
      </c>
      <c r="AF108" s="13">
        <f t="shared" si="66"/>
        <v>5215.4950000000008</v>
      </c>
      <c r="AG108" s="13">
        <f t="shared" si="66"/>
        <v>5215.4949999999999</v>
      </c>
      <c r="AH108" s="13">
        <f t="shared" si="66"/>
        <v>5226.1175000000003</v>
      </c>
      <c r="AI108" s="13">
        <f t="shared" ref="AI108:BN108" si="67">(AI104+AI105+AI106+AI107)/4</f>
        <v>5233.6324999999997</v>
      </c>
      <c r="AJ108" s="13">
        <f t="shared" si="67"/>
        <v>5234.875</v>
      </c>
      <c r="AK108" s="13">
        <f t="shared" si="67"/>
        <v>5235.3549999999996</v>
      </c>
      <c r="AL108" s="13">
        <f t="shared" si="67"/>
        <v>5237.0350000000008</v>
      </c>
      <c r="AM108" s="13">
        <f t="shared" si="67"/>
        <v>5242.4775</v>
      </c>
      <c r="AN108" s="13">
        <f t="shared" si="67"/>
        <v>5244.5874999999996</v>
      </c>
      <c r="AO108" s="13">
        <f t="shared" si="67"/>
        <v>5246.6025</v>
      </c>
      <c r="AP108" s="13">
        <f t="shared" si="67"/>
        <v>5248.2674999999999</v>
      </c>
      <c r="AQ108" s="13">
        <f t="shared" si="67"/>
        <v>5250.2249999999995</v>
      </c>
      <c r="AR108" s="13">
        <f t="shared" si="67"/>
        <v>5246.45</v>
      </c>
      <c r="AS108" s="13">
        <f t="shared" si="67"/>
        <v>5247.96</v>
      </c>
      <c r="AT108" s="13">
        <f t="shared" si="67"/>
        <v>5252.3324999999995</v>
      </c>
      <c r="AU108" s="13">
        <f t="shared" si="67"/>
        <v>5260.8225000000002</v>
      </c>
      <c r="AV108" s="13">
        <f t="shared" si="67"/>
        <v>5263.7000000000007</v>
      </c>
      <c r="AW108" s="13">
        <f t="shared" si="67"/>
        <v>5273.5374999999995</v>
      </c>
      <c r="AX108" s="13">
        <f t="shared" si="67"/>
        <v>5273.93</v>
      </c>
      <c r="AY108" s="13">
        <f t="shared" si="67"/>
        <v>5282.3525000000009</v>
      </c>
      <c r="AZ108" s="13">
        <f t="shared" si="67"/>
        <v>5286.41</v>
      </c>
      <c r="BA108" s="13">
        <f t="shared" si="67"/>
        <v>5285.43</v>
      </c>
      <c r="BB108" s="13">
        <f t="shared" si="67"/>
        <v>5286.0874999999996</v>
      </c>
      <c r="BC108" s="13">
        <f t="shared" si="67"/>
        <v>5285.8274999999994</v>
      </c>
      <c r="BD108" s="13">
        <f t="shared" si="67"/>
        <v>5289.0524999999998</v>
      </c>
      <c r="BE108" s="13">
        <f t="shared" si="67"/>
        <v>5285.3049999999994</v>
      </c>
      <c r="BF108" s="13">
        <f t="shared" si="67"/>
        <v>5284.7175000000007</v>
      </c>
      <c r="BG108" s="13">
        <f t="shared" si="67"/>
        <v>5287.4775</v>
      </c>
      <c r="BH108" s="13">
        <f t="shared" si="67"/>
        <v>5285.3600000000006</v>
      </c>
      <c r="BI108" s="13">
        <f t="shared" si="67"/>
        <v>5286.5574999999999</v>
      </c>
      <c r="BJ108" s="13">
        <f t="shared" si="67"/>
        <v>5289.4074999999993</v>
      </c>
      <c r="BK108" s="13">
        <f t="shared" si="67"/>
        <v>5292.1725000000006</v>
      </c>
      <c r="BL108" s="13">
        <f t="shared" si="67"/>
        <v>5296.0675000000001</v>
      </c>
      <c r="BM108" s="13">
        <f t="shared" si="67"/>
        <v>5295.9225000000006</v>
      </c>
      <c r="BN108" s="13">
        <f t="shared" si="67"/>
        <v>5283.9324999999999</v>
      </c>
      <c r="BO108" s="13">
        <f t="shared" ref="BO108:CT108" si="68">(BO104+BO105+BO106+BO107)/4</f>
        <v>5275.7849999999999</v>
      </c>
      <c r="BP108" s="13">
        <f t="shared" si="68"/>
        <v>5273.6750000000002</v>
      </c>
      <c r="BQ108" s="13">
        <f t="shared" si="68"/>
        <v>5270.9174999999996</v>
      </c>
      <c r="BR108" s="13">
        <f t="shared" si="68"/>
        <v>5270.0675000000001</v>
      </c>
      <c r="BS108" s="13">
        <f t="shared" si="68"/>
        <v>5271.9350000000004</v>
      </c>
      <c r="BT108" s="13">
        <f t="shared" si="68"/>
        <v>5274.2525000000005</v>
      </c>
      <c r="BU108" s="13">
        <f t="shared" si="68"/>
        <v>5277.3824999999997</v>
      </c>
      <c r="BV108" s="13">
        <f t="shared" si="68"/>
        <v>5275.7849999999999</v>
      </c>
      <c r="BW108" s="13">
        <f t="shared" si="68"/>
        <v>5272.9375</v>
      </c>
      <c r="BX108" s="13">
        <f t="shared" si="68"/>
        <v>5271.2875000000004</v>
      </c>
      <c r="BY108" s="13">
        <f t="shared" si="68"/>
        <v>5270.1849999999995</v>
      </c>
      <c r="BZ108" s="13">
        <f t="shared" si="68"/>
        <v>5269.5675000000001</v>
      </c>
      <c r="CA108" s="13">
        <f t="shared" si="68"/>
        <v>5271.35</v>
      </c>
      <c r="CB108" s="13">
        <f t="shared" si="68"/>
        <v>5270.1374999999998</v>
      </c>
      <c r="CC108" s="13">
        <f t="shared" si="68"/>
        <v>5269.3850000000002</v>
      </c>
      <c r="CD108" s="13">
        <f t="shared" si="68"/>
        <v>5268.2750000000005</v>
      </c>
      <c r="CE108" s="13">
        <f t="shared" si="68"/>
        <v>5268.8374999999996</v>
      </c>
      <c r="CF108" s="13">
        <f t="shared" si="68"/>
        <v>5271.5949999999993</v>
      </c>
      <c r="CG108" s="13">
        <f t="shared" si="68"/>
        <v>5271.32</v>
      </c>
      <c r="CH108" s="13">
        <f t="shared" si="68"/>
        <v>5266.1949999999997</v>
      </c>
      <c r="CI108" s="13">
        <f t="shared" si="68"/>
        <v>5262.65</v>
      </c>
      <c r="CJ108" s="13">
        <f t="shared" si="68"/>
        <v>5261.1</v>
      </c>
      <c r="CK108" s="13">
        <f t="shared" si="68"/>
        <v>5255.6324999999997</v>
      </c>
      <c r="CL108" s="13">
        <f t="shared" si="68"/>
        <v>5253.63</v>
      </c>
      <c r="CM108" s="13">
        <f t="shared" si="68"/>
        <v>5252.1624999999995</v>
      </c>
      <c r="CN108" s="13">
        <f t="shared" si="68"/>
        <v>5249.1724999999997</v>
      </c>
      <c r="CO108" s="13">
        <f t="shared" si="68"/>
        <v>5246.9400000000005</v>
      </c>
      <c r="CP108" s="13">
        <f t="shared" si="68"/>
        <v>5246.27</v>
      </c>
      <c r="CQ108" s="13">
        <f t="shared" si="68"/>
        <v>5247.1525000000001</v>
      </c>
      <c r="CR108" s="13">
        <f t="shared" si="68"/>
        <v>5247.3074999999999</v>
      </c>
      <c r="CS108" s="13">
        <f t="shared" si="68"/>
        <v>5245.1724999999997</v>
      </c>
      <c r="CT108" s="13">
        <f t="shared" si="68"/>
        <v>5246.49</v>
      </c>
      <c r="CU108" s="13">
        <f t="shared" ref="CU108:DL108" si="69">(CU104+CU105+CU106+CU107)/4</f>
        <v>5245.7924999999996</v>
      </c>
      <c r="CV108" s="13">
        <f t="shared" si="69"/>
        <v>5246.2574999999997</v>
      </c>
      <c r="CW108" s="13">
        <f t="shared" si="69"/>
        <v>5245.7249999999995</v>
      </c>
      <c r="CX108" s="13">
        <f t="shared" si="69"/>
        <v>5245.6200000000008</v>
      </c>
      <c r="CY108" s="13">
        <f t="shared" si="69"/>
        <v>5245.125</v>
      </c>
      <c r="CZ108" s="13">
        <f t="shared" si="69"/>
        <v>5245.8575000000001</v>
      </c>
      <c r="DA108" s="13">
        <f t="shared" si="69"/>
        <v>5246.5225</v>
      </c>
      <c r="DB108" s="13">
        <f t="shared" si="69"/>
        <v>5246.7199999999993</v>
      </c>
      <c r="DC108" s="13">
        <f t="shared" si="69"/>
        <v>5247.5749999999998</v>
      </c>
      <c r="DD108" s="13">
        <f t="shared" si="69"/>
        <v>5249.3175000000001</v>
      </c>
      <c r="DE108" s="13">
        <f t="shared" si="69"/>
        <v>5248.6774999999998</v>
      </c>
      <c r="DF108" s="13">
        <f t="shared" si="69"/>
        <v>5247.8875000000007</v>
      </c>
      <c r="DG108" s="13">
        <f t="shared" si="69"/>
        <v>5246.7800000000007</v>
      </c>
      <c r="DH108" s="13">
        <f t="shared" si="69"/>
        <v>5245.3450000000003</v>
      </c>
      <c r="DI108" s="13">
        <f t="shared" si="69"/>
        <v>5244.9975000000004</v>
      </c>
      <c r="DJ108" s="13">
        <f t="shared" si="69"/>
        <v>5243.2749999999996</v>
      </c>
      <c r="DK108" s="13">
        <f t="shared" si="69"/>
        <v>5243.7875000000004</v>
      </c>
      <c r="DL108" s="13">
        <f t="shared" si="69"/>
        <v>5244.0025000000005</v>
      </c>
      <c r="DM108" s="26"/>
      <c r="DN108" s="25"/>
      <c r="DO108" s="27"/>
      <c r="DP108" s="25"/>
      <c r="DQ108" s="27"/>
      <c r="DR108" s="25"/>
      <c r="DS108" s="27"/>
      <c r="DT108" s="25"/>
    </row>
    <row r="109" spans="1:126" ht="15.75" x14ac:dyDescent="0.25">
      <c r="A109" s="11" t="s">
        <v>5</v>
      </c>
      <c r="B109" s="11" t="s">
        <v>11</v>
      </c>
      <c r="C109" s="15">
        <v>0.375</v>
      </c>
      <c r="D109" s="15">
        <v>0.37847222222222227</v>
      </c>
      <c r="E109" s="15">
        <v>0.38194444444444442</v>
      </c>
      <c r="F109" s="15">
        <v>0.38541666666666669</v>
      </c>
      <c r="G109" s="15">
        <v>0.3888888888888889</v>
      </c>
      <c r="H109" s="15">
        <v>0.3923611111111111</v>
      </c>
      <c r="I109" s="15">
        <v>0.39583333333333331</v>
      </c>
      <c r="J109" s="15">
        <v>0.39930555555555558</v>
      </c>
      <c r="K109" s="15">
        <v>0.40277777777777773</v>
      </c>
      <c r="L109" s="15">
        <v>0.40625</v>
      </c>
      <c r="M109" s="15">
        <v>0.40972222222222227</v>
      </c>
      <c r="N109" s="15">
        <v>0.41319444444444442</v>
      </c>
      <c r="O109" s="15">
        <v>0.41666666666666669</v>
      </c>
      <c r="P109" s="15">
        <v>0.4201388888888889</v>
      </c>
      <c r="Q109" s="15">
        <v>0.4236111111111111</v>
      </c>
      <c r="R109" s="15">
        <v>0.42708333333333331</v>
      </c>
      <c r="S109" s="15">
        <v>0.43055555555555558</v>
      </c>
      <c r="T109" s="15">
        <v>0.43402777777777773</v>
      </c>
      <c r="U109" s="15">
        <v>0.4375</v>
      </c>
      <c r="V109" s="15">
        <v>0.44097222222222227</v>
      </c>
      <c r="W109" s="15">
        <v>0.44444444444444442</v>
      </c>
      <c r="X109" s="15">
        <v>0.44791666666666669</v>
      </c>
      <c r="Y109" s="15">
        <v>0.4513888888888889</v>
      </c>
      <c r="Z109" s="15">
        <v>0.4548611111111111</v>
      </c>
      <c r="AA109" s="15">
        <v>0.45833333333333331</v>
      </c>
      <c r="AB109" s="15">
        <v>0.46180555555555558</v>
      </c>
      <c r="AC109" s="15">
        <v>0.46527777777777773</v>
      </c>
      <c r="AD109" s="15">
        <v>0.46875</v>
      </c>
      <c r="AE109" s="15">
        <v>0.47222222222222227</v>
      </c>
      <c r="AF109" s="15">
        <v>0.47569444444444442</v>
      </c>
      <c r="AG109" s="15">
        <v>0.47916666666666669</v>
      </c>
      <c r="AH109" s="15">
        <v>0.4826388888888889</v>
      </c>
      <c r="AI109" s="15">
        <v>0.4861111111111111</v>
      </c>
      <c r="AJ109" s="15">
        <v>0.48958333333333331</v>
      </c>
      <c r="AK109" s="15">
        <v>0.49305555555555558</v>
      </c>
      <c r="AL109" s="15">
        <v>0.49652777777777773</v>
      </c>
      <c r="AM109" s="15">
        <v>0.5</v>
      </c>
      <c r="AN109" s="15">
        <v>0.50347222222222221</v>
      </c>
      <c r="AO109" s="15">
        <v>0.50694444444444442</v>
      </c>
      <c r="AP109" s="15">
        <v>0.51041666666666663</v>
      </c>
      <c r="AQ109" s="15">
        <v>0.51388888888888895</v>
      </c>
      <c r="AR109" s="15">
        <v>0.51736111111111105</v>
      </c>
      <c r="AS109" s="15">
        <v>0.52083333333333337</v>
      </c>
      <c r="AT109" s="15">
        <v>0.52430555555555558</v>
      </c>
      <c r="AU109" s="15">
        <v>0.52777777777777779</v>
      </c>
      <c r="AV109" s="15">
        <v>0.53125</v>
      </c>
      <c r="AW109" s="15">
        <v>0.53472222222222221</v>
      </c>
      <c r="AX109" s="15">
        <v>0.53819444444444442</v>
      </c>
      <c r="AY109" s="15">
        <v>0.54166666666666663</v>
      </c>
      <c r="AZ109" s="15">
        <v>0.54513888888888895</v>
      </c>
      <c r="BA109" s="15">
        <v>0.54861111111111105</v>
      </c>
      <c r="BB109" s="15">
        <v>0.55208333333333337</v>
      </c>
      <c r="BC109" s="15">
        <v>0.55555555555555558</v>
      </c>
      <c r="BD109" s="15">
        <v>0.55902777777777779</v>
      </c>
      <c r="BE109" s="15">
        <v>0.5625</v>
      </c>
      <c r="BF109" s="15">
        <v>0.56597222222222221</v>
      </c>
      <c r="BG109" s="15">
        <v>0.56944444444444442</v>
      </c>
      <c r="BH109" s="15">
        <v>0.57291666666666663</v>
      </c>
      <c r="BI109" s="15">
        <v>0.57638888888888895</v>
      </c>
      <c r="BJ109" s="15">
        <v>0.57986111111111105</v>
      </c>
      <c r="BK109" s="15">
        <v>0.58333333333333337</v>
      </c>
      <c r="BL109" s="15">
        <v>0.58680555555555558</v>
      </c>
      <c r="BM109" s="15">
        <v>0.59027777777777779</v>
      </c>
      <c r="BN109" s="15">
        <v>0.59375</v>
      </c>
      <c r="BO109" s="15">
        <v>0.59722222222222221</v>
      </c>
      <c r="BP109" s="15">
        <v>0.60069444444444442</v>
      </c>
      <c r="BQ109" s="15">
        <v>0.60416666666666663</v>
      </c>
      <c r="BR109" s="15">
        <v>0.60763888888888895</v>
      </c>
      <c r="BS109" s="15">
        <v>0.61111111111111105</v>
      </c>
      <c r="BT109" s="15">
        <v>0.61458333333333337</v>
      </c>
      <c r="BU109" s="15">
        <v>0.61805555555555558</v>
      </c>
      <c r="BV109" s="15">
        <v>0.62152777777777779</v>
      </c>
      <c r="BW109" s="15">
        <v>0.625</v>
      </c>
      <c r="BX109" s="15">
        <v>0.62847222222222221</v>
      </c>
      <c r="BY109" s="15">
        <v>0.63194444444444442</v>
      </c>
      <c r="BZ109" s="15">
        <v>0.63541666666666663</v>
      </c>
      <c r="CA109" s="15">
        <v>0.63888888888888895</v>
      </c>
      <c r="CB109" s="15">
        <v>0.64236111111111105</v>
      </c>
      <c r="CC109" s="15">
        <v>0.64583333333333337</v>
      </c>
      <c r="CD109" s="15">
        <v>0.64930555555555558</v>
      </c>
      <c r="CE109" s="15">
        <v>0.65277777777777779</v>
      </c>
      <c r="CF109" s="15">
        <v>0.65625</v>
      </c>
      <c r="CG109" s="15">
        <v>0.65972222222222221</v>
      </c>
      <c r="CH109" s="15">
        <v>0.66319444444444442</v>
      </c>
      <c r="CI109" s="15">
        <v>0.66666666666666663</v>
      </c>
      <c r="CJ109" s="15">
        <v>0.67013888888888884</v>
      </c>
      <c r="CK109" s="15">
        <v>0.67361111111111116</v>
      </c>
      <c r="CL109" s="15">
        <v>0.67708333333333337</v>
      </c>
      <c r="CM109" s="15">
        <v>0.68055555555555547</v>
      </c>
      <c r="CN109" s="15">
        <v>0.68402777777777779</v>
      </c>
      <c r="CO109" s="15">
        <v>0.6875</v>
      </c>
      <c r="CP109" s="15">
        <v>0.69097222222222221</v>
      </c>
      <c r="CQ109" s="15">
        <v>0.69444444444444453</v>
      </c>
      <c r="CR109" s="15">
        <v>0.69791666666666663</v>
      </c>
      <c r="CS109" s="15">
        <v>0.70138888888888884</v>
      </c>
      <c r="CT109" s="15">
        <v>0.70486111111111116</v>
      </c>
      <c r="CU109" s="15">
        <v>0.70833333333333337</v>
      </c>
      <c r="CV109" s="15">
        <v>0.71180555555555547</v>
      </c>
      <c r="CW109" s="15">
        <v>0.71527777777777779</v>
      </c>
      <c r="CX109" s="15">
        <v>0.71875</v>
      </c>
      <c r="CY109" s="15">
        <v>0.72222222222222221</v>
      </c>
      <c r="CZ109" s="15">
        <v>0.72569444444444453</v>
      </c>
      <c r="DA109" s="15">
        <v>0.72916666666666663</v>
      </c>
      <c r="DB109" s="15">
        <v>0.73263888888888884</v>
      </c>
      <c r="DC109" s="15">
        <v>0.73611111111111116</v>
      </c>
      <c r="DD109" s="15">
        <v>0.73958333333333337</v>
      </c>
      <c r="DE109" s="15">
        <v>0.74305555555555547</v>
      </c>
      <c r="DF109" s="15">
        <v>0.74652777777777779</v>
      </c>
      <c r="DG109" s="15">
        <v>0.75</v>
      </c>
      <c r="DH109" s="15">
        <v>0.75347222222222221</v>
      </c>
      <c r="DI109" s="15">
        <v>0.75694444444444453</v>
      </c>
      <c r="DJ109" s="15">
        <v>0.76041666666666663</v>
      </c>
      <c r="DK109" s="15">
        <v>0.76388888888888884</v>
      </c>
      <c r="DL109" s="15">
        <v>0.76736111111111116</v>
      </c>
      <c r="DM109" s="23">
        <v>44371</v>
      </c>
    </row>
    <row r="110" spans="1:126" ht="15.75" x14ac:dyDescent="0.25">
      <c r="A110" s="14">
        <v>44194</v>
      </c>
      <c r="B110" s="12" t="s">
        <v>6</v>
      </c>
      <c r="C110" s="13">
        <v>5300.38</v>
      </c>
      <c r="D110" s="13">
        <v>5304.35</v>
      </c>
      <c r="E110" s="13">
        <v>5238.53</v>
      </c>
      <c r="F110" s="13">
        <v>5240.45</v>
      </c>
      <c r="G110" s="13">
        <v>5247.42</v>
      </c>
      <c r="H110" s="13">
        <v>5242.6000000000004</v>
      </c>
      <c r="I110" s="13">
        <v>5248.47</v>
      </c>
      <c r="J110" s="13">
        <v>5247.58</v>
      </c>
      <c r="K110" s="13">
        <v>5246.07</v>
      </c>
      <c r="L110" s="13">
        <v>5245.19</v>
      </c>
      <c r="M110" s="13">
        <v>5233.46</v>
      </c>
      <c r="N110" s="13">
        <v>5234.1899999999996</v>
      </c>
      <c r="O110" s="13">
        <v>5231.67</v>
      </c>
      <c r="P110" s="13">
        <v>5216.7299999999996</v>
      </c>
      <c r="Q110" s="13">
        <v>5215.01</v>
      </c>
      <c r="R110" s="13">
        <v>5211.9399999999996</v>
      </c>
      <c r="S110" s="13">
        <v>5204.9399999999996</v>
      </c>
      <c r="T110" s="13">
        <v>5200.3500000000004</v>
      </c>
      <c r="U110" s="13">
        <v>5201.92</v>
      </c>
      <c r="V110" s="13">
        <v>5204.08</v>
      </c>
      <c r="W110" s="13">
        <v>5200.88</v>
      </c>
      <c r="X110" s="13">
        <v>5196.8900000000003</v>
      </c>
      <c r="Y110" s="13">
        <v>5193.3900000000003</v>
      </c>
      <c r="Z110" s="13">
        <v>5190.92</v>
      </c>
      <c r="AA110" s="13">
        <v>5190.53</v>
      </c>
      <c r="AB110" s="13">
        <v>5190.83</v>
      </c>
      <c r="AC110" s="13">
        <v>5187.3599999999997</v>
      </c>
      <c r="AD110" s="13">
        <v>5187.76</v>
      </c>
      <c r="AE110" s="13">
        <v>5183.4399999999996</v>
      </c>
      <c r="AF110" s="13">
        <v>5187.04</v>
      </c>
      <c r="AG110" s="13">
        <v>5186.16</v>
      </c>
      <c r="AH110" s="13">
        <v>5185.82</v>
      </c>
      <c r="AI110" s="13">
        <v>5188.2</v>
      </c>
      <c r="AJ110" s="13">
        <v>5201.33</v>
      </c>
      <c r="AK110" s="13">
        <v>5204.67</v>
      </c>
      <c r="AL110" s="13">
        <v>5204.62</v>
      </c>
      <c r="AM110" s="13">
        <v>5218.99</v>
      </c>
      <c r="AN110" s="13">
        <v>5212.13</v>
      </c>
      <c r="AO110" s="13">
        <v>5211.2</v>
      </c>
      <c r="AP110" s="13">
        <v>5218.33</v>
      </c>
      <c r="AQ110" s="13">
        <v>5219.34</v>
      </c>
      <c r="AR110" s="13">
        <v>5217.7700000000004</v>
      </c>
      <c r="AS110" s="13">
        <v>5218.88</v>
      </c>
      <c r="AT110" s="13">
        <v>5219.47</v>
      </c>
      <c r="AU110" s="13">
        <v>5211.25</v>
      </c>
      <c r="AV110" s="13">
        <v>5209.1899999999996</v>
      </c>
      <c r="AW110" s="13">
        <v>5206.3900000000003</v>
      </c>
      <c r="AX110" s="13">
        <v>5211.01</v>
      </c>
      <c r="AY110" s="13">
        <v>5210.07</v>
      </c>
      <c r="AZ110" s="13">
        <v>5202.74</v>
      </c>
      <c r="BA110" s="13">
        <v>5200.5</v>
      </c>
      <c r="BB110" s="13">
        <v>5193.63</v>
      </c>
      <c r="BC110" s="13">
        <v>5194.29</v>
      </c>
      <c r="BD110" s="13">
        <v>5197.38</v>
      </c>
      <c r="BE110" s="13">
        <v>5194.45</v>
      </c>
      <c r="BF110" s="13">
        <v>5192.37</v>
      </c>
      <c r="BG110" s="13">
        <v>5193.3900000000003</v>
      </c>
      <c r="BH110" s="13">
        <v>5191.47</v>
      </c>
      <c r="BI110" s="13">
        <v>5191.84</v>
      </c>
      <c r="BJ110" s="13">
        <v>5193.91</v>
      </c>
      <c r="BK110" s="13">
        <v>5192.13</v>
      </c>
      <c r="BL110" s="13">
        <v>5191.03</v>
      </c>
      <c r="BM110" s="13">
        <v>5191.54</v>
      </c>
      <c r="BN110" s="13">
        <v>5193.05</v>
      </c>
      <c r="BO110" s="13">
        <v>5191.63</v>
      </c>
      <c r="BP110" s="13">
        <v>5195.6000000000004</v>
      </c>
      <c r="BQ110" s="13">
        <v>5197.91</v>
      </c>
      <c r="BR110" s="13">
        <v>5198.68</v>
      </c>
      <c r="BS110" s="13">
        <v>5197.1000000000004</v>
      </c>
      <c r="BT110" s="13">
        <v>5198.03</v>
      </c>
      <c r="BU110" s="13">
        <v>5200.29</v>
      </c>
      <c r="BV110" s="13">
        <v>5199.34</v>
      </c>
      <c r="BW110" s="13">
        <v>5198.45</v>
      </c>
      <c r="BX110" s="13">
        <v>5198.75</v>
      </c>
      <c r="BY110" s="13">
        <v>5199.3900000000003</v>
      </c>
      <c r="BZ110" s="13">
        <v>5202.78</v>
      </c>
      <c r="CA110" s="13">
        <v>5204.72</v>
      </c>
      <c r="CB110" s="13">
        <v>5204.1899999999996</v>
      </c>
      <c r="CC110" s="13">
        <v>5203.42</v>
      </c>
      <c r="CD110" s="13">
        <v>5203.9799999999996</v>
      </c>
      <c r="CE110" s="13">
        <v>5202.46</v>
      </c>
      <c r="CF110" s="13">
        <v>5203.96</v>
      </c>
      <c r="CG110" s="13">
        <v>5204.79</v>
      </c>
      <c r="CH110" s="13">
        <v>5204.38</v>
      </c>
      <c r="CI110" s="13">
        <v>5203.74</v>
      </c>
      <c r="CJ110" s="13">
        <v>5203.34</v>
      </c>
      <c r="CK110" s="13">
        <v>5201.6099999999997</v>
      </c>
      <c r="CL110" s="13">
        <v>5201.93</v>
      </c>
      <c r="CM110" s="13">
        <v>5202.76</v>
      </c>
      <c r="CN110" s="13">
        <v>5200.45</v>
      </c>
      <c r="CO110" s="13">
        <v>5198.29</v>
      </c>
      <c r="CP110" s="13">
        <v>5198.2</v>
      </c>
      <c r="CQ110" s="13">
        <v>5197.71</v>
      </c>
      <c r="CR110" s="13">
        <v>5195.54</v>
      </c>
      <c r="CS110" s="13">
        <v>5195.6400000000003</v>
      </c>
      <c r="CT110" s="13">
        <v>5194.37</v>
      </c>
      <c r="CU110" s="13">
        <v>5195.3100000000004</v>
      </c>
      <c r="CV110" s="13">
        <v>5202.71</v>
      </c>
      <c r="CW110" s="13">
        <v>5203.97</v>
      </c>
      <c r="CX110" s="13">
        <v>5202.5200000000004</v>
      </c>
      <c r="CY110" s="13">
        <v>5203.3100000000004</v>
      </c>
      <c r="CZ110" s="13">
        <v>5204.08</v>
      </c>
      <c r="DA110" s="13">
        <v>5206.0200000000004</v>
      </c>
      <c r="DB110" s="13">
        <v>5211.22</v>
      </c>
      <c r="DC110" s="13">
        <v>5211.4399999999996</v>
      </c>
      <c r="DD110" s="13">
        <v>5216.55</v>
      </c>
      <c r="DE110" s="13">
        <v>5212.8</v>
      </c>
      <c r="DF110" s="13">
        <v>5209.3900000000003</v>
      </c>
      <c r="DG110" s="13">
        <v>5209.58</v>
      </c>
      <c r="DH110" s="13">
        <v>5208.6400000000003</v>
      </c>
      <c r="DI110" s="13">
        <v>5206.5</v>
      </c>
      <c r="DJ110" s="13">
        <v>5205.8</v>
      </c>
      <c r="DK110" s="13">
        <v>5207.57</v>
      </c>
      <c r="DL110" s="13">
        <v>5213.8100000000004</v>
      </c>
      <c r="DM110" s="32"/>
      <c r="DN110" s="33"/>
      <c r="DO110" s="32"/>
      <c r="DP110" s="33"/>
      <c r="DQ110" s="32"/>
      <c r="DR110" s="33"/>
      <c r="DS110" s="32"/>
      <c r="DT110" s="33"/>
      <c r="DU110" s="32"/>
      <c r="DV110" s="33"/>
    </row>
    <row r="111" spans="1:126" ht="15.75" x14ac:dyDescent="0.25">
      <c r="A111" s="14" t="s">
        <v>12</v>
      </c>
      <c r="B111" s="12" t="s">
        <v>10</v>
      </c>
      <c r="C111" s="13">
        <v>5300.38</v>
      </c>
      <c r="D111" s="13">
        <v>5229.1000000000004</v>
      </c>
      <c r="E111" s="13">
        <v>5238.53</v>
      </c>
      <c r="F111" s="13">
        <v>5238.42</v>
      </c>
      <c r="G111" s="13">
        <v>5244.13</v>
      </c>
      <c r="H111" s="13">
        <v>5238.0200000000004</v>
      </c>
      <c r="I111" s="13">
        <v>5246.45</v>
      </c>
      <c r="J111" s="13">
        <v>5245.35</v>
      </c>
      <c r="K111" s="13">
        <v>5236.5</v>
      </c>
      <c r="L111" s="13">
        <v>5240.76</v>
      </c>
      <c r="M111" s="13">
        <v>5230.13</v>
      </c>
      <c r="N111" s="13">
        <v>5231.8</v>
      </c>
      <c r="O111" s="13">
        <v>5209.49</v>
      </c>
      <c r="P111" s="13">
        <v>5215.18</v>
      </c>
      <c r="Q111" s="13">
        <v>5211.3900000000003</v>
      </c>
      <c r="R111" s="13">
        <v>5202.1099999999997</v>
      </c>
      <c r="S111" s="13">
        <v>5200.63</v>
      </c>
      <c r="T111" s="13">
        <v>5199.59</v>
      </c>
      <c r="U111" s="13">
        <v>5201.18</v>
      </c>
      <c r="V111" s="13">
        <v>5201.1499999999996</v>
      </c>
      <c r="W111" s="13">
        <v>5195.25</v>
      </c>
      <c r="X111" s="13">
        <v>5190.45</v>
      </c>
      <c r="Y111" s="13">
        <v>5190.6000000000004</v>
      </c>
      <c r="Z111" s="13">
        <v>5183.78</v>
      </c>
      <c r="AA111" s="13">
        <v>5189.96</v>
      </c>
      <c r="AB111" s="13">
        <v>5186.16</v>
      </c>
      <c r="AC111" s="13">
        <v>5184.83</v>
      </c>
      <c r="AD111" s="13">
        <v>5183.99</v>
      </c>
      <c r="AE111" s="13">
        <v>5181.8500000000004</v>
      </c>
      <c r="AF111" s="13">
        <v>5186.01</v>
      </c>
      <c r="AG111" s="13">
        <v>5184.53</v>
      </c>
      <c r="AH111" s="13">
        <v>5181.8599999999997</v>
      </c>
      <c r="AI111" s="13">
        <v>5187.8599999999997</v>
      </c>
      <c r="AJ111" s="13">
        <v>5198.59</v>
      </c>
      <c r="AK111" s="13">
        <v>5201.4799999999996</v>
      </c>
      <c r="AL111" s="13">
        <v>5204</v>
      </c>
      <c r="AM111" s="13">
        <v>5208.51</v>
      </c>
      <c r="AN111" s="13">
        <v>5210.5</v>
      </c>
      <c r="AO111" s="13">
        <v>5192.96</v>
      </c>
      <c r="AP111" s="13">
        <v>5216.3599999999997</v>
      </c>
      <c r="AQ111" s="13">
        <v>5217.9799999999996</v>
      </c>
      <c r="AR111" s="13">
        <v>5213.3999999999996</v>
      </c>
      <c r="AS111" s="13">
        <v>5218.12</v>
      </c>
      <c r="AT111" s="13">
        <v>5210.33</v>
      </c>
      <c r="AU111" s="13">
        <v>5207.38</v>
      </c>
      <c r="AV111" s="13">
        <v>5203.6499999999996</v>
      </c>
      <c r="AW111" s="13">
        <v>5205.74</v>
      </c>
      <c r="AX111" s="13">
        <v>5208.42</v>
      </c>
      <c r="AY111" s="13">
        <v>5204.2299999999996</v>
      </c>
      <c r="AZ111" s="13">
        <v>5199.26</v>
      </c>
      <c r="BA111" s="13">
        <v>5192.5200000000004</v>
      </c>
      <c r="BB111" s="13">
        <v>5190.99</v>
      </c>
      <c r="BC111" s="13">
        <v>5194.05</v>
      </c>
      <c r="BD111" s="13">
        <v>5194.68</v>
      </c>
      <c r="BE111" s="13">
        <v>5191.84</v>
      </c>
      <c r="BF111" s="13">
        <v>5188.54</v>
      </c>
      <c r="BG111" s="13">
        <v>5190.57</v>
      </c>
      <c r="BH111" s="13">
        <v>5189.8599999999997</v>
      </c>
      <c r="BI111" s="13">
        <v>5190.7299999999996</v>
      </c>
      <c r="BJ111" s="13">
        <v>5191.55</v>
      </c>
      <c r="BK111" s="13">
        <v>5189.88</v>
      </c>
      <c r="BL111" s="13">
        <v>5185.1099999999997</v>
      </c>
      <c r="BM111" s="13">
        <v>5189.59</v>
      </c>
      <c r="BN111" s="13">
        <v>5190.6499999999996</v>
      </c>
      <c r="BO111" s="13">
        <v>5190.8500000000004</v>
      </c>
      <c r="BP111" s="13">
        <v>5192.3599999999997</v>
      </c>
      <c r="BQ111" s="13">
        <v>5197.91</v>
      </c>
      <c r="BR111" s="13">
        <v>5195.66</v>
      </c>
      <c r="BS111" s="13">
        <v>5196.08</v>
      </c>
      <c r="BT111" s="13">
        <v>5197.07</v>
      </c>
      <c r="BU111" s="13">
        <v>5198.3999999999996</v>
      </c>
      <c r="BV111" s="13">
        <v>5197.3500000000004</v>
      </c>
      <c r="BW111" s="13">
        <v>5196.87</v>
      </c>
      <c r="BX111" s="13">
        <v>5198.32</v>
      </c>
      <c r="BY111" s="13">
        <v>5197.92</v>
      </c>
      <c r="BZ111" s="13">
        <v>5202.42</v>
      </c>
      <c r="CA111" s="13">
        <v>5203.42</v>
      </c>
      <c r="CB111" s="13">
        <v>5199.9799999999996</v>
      </c>
      <c r="CC111" s="13">
        <v>5202.79</v>
      </c>
      <c r="CD111" s="13">
        <v>5201.45</v>
      </c>
      <c r="CE111" s="13">
        <v>5201.57</v>
      </c>
      <c r="CF111" s="13">
        <v>5203.7299999999996</v>
      </c>
      <c r="CG111" s="13">
        <v>5203.1000000000004</v>
      </c>
      <c r="CH111" s="13">
        <v>5203.4399999999996</v>
      </c>
      <c r="CI111" s="13">
        <v>5202.1899999999996</v>
      </c>
      <c r="CJ111" s="13">
        <v>5200.6400000000003</v>
      </c>
      <c r="CK111" s="13">
        <v>5199.9799999999996</v>
      </c>
      <c r="CL111" s="13">
        <v>5200.99</v>
      </c>
      <c r="CM111" s="13">
        <v>5199.57</v>
      </c>
      <c r="CN111" s="13">
        <v>5196.33</v>
      </c>
      <c r="CO111" s="13">
        <v>5198.0200000000004</v>
      </c>
      <c r="CP111" s="13">
        <v>5195.24</v>
      </c>
      <c r="CQ111" s="13">
        <v>5193.72</v>
      </c>
      <c r="CR111" s="13">
        <v>5193.7700000000004</v>
      </c>
      <c r="CS111" s="13">
        <v>5193.3</v>
      </c>
      <c r="CT111" s="13">
        <v>5192.49</v>
      </c>
      <c r="CU111" s="13">
        <v>5195.3100000000004</v>
      </c>
      <c r="CV111" s="13">
        <v>5201.99</v>
      </c>
      <c r="CW111" s="13">
        <v>5200.16</v>
      </c>
      <c r="CX111" s="13">
        <v>5200.8</v>
      </c>
      <c r="CY111" s="13">
        <v>5202.7</v>
      </c>
      <c r="CZ111" s="13">
        <v>5203.58</v>
      </c>
      <c r="DA111" s="13">
        <v>5205.6099999999997</v>
      </c>
      <c r="DB111" s="13">
        <v>5210.6899999999996</v>
      </c>
      <c r="DC111" s="13">
        <v>5210.28</v>
      </c>
      <c r="DD111" s="13">
        <v>5212.05</v>
      </c>
      <c r="DE111" s="13">
        <v>5208.5200000000004</v>
      </c>
      <c r="DF111" s="13">
        <v>5209.28</v>
      </c>
      <c r="DG111" s="13">
        <v>5208.75</v>
      </c>
      <c r="DH111" s="13">
        <v>5205.49</v>
      </c>
      <c r="DI111" s="13">
        <v>5205.68</v>
      </c>
      <c r="DJ111" s="13">
        <v>5203.5</v>
      </c>
      <c r="DK111" s="13">
        <v>5207.57</v>
      </c>
      <c r="DL111" s="13">
        <v>5213.8100000000004</v>
      </c>
      <c r="DM111" s="32"/>
      <c r="DN111" s="33"/>
      <c r="DO111" s="32"/>
      <c r="DP111" s="33"/>
      <c r="DQ111" s="32"/>
      <c r="DR111" s="33"/>
      <c r="DS111" s="32"/>
      <c r="DT111" s="33"/>
      <c r="DU111" s="32"/>
      <c r="DV111" s="33"/>
    </row>
    <row r="112" spans="1:126" ht="15.75" x14ac:dyDescent="0.25">
      <c r="A112" s="14" t="s">
        <v>12</v>
      </c>
      <c r="B112" s="12" t="s">
        <v>9</v>
      </c>
      <c r="C112" s="13">
        <v>5218.1899999999996</v>
      </c>
      <c r="D112" s="13">
        <v>5224.59</v>
      </c>
      <c r="E112" s="13">
        <v>5233.21</v>
      </c>
      <c r="F112" s="13">
        <v>5233.08</v>
      </c>
      <c r="G112" s="13">
        <v>5238.3500000000004</v>
      </c>
      <c r="H112" s="13">
        <v>5232.8999999999996</v>
      </c>
      <c r="I112" s="13">
        <v>5240.2700000000004</v>
      </c>
      <c r="J112" s="13">
        <v>5238.4799999999996</v>
      </c>
      <c r="K112" s="13">
        <v>5231.22</v>
      </c>
      <c r="L112" s="13">
        <v>5234.97</v>
      </c>
      <c r="M112" s="13">
        <v>5225.38</v>
      </c>
      <c r="N112" s="13">
        <v>5226.6400000000003</v>
      </c>
      <c r="O112" s="13">
        <v>5207.22</v>
      </c>
      <c r="P112" s="13">
        <v>5211.5600000000004</v>
      </c>
      <c r="Q112" s="13">
        <v>5207.95</v>
      </c>
      <c r="R112" s="13">
        <v>5200.12</v>
      </c>
      <c r="S112" s="13">
        <v>5197.9399999999996</v>
      </c>
      <c r="T112" s="13">
        <v>5197.47</v>
      </c>
      <c r="U112" s="13">
        <v>5198.95</v>
      </c>
      <c r="V112" s="13">
        <v>5199.38</v>
      </c>
      <c r="W112" s="13">
        <v>5193.3500000000004</v>
      </c>
      <c r="X112" s="13">
        <v>5189.6899999999996</v>
      </c>
      <c r="Y112" s="13">
        <v>5189.6400000000003</v>
      </c>
      <c r="Z112" s="13">
        <v>5182.5200000000004</v>
      </c>
      <c r="AA112" s="13">
        <v>5188.58</v>
      </c>
      <c r="AB112" s="13">
        <v>5184.97</v>
      </c>
      <c r="AC112" s="13">
        <v>5184.3</v>
      </c>
      <c r="AD112" s="13">
        <v>5184.99</v>
      </c>
      <c r="AE112" s="13">
        <v>5181.96</v>
      </c>
      <c r="AF112" s="13">
        <v>5185.46</v>
      </c>
      <c r="AG112" s="13">
        <v>5183.29</v>
      </c>
      <c r="AH112" s="13">
        <v>5182.6000000000004</v>
      </c>
      <c r="AI112" s="13">
        <v>5188.38</v>
      </c>
      <c r="AJ112" s="13">
        <v>5197.79</v>
      </c>
      <c r="AK112" s="13">
        <v>5198.87</v>
      </c>
      <c r="AL112" s="13">
        <v>5200.83</v>
      </c>
      <c r="AM112" s="13">
        <v>5205.43</v>
      </c>
      <c r="AN112" s="13">
        <v>5207.67</v>
      </c>
      <c r="AO112" s="13">
        <v>5190.49</v>
      </c>
      <c r="AP112" s="13">
        <v>5211.68</v>
      </c>
      <c r="AQ112" s="13">
        <v>5209.8100000000004</v>
      </c>
      <c r="AR112" s="13">
        <v>5204.92</v>
      </c>
      <c r="AS112" s="13">
        <v>5210.07</v>
      </c>
      <c r="AT112" s="13">
        <v>5202.0200000000004</v>
      </c>
      <c r="AU112" s="13">
        <v>5199.45</v>
      </c>
      <c r="AV112" s="13">
        <v>5197.3</v>
      </c>
      <c r="AW112" s="13">
        <v>5198.8500000000004</v>
      </c>
      <c r="AX112" s="13">
        <v>5200.49</v>
      </c>
      <c r="AY112" s="13">
        <v>5196.13</v>
      </c>
      <c r="AZ112" s="13">
        <v>5192.66</v>
      </c>
      <c r="BA112" s="13">
        <v>5183.4799999999996</v>
      </c>
      <c r="BB112" s="13">
        <v>5179.8599999999997</v>
      </c>
      <c r="BC112" s="13">
        <v>5182.3500000000004</v>
      </c>
      <c r="BD112" s="13">
        <v>5184.66</v>
      </c>
      <c r="BE112" s="13">
        <v>5183.45</v>
      </c>
      <c r="BF112" s="13">
        <v>5182.8900000000003</v>
      </c>
      <c r="BG112" s="13">
        <v>5181.17</v>
      </c>
      <c r="BH112" s="13">
        <v>5181.83</v>
      </c>
      <c r="BI112" s="13">
        <v>5182.2</v>
      </c>
      <c r="BJ112" s="13">
        <v>5182.62</v>
      </c>
      <c r="BK112" s="13">
        <v>5180.7299999999996</v>
      </c>
      <c r="BL112" s="13">
        <v>5178.43</v>
      </c>
      <c r="BM112" s="13">
        <v>5180.53</v>
      </c>
      <c r="BN112" s="13">
        <v>5182.8900000000003</v>
      </c>
      <c r="BO112" s="13">
        <v>5182.18</v>
      </c>
      <c r="BP112" s="13">
        <v>5185.3599999999997</v>
      </c>
      <c r="BQ112" s="13">
        <v>5188.08</v>
      </c>
      <c r="BR112" s="13">
        <v>5187.63</v>
      </c>
      <c r="BS112" s="13">
        <v>5187.3</v>
      </c>
      <c r="BT112" s="13">
        <v>5188.38</v>
      </c>
      <c r="BU112" s="13">
        <v>5190.75</v>
      </c>
      <c r="BV112" s="13">
        <v>5188.41</v>
      </c>
      <c r="BW112" s="13">
        <v>5188.5</v>
      </c>
      <c r="BX112" s="13">
        <v>5189.1499999999996</v>
      </c>
      <c r="BY112" s="13">
        <v>5189.45</v>
      </c>
      <c r="BZ112" s="13">
        <v>5193.93</v>
      </c>
      <c r="CA112" s="13">
        <v>5194.9799999999996</v>
      </c>
      <c r="CB112" s="13">
        <v>5192.04</v>
      </c>
      <c r="CC112" s="13">
        <v>5194.78</v>
      </c>
      <c r="CD112" s="13">
        <v>5193.16</v>
      </c>
      <c r="CE112" s="13">
        <v>5192.71</v>
      </c>
      <c r="CF112" s="13">
        <v>5195.4799999999996</v>
      </c>
      <c r="CG112" s="13">
        <v>5194.59</v>
      </c>
      <c r="CH112" s="13">
        <v>5195.3599999999997</v>
      </c>
      <c r="CI112" s="13">
        <v>5193.32</v>
      </c>
      <c r="CJ112" s="13">
        <v>5192.63</v>
      </c>
      <c r="CK112" s="13">
        <v>5191.29</v>
      </c>
      <c r="CL112" s="13">
        <v>5191.57</v>
      </c>
      <c r="CM112" s="13">
        <v>5191.1499999999996</v>
      </c>
      <c r="CN112" s="13">
        <v>5188.83</v>
      </c>
      <c r="CO112" s="13">
        <v>5188.55</v>
      </c>
      <c r="CP112" s="13">
        <v>5187.6899999999996</v>
      </c>
      <c r="CQ112" s="13">
        <v>5185.58</v>
      </c>
      <c r="CR112" s="13">
        <v>5185.0200000000004</v>
      </c>
      <c r="CS112" s="13">
        <v>5186.62</v>
      </c>
      <c r="CT112" s="13">
        <v>5182.01</v>
      </c>
      <c r="CU112" s="13">
        <v>5186.26</v>
      </c>
      <c r="CV112" s="13">
        <v>5193.8100000000004</v>
      </c>
      <c r="CW112" s="13">
        <v>5191.5</v>
      </c>
      <c r="CX112" s="13">
        <v>5192.42</v>
      </c>
      <c r="CY112" s="13">
        <v>5194.04</v>
      </c>
      <c r="CZ112" s="13">
        <v>5195.54</v>
      </c>
      <c r="DA112" s="13">
        <v>5197.21</v>
      </c>
      <c r="DB112" s="13">
        <v>5202.0200000000004</v>
      </c>
      <c r="DC112" s="13">
        <v>5202.5600000000004</v>
      </c>
      <c r="DD112" s="13">
        <v>5202.95</v>
      </c>
      <c r="DE112" s="13">
        <v>5200.49</v>
      </c>
      <c r="DF112" s="13">
        <v>5199.66</v>
      </c>
      <c r="DG112" s="13">
        <v>5199.4399999999996</v>
      </c>
      <c r="DH112" s="13">
        <v>5196.43</v>
      </c>
      <c r="DI112" s="13">
        <v>5196.42</v>
      </c>
      <c r="DJ112" s="13">
        <v>5194.79</v>
      </c>
      <c r="DK112" s="13">
        <v>5198.63</v>
      </c>
      <c r="DL112" s="13">
        <v>5204.57</v>
      </c>
      <c r="DM112" s="32"/>
      <c r="DN112" s="33"/>
      <c r="DO112" s="32"/>
      <c r="DP112" s="33"/>
      <c r="DQ112" s="32"/>
      <c r="DR112" s="33"/>
      <c r="DS112" s="32"/>
      <c r="DT112" s="33"/>
      <c r="DU112" s="32"/>
      <c r="DV112" s="33"/>
    </row>
    <row r="113" spans="1:126" ht="15.75" x14ac:dyDescent="0.25">
      <c r="A113" s="14" t="s">
        <v>12</v>
      </c>
      <c r="B113" s="12" t="s">
        <v>7</v>
      </c>
      <c r="C113" s="13">
        <v>5218.1899999999996</v>
      </c>
      <c r="D113" s="13">
        <v>5209.57</v>
      </c>
      <c r="E113" s="13">
        <v>5219.24</v>
      </c>
      <c r="F113" s="13">
        <v>5231.49</v>
      </c>
      <c r="G113" s="13">
        <v>5234.53</v>
      </c>
      <c r="H113" s="13">
        <v>5231.79</v>
      </c>
      <c r="I113" s="13">
        <v>5232.8</v>
      </c>
      <c r="J113" s="13">
        <v>5237.37</v>
      </c>
      <c r="K113" s="13">
        <v>5223.1499999999996</v>
      </c>
      <c r="L113" s="13">
        <v>5227.4399999999996</v>
      </c>
      <c r="M113" s="13">
        <v>5224.57</v>
      </c>
      <c r="N113" s="13">
        <v>5226.3900000000003</v>
      </c>
      <c r="O113" s="13">
        <v>5207.16</v>
      </c>
      <c r="P113" s="13">
        <v>5207.6099999999997</v>
      </c>
      <c r="Q113" s="13">
        <v>5207.8999999999996</v>
      </c>
      <c r="R113" s="13">
        <v>5196.92</v>
      </c>
      <c r="S113" s="13">
        <v>5197.9399999999996</v>
      </c>
      <c r="T113" s="13">
        <v>5193.82</v>
      </c>
      <c r="U113" s="13">
        <v>5196.43</v>
      </c>
      <c r="V113" s="13">
        <v>5199.33</v>
      </c>
      <c r="W113" s="13">
        <v>5191.59</v>
      </c>
      <c r="X113" s="13">
        <v>5189.25</v>
      </c>
      <c r="Y113" s="13">
        <v>5186.28</v>
      </c>
      <c r="Z113" s="13">
        <v>5182.1899999999996</v>
      </c>
      <c r="AA113" s="13">
        <v>5181.05</v>
      </c>
      <c r="AB113" s="13">
        <v>5184.4799999999996</v>
      </c>
      <c r="AC113" s="13">
        <v>5180.7299999999996</v>
      </c>
      <c r="AD113" s="13">
        <v>5180.7299999999996</v>
      </c>
      <c r="AE113" s="13">
        <v>5180.09</v>
      </c>
      <c r="AF113" s="13">
        <v>5180.22</v>
      </c>
      <c r="AG113" s="13">
        <v>5182.99</v>
      </c>
      <c r="AH113" s="13">
        <v>5178.3</v>
      </c>
      <c r="AI113" s="13">
        <v>5181.71</v>
      </c>
      <c r="AJ113" s="13">
        <v>5187.13</v>
      </c>
      <c r="AK113" s="13">
        <v>5189.41</v>
      </c>
      <c r="AL113" s="13">
        <v>5198.53</v>
      </c>
      <c r="AM113" s="13">
        <v>5202.08</v>
      </c>
      <c r="AN113" s="13">
        <v>5204.2</v>
      </c>
      <c r="AO113" s="13">
        <v>5190.49</v>
      </c>
      <c r="AP113" s="13">
        <v>5190.6000000000004</v>
      </c>
      <c r="AQ113" s="13">
        <v>5209.71</v>
      </c>
      <c r="AR113" s="13">
        <v>5203.38</v>
      </c>
      <c r="AS113" s="13">
        <v>5203.5200000000004</v>
      </c>
      <c r="AT113" s="13">
        <v>5199.95</v>
      </c>
      <c r="AU113" s="13">
        <v>5197.16</v>
      </c>
      <c r="AV113" s="13">
        <v>5197.1000000000004</v>
      </c>
      <c r="AW113" s="13">
        <v>5196.51</v>
      </c>
      <c r="AX113" s="13">
        <v>5198.1899999999996</v>
      </c>
      <c r="AY113" s="13">
        <v>5194.38</v>
      </c>
      <c r="AZ113" s="13">
        <v>5189.7299999999996</v>
      </c>
      <c r="BA113" s="13">
        <v>5180.99</v>
      </c>
      <c r="BB113" s="13">
        <v>5177.3100000000004</v>
      </c>
      <c r="BC113" s="13">
        <v>5178.18</v>
      </c>
      <c r="BD113" s="13">
        <v>5181.17</v>
      </c>
      <c r="BE113" s="13">
        <v>5182.22</v>
      </c>
      <c r="BF113" s="13">
        <v>5180.51</v>
      </c>
      <c r="BG113" s="13">
        <v>5180.2299999999996</v>
      </c>
      <c r="BH113" s="13">
        <v>5177.93</v>
      </c>
      <c r="BI113" s="13">
        <v>5180.41</v>
      </c>
      <c r="BJ113" s="13">
        <v>5182.62</v>
      </c>
      <c r="BK113" s="13">
        <v>5177.7700000000004</v>
      </c>
      <c r="BL113" s="13">
        <v>5178.25</v>
      </c>
      <c r="BM113" s="13">
        <v>5178.34</v>
      </c>
      <c r="BN113" s="13">
        <v>5181.07</v>
      </c>
      <c r="BO113" s="13">
        <v>5176.79</v>
      </c>
      <c r="BP113" s="13">
        <v>5181.88</v>
      </c>
      <c r="BQ113" s="13">
        <v>5184.6000000000004</v>
      </c>
      <c r="BR113" s="13">
        <v>5186.79</v>
      </c>
      <c r="BS113" s="13">
        <v>5185.59</v>
      </c>
      <c r="BT113" s="13">
        <v>5185.42</v>
      </c>
      <c r="BU113" s="13">
        <v>5188.0600000000004</v>
      </c>
      <c r="BV113" s="13">
        <v>5187.1400000000003</v>
      </c>
      <c r="BW113" s="13">
        <v>5187.08</v>
      </c>
      <c r="BX113" s="13">
        <v>5187.09</v>
      </c>
      <c r="BY113" s="13">
        <v>5188.21</v>
      </c>
      <c r="BZ113" s="13">
        <v>5189.1400000000003</v>
      </c>
      <c r="CA113" s="13">
        <v>5193.95</v>
      </c>
      <c r="CB113" s="13">
        <v>5192</v>
      </c>
      <c r="CC113" s="13">
        <v>5191.18</v>
      </c>
      <c r="CD113" s="13">
        <v>5192.82</v>
      </c>
      <c r="CE113" s="13">
        <v>5191.08</v>
      </c>
      <c r="CF113" s="13">
        <v>5190.08</v>
      </c>
      <c r="CG113" s="13">
        <v>5193.8500000000004</v>
      </c>
      <c r="CH113" s="13">
        <v>5193.83</v>
      </c>
      <c r="CI113" s="13">
        <v>5192.5600000000004</v>
      </c>
      <c r="CJ113" s="13">
        <v>5192.63</v>
      </c>
      <c r="CK113" s="13">
        <v>5190.87</v>
      </c>
      <c r="CL113" s="13">
        <v>5191.26</v>
      </c>
      <c r="CM113" s="13">
        <v>5190.79</v>
      </c>
      <c r="CN113" s="13">
        <v>5188.42</v>
      </c>
      <c r="CO113" s="13">
        <v>5187.8599999999997</v>
      </c>
      <c r="CP113" s="13">
        <v>5187.1899999999996</v>
      </c>
      <c r="CQ113" s="13">
        <v>5185.58</v>
      </c>
      <c r="CR113" s="13">
        <v>5184.8999999999996</v>
      </c>
      <c r="CS113" s="13">
        <v>5185.8999999999996</v>
      </c>
      <c r="CT113" s="13">
        <v>5181.95</v>
      </c>
      <c r="CU113" s="13">
        <v>5181.6400000000003</v>
      </c>
      <c r="CV113" s="13">
        <v>5192.82</v>
      </c>
      <c r="CW113" s="13">
        <v>5191.5</v>
      </c>
      <c r="CX113" s="13">
        <v>5191.4799999999996</v>
      </c>
      <c r="CY113" s="13">
        <v>5193.51</v>
      </c>
      <c r="CZ113" s="13">
        <v>5193.0200000000004</v>
      </c>
      <c r="DA113" s="13">
        <v>5195.3</v>
      </c>
      <c r="DB113" s="13">
        <v>5197.9799999999996</v>
      </c>
      <c r="DC113" s="13">
        <v>5200.57</v>
      </c>
      <c r="DD113" s="13">
        <v>5202.1899999999996</v>
      </c>
      <c r="DE113" s="13">
        <v>5199.28</v>
      </c>
      <c r="DF113" s="13">
        <v>5198.7299999999996</v>
      </c>
      <c r="DG113" s="13">
        <v>5199.24</v>
      </c>
      <c r="DH113" s="13">
        <v>5195.4799999999996</v>
      </c>
      <c r="DI113" s="13">
        <v>5196.07</v>
      </c>
      <c r="DJ113" s="13">
        <v>5194.76</v>
      </c>
      <c r="DK113" s="13">
        <v>5194.72</v>
      </c>
      <c r="DL113" s="13">
        <v>5200.1000000000004</v>
      </c>
      <c r="DM113" s="32"/>
      <c r="DN113" s="33"/>
      <c r="DO113" s="32"/>
      <c r="DP113" s="33"/>
      <c r="DQ113" s="32"/>
      <c r="DR113" s="33"/>
      <c r="DS113" s="32"/>
      <c r="DT113" s="33"/>
      <c r="DU113" s="32"/>
      <c r="DV113" s="33"/>
    </row>
    <row r="114" spans="1:126" ht="15.75" x14ac:dyDescent="0.25">
      <c r="A114" s="14"/>
      <c r="B114" s="12"/>
      <c r="C114" s="13">
        <f t="shared" ref="C114:AH114" si="70">(C110+C111+C112+C113)/4</f>
        <v>5259.2849999999999</v>
      </c>
      <c r="D114" s="13">
        <f t="shared" si="70"/>
        <v>5241.9025000000001</v>
      </c>
      <c r="E114" s="13">
        <f t="shared" si="70"/>
        <v>5232.3775000000005</v>
      </c>
      <c r="F114" s="13">
        <f t="shared" si="70"/>
        <v>5235.8599999999997</v>
      </c>
      <c r="G114" s="13">
        <f t="shared" si="70"/>
        <v>5241.1075000000001</v>
      </c>
      <c r="H114" s="13">
        <f t="shared" si="70"/>
        <v>5236.3275000000003</v>
      </c>
      <c r="I114" s="13">
        <f t="shared" si="70"/>
        <v>5241.9975000000004</v>
      </c>
      <c r="J114" s="13">
        <f t="shared" si="70"/>
        <v>5242.1949999999997</v>
      </c>
      <c r="K114" s="13">
        <f t="shared" si="70"/>
        <v>5234.2350000000006</v>
      </c>
      <c r="L114" s="13">
        <f t="shared" si="70"/>
        <v>5237.09</v>
      </c>
      <c r="M114" s="13">
        <f t="shared" si="70"/>
        <v>5228.3850000000002</v>
      </c>
      <c r="N114" s="13">
        <f t="shared" si="70"/>
        <v>5229.7550000000001</v>
      </c>
      <c r="O114" s="13">
        <f t="shared" si="70"/>
        <v>5213.8850000000002</v>
      </c>
      <c r="P114" s="13">
        <f t="shared" si="70"/>
        <v>5212.7700000000004</v>
      </c>
      <c r="Q114" s="13">
        <f t="shared" si="70"/>
        <v>5210.5625</v>
      </c>
      <c r="R114" s="13">
        <f t="shared" si="70"/>
        <v>5202.7724999999991</v>
      </c>
      <c r="S114" s="13">
        <f t="shared" si="70"/>
        <v>5200.3624999999993</v>
      </c>
      <c r="T114" s="13">
        <f t="shared" si="70"/>
        <v>5197.8074999999999</v>
      </c>
      <c r="U114" s="13">
        <f t="shared" si="70"/>
        <v>5199.62</v>
      </c>
      <c r="V114" s="13">
        <f t="shared" si="70"/>
        <v>5200.9850000000006</v>
      </c>
      <c r="W114" s="13">
        <f t="shared" si="70"/>
        <v>5195.2674999999999</v>
      </c>
      <c r="X114" s="13">
        <f t="shared" si="70"/>
        <v>5191.57</v>
      </c>
      <c r="Y114" s="13">
        <f t="shared" si="70"/>
        <v>5189.9775</v>
      </c>
      <c r="Z114" s="13">
        <f t="shared" si="70"/>
        <v>5184.8525</v>
      </c>
      <c r="AA114" s="13">
        <f t="shared" si="70"/>
        <v>5187.53</v>
      </c>
      <c r="AB114" s="13">
        <f t="shared" si="70"/>
        <v>5186.6099999999997</v>
      </c>
      <c r="AC114" s="13">
        <f t="shared" si="70"/>
        <v>5184.3049999999994</v>
      </c>
      <c r="AD114" s="13">
        <f t="shared" si="70"/>
        <v>5184.3675000000003</v>
      </c>
      <c r="AE114" s="13">
        <f t="shared" si="70"/>
        <v>5181.835</v>
      </c>
      <c r="AF114" s="13">
        <f t="shared" si="70"/>
        <v>5184.6824999999999</v>
      </c>
      <c r="AG114" s="13">
        <f t="shared" si="70"/>
        <v>5184.2425000000003</v>
      </c>
      <c r="AH114" s="13">
        <f t="shared" si="70"/>
        <v>5182.1450000000004</v>
      </c>
      <c r="AI114" s="13">
        <f t="shared" ref="AI114:BN114" si="71">(AI110+AI111+AI112+AI113)/4</f>
        <v>5186.5374999999995</v>
      </c>
      <c r="AJ114" s="13">
        <f t="shared" si="71"/>
        <v>5196.21</v>
      </c>
      <c r="AK114" s="13">
        <f t="shared" si="71"/>
        <v>5198.6075000000001</v>
      </c>
      <c r="AL114" s="13">
        <f t="shared" si="71"/>
        <v>5201.9949999999999</v>
      </c>
      <c r="AM114" s="13">
        <f t="shared" si="71"/>
        <v>5208.7525000000005</v>
      </c>
      <c r="AN114" s="13">
        <f t="shared" si="71"/>
        <v>5208.625</v>
      </c>
      <c r="AO114" s="13">
        <f t="shared" si="71"/>
        <v>5196.2849999999999</v>
      </c>
      <c r="AP114" s="13">
        <f t="shared" si="71"/>
        <v>5209.2425000000003</v>
      </c>
      <c r="AQ114" s="13">
        <f t="shared" si="71"/>
        <v>5214.21</v>
      </c>
      <c r="AR114" s="13">
        <f t="shared" si="71"/>
        <v>5209.8675000000003</v>
      </c>
      <c r="AS114" s="13">
        <f t="shared" si="71"/>
        <v>5212.6475</v>
      </c>
      <c r="AT114" s="13">
        <f t="shared" si="71"/>
        <v>5207.9425000000001</v>
      </c>
      <c r="AU114" s="13">
        <f t="shared" si="71"/>
        <v>5203.8100000000004</v>
      </c>
      <c r="AV114" s="13">
        <f t="shared" si="71"/>
        <v>5201.8099999999995</v>
      </c>
      <c r="AW114" s="13">
        <f t="shared" si="71"/>
        <v>5201.8725000000004</v>
      </c>
      <c r="AX114" s="13">
        <f t="shared" si="71"/>
        <v>5204.5275000000001</v>
      </c>
      <c r="AY114" s="13">
        <f t="shared" si="71"/>
        <v>5201.2025000000003</v>
      </c>
      <c r="AZ114" s="13">
        <f t="shared" si="71"/>
        <v>5196.0974999999999</v>
      </c>
      <c r="BA114" s="13">
        <f t="shared" si="71"/>
        <v>5189.3724999999995</v>
      </c>
      <c r="BB114" s="13">
        <f t="shared" si="71"/>
        <v>5185.4475000000002</v>
      </c>
      <c r="BC114" s="13">
        <f t="shared" si="71"/>
        <v>5187.2175000000007</v>
      </c>
      <c r="BD114" s="13">
        <f t="shared" si="71"/>
        <v>5189.4724999999999</v>
      </c>
      <c r="BE114" s="13">
        <f t="shared" si="71"/>
        <v>5187.9900000000007</v>
      </c>
      <c r="BF114" s="13">
        <f t="shared" si="71"/>
        <v>5186.0774999999994</v>
      </c>
      <c r="BG114" s="13">
        <f t="shared" si="71"/>
        <v>5186.34</v>
      </c>
      <c r="BH114" s="13">
        <f t="shared" si="71"/>
        <v>5185.2725</v>
      </c>
      <c r="BI114" s="13">
        <f t="shared" si="71"/>
        <v>5186.2950000000001</v>
      </c>
      <c r="BJ114" s="13">
        <f t="shared" si="71"/>
        <v>5187.6749999999993</v>
      </c>
      <c r="BK114" s="13">
        <f t="shared" si="71"/>
        <v>5185.1275000000005</v>
      </c>
      <c r="BL114" s="13">
        <f t="shared" si="71"/>
        <v>5183.2049999999999</v>
      </c>
      <c r="BM114" s="13">
        <f t="shared" si="71"/>
        <v>5185</v>
      </c>
      <c r="BN114" s="13">
        <f t="shared" si="71"/>
        <v>5186.915</v>
      </c>
      <c r="BO114" s="13">
        <f t="shared" ref="BO114:CT114" si="72">(BO110+BO111+BO112+BO113)/4</f>
        <v>5185.3625000000002</v>
      </c>
      <c r="BP114" s="13">
        <f t="shared" si="72"/>
        <v>5188.8</v>
      </c>
      <c r="BQ114" s="13">
        <f t="shared" si="72"/>
        <v>5192.125</v>
      </c>
      <c r="BR114" s="13">
        <f t="shared" si="72"/>
        <v>5192.1900000000005</v>
      </c>
      <c r="BS114" s="13">
        <f t="shared" si="72"/>
        <v>5191.5174999999999</v>
      </c>
      <c r="BT114" s="13">
        <f t="shared" si="72"/>
        <v>5192.2250000000004</v>
      </c>
      <c r="BU114" s="13">
        <f t="shared" si="72"/>
        <v>5194.375</v>
      </c>
      <c r="BV114" s="13">
        <f t="shared" si="72"/>
        <v>5193.0600000000004</v>
      </c>
      <c r="BW114" s="13">
        <f t="shared" si="72"/>
        <v>5192.7250000000004</v>
      </c>
      <c r="BX114" s="13">
        <f t="shared" si="72"/>
        <v>5193.3274999999994</v>
      </c>
      <c r="BY114" s="13">
        <f t="shared" si="72"/>
        <v>5193.7425000000003</v>
      </c>
      <c r="BZ114" s="13">
        <f t="shared" si="72"/>
        <v>5197.0675000000001</v>
      </c>
      <c r="CA114" s="13">
        <f t="shared" si="72"/>
        <v>5199.2674999999999</v>
      </c>
      <c r="CB114" s="13">
        <f t="shared" si="72"/>
        <v>5197.0524999999998</v>
      </c>
      <c r="CC114" s="13">
        <f t="shared" si="72"/>
        <v>5198.0424999999996</v>
      </c>
      <c r="CD114" s="13">
        <f t="shared" si="72"/>
        <v>5197.8525</v>
      </c>
      <c r="CE114" s="13">
        <f t="shared" si="72"/>
        <v>5196.9549999999999</v>
      </c>
      <c r="CF114" s="13">
        <f t="shared" si="72"/>
        <v>5198.3125</v>
      </c>
      <c r="CG114" s="13">
        <f t="shared" si="72"/>
        <v>5199.0825000000004</v>
      </c>
      <c r="CH114" s="13">
        <f t="shared" si="72"/>
        <v>5199.2525000000005</v>
      </c>
      <c r="CI114" s="13">
        <f t="shared" si="72"/>
        <v>5197.9525000000003</v>
      </c>
      <c r="CJ114" s="13">
        <f t="shared" si="72"/>
        <v>5197.3100000000004</v>
      </c>
      <c r="CK114" s="13">
        <f t="shared" si="72"/>
        <v>5195.9375</v>
      </c>
      <c r="CL114" s="13">
        <f t="shared" si="72"/>
        <v>5196.4375</v>
      </c>
      <c r="CM114" s="13">
        <f t="shared" si="72"/>
        <v>5196.0675000000001</v>
      </c>
      <c r="CN114" s="13">
        <f t="shared" si="72"/>
        <v>5193.5074999999997</v>
      </c>
      <c r="CO114" s="13">
        <f t="shared" si="72"/>
        <v>5193.18</v>
      </c>
      <c r="CP114" s="13">
        <f t="shared" si="72"/>
        <v>5192.079999999999</v>
      </c>
      <c r="CQ114" s="13">
        <f t="shared" si="72"/>
        <v>5190.6475</v>
      </c>
      <c r="CR114" s="13">
        <f t="shared" si="72"/>
        <v>5189.8075000000008</v>
      </c>
      <c r="CS114" s="13">
        <f t="shared" si="72"/>
        <v>5190.3649999999998</v>
      </c>
      <c r="CT114" s="13">
        <f t="shared" si="72"/>
        <v>5187.7049999999999</v>
      </c>
      <c r="CU114" s="13">
        <f t="shared" ref="CU114:DL114" si="73">(CU110+CU111+CU112+CU113)/4</f>
        <v>5189.63</v>
      </c>
      <c r="CV114" s="13">
        <f t="shared" si="73"/>
        <v>5197.8325000000004</v>
      </c>
      <c r="CW114" s="13">
        <f t="shared" si="73"/>
        <v>5196.7825000000003</v>
      </c>
      <c r="CX114" s="13">
        <f t="shared" si="73"/>
        <v>5196.8050000000003</v>
      </c>
      <c r="CY114" s="13">
        <f t="shared" si="73"/>
        <v>5198.3899999999994</v>
      </c>
      <c r="CZ114" s="13">
        <f t="shared" si="73"/>
        <v>5199.0550000000003</v>
      </c>
      <c r="DA114" s="13">
        <f t="shared" si="73"/>
        <v>5201.0349999999999</v>
      </c>
      <c r="DB114" s="13">
        <f t="shared" si="73"/>
        <v>5205.4775</v>
      </c>
      <c r="DC114" s="13">
        <f t="shared" si="73"/>
        <v>5206.2124999999996</v>
      </c>
      <c r="DD114" s="13">
        <f t="shared" si="73"/>
        <v>5208.4349999999995</v>
      </c>
      <c r="DE114" s="13">
        <f t="shared" si="73"/>
        <v>5205.2725</v>
      </c>
      <c r="DF114" s="13">
        <f t="shared" si="73"/>
        <v>5204.2649999999994</v>
      </c>
      <c r="DG114" s="13">
        <f t="shared" si="73"/>
        <v>5204.2525000000005</v>
      </c>
      <c r="DH114" s="13">
        <f t="shared" si="73"/>
        <v>5201.51</v>
      </c>
      <c r="DI114" s="13">
        <f t="shared" si="73"/>
        <v>5201.1674999999996</v>
      </c>
      <c r="DJ114" s="13">
        <f t="shared" si="73"/>
        <v>5199.7124999999996</v>
      </c>
      <c r="DK114" s="13">
        <f t="shared" si="73"/>
        <v>5202.1225000000004</v>
      </c>
      <c r="DL114" s="13">
        <f t="shared" si="73"/>
        <v>5208.0725000000002</v>
      </c>
      <c r="DM114" s="26"/>
      <c r="DN114" s="25"/>
      <c r="DO114" s="27"/>
      <c r="DP114" s="25"/>
      <c r="DQ114" s="27"/>
      <c r="DR114" s="25"/>
      <c r="DS114" s="27"/>
      <c r="DT114" s="25"/>
    </row>
    <row r="115" spans="1:126" ht="15.75" x14ac:dyDescent="0.25">
      <c r="A115" s="11" t="s">
        <v>5</v>
      </c>
      <c r="B115" s="11" t="s">
        <v>11</v>
      </c>
      <c r="C115" s="15">
        <v>0.375</v>
      </c>
      <c r="D115" s="15">
        <v>0.37847222222222227</v>
      </c>
      <c r="E115" s="15">
        <v>0.38194444444444442</v>
      </c>
      <c r="F115" s="15">
        <v>0.38541666666666669</v>
      </c>
      <c r="G115" s="15">
        <v>0.3888888888888889</v>
      </c>
      <c r="H115" s="15">
        <v>0.3923611111111111</v>
      </c>
      <c r="I115" s="15">
        <v>0.39583333333333331</v>
      </c>
      <c r="J115" s="15">
        <v>0.39930555555555558</v>
      </c>
      <c r="K115" s="15">
        <v>0.40277777777777773</v>
      </c>
      <c r="L115" s="15">
        <v>0.40625</v>
      </c>
      <c r="M115" s="15">
        <v>0.40972222222222227</v>
      </c>
      <c r="N115" s="15">
        <v>0.41319444444444442</v>
      </c>
      <c r="O115" s="15">
        <v>0.41666666666666669</v>
      </c>
      <c r="P115" s="15">
        <v>0.4201388888888889</v>
      </c>
      <c r="Q115" s="15">
        <v>0.4236111111111111</v>
      </c>
      <c r="R115" s="15">
        <v>0.42708333333333331</v>
      </c>
      <c r="S115" s="15">
        <v>0.43055555555555558</v>
      </c>
      <c r="T115" s="15">
        <v>0.43402777777777773</v>
      </c>
      <c r="U115" s="15">
        <v>0.4375</v>
      </c>
      <c r="V115" s="15">
        <v>0.44097222222222227</v>
      </c>
      <c r="W115" s="15">
        <v>0.44444444444444442</v>
      </c>
      <c r="X115" s="15">
        <v>0.44791666666666669</v>
      </c>
      <c r="Y115" s="15">
        <v>0.4513888888888889</v>
      </c>
      <c r="Z115" s="15">
        <v>0.4548611111111111</v>
      </c>
      <c r="AA115" s="15">
        <v>0.45833333333333331</v>
      </c>
      <c r="AB115" s="15">
        <v>0.46180555555555558</v>
      </c>
      <c r="AC115" s="15">
        <v>0.46527777777777773</v>
      </c>
      <c r="AD115" s="15">
        <v>0.46875</v>
      </c>
      <c r="AE115" s="15">
        <v>0.47222222222222227</v>
      </c>
      <c r="AF115" s="15">
        <v>0.47569444444444442</v>
      </c>
      <c r="AG115" s="15">
        <v>0.47916666666666669</v>
      </c>
      <c r="AH115" s="15">
        <v>0.4826388888888889</v>
      </c>
      <c r="AI115" s="15">
        <v>0.4861111111111111</v>
      </c>
      <c r="AJ115" s="15">
        <v>0.48958333333333331</v>
      </c>
      <c r="AK115" s="15">
        <v>0.49305555555555558</v>
      </c>
      <c r="AL115" s="15">
        <v>0.49652777777777773</v>
      </c>
      <c r="AM115" s="15">
        <v>0.5</v>
      </c>
      <c r="AN115" s="15">
        <v>0.50347222222222221</v>
      </c>
      <c r="AO115" s="15">
        <v>0.50694444444444442</v>
      </c>
      <c r="AP115" s="15">
        <v>0.51041666666666663</v>
      </c>
      <c r="AQ115" s="15">
        <v>0.51388888888888895</v>
      </c>
      <c r="AR115" s="15">
        <v>0.51736111111111105</v>
      </c>
      <c r="AS115" s="15">
        <v>0.52083333333333337</v>
      </c>
      <c r="AT115" s="15">
        <v>0.52430555555555558</v>
      </c>
      <c r="AU115" s="15">
        <v>0.52777777777777779</v>
      </c>
      <c r="AV115" s="15">
        <v>0.53125</v>
      </c>
      <c r="AW115" s="15">
        <v>0.53472222222222221</v>
      </c>
      <c r="AX115" s="15">
        <v>0.53819444444444442</v>
      </c>
      <c r="AY115" s="15">
        <v>0.54166666666666663</v>
      </c>
      <c r="AZ115" s="15">
        <v>0.54513888888888895</v>
      </c>
      <c r="BA115" s="15">
        <v>0.54861111111111105</v>
      </c>
      <c r="BB115" s="15">
        <v>0.55208333333333337</v>
      </c>
      <c r="BC115" s="15">
        <v>0.55555555555555558</v>
      </c>
      <c r="BD115" s="15">
        <v>0.55902777777777779</v>
      </c>
      <c r="BE115" s="15">
        <v>0.5625</v>
      </c>
      <c r="BF115" s="15">
        <v>0.56597222222222221</v>
      </c>
      <c r="BG115" s="15">
        <v>0.56944444444444442</v>
      </c>
      <c r="BH115" s="15">
        <v>0.57291666666666663</v>
      </c>
      <c r="BI115" s="15">
        <v>0.57638888888888895</v>
      </c>
      <c r="BJ115" s="15">
        <v>0.57986111111111105</v>
      </c>
      <c r="BK115" s="15">
        <v>0.58333333333333337</v>
      </c>
      <c r="BL115" s="15">
        <v>0.58680555555555558</v>
      </c>
      <c r="BM115" s="15">
        <v>0.59027777777777779</v>
      </c>
      <c r="BN115" s="15">
        <v>0.59375</v>
      </c>
      <c r="BO115" s="15">
        <v>0.59722222222222221</v>
      </c>
      <c r="BP115" s="15">
        <v>0.60069444444444442</v>
      </c>
      <c r="BQ115" s="15">
        <v>0.60416666666666663</v>
      </c>
      <c r="BR115" s="15">
        <v>0.60763888888888895</v>
      </c>
      <c r="BS115" s="15">
        <v>0.61111111111111105</v>
      </c>
      <c r="BT115" s="15">
        <v>0.61458333333333337</v>
      </c>
      <c r="BU115" s="15">
        <v>0.61805555555555558</v>
      </c>
      <c r="BV115" s="15">
        <v>0.62152777777777779</v>
      </c>
      <c r="BW115" s="15">
        <v>0.625</v>
      </c>
      <c r="BX115" s="15">
        <v>0.62847222222222221</v>
      </c>
      <c r="BY115" s="15">
        <v>0.63194444444444442</v>
      </c>
      <c r="BZ115" s="15">
        <v>0.63541666666666663</v>
      </c>
      <c r="CA115" s="15">
        <v>0.63888888888888895</v>
      </c>
      <c r="CB115" s="15">
        <v>0.64236111111111105</v>
      </c>
      <c r="CC115" s="15">
        <v>0.64583333333333337</v>
      </c>
      <c r="CD115" s="15">
        <v>0.64930555555555558</v>
      </c>
      <c r="CE115" s="15">
        <v>0.65277777777777779</v>
      </c>
      <c r="CF115" s="15">
        <v>0.65625</v>
      </c>
      <c r="CG115" s="15">
        <v>0.65972222222222221</v>
      </c>
      <c r="CH115" s="15">
        <v>0.66319444444444442</v>
      </c>
      <c r="CI115" s="15">
        <v>0.66666666666666663</v>
      </c>
      <c r="CJ115" s="15">
        <v>0.67013888888888884</v>
      </c>
      <c r="CK115" s="15">
        <v>0.67361111111111116</v>
      </c>
      <c r="CL115" s="15">
        <v>0.67708333333333337</v>
      </c>
      <c r="CM115" s="15">
        <v>0.68055555555555547</v>
      </c>
      <c r="CN115" s="15">
        <v>0.68402777777777779</v>
      </c>
      <c r="CO115" s="15">
        <v>0.6875</v>
      </c>
      <c r="CP115" s="15">
        <v>0.69097222222222221</v>
      </c>
      <c r="CQ115" s="15">
        <v>0.69444444444444453</v>
      </c>
      <c r="CR115" s="15">
        <v>0.69791666666666663</v>
      </c>
      <c r="CS115" s="15">
        <v>0.70138888888888884</v>
      </c>
      <c r="CT115" s="15">
        <v>0.70486111111111116</v>
      </c>
      <c r="CU115" s="15">
        <v>0.70833333333333337</v>
      </c>
      <c r="CV115" s="15">
        <v>0.71180555555555547</v>
      </c>
      <c r="CW115" s="15">
        <v>0.71527777777777779</v>
      </c>
      <c r="CX115" s="15">
        <v>0.71875</v>
      </c>
      <c r="CY115" s="15">
        <v>0.72222222222222221</v>
      </c>
      <c r="CZ115" s="15">
        <v>0.72569444444444453</v>
      </c>
      <c r="DA115" s="15">
        <v>0.72916666666666663</v>
      </c>
      <c r="DB115" s="15">
        <v>0.73263888888888884</v>
      </c>
      <c r="DC115" s="15">
        <v>0.73611111111111116</v>
      </c>
      <c r="DD115" s="15">
        <v>0.73958333333333337</v>
      </c>
      <c r="DE115" s="15">
        <v>0.74305555555555547</v>
      </c>
      <c r="DF115" s="15">
        <v>0.74652777777777779</v>
      </c>
      <c r="DG115" s="15">
        <v>0.75</v>
      </c>
      <c r="DH115" s="15">
        <v>0.75347222222222221</v>
      </c>
      <c r="DI115" s="15">
        <v>0.75694444444444453</v>
      </c>
      <c r="DJ115" s="15">
        <v>0.76041666666666663</v>
      </c>
      <c r="DK115" s="15">
        <v>0.76388888888888884</v>
      </c>
      <c r="DL115" s="15">
        <v>0.76736111111111116</v>
      </c>
      <c r="DM115" s="23">
        <v>44372</v>
      </c>
    </row>
    <row r="116" spans="1:126" ht="15.75" x14ac:dyDescent="0.25">
      <c r="A116" s="14">
        <v>44195</v>
      </c>
      <c r="B116" s="12" t="s">
        <v>6</v>
      </c>
      <c r="C116" s="13">
        <v>5185.3100000000004</v>
      </c>
      <c r="D116" s="13">
        <v>5206.71</v>
      </c>
      <c r="E116" s="13">
        <v>5193.09</v>
      </c>
      <c r="F116" s="13">
        <v>5186.04</v>
      </c>
      <c r="G116" s="13">
        <v>5175.1899999999996</v>
      </c>
      <c r="H116" s="13">
        <v>5183</v>
      </c>
      <c r="I116" s="13">
        <v>5175.88</v>
      </c>
      <c r="J116" s="13">
        <v>5175.97</v>
      </c>
      <c r="K116" s="13">
        <v>5181</v>
      </c>
      <c r="L116" s="13">
        <v>5180</v>
      </c>
      <c r="M116" s="13">
        <v>5183.92</v>
      </c>
      <c r="N116" s="13">
        <v>5183.8999999999996</v>
      </c>
      <c r="O116" s="13">
        <v>5195</v>
      </c>
      <c r="P116" s="13">
        <v>5193</v>
      </c>
      <c r="Q116" s="13">
        <v>5191</v>
      </c>
      <c r="R116" s="13">
        <v>5179.5</v>
      </c>
      <c r="S116" s="13">
        <v>5190</v>
      </c>
      <c r="T116" s="13">
        <v>5192</v>
      </c>
      <c r="U116" s="13">
        <v>5197.99</v>
      </c>
      <c r="V116" s="13">
        <v>5208</v>
      </c>
      <c r="W116" s="13">
        <v>5219.71</v>
      </c>
      <c r="X116" s="13">
        <v>5216.01</v>
      </c>
      <c r="Y116" s="13">
        <v>5218.84</v>
      </c>
      <c r="Z116" s="13">
        <v>5224.7700000000004</v>
      </c>
      <c r="AA116" s="13">
        <v>5222</v>
      </c>
      <c r="AB116" s="13">
        <v>5221</v>
      </c>
      <c r="AC116" s="13">
        <v>5220.7299999999996</v>
      </c>
      <c r="AD116" s="13">
        <v>5235.8</v>
      </c>
      <c r="AE116" s="13">
        <v>5236.74</v>
      </c>
      <c r="AF116" s="13">
        <v>5233.88</v>
      </c>
      <c r="AG116" s="13">
        <v>5230.7700000000004</v>
      </c>
      <c r="AH116" s="13">
        <v>5224</v>
      </c>
      <c r="AI116" s="13">
        <v>5225.83</v>
      </c>
      <c r="AJ116" s="13">
        <v>5220.47</v>
      </c>
      <c r="AK116" s="13">
        <v>5218</v>
      </c>
      <c r="AL116" s="13">
        <v>5216.08</v>
      </c>
      <c r="AM116" s="13">
        <v>5214.12</v>
      </c>
      <c r="AN116" s="13">
        <v>5211.97</v>
      </c>
      <c r="AO116" s="13">
        <v>5192.96</v>
      </c>
      <c r="AP116" s="13">
        <v>5197.93</v>
      </c>
      <c r="AQ116" s="13">
        <v>5193.91</v>
      </c>
      <c r="AR116" s="13">
        <v>5194</v>
      </c>
      <c r="AS116" s="13">
        <v>5188.03</v>
      </c>
      <c r="AT116" s="13">
        <v>5183.9799999999996</v>
      </c>
      <c r="AU116" s="13">
        <v>5182.09</v>
      </c>
      <c r="AV116" s="13">
        <v>5183.47</v>
      </c>
      <c r="AW116" s="13">
        <v>5185</v>
      </c>
      <c r="AX116" s="13">
        <v>5184</v>
      </c>
      <c r="AY116" s="13">
        <v>5189</v>
      </c>
      <c r="AZ116" s="13">
        <v>5181.92</v>
      </c>
      <c r="BA116" s="13">
        <v>5180.4399999999996</v>
      </c>
      <c r="BB116" s="13">
        <v>5167.54</v>
      </c>
      <c r="BC116" s="13">
        <v>5170</v>
      </c>
      <c r="BD116" s="13">
        <v>5175</v>
      </c>
      <c r="BE116" s="13">
        <v>5172.8999999999996</v>
      </c>
      <c r="BF116" s="13">
        <v>5174.6400000000003</v>
      </c>
      <c r="BG116" s="13">
        <v>5178.76</v>
      </c>
      <c r="BH116" s="13">
        <v>5180</v>
      </c>
      <c r="BI116" s="13">
        <v>5182</v>
      </c>
      <c r="BJ116" s="13">
        <v>5182.87</v>
      </c>
      <c r="BK116" s="13">
        <v>5181</v>
      </c>
      <c r="BL116" s="13">
        <v>5180.22</v>
      </c>
      <c r="BM116" s="13">
        <v>5185.53</v>
      </c>
      <c r="BN116" s="13">
        <v>5188</v>
      </c>
      <c r="BO116" s="13">
        <v>5187.8500000000004</v>
      </c>
      <c r="BP116" s="13">
        <v>5189</v>
      </c>
      <c r="BQ116" s="13">
        <v>5189</v>
      </c>
      <c r="BR116" s="13">
        <v>5189.91</v>
      </c>
      <c r="BS116" s="13">
        <v>5181</v>
      </c>
      <c r="BT116" s="13">
        <v>5176</v>
      </c>
      <c r="BU116" s="13">
        <v>5174.87</v>
      </c>
      <c r="BV116" s="13">
        <v>5177</v>
      </c>
      <c r="BW116" s="13">
        <v>5175</v>
      </c>
      <c r="BX116" s="13">
        <v>5171.5200000000004</v>
      </c>
      <c r="BY116" s="13">
        <v>5170.01</v>
      </c>
      <c r="BZ116" s="13">
        <v>5171.79</v>
      </c>
      <c r="CA116" s="13">
        <v>5173.6899999999996</v>
      </c>
      <c r="CB116" s="13">
        <v>5174</v>
      </c>
      <c r="CC116" s="13">
        <v>5173</v>
      </c>
      <c r="CD116" s="13">
        <v>5184</v>
      </c>
      <c r="CE116" s="13">
        <v>5185</v>
      </c>
      <c r="CF116" s="13">
        <v>5188.66</v>
      </c>
      <c r="CG116" s="13">
        <v>5184.83</v>
      </c>
      <c r="CH116" s="13">
        <v>5183</v>
      </c>
      <c r="CI116" s="13">
        <v>5180.7</v>
      </c>
      <c r="CJ116" s="13">
        <v>5312.09</v>
      </c>
      <c r="CK116" s="13">
        <v>5195</v>
      </c>
      <c r="CL116" s="13">
        <v>5210</v>
      </c>
      <c r="CM116" s="13">
        <v>5193.7700000000004</v>
      </c>
      <c r="CN116" s="13">
        <v>5196.0200000000004</v>
      </c>
      <c r="CO116" s="13">
        <v>5194.04</v>
      </c>
      <c r="CP116" s="13">
        <v>5191.92</v>
      </c>
      <c r="CQ116" s="13">
        <v>5195.6400000000003</v>
      </c>
      <c r="CR116" s="13">
        <v>5187.3100000000004</v>
      </c>
      <c r="CS116" s="13">
        <v>5189.1099999999997</v>
      </c>
      <c r="CT116" s="13">
        <v>5189.8500000000004</v>
      </c>
      <c r="CU116" s="13">
        <v>5193.57</v>
      </c>
      <c r="CV116" s="13">
        <v>5198.66</v>
      </c>
      <c r="CW116" s="13">
        <v>5199.92</v>
      </c>
      <c r="CX116" s="13">
        <v>5197.88</v>
      </c>
      <c r="CY116" s="13">
        <v>5203</v>
      </c>
      <c r="CZ116" s="13">
        <v>5200.8100000000004</v>
      </c>
      <c r="DA116" s="13">
        <v>5195.6000000000004</v>
      </c>
      <c r="DB116" s="13">
        <v>5201.58</v>
      </c>
      <c r="DC116" s="13">
        <v>5199.5600000000004</v>
      </c>
      <c r="DD116" s="13">
        <v>5197.08</v>
      </c>
      <c r="DE116" s="13">
        <v>5198.93</v>
      </c>
      <c r="DF116" s="13">
        <v>5199.9799999999996</v>
      </c>
      <c r="DG116" s="13">
        <v>5201.66</v>
      </c>
      <c r="DH116" s="13">
        <v>5196.8</v>
      </c>
      <c r="DI116" s="13">
        <v>5195.3599999999997</v>
      </c>
      <c r="DJ116" s="13">
        <v>5198.9799999999996</v>
      </c>
      <c r="DK116" s="13">
        <v>5207.72</v>
      </c>
      <c r="DL116" s="13">
        <v>5203.8</v>
      </c>
      <c r="DM116" s="32"/>
      <c r="DN116" s="33"/>
      <c r="DO116" s="32"/>
      <c r="DP116" s="33"/>
      <c r="DQ116" s="32"/>
      <c r="DR116" s="33"/>
      <c r="DS116" s="32"/>
      <c r="DT116" s="33"/>
      <c r="DU116" s="32"/>
      <c r="DV116" s="33"/>
    </row>
    <row r="117" spans="1:126" ht="15.75" x14ac:dyDescent="0.25">
      <c r="A117" s="14" t="s">
        <v>12</v>
      </c>
      <c r="B117" s="12" t="s">
        <v>10</v>
      </c>
      <c r="C117" s="13">
        <v>5185.3100000000004</v>
      </c>
      <c r="D117" s="13">
        <v>5192.1000000000004</v>
      </c>
      <c r="E117" s="13">
        <v>5185.08</v>
      </c>
      <c r="F117" s="13">
        <v>5169.32</v>
      </c>
      <c r="G117" s="13">
        <v>5175.09</v>
      </c>
      <c r="H117" s="13">
        <v>5176.9799999999996</v>
      </c>
      <c r="I117" s="13">
        <v>5175.88</v>
      </c>
      <c r="J117" s="13">
        <v>5171</v>
      </c>
      <c r="K117" s="13">
        <v>5181</v>
      </c>
      <c r="L117" s="13">
        <v>5177.8900000000003</v>
      </c>
      <c r="M117" s="13">
        <v>5174.8100000000004</v>
      </c>
      <c r="N117" s="13">
        <v>5180.8999999999996</v>
      </c>
      <c r="O117" s="13">
        <v>5194</v>
      </c>
      <c r="P117" s="13">
        <v>5189.75</v>
      </c>
      <c r="Q117" s="13">
        <v>5176.4799999999996</v>
      </c>
      <c r="R117" s="13">
        <v>5179</v>
      </c>
      <c r="S117" s="13">
        <v>5189.7700000000004</v>
      </c>
      <c r="T117" s="13">
        <v>5183.57</v>
      </c>
      <c r="U117" s="13">
        <v>5197.99</v>
      </c>
      <c r="V117" s="13">
        <v>5205.6499999999996</v>
      </c>
      <c r="W117" s="13">
        <v>5219.71</v>
      </c>
      <c r="X117" s="13">
        <v>5215.17</v>
      </c>
      <c r="Y117" s="13">
        <v>5217.17</v>
      </c>
      <c r="Z117" s="13">
        <v>5216.92</v>
      </c>
      <c r="AA117" s="13">
        <v>5220.95</v>
      </c>
      <c r="AB117" s="13">
        <v>5217</v>
      </c>
      <c r="AC117" s="13">
        <v>5220.7299999999996</v>
      </c>
      <c r="AD117" s="13">
        <v>5232.01</v>
      </c>
      <c r="AE117" s="13">
        <v>5232.79</v>
      </c>
      <c r="AF117" s="13">
        <v>5229.7299999999996</v>
      </c>
      <c r="AG117" s="13">
        <v>5224.24</v>
      </c>
      <c r="AH117" s="13">
        <v>5224</v>
      </c>
      <c r="AI117" s="13">
        <v>5218.33</v>
      </c>
      <c r="AJ117" s="13">
        <v>5218.6000000000004</v>
      </c>
      <c r="AK117" s="13">
        <v>5214.46</v>
      </c>
      <c r="AL117" s="13">
        <v>5209.99</v>
      </c>
      <c r="AM117" s="13">
        <v>5209.99</v>
      </c>
      <c r="AN117" s="13">
        <v>5192</v>
      </c>
      <c r="AO117" s="13">
        <v>5183</v>
      </c>
      <c r="AP117" s="13">
        <v>5192</v>
      </c>
      <c r="AQ117" s="13">
        <v>5193</v>
      </c>
      <c r="AR117" s="13">
        <v>5186.41</v>
      </c>
      <c r="AS117" s="13">
        <v>5183.7700000000004</v>
      </c>
      <c r="AT117" s="13">
        <v>5178.07</v>
      </c>
      <c r="AU117" s="13">
        <v>5181</v>
      </c>
      <c r="AV117" s="13">
        <v>5181</v>
      </c>
      <c r="AW117" s="13">
        <v>5183</v>
      </c>
      <c r="AX117" s="13">
        <v>5184</v>
      </c>
      <c r="AY117" s="13">
        <v>5179.91</v>
      </c>
      <c r="AZ117" s="13">
        <v>5178.8100000000004</v>
      </c>
      <c r="BA117" s="13">
        <v>5167.8100000000004</v>
      </c>
      <c r="BB117" s="13">
        <v>5167.54</v>
      </c>
      <c r="BC117" s="13">
        <v>5169.01</v>
      </c>
      <c r="BD117" s="13">
        <v>5171.54</v>
      </c>
      <c r="BE117" s="13">
        <v>5171.6000000000004</v>
      </c>
      <c r="BF117" s="13">
        <v>5174.37</v>
      </c>
      <c r="BG117" s="13">
        <v>5178.37</v>
      </c>
      <c r="BH117" s="13">
        <v>5179</v>
      </c>
      <c r="BI117" s="13">
        <v>5179.43</v>
      </c>
      <c r="BJ117" s="13">
        <v>5181.72</v>
      </c>
      <c r="BK117" s="13">
        <v>5179.37</v>
      </c>
      <c r="BL117" s="13">
        <v>5178.25</v>
      </c>
      <c r="BM117" s="13">
        <v>5184.71</v>
      </c>
      <c r="BN117" s="13">
        <v>5187.63</v>
      </c>
      <c r="BO117" s="13">
        <v>5185</v>
      </c>
      <c r="BP117" s="13">
        <v>5187.84</v>
      </c>
      <c r="BQ117" s="13">
        <v>5188.74</v>
      </c>
      <c r="BR117" s="13">
        <v>5183.6899999999996</v>
      </c>
      <c r="BS117" s="13">
        <v>5170.7</v>
      </c>
      <c r="BT117" s="13">
        <v>5175</v>
      </c>
      <c r="BU117" s="13">
        <v>5162.57</v>
      </c>
      <c r="BV117" s="13">
        <v>5175.6899999999996</v>
      </c>
      <c r="BW117" s="13">
        <v>5169.6400000000003</v>
      </c>
      <c r="BX117" s="13">
        <v>5170.0200000000004</v>
      </c>
      <c r="BY117" s="13">
        <v>5168.0200000000004</v>
      </c>
      <c r="BZ117" s="13">
        <v>5170.6499999999996</v>
      </c>
      <c r="CA117" s="13">
        <v>5170.62</v>
      </c>
      <c r="CB117" s="13">
        <v>5172.66</v>
      </c>
      <c r="CC117" s="13">
        <v>5170.8500000000004</v>
      </c>
      <c r="CD117" s="13">
        <v>5182.95</v>
      </c>
      <c r="CE117" s="13">
        <v>5182.67</v>
      </c>
      <c r="CF117" s="13">
        <v>5183.45</v>
      </c>
      <c r="CG117" s="13">
        <v>5182.5</v>
      </c>
      <c r="CH117" s="13">
        <v>5180.5600000000004</v>
      </c>
      <c r="CI117" s="13">
        <v>5180.66</v>
      </c>
      <c r="CJ117" s="13">
        <v>5184</v>
      </c>
      <c r="CK117" s="13">
        <v>5190.63</v>
      </c>
      <c r="CL117" s="13">
        <v>5197</v>
      </c>
      <c r="CM117" s="13">
        <v>5191</v>
      </c>
      <c r="CN117" s="13">
        <v>5191.63</v>
      </c>
      <c r="CO117" s="13">
        <v>5192.09</v>
      </c>
      <c r="CP117" s="13">
        <v>5191.49</v>
      </c>
      <c r="CQ117" s="13">
        <v>5190.57</v>
      </c>
      <c r="CR117" s="13">
        <v>5184.9399999999996</v>
      </c>
      <c r="CS117" s="13">
        <v>5187.7</v>
      </c>
      <c r="CT117" s="13">
        <v>5189</v>
      </c>
      <c r="CU117" s="13">
        <v>5191.99</v>
      </c>
      <c r="CV117" s="13">
        <v>5195.95</v>
      </c>
      <c r="CW117" s="13">
        <v>5197.8100000000004</v>
      </c>
      <c r="CX117" s="13">
        <v>5197.62</v>
      </c>
      <c r="CY117" s="13">
        <v>5203</v>
      </c>
      <c r="CZ117" s="13">
        <v>5196.0200000000004</v>
      </c>
      <c r="DA117" s="13">
        <v>5193.0600000000004</v>
      </c>
      <c r="DB117" s="13">
        <v>5199.3999999999996</v>
      </c>
      <c r="DC117" s="13">
        <v>5195.92</v>
      </c>
      <c r="DD117" s="13">
        <v>5196.9799999999996</v>
      </c>
      <c r="DE117" s="13">
        <v>5197.82</v>
      </c>
      <c r="DF117" s="13">
        <v>5199</v>
      </c>
      <c r="DG117" s="13">
        <v>5194.8</v>
      </c>
      <c r="DH117" s="13">
        <v>5194.71</v>
      </c>
      <c r="DI117" s="13">
        <v>5189.17</v>
      </c>
      <c r="DJ117" s="13">
        <v>5198.6000000000004</v>
      </c>
      <c r="DK117" s="13">
        <v>5202.7700000000004</v>
      </c>
      <c r="DL117" s="13">
        <v>5197.5</v>
      </c>
      <c r="DM117" s="32"/>
      <c r="DN117" s="33"/>
      <c r="DO117" s="32"/>
      <c r="DP117" s="33"/>
      <c r="DQ117" s="32"/>
      <c r="DR117" s="33"/>
      <c r="DS117" s="32"/>
      <c r="DT117" s="33"/>
      <c r="DU117" s="32"/>
      <c r="DV117" s="33"/>
    </row>
    <row r="118" spans="1:126" ht="15.75" x14ac:dyDescent="0.25">
      <c r="A118" s="14" t="s">
        <v>12</v>
      </c>
      <c r="B118" s="12" t="s">
        <v>9</v>
      </c>
      <c r="C118" s="13">
        <v>5249.44</v>
      </c>
      <c r="D118" s="13">
        <v>5190.05</v>
      </c>
      <c r="E118" s="13">
        <v>5183.4399999999996</v>
      </c>
      <c r="F118" s="13">
        <v>5168</v>
      </c>
      <c r="G118" s="13">
        <v>5173.28</v>
      </c>
      <c r="H118" s="13">
        <v>5175.08</v>
      </c>
      <c r="I118" s="13">
        <v>5174.5</v>
      </c>
      <c r="J118" s="13">
        <v>5169.38</v>
      </c>
      <c r="K118" s="13">
        <v>5179.38</v>
      </c>
      <c r="L118" s="13">
        <v>5176.26</v>
      </c>
      <c r="M118" s="13">
        <v>5174.18</v>
      </c>
      <c r="N118" s="13">
        <v>5179.3500000000004</v>
      </c>
      <c r="O118" s="13">
        <v>5192.42</v>
      </c>
      <c r="P118" s="13">
        <v>5187.66</v>
      </c>
      <c r="Q118" s="13">
        <v>5175</v>
      </c>
      <c r="R118" s="13">
        <v>5180.33</v>
      </c>
      <c r="S118" s="13">
        <v>5188.1000000000004</v>
      </c>
      <c r="T118" s="13">
        <v>5182</v>
      </c>
      <c r="U118" s="13">
        <v>5197</v>
      </c>
      <c r="V118" s="13">
        <v>5204.24</v>
      </c>
      <c r="W118" s="13">
        <v>5218.24</v>
      </c>
      <c r="X118" s="13">
        <v>5212.4399999999996</v>
      </c>
      <c r="Y118" s="13">
        <v>5216</v>
      </c>
      <c r="Z118" s="13">
        <v>5215.54</v>
      </c>
      <c r="AA118" s="13">
        <v>5219.13</v>
      </c>
      <c r="AB118" s="13">
        <v>5216.49</v>
      </c>
      <c r="AC118" s="13">
        <v>5219.01</v>
      </c>
      <c r="AD118" s="13">
        <v>5229.4399999999996</v>
      </c>
      <c r="AE118" s="13">
        <v>5231.22</v>
      </c>
      <c r="AF118" s="13">
        <v>5228.13</v>
      </c>
      <c r="AG118" s="13">
        <v>5222.5</v>
      </c>
      <c r="AH118" s="13">
        <v>5223</v>
      </c>
      <c r="AI118" s="13">
        <v>5217</v>
      </c>
      <c r="AJ118" s="13">
        <v>5217.07</v>
      </c>
      <c r="AK118" s="13">
        <v>5213</v>
      </c>
      <c r="AL118" s="13">
        <v>5208.2</v>
      </c>
      <c r="AM118" s="13">
        <v>5208.3900000000003</v>
      </c>
      <c r="AN118" s="13">
        <v>5191</v>
      </c>
      <c r="AO118" s="13">
        <v>5182</v>
      </c>
      <c r="AP118" s="13">
        <v>5190</v>
      </c>
      <c r="AQ118" s="13">
        <v>5191.49</v>
      </c>
      <c r="AR118" s="13">
        <v>5186.18</v>
      </c>
      <c r="AS118" s="13">
        <v>5182.1099999999997</v>
      </c>
      <c r="AT118" s="13">
        <v>5176.5</v>
      </c>
      <c r="AU118" s="13">
        <v>5179.53</v>
      </c>
      <c r="AV118" s="13">
        <v>5180</v>
      </c>
      <c r="AW118" s="13">
        <v>5182</v>
      </c>
      <c r="AX118" s="13">
        <v>5183.67</v>
      </c>
      <c r="AY118" s="13">
        <v>5178</v>
      </c>
      <c r="AZ118" s="13">
        <v>5177.62</v>
      </c>
      <c r="BA118" s="13">
        <v>5165.83</v>
      </c>
      <c r="BB118" s="13">
        <v>5166</v>
      </c>
      <c r="BC118" s="13">
        <v>5168.13</v>
      </c>
      <c r="BD118" s="13">
        <v>5169.97</v>
      </c>
      <c r="BE118" s="13">
        <v>5169.9799999999996</v>
      </c>
      <c r="BF118" s="13">
        <v>5173.4399999999996</v>
      </c>
      <c r="BG118" s="13">
        <v>5177.2</v>
      </c>
      <c r="BH118" s="13">
        <v>5177.76</v>
      </c>
      <c r="BI118" s="13">
        <v>5177.82</v>
      </c>
      <c r="BJ118" s="13">
        <v>5180.03</v>
      </c>
      <c r="BK118" s="13">
        <v>5177.8599999999997</v>
      </c>
      <c r="BL118" s="13">
        <v>5177.07</v>
      </c>
      <c r="BM118" s="13">
        <v>5184</v>
      </c>
      <c r="BN118" s="13">
        <v>5186</v>
      </c>
      <c r="BO118" s="13">
        <v>5184</v>
      </c>
      <c r="BP118" s="13">
        <v>5186.3500000000004</v>
      </c>
      <c r="BQ118" s="13">
        <v>5187.17</v>
      </c>
      <c r="BR118" s="13">
        <v>5182.34</v>
      </c>
      <c r="BS118" s="13">
        <v>5169.33</v>
      </c>
      <c r="BT118" s="13">
        <v>5173.46</v>
      </c>
      <c r="BU118" s="13">
        <v>5161</v>
      </c>
      <c r="BV118" s="13">
        <v>5174</v>
      </c>
      <c r="BW118" s="13">
        <v>5168</v>
      </c>
      <c r="BX118" s="13">
        <v>5169</v>
      </c>
      <c r="BY118" s="13">
        <v>5167</v>
      </c>
      <c r="BZ118" s="13">
        <v>5169</v>
      </c>
      <c r="CA118" s="13">
        <v>5169.1000000000004</v>
      </c>
      <c r="CB118" s="13">
        <v>5171.03</v>
      </c>
      <c r="CC118" s="13">
        <v>5169.1899999999996</v>
      </c>
      <c r="CD118" s="13">
        <v>5181.38</v>
      </c>
      <c r="CE118" s="13">
        <v>5184.3900000000003</v>
      </c>
      <c r="CF118" s="13">
        <v>5181.97</v>
      </c>
      <c r="CG118" s="13">
        <v>5181.08</v>
      </c>
      <c r="CH118" s="13">
        <v>5179.1000000000004</v>
      </c>
      <c r="CI118" s="13">
        <v>5179</v>
      </c>
      <c r="CJ118" s="13">
        <v>5182.42</v>
      </c>
      <c r="CK118" s="13">
        <v>5189.05</v>
      </c>
      <c r="CL118" s="13">
        <v>5195.43</v>
      </c>
      <c r="CM118" s="13">
        <v>5189.49</v>
      </c>
      <c r="CN118" s="13">
        <v>5189.63</v>
      </c>
      <c r="CO118" s="13">
        <v>5190.25</v>
      </c>
      <c r="CP118" s="13">
        <v>5190.04</v>
      </c>
      <c r="CQ118" s="13">
        <v>5188.7700000000004</v>
      </c>
      <c r="CR118" s="13">
        <v>5183.22</v>
      </c>
      <c r="CS118" s="13">
        <v>5186.22</v>
      </c>
      <c r="CT118" s="13">
        <v>5187.72</v>
      </c>
      <c r="CU118" s="13">
        <v>5190.5200000000004</v>
      </c>
      <c r="CV118" s="13">
        <v>5194.83</v>
      </c>
      <c r="CW118" s="13">
        <v>5196.12</v>
      </c>
      <c r="CX118" s="13">
        <v>5196.1099999999997</v>
      </c>
      <c r="CY118" s="13">
        <v>5201.42</v>
      </c>
      <c r="CZ118" s="13">
        <v>5195.09</v>
      </c>
      <c r="DA118" s="13">
        <v>5191.71</v>
      </c>
      <c r="DB118" s="13">
        <v>5197.87</v>
      </c>
      <c r="DC118" s="13">
        <v>5194.58</v>
      </c>
      <c r="DD118" s="13">
        <v>5195.1499999999996</v>
      </c>
      <c r="DE118" s="13">
        <v>5196.22</v>
      </c>
      <c r="DF118" s="13">
        <v>5197.53</v>
      </c>
      <c r="DG118" s="13">
        <v>5192.8500000000004</v>
      </c>
      <c r="DH118" s="13">
        <v>5192.66</v>
      </c>
      <c r="DI118" s="13">
        <v>5187.53</v>
      </c>
      <c r="DJ118" s="13">
        <v>5196.72</v>
      </c>
      <c r="DK118" s="13">
        <v>5198.67</v>
      </c>
      <c r="DL118" s="13">
        <v>5194.5200000000004</v>
      </c>
      <c r="DM118" s="32"/>
      <c r="DN118" s="33"/>
      <c r="DO118" s="32"/>
      <c r="DP118" s="33"/>
      <c r="DQ118" s="32"/>
      <c r="DR118" s="33"/>
      <c r="DS118" s="32"/>
      <c r="DT118" s="33"/>
      <c r="DU118" s="32"/>
      <c r="DV118" s="33"/>
    </row>
    <row r="119" spans="1:126" ht="15.75" x14ac:dyDescent="0.25">
      <c r="A119" s="14" t="s">
        <v>12</v>
      </c>
      <c r="B119" s="12" t="s">
        <v>7</v>
      </c>
      <c r="C119" s="13">
        <v>5249.44</v>
      </c>
      <c r="D119" s="13">
        <v>5188.82</v>
      </c>
      <c r="E119" s="13">
        <v>5181.0200000000004</v>
      </c>
      <c r="F119" s="13">
        <v>5168</v>
      </c>
      <c r="G119" s="13">
        <v>5161</v>
      </c>
      <c r="H119" s="13">
        <v>5172.1099999999997</v>
      </c>
      <c r="I119" s="13">
        <v>5166.1400000000003</v>
      </c>
      <c r="J119" s="13">
        <v>5157.2299999999996</v>
      </c>
      <c r="K119" s="13">
        <v>5169.17</v>
      </c>
      <c r="L119" s="13">
        <v>5167.2</v>
      </c>
      <c r="M119" s="13">
        <v>5173.25</v>
      </c>
      <c r="N119" s="13">
        <v>5168.3</v>
      </c>
      <c r="O119" s="13">
        <v>5172</v>
      </c>
      <c r="P119" s="13">
        <v>5182</v>
      </c>
      <c r="Q119" s="13">
        <v>5173</v>
      </c>
      <c r="R119" s="13">
        <v>5172</v>
      </c>
      <c r="S119" s="13">
        <v>5179</v>
      </c>
      <c r="T119" s="13">
        <v>5182</v>
      </c>
      <c r="U119" s="13">
        <v>5180.3100000000004</v>
      </c>
      <c r="V119" s="13">
        <v>5197</v>
      </c>
      <c r="W119" s="13">
        <v>5203.1499999999996</v>
      </c>
      <c r="X119" s="13">
        <v>5206</v>
      </c>
      <c r="Y119" s="13">
        <v>5210.04</v>
      </c>
      <c r="Z119" s="13">
        <v>5211.68</v>
      </c>
      <c r="AA119" s="13">
        <v>5215.37</v>
      </c>
      <c r="AB119" s="13">
        <v>5212.3100000000004</v>
      </c>
      <c r="AC119" s="13">
        <v>5213.21</v>
      </c>
      <c r="AD119" s="13">
        <v>5216.25</v>
      </c>
      <c r="AE119" s="13">
        <v>5229</v>
      </c>
      <c r="AF119" s="13">
        <v>5227.29</v>
      </c>
      <c r="AG119" s="13">
        <v>5217</v>
      </c>
      <c r="AH119" s="13">
        <v>5216.34</v>
      </c>
      <c r="AI119" s="13">
        <v>5217</v>
      </c>
      <c r="AJ119" s="13">
        <v>5213.5600000000004</v>
      </c>
      <c r="AK119" s="13">
        <v>5213</v>
      </c>
      <c r="AL119" s="13">
        <v>5208.07</v>
      </c>
      <c r="AM119" s="13">
        <v>5208</v>
      </c>
      <c r="AN119" s="13">
        <v>5191</v>
      </c>
      <c r="AO119" s="13">
        <v>5181</v>
      </c>
      <c r="AP119" s="13">
        <v>5181.3599999999997</v>
      </c>
      <c r="AQ119" s="13">
        <v>5184</v>
      </c>
      <c r="AR119" s="13">
        <v>5185</v>
      </c>
      <c r="AS119" s="13">
        <v>5180.51</v>
      </c>
      <c r="AT119" s="13">
        <v>5174.51</v>
      </c>
      <c r="AU119" s="13">
        <v>5175</v>
      </c>
      <c r="AV119" s="13">
        <v>5179.51</v>
      </c>
      <c r="AW119" s="13">
        <v>5179</v>
      </c>
      <c r="AX119" s="13">
        <v>5177.1400000000003</v>
      </c>
      <c r="AY119" s="13">
        <v>5176.29</v>
      </c>
      <c r="AZ119" s="13">
        <v>5173.55</v>
      </c>
      <c r="BA119" s="13">
        <v>5165.08</v>
      </c>
      <c r="BB119" s="13">
        <v>5153.46</v>
      </c>
      <c r="BC119" s="13">
        <v>5162.05</v>
      </c>
      <c r="BD119" s="13">
        <v>5169.3100000000004</v>
      </c>
      <c r="BE119" s="13">
        <v>5168.5200000000004</v>
      </c>
      <c r="BF119" s="13">
        <v>5169.12</v>
      </c>
      <c r="BG119" s="13">
        <v>5171.91</v>
      </c>
      <c r="BH119" s="13">
        <v>5175.96</v>
      </c>
      <c r="BI119" s="13">
        <v>5177.63</v>
      </c>
      <c r="BJ119" s="13">
        <v>5175.8500000000004</v>
      </c>
      <c r="BK119" s="13">
        <v>5177.17</v>
      </c>
      <c r="BL119" s="13">
        <v>5174.2299999999996</v>
      </c>
      <c r="BM119" s="13">
        <v>5176.83</v>
      </c>
      <c r="BN119" s="13">
        <v>5182</v>
      </c>
      <c r="BO119" s="13">
        <v>5181.2700000000004</v>
      </c>
      <c r="BP119" s="13">
        <v>5185</v>
      </c>
      <c r="BQ119" s="13">
        <v>5185</v>
      </c>
      <c r="BR119" s="13">
        <v>5182.01</v>
      </c>
      <c r="BS119" s="13">
        <v>5168.24</v>
      </c>
      <c r="BT119" s="13">
        <v>5170.29</v>
      </c>
      <c r="BU119" s="13">
        <v>5161</v>
      </c>
      <c r="BV119" s="13">
        <v>5162.63</v>
      </c>
      <c r="BW119" s="13">
        <v>5168</v>
      </c>
      <c r="BX119" s="13">
        <v>5165.07</v>
      </c>
      <c r="BY119" s="13">
        <v>5165</v>
      </c>
      <c r="BZ119" s="13">
        <v>5167.1099999999997</v>
      </c>
      <c r="CA119" s="13">
        <v>5169</v>
      </c>
      <c r="CB119" s="13">
        <v>5168.3</v>
      </c>
      <c r="CC119" s="13">
        <v>5169.03</v>
      </c>
      <c r="CD119" s="13">
        <v>5169</v>
      </c>
      <c r="CE119" s="13">
        <v>5180.33</v>
      </c>
      <c r="CF119" s="13">
        <v>5181.3500000000004</v>
      </c>
      <c r="CG119" s="13">
        <v>5180.45</v>
      </c>
      <c r="CH119" s="13">
        <v>5177.03</v>
      </c>
      <c r="CI119" s="13">
        <v>5176.57</v>
      </c>
      <c r="CJ119" s="13">
        <v>5175.3999999999996</v>
      </c>
      <c r="CK119" s="13">
        <v>5177.54</v>
      </c>
      <c r="CL119" s="13">
        <v>5187.59</v>
      </c>
      <c r="CM119" s="13">
        <v>5186.3999999999996</v>
      </c>
      <c r="CN119" s="13">
        <v>5188.3100000000004</v>
      </c>
      <c r="CO119" s="13">
        <v>5188.4399999999996</v>
      </c>
      <c r="CP119" s="13">
        <v>5184.1400000000003</v>
      </c>
      <c r="CQ119" s="13">
        <v>5187.58</v>
      </c>
      <c r="CR119" s="13">
        <v>5182.29</v>
      </c>
      <c r="CS119" s="13">
        <v>5183.09</v>
      </c>
      <c r="CT119" s="13">
        <v>5185.4799999999996</v>
      </c>
      <c r="CU119" s="13">
        <v>5188.28</v>
      </c>
      <c r="CV119" s="13">
        <v>5187.82</v>
      </c>
      <c r="CW119" s="13">
        <v>5193.33</v>
      </c>
      <c r="CX119" s="13">
        <v>5193.9799999999996</v>
      </c>
      <c r="CY119" s="13">
        <v>5195.91</v>
      </c>
      <c r="CZ119" s="13">
        <v>5192.59</v>
      </c>
      <c r="DA119" s="13">
        <v>5191.29</v>
      </c>
      <c r="DB119" s="13">
        <v>5192.74</v>
      </c>
      <c r="DC119" s="13">
        <v>5194.53</v>
      </c>
      <c r="DD119" s="13">
        <v>5193.59</v>
      </c>
      <c r="DE119" s="13">
        <v>5195.07</v>
      </c>
      <c r="DF119" s="13">
        <v>5195.45</v>
      </c>
      <c r="DG119" s="13">
        <v>5192.8100000000004</v>
      </c>
      <c r="DH119" s="13">
        <v>5192.51</v>
      </c>
      <c r="DI119" s="13">
        <v>5187.7299999999996</v>
      </c>
      <c r="DJ119" s="13">
        <v>5187.7299999999996</v>
      </c>
      <c r="DK119" s="13">
        <v>5196.84</v>
      </c>
      <c r="DL119" s="13">
        <v>5194.5200000000004</v>
      </c>
      <c r="DM119" s="32"/>
      <c r="DN119" s="33"/>
      <c r="DO119" s="32"/>
      <c r="DP119" s="33"/>
      <c r="DQ119" s="32"/>
      <c r="DR119" s="33"/>
      <c r="DS119" s="32"/>
      <c r="DT119" s="33"/>
      <c r="DU119" s="32"/>
      <c r="DV119" s="33"/>
    </row>
    <row r="120" spans="1:126" ht="15.75" x14ac:dyDescent="0.25">
      <c r="C120" s="13">
        <f t="shared" ref="C120:AH120" si="74">(C116+C117+C118+C119)/4</f>
        <v>5217.375</v>
      </c>
      <c r="D120" s="13">
        <f t="shared" si="74"/>
        <v>5194.42</v>
      </c>
      <c r="E120" s="13">
        <f t="shared" si="74"/>
        <v>5185.6575000000003</v>
      </c>
      <c r="F120" s="13">
        <f t="shared" si="74"/>
        <v>5172.84</v>
      </c>
      <c r="G120" s="13">
        <f t="shared" si="74"/>
        <v>5171.1399999999994</v>
      </c>
      <c r="H120" s="13">
        <f t="shared" si="74"/>
        <v>5176.7924999999996</v>
      </c>
      <c r="I120" s="13">
        <f t="shared" si="74"/>
        <v>5173.1000000000004</v>
      </c>
      <c r="J120" s="13">
        <f t="shared" si="74"/>
        <v>5168.3950000000004</v>
      </c>
      <c r="K120" s="13">
        <f t="shared" si="74"/>
        <v>5177.6375000000007</v>
      </c>
      <c r="L120" s="13">
        <f t="shared" si="74"/>
        <v>5175.3374999999996</v>
      </c>
      <c r="M120" s="13">
        <f t="shared" si="74"/>
        <v>5176.54</v>
      </c>
      <c r="N120" s="13">
        <f t="shared" si="74"/>
        <v>5178.1125000000002</v>
      </c>
      <c r="O120" s="13">
        <f t="shared" si="74"/>
        <v>5188.3549999999996</v>
      </c>
      <c r="P120" s="13">
        <f t="shared" si="74"/>
        <v>5188.1025</v>
      </c>
      <c r="Q120" s="13">
        <f t="shared" si="74"/>
        <v>5178.87</v>
      </c>
      <c r="R120" s="13">
        <f t="shared" si="74"/>
        <v>5177.7075000000004</v>
      </c>
      <c r="S120" s="13">
        <f t="shared" si="74"/>
        <v>5186.7175000000007</v>
      </c>
      <c r="T120" s="13">
        <f t="shared" si="74"/>
        <v>5184.8924999999999</v>
      </c>
      <c r="U120" s="13">
        <f t="shared" si="74"/>
        <v>5193.3225000000002</v>
      </c>
      <c r="V120" s="13">
        <f t="shared" si="74"/>
        <v>5203.7224999999999</v>
      </c>
      <c r="W120" s="13">
        <f t="shared" si="74"/>
        <v>5215.2024999999994</v>
      </c>
      <c r="X120" s="13">
        <f t="shared" si="74"/>
        <v>5212.4049999999997</v>
      </c>
      <c r="Y120" s="13">
        <f t="shared" si="74"/>
        <v>5215.5124999999998</v>
      </c>
      <c r="Z120" s="13">
        <f t="shared" si="74"/>
        <v>5217.2275</v>
      </c>
      <c r="AA120" s="13">
        <f t="shared" si="74"/>
        <v>5219.3625000000002</v>
      </c>
      <c r="AB120" s="13">
        <f t="shared" si="74"/>
        <v>5216.7</v>
      </c>
      <c r="AC120" s="13">
        <f t="shared" si="74"/>
        <v>5218.42</v>
      </c>
      <c r="AD120" s="13">
        <f t="shared" si="74"/>
        <v>5228.375</v>
      </c>
      <c r="AE120" s="13">
        <f t="shared" si="74"/>
        <v>5232.4375</v>
      </c>
      <c r="AF120" s="13">
        <f t="shared" si="74"/>
        <v>5229.7575000000006</v>
      </c>
      <c r="AG120" s="13">
        <f t="shared" si="74"/>
        <v>5223.6275000000005</v>
      </c>
      <c r="AH120" s="13">
        <f t="shared" si="74"/>
        <v>5221.835</v>
      </c>
      <c r="AI120" s="13">
        <f t="shared" ref="AI120:BN120" si="75">(AI116+AI117+AI118+AI119)/4</f>
        <v>5219.54</v>
      </c>
      <c r="AJ120" s="13">
        <f t="shared" si="75"/>
        <v>5217.4250000000002</v>
      </c>
      <c r="AK120" s="13">
        <f t="shared" si="75"/>
        <v>5214.6149999999998</v>
      </c>
      <c r="AL120" s="13">
        <f t="shared" si="75"/>
        <v>5210.585</v>
      </c>
      <c r="AM120" s="13">
        <f t="shared" si="75"/>
        <v>5210.125</v>
      </c>
      <c r="AN120" s="13">
        <f t="shared" si="75"/>
        <v>5196.4925000000003</v>
      </c>
      <c r="AO120" s="13">
        <f t="shared" si="75"/>
        <v>5184.74</v>
      </c>
      <c r="AP120" s="13">
        <f t="shared" si="75"/>
        <v>5190.3225000000002</v>
      </c>
      <c r="AQ120" s="13">
        <f t="shared" si="75"/>
        <v>5190.6000000000004</v>
      </c>
      <c r="AR120" s="13">
        <f t="shared" si="75"/>
        <v>5187.8975</v>
      </c>
      <c r="AS120" s="13">
        <f t="shared" si="75"/>
        <v>5183.6049999999996</v>
      </c>
      <c r="AT120" s="13">
        <f t="shared" si="75"/>
        <v>5178.2649999999994</v>
      </c>
      <c r="AU120" s="13">
        <f t="shared" si="75"/>
        <v>5179.4049999999997</v>
      </c>
      <c r="AV120" s="13">
        <f t="shared" si="75"/>
        <v>5180.9950000000008</v>
      </c>
      <c r="AW120" s="13">
        <f t="shared" si="75"/>
        <v>5182.25</v>
      </c>
      <c r="AX120" s="13">
        <f t="shared" si="75"/>
        <v>5182.2025000000003</v>
      </c>
      <c r="AY120" s="13">
        <f t="shared" si="75"/>
        <v>5180.8</v>
      </c>
      <c r="AZ120" s="13">
        <f t="shared" si="75"/>
        <v>5177.9749999999995</v>
      </c>
      <c r="BA120" s="13">
        <f t="shared" si="75"/>
        <v>5169.79</v>
      </c>
      <c r="BB120" s="13">
        <f t="shared" si="75"/>
        <v>5163.6350000000002</v>
      </c>
      <c r="BC120" s="13">
        <f t="shared" si="75"/>
        <v>5167.2974999999997</v>
      </c>
      <c r="BD120" s="13">
        <f t="shared" si="75"/>
        <v>5171.4550000000008</v>
      </c>
      <c r="BE120" s="13">
        <f t="shared" si="75"/>
        <v>5170.75</v>
      </c>
      <c r="BF120" s="13">
        <f t="shared" si="75"/>
        <v>5172.8924999999999</v>
      </c>
      <c r="BG120" s="13">
        <f t="shared" si="75"/>
        <v>5176.5600000000004</v>
      </c>
      <c r="BH120" s="13">
        <f t="shared" si="75"/>
        <v>5178.18</v>
      </c>
      <c r="BI120" s="13">
        <f t="shared" si="75"/>
        <v>5179.22</v>
      </c>
      <c r="BJ120" s="13">
        <f t="shared" si="75"/>
        <v>5180.1175000000003</v>
      </c>
      <c r="BK120" s="13">
        <f t="shared" si="75"/>
        <v>5178.8500000000004</v>
      </c>
      <c r="BL120" s="13">
        <f t="shared" si="75"/>
        <v>5177.4425000000001</v>
      </c>
      <c r="BM120" s="13">
        <f t="shared" si="75"/>
        <v>5182.7674999999999</v>
      </c>
      <c r="BN120" s="13">
        <f t="shared" si="75"/>
        <v>5185.9075000000003</v>
      </c>
      <c r="BO120" s="13">
        <f t="shared" ref="BO120:CT120" si="76">(BO116+BO117+BO118+BO119)/4</f>
        <v>5184.5300000000007</v>
      </c>
      <c r="BP120" s="13">
        <f t="shared" si="76"/>
        <v>5187.0475000000006</v>
      </c>
      <c r="BQ120" s="13">
        <f t="shared" si="76"/>
        <v>5187.4775</v>
      </c>
      <c r="BR120" s="13">
        <f t="shared" si="76"/>
        <v>5184.4874999999993</v>
      </c>
      <c r="BS120" s="13">
        <f t="shared" si="76"/>
        <v>5172.3175000000001</v>
      </c>
      <c r="BT120" s="13">
        <f t="shared" si="76"/>
        <v>5173.6875</v>
      </c>
      <c r="BU120" s="13">
        <f t="shared" si="76"/>
        <v>5164.8599999999997</v>
      </c>
      <c r="BV120" s="13">
        <f t="shared" si="76"/>
        <v>5172.33</v>
      </c>
      <c r="BW120" s="13">
        <f t="shared" si="76"/>
        <v>5170.16</v>
      </c>
      <c r="BX120" s="13">
        <f t="shared" si="76"/>
        <v>5168.9025000000001</v>
      </c>
      <c r="BY120" s="13">
        <f t="shared" si="76"/>
        <v>5167.5074999999997</v>
      </c>
      <c r="BZ120" s="13">
        <f t="shared" si="76"/>
        <v>5169.6374999999998</v>
      </c>
      <c r="CA120" s="13">
        <f t="shared" si="76"/>
        <v>5170.6025</v>
      </c>
      <c r="CB120" s="13">
        <f t="shared" si="76"/>
        <v>5171.4974999999995</v>
      </c>
      <c r="CC120" s="13">
        <f t="shared" si="76"/>
        <v>5170.5174999999999</v>
      </c>
      <c r="CD120" s="13">
        <f t="shared" si="76"/>
        <v>5179.3325000000004</v>
      </c>
      <c r="CE120" s="13">
        <f t="shared" si="76"/>
        <v>5183.0974999999999</v>
      </c>
      <c r="CF120" s="13">
        <f t="shared" si="76"/>
        <v>5183.8575000000001</v>
      </c>
      <c r="CG120" s="13">
        <f t="shared" si="76"/>
        <v>5182.2150000000001</v>
      </c>
      <c r="CH120" s="13">
        <f t="shared" si="76"/>
        <v>5179.9225000000006</v>
      </c>
      <c r="CI120" s="13">
        <f t="shared" si="76"/>
        <v>5179.2325000000001</v>
      </c>
      <c r="CJ120" s="13">
        <f t="shared" si="76"/>
        <v>5213.4775</v>
      </c>
      <c r="CK120" s="13">
        <f t="shared" si="76"/>
        <v>5188.0550000000003</v>
      </c>
      <c r="CL120" s="13">
        <f t="shared" si="76"/>
        <v>5197.5050000000001</v>
      </c>
      <c r="CM120" s="13">
        <f t="shared" si="76"/>
        <v>5190.165</v>
      </c>
      <c r="CN120" s="13">
        <f t="shared" si="76"/>
        <v>5191.3975000000009</v>
      </c>
      <c r="CO120" s="13">
        <f t="shared" si="76"/>
        <v>5191.2049999999999</v>
      </c>
      <c r="CP120" s="13">
        <f t="shared" si="76"/>
        <v>5189.3975</v>
      </c>
      <c r="CQ120" s="13">
        <f t="shared" si="76"/>
        <v>5190.6399999999994</v>
      </c>
      <c r="CR120" s="13">
        <f t="shared" si="76"/>
        <v>5184.4400000000005</v>
      </c>
      <c r="CS120" s="13">
        <f t="shared" si="76"/>
        <v>5186.53</v>
      </c>
      <c r="CT120" s="13">
        <f t="shared" si="76"/>
        <v>5188.0124999999998</v>
      </c>
      <c r="CU120" s="13">
        <f t="shared" ref="CU120:DL120" si="77">(CU116+CU117+CU118+CU119)/4</f>
        <v>5191.09</v>
      </c>
      <c r="CV120" s="13">
        <f t="shared" si="77"/>
        <v>5194.3150000000005</v>
      </c>
      <c r="CW120" s="13">
        <f t="shared" si="77"/>
        <v>5196.7950000000001</v>
      </c>
      <c r="CX120" s="13">
        <f t="shared" si="77"/>
        <v>5196.3975</v>
      </c>
      <c r="CY120" s="13">
        <f t="shared" si="77"/>
        <v>5200.8325000000004</v>
      </c>
      <c r="CZ120" s="13">
        <f t="shared" si="77"/>
        <v>5196.1275000000005</v>
      </c>
      <c r="DA120" s="13">
        <f t="shared" si="77"/>
        <v>5192.915</v>
      </c>
      <c r="DB120" s="13">
        <f t="shared" si="77"/>
        <v>5197.8974999999991</v>
      </c>
      <c r="DC120" s="13">
        <f t="shared" si="77"/>
        <v>5196.1475</v>
      </c>
      <c r="DD120" s="13">
        <f t="shared" si="77"/>
        <v>5195.7</v>
      </c>
      <c r="DE120" s="13">
        <f t="shared" si="77"/>
        <v>5197.01</v>
      </c>
      <c r="DF120" s="13">
        <f t="shared" si="77"/>
        <v>5197.99</v>
      </c>
      <c r="DG120" s="13">
        <f t="shared" si="77"/>
        <v>5195.53</v>
      </c>
      <c r="DH120" s="13">
        <f t="shared" si="77"/>
        <v>5194.17</v>
      </c>
      <c r="DI120" s="13">
        <f t="shared" si="77"/>
        <v>5189.9474999999993</v>
      </c>
      <c r="DJ120" s="13">
        <f t="shared" si="77"/>
        <v>5195.5074999999997</v>
      </c>
      <c r="DK120" s="13">
        <f t="shared" si="77"/>
        <v>5201.5</v>
      </c>
      <c r="DL120" s="13">
        <f t="shared" si="77"/>
        <v>5197.585</v>
      </c>
    </row>
  </sheetData>
  <mergeCells count="100">
    <mergeCell ref="DM2:DN5"/>
    <mergeCell ref="DO2:DP5"/>
    <mergeCell ref="DQ2:DR5"/>
    <mergeCell ref="DS2:DT5"/>
    <mergeCell ref="DM8:DN11"/>
    <mergeCell ref="DO8:DP11"/>
    <mergeCell ref="DQ8:DR11"/>
    <mergeCell ref="DS8:DT11"/>
    <mergeCell ref="DM14:DN17"/>
    <mergeCell ref="DO14:DP17"/>
    <mergeCell ref="DQ14:DR17"/>
    <mergeCell ref="DS14:DT17"/>
    <mergeCell ref="DM20:DN23"/>
    <mergeCell ref="DO20:DP23"/>
    <mergeCell ref="DQ20:DR23"/>
    <mergeCell ref="DS20:DT23"/>
    <mergeCell ref="DM26:DN29"/>
    <mergeCell ref="DO26:DP29"/>
    <mergeCell ref="DQ26:DR29"/>
    <mergeCell ref="DS26:DT29"/>
    <mergeCell ref="DM32:DN35"/>
    <mergeCell ref="DO32:DP35"/>
    <mergeCell ref="DQ32:DR35"/>
    <mergeCell ref="DS32:DT35"/>
    <mergeCell ref="DM38:DN41"/>
    <mergeCell ref="DO38:DP41"/>
    <mergeCell ref="DQ38:DR41"/>
    <mergeCell ref="DS38:DT41"/>
    <mergeCell ref="DM44:DN47"/>
    <mergeCell ref="DO44:DP47"/>
    <mergeCell ref="DQ44:DR47"/>
    <mergeCell ref="DS44:DT47"/>
    <mergeCell ref="DM50:DN53"/>
    <mergeCell ref="DO50:DP53"/>
    <mergeCell ref="DQ50:DR53"/>
    <mergeCell ref="DS50:DT53"/>
    <mergeCell ref="DM56:DN59"/>
    <mergeCell ref="DO56:DP59"/>
    <mergeCell ref="DQ56:DR59"/>
    <mergeCell ref="DS56:DT59"/>
    <mergeCell ref="DM62:DN65"/>
    <mergeCell ref="DO62:DP65"/>
    <mergeCell ref="DQ62:DR65"/>
    <mergeCell ref="DS62:DT65"/>
    <mergeCell ref="DM68:DN71"/>
    <mergeCell ref="DO68:DP71"/>
    <mergeCell ref="DQ68:DR71"/>
    <mergeCell ref="DS68:DT71"/>
    <mergeCell ref="DM74:DN77"/>
    <mergeCell ref="DO74:DP77"/>
    <mergeCell ref="DQ74:DR77"/>
    <mergeCell ref="DS74:DT77"/>
    <mergeCell ref="DM80:DN83"/>
    <mergeCell ref="DO80:DP83"/>
    <mergeCell ref="DQ80:DR83"/>
    <mergeCell ref="DS80:DT83"/>
    <mergeCell ref="DM86:DN89"/>
    <mergeCell ref="DO86:DP89"/>
    <mergeCell ref="DQ86:DR89"/>
    <mergeCell ref="DS86:DT89"/>
    <mergeCell ref="DQ92:DR95"/>
    <mergeCell ref="DS92:DT95"/>
    <mergeCell ref="DM98:DN101"/>
    <mergeCell ref="DO98:DP101"/>
    <mergeCell ref="DQ98:DR101"/>
    <mergeCell ref="DS98:DT101"/>
    <mergeCell ref="DM116:DN119"/>
    <mergeCell ref="DO116:DP119"/>
    <mergeCell ref="DQ116:DR119"/>
    <mergeCell ref="DS116:DT119"/>
    <mergeCell ref="DM110:DN113"/>
    <mergeCell ref="DO110:DP113"/>
    <mergeCell ref="DQ110:DR113"/>
    <mergeCell ref="DS110:DT113"/>
    <mergeCell ref="DU2:DV5"/>
    <mergeCell ref="DU8:DV11"/>
    <mergeCell ref="DM104:DN107"/>
    <mergeCell ref="DO104:DP107"/>
    <mergeCell ref="DQ104:DR107"/>
    <mergeCell ref="DS104:DT107"/>
    <mergeCell ref="DM92:DN95"/>
    <mergeCell ref="DO92:DP95"/>
    <mergeCell ref="DU14:DV17"/>
    <mergeCell ref="DU20:DV23"/>
    <mergeCell ref="DU26:DV29"/>
    <mergeCell ref="DU32:DV35"/>
    <mergeCell ref="DU38:DV41"/>
    <mergeCell ref="DU44:DV47"/>
    <mergeCell ref="DU50:DV53"/>
    <mergeCell ref="DU56:DV59"/>
    <mergeCell ref="DU62:DV65"/>
    <mergeCell ref="DU68:DV71"/>
    <mergeCell ref="DU74:DV77"/>
    <mergeCell ref="DU80:DV83"/>
    <mergeCell ref="DU86:DV89"/>
    <mergeCell ref="DU92:DV95"/>
    <mergeCell ref="DU98:DV101"/>
    <mergeCell ref="DU104:DV107"/>
    <mergeCell ref="DU110:DV113"/>
    <mergeCell ref="DU116:DV119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09A802A9-9D29-4E10-93C7-E30BECBF8E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wdog21!AG2:CC2</xm:f>
              <xm:sqref>CD2</xm:sqref>
            </x14:sparkline>
          </x14:sparklines>
        </x14:sparklineGroup>
        <x14:sparklineGroup manualMax="0" manualMin="0" displayEmptyCellsAs="span" xr2:uid="{F12BD3D8-2613-4D98-ACFC-75DA9E540B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wdog21!AM5:CC5</xm:f>
              <xm:sqref>DS2</xm:sqref>
            </x14:sparkline>
          </x14:sparklines>
        </x14:sparklineGroup>
        <x14:sparklineGroup manualMax="0" manualMin="0" displayEmptyCellsAs="span" xr2:uid="{2B1AFFCF-33CB-40A5-A44A-5EB5BF94A81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wdog21!AM4:CC4</xm:f>
              <xm:sqref>DQ2</xm:sqref>
            </x14:sparkline>
          </x14:sparklines>
        </x14:sparklineGroup>
        <x14:sparklineGroup manualMax="0" manualMin="0" displayEmptyCellsAs="span" xr2:uid="{A9076B93-8895-4697-ADE5-13924BE0A2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wdog21!AM3:CC3</xm:f>
              <xm:sqref>DO2</xm:sqref>
            </x14:sparkline>
          </x14:sparklines>
        </x14:sparklineGroup>
        <x14:sparklineGroup manualMax="0" manualMin="0" displayEmptyCellsAs="span" xr2:uid="{AC97D787-BFB0-48BB-802C-1AEE4D56AF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wdog21!AM2:CC2</xm:f>
              <xm:sqref>DM2</xm:sqref>
            </x14:sparkline>
          </x14:sparklines>
        </x14:sparklineGroup>
        <x14:sparklineGroup manualMax="0" manualMin="0" displayEmptyCellsAs="span" xr2:uid="{4B6598CA-B4BC-4385-ACAE-C9E77E40319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wdog21!AM12:CC12</xm:f>
              <xm:sqref>DU8</xm:sqref>
            </x14:sparkline>
          </x14:sparklines>
        </x14:sparklineGroup>
        <x14:sparklineGroup manualMax="0" manualMin="0" displayEmptyCellsAs="span" xr2:uid="{451E2E35-3B12-4077-ACA8-2CA5C6BF45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wdog21!AM8:CC8</xm:f>
              <xm:sqref>DM8</xm:sqref>
            </x14:sparkline>
          </x14:sparklines>
        </x14:sparklineGroup>
        <x14:sparklineGroup manualMax="0" manualMin="0" displayEmptyCellsAs="span" xr2:uid="{45082492-F43F-4E77-85DC-632B92CF36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wdog21!AM9:CC9</xm:f>
              <xm:sqref>DO8</xm:sqref>
            </x14:sparkline>
          </x14:sparklines>
        </x14:sparklineGroup>
        <x14:sparklineGroup manualMax="0" manualMin="0" displayEmptyCellsAs="span" xr2:uid="{681E36E5-BD82-4D45-A645-9284300090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wdog21!AM10:CC10</xm:f>
              <xm:sqref>DQ8</xm:sqref>
            </x14:sparkline>
          </x14:sparklines>
        </x14:sparklineGroup>
        <x14:sparklineGroup manualMax="0" manualMin="0" displayEmptyCellsAs="span" xr2:uid="{34F176F5-D890-4F56-9FD3-15D8466CECE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wdog21!AM120:CC120</xm:f>
              <xm:sqref>DU116</xm:sqref>
            </x14:sparkline>
          </x14:sparklines>
        </x14:sparklineGroup>
        <x14:sparklineGroup manualMax="0" manualMin="0" displayEmptyCellsAs="span" xr2:uid="{A9C614E8-7922-46D8-83BF-4EE20FB97A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wdog21!AM18:CC18</xm:f>
              <xm:sqref>DU14</xm:sqref>
            </x14:sparkline>
          </x14:sparklines>
        </x14:sparklineGroup>
        <x14:sparklineGroup manualMax="0" manualMin="0" displayEmptyCellsAs="span" xr2:uid="{2B46FD7D-318F-406B-A56E-2CC02F8E15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wdog21!AM14:CC14</xm:f>
              <xm:sqref>DM14</xm:sqref>
            </x14:sparkline>
          </x14:sparklines>
        </x14:sparklineGroup>
        <x14:sparklineGroup manualMax="0" manualMin="0" displayEmptyCellsAs="span" xr2:uid="{DE14BF0A-9ACF-4C40-BC90-32BEFA53FC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wdog21!AM15:CC15</xm:f>
              <xm:sqref>DO14</xm:sqref>
            </x14:sparkline>
          </x14:sparklines>
        </x14:sparklineGroup>
        <x14:sparklineGroup manualMax="0" manualMin="0" displayEmptyCellsAs="span" xr2:uid="{897C8B94-5B5B-4E63-B3B1-890D0C94BC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wdog21!AM16:CC16</xm:f>
              <xm:sqref>DQ14</xm:sqref>
            </x14:sparkline>
          </x14:sparklines>
        </x14:sparklineGroup>
        <x14:sparklineGroup manualMax="0" manualMin="0" displayEmptyCellsAs="span" xr2:uid="{0AC690D4-2DEC-489B-8BA5-A60139411D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wdog21!AM24:CC24</xm:f>
              <xm:sqref>DU20</xm:sqref>
            </x14:sparkline>
          </x14:sparklines>
        </x14:sparklineGroup>
        <x14:sparklineGroup manualMax="0" manualMin="0" displayEmptyCellsAs="span" xr2:uid="{A381865E-BDDD-497C-8DB3-153EE5DE64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wdog21!AM20:CC20</xm:f>
              <xm:sqref>DM20</xm:sqref>
            </x14:sparkline>
          </x14:sparklines>
        </x14:sparklineGroup>
        <x14:sparklineGroup manualMax="0" manualMin="0" displayEmptyCellsAs="span" xr2:uid="{611BDD55-C729-4ED5-8E6E-A7CB9E7E03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wdog21!AM21:CC21</xm:f>
              <xm:sqref>DO20</xm:sqref>
            </x14:sparkline>
          </x14:sparklines>
        </x14:sparklineGroup>
        <x14:sparklineGroup manualMax="0" manualMin="0" displayEmptyCellsAs="span" xr2:uid="{046B8D80-CF51-4248-B7FF-F3123ECA12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wdog21!AM22:CC22</xm:f>
              <xm:sqref>DQ20</xm:sqref>
            </x14:sparkline>
          </x14:sparklines>
        </x14:sparklineGroup>
        <x14:sparklineGroup manualMax="0" manualMin="0" displayEmptyCellsAs="span" xr2:uid="{1CE4E2E0-94F1-4496-996D-64AF5C6C62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wdog21!AM30:CC30</xm:f>
              <xm:sqref>DU26</xm:sqref>
            </x14:sparkline>
          </x14:sparklines>
        </x14:sparklineGroup>
        <x14:sparklineGroup manualMax="0" manualMin="0" displayEmptyCellsAs="span" xr2:uid="{BCE4CAA3-3285-492E-A193-7557474CA2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wdog21!AM26:CC26</xm:f>
              <xm:sqref>DM26</xm:sqref>
            </x14:sparkline>
          </x14:sparklines>
        </x14:sparklineGroup>
        <x14:sparklineGroup manualMax="0" manualMin="0" displayEmptyCellsAs="span" xr2:uid="{18F04183-7D56-46AB-9523-95FAB991E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wdog21!AM27:CC27</xm:f>
              <xm:sqref>DO26</xm:sqref>
            </x14:sparkline>
          </x14:sparklines>
        </x14:sparklineGroup>
        <x14:sparklineGroup manualMax="0" manualMin="0" displayEmptyCellsAs="span" xr2:uid="{B1D38C67-C7D4-4902-BA29-B12B897613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wdog21!AM28:CC28</xm:f>
              <xm:sqref>DQ26</xm:sqref>
            </x14:sparkline>
          </x14:sparklines>
        </x14:sparklineGroup>
        <x14:sparklineGroup manualMax="0" manualMin="0" displayEmptyCellsAs="span" xr2:uid="{1A0EFFF9-73E4-4C27-8ADE-6F7040E6D8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wdog21!AM36:CC36</xm:f>
              <xm:sqref>DU32</xm:sqref>
            </x14:sparkline>
          </x14:sparklines>
        </x14:sparklineGroup>
        <x14:sparklineGroup manualMax="0" manualMin="0" displayEmptyCellsAs="span" xr2:uid="{BB338B5E-82BD-41E3-9FF1-833994A70B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wdog21!AM32:CC32</xm:f>
              <xm:sqref>DM32</xm:sqref>
            </x14:sparkline>
          </x14:sparklines>
        </x14:sparklineGroup>
        <x14:sparklineGroup manualMax="0" manualMin="0" displayEmptyCellsAs="span" xr2:uid="{1F95FBE6-7B31-422F-9144-EA119562C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wdog21!AM33:CC33</xm:f>
              <xm:sqref>DO32</xm:sqref>
            </x14:sparkline>
          </x14:sparklines>
        </x14:sparklineGroup>
        <x14:sparklineGroup manualMax="0" manualMin="0" displayEmptyCellsAs="span" xr2:uid="{A94E7184-18DF-444F-8983-EB8BC680A1F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wdog21!AM34:CC34</xm:f>
              <xm:sqref>DQ32</xm:sqref>
            </x14:sparkline>
          </x14:sparklines>
        </x14:sparklineGroup>
        <x14:sparklineGroup manualMax="0" manualMin="0" displayEmptyCellsAs="span" xr2:uid="{89675507-6860-405B-A0B3-0029E611A8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wdog21!AM42:CC42</xm:f>
              <xm:sqref>DU38</xm:sqref>
            </x14:sparkline>
          </x14:sparklines>
        </x14:sparklineGroup>
        <x14:sparklineGroup manualMax="0" manualMin="0" displayEmptyCellsAs="span" xr2:uid="{BDB3FB0B-1BAA-478B-A39D-D87E53A80F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wdog21!AM38:CC38</xm:f>
              <xm:sqref>DM38</xm:sqref>
            </x14:sparkline>
          </x14:sparklines>
        </x14:sparklineGroup>
        <x14:sparklineGroup manualMax="0" manualMin="0" displayEmptyCellsAs="span" xr2:uid="{CE117BD9-36F0-472D-B359-A2BE52AD28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wdog21!AM39:CC39</xm:f>
              <xm:sqref>DO38</xm:sqref>
            </x14:sparkline>
          </x14:sparklines>
        </x14:sparklineGroup>
        <x14:sparklineGroup manualMax="0" manualMin="0" displayEmptyCellsAs="span" xr2:uid="{54B06F69-0F99-4F9A-9B3B-9A9EE1B79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wdog21!AM40:CC40</xm:f>
              <xm:sqref>DQ38</xm:sqref>
            </x14:sparkline>
          </x14:sparklines>
        </x14:sparklineGroup>
        <x14:sparklineGroup manualMax="0" manualMin="0" displayEmptyCellsAs="span" xr2:uid="{3368D07C-E40A-4FB4-8894-A511B91483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wdog21!AM48:CC48</xm:f>
              <xm:sqref>DU44</xm:sqref>
            </x14:sparkline>
          </x14:sparklines>
        </x14:sparklineGroup>
        <x14:sparklineGroup manualMax="0" manualMin="0" displayEmptyCellsAs="span" xr2:uid="{74F3839B-D40D-46D0-9119-C4302D09C9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wdog21!AM44:CC44</xm:f>
              <xm:sqref>DM44</xm:sqref>
            </x14:sparkline>
          </x14:sparklines>
        </x14:sparklineGroup>
        <x14:sparklineGroup manualMax="0" manualMin="0" displayEmptyCellsAs="span" xr2:uid="{E112EC38-1A94-438C-816E-2892CB8DA9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wdog21!AM45:CC45</xm:f>
              <xm:sqref>DO44</xm:sqref>
            </x14:sparkline>
          </x14:sparklines>
        </x14:sparklineGroup>
        <x14:sparklineGroup manualMax="0" manualMin="0" displayEmptyCellsAs="span" xr2:uid="{EEBF6C33-D51A-45FD-B3DF-5BD13A581E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wdog21!AM46:CC46</xm:f>
              <xm:sqref>DQ44</xm:sqref>
            </x14:sparkline>
          </x14:sparklines>
        </x14:sparklineGroup>
        <x14:sparklineGroup manualMax="0" manualMin="0" displayEmptyCellsAs="span" xr2:uid="{378287F3-8C60-4A3D-B629-F01D81A07A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wdog21!AM54:CC54</xm:f>
              <xm:sqref>DU50</xm:sqref>
            </x14:sparkline>
          </x14:sparklines>
        </x14:sparklineGroup>
        <x14:sparklineGroup manualMax="0" manualMin="0" displayEmptyCellsAs="span" xr2:uid="{3EDEFE8A-4CE5-415C-BF28-55CB7400EE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wdog21!AM50:CC50</xm:f>
              <xm:sqref>DM50</xm:sqref>
            </x14:sparkline>
          </x14:sparklines>
        </x14:sparklineGroup>
        <x14:sparklineGroup manualMax="0" manualMin="0" displayEmptyCellsAs="span" xr2:uid="{F3320D26-8983-4440-A958-7F13DA7B9A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wdog21!AM51:CC51</xm:f>
              <xm:sqref>DO50</xm:sqref>
            </x14:sparkline>
          </x14:sparklines>
        </x14:sparklineGroup>
        <x14:sparklineGroup manualMax="0" manualMin="0" displayEmptyCellsAs="span" xr2:uid="{FE569C33-11D9-4D40-B425-111E874E87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wdog21!AM52:CC52</xm:f>
              <xm:sqref>DQ50</xm:sqref>
            </x14:sparkline>
          </x14:sparklines>
        </x14:sparklineGroup>
        <x14:sparklineGroup manualMax="0" manualMin="0" displayEmptyCellsAs="span" xr2:uid="{497AA03D-A70D-498F-9881-85113A9ED2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wdog21!AM60:CC60</xm:f>
              <xm:sqref>DU56</xm:sqref>
            </x14:sparkline>
          </x14:sparklines>
        </x14:sparklineGroup>
        <x14:sparklineGroup manualMax="0" manualMin="0" displayEmptyCellsAs="span" xr2:uid="{69425D8F-4BFA-4C45-B3A9-C02867B2E5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wdog21!AM56:CC56</xm:f>
              <xm:sqref>DM56</xm:sqref>
            </x14:sparkline>
          </x14:sparklines>
        </x14:sparklineGroup>
        <x14:sparklineGroup manualMax="0" manualMin="0" displayEmptyCellsAs="span" xr2:uid="{5EAA6F6A-D3E3-460F-8D60-FA745B03E9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wdog21!AM57:CC57</xm:f>
              <xm:sqref>DO56</xm:sqref>
            </x14:sparkline>
          </x14:sparklines>
        </x14:sparklineGroup>
        <x14:sparklineGroup manualMax="0" manualMin="0" displayEmptyCellsAs="span" xr2:uid="{0A512034-8BEE-4C8E-B2C8-29A2196017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wdog21!AM58:CC58</xm:f>
              <xm:sqref>DQ56</xm:sqref>
            </x14:sparkline>
          </x14:sparklines>
        </x14:sparklineGroup>
        <x14:sparklineGroup manualMax="0" manualMin="0" displayEmptyCellsAs="span" xr2:uid="{1E73DD39-9421-47AF-978D-77DC6F5020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wdog21!C66:DL66</xm:f>
              <xm:sqref>DU62</xm:sqref>
            </x14:sparkline>
          </x14:sparklines>
        </x14:sparklineGroup>
        <x14:sparklineGroup manualMax="0" manualMin="0" displayEmptyCellsAs="span" xr2:uid="{4EDC64D4-BFE8-4F45-8A45-B75345B927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wdog21!AM62:CC62</xm:f>
              <xm:sqref>DM62</xm:sqref>
            </x14:sparkline>
          </x14:sparklines>
        </x14:sparklineGroup>
        <x14:sparklineGroup manualMax="0" manualMin="0" displayEmptyCellsAs="span" xr2:uid="{06028316-D761-4AB0-A857-54B1609ADB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wdog21!AM63:CC63</xm:f>
              <xm:sqref>DO62</xm:sqref>
            </x14:sparkline>
          </x14:sparklines>
        </x14:sparklineGroup>
        <x14:sparklineGroup manualMax="0" manualMin="0" displayEmptyCellsAs="span" xr2:uid="{7BC26077-7032-480B-AADE-9EDC2B30E59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wdog21!AM64:CC64</xm:f>
              <xm:sqref>DQ62</xm:sqref>
            </x14:sparkline>
          </x14:sparklines>
        </x14:sparklineGroup>
        <x14:sparklineGroup manualMax="0" manualMin="0" displayEmptyCellsAs="span" xr2:uid="{CC9FDB9F-A1CA-4B1A-86DA-A52CDB64D1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wdog21!AM72:CC72</xm:f>
              <xm:sqref>DU68</xm:sqref>
            </x14:sparkline>
          </x14:sparklines>
        </x14:sparklineGroup>
        <x14:sparklineGroup manualMax="0" manualMin="0" displayEmptyCellsAs="span" xr2:uid="{E107772E-4475-4C1E-AE3C-33313D06CF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wdog21!AM68:CC68</xm:f>
              <xm:sqref>DM68</xm:sqref>
            </x14:sparkline>
          </x14:sparklines>
        </x14:sparklineGroup>
        <x14:sparklineGroup manualMax="0" manualMin="0" displayEmptyCellsAs="span" xr2:uid="{C57FF15D-BE8B-4F1B-9DDE-75B61C4187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wdog21!AM69:CC69</xm:f>
              <xm:sqref>DO68</xm:sqref>
            </x14:sparkline>
          </x14:sparklines>
        </x14:sparklineGroup>
        <x14:sparklineGroup manualMax="0" manualMin="0" displayEmptyCellsAs="span" xr2:uid="{F7EF6724-75C4-4CBD-9206-C52D8E5454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wdog21!AM70:CC70</xm:f>
              <xm:sqref>DQ68</xm:sqref>
            </x14:sparkline>
          </x14:sparklines>
        </x14:sparklineGroup>
        <x14:sparklineGroup manualMax="0" manualMin="0" displayEmptyCellsAs="span" xr2:uid="{00DA713A-99DB-4298-989C-12096B1230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wdog21!AM78:CC78</xm:f>
              <xm:sqref>DU74</xm:sqref>
            </x14:sparkline>
          </x14:sparklines>
        </x14:sparklineGroup>
        <x14:sparklineGroup manualMax="0" manualMin="0" displayEmptyCellsAs="span" xr2:uid="{6A3EEE5B-A7E1-4047-AFF4-9B4AD558CEA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wdog21!AM74:CC74</xm:f>
              <xm:sqref>DM74</xm:sqref>
            </x14:sparkline>
          </x14:sparklines>
        </x14:sparklineGroup>
        <x14:sparklineGroup manualMax="0" manualMin="0" displayEmptyCellsAs="span" xr2:uid="{2DFF7570-38FE-4483-9DCC-1DAC35C7B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wdog21!AM75:CC75</xm:f>
              <xm:sqref>DO74</xm:sqref>
            </x14:sparkline>
          </x14:sparklines>
        </x14:sparklineGroup>
        <x14:sparklineGroup manualMax="0" manualMin="0" displayEmptyCellsAs="span" xr2:uid="{D5F6BE84-C6F0-4C1D-98DF-A7211B52A3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wdog21!AM76:CC76</xm:f>
              <xm:sqref>DQ74</xm:sqref>
            </x14:sparkline>
          </x14:sparklines>
        </x14:sparklineGroup>
        <x14:sparklineGroup manualMax="0" manualMin="0" displayEmptyCellsAs="span" xr2:uid="{53AE9BE4-EF8F-4DFA-851C-908763AD4D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wdog21!AM84:CC84</xm:f>
              <xm:sqref>DU80</xm:sqref>
            </x14:sparkline>
          </x14:sparklines>
        </x14:sparklineGroup>
        <x14:sparklineGroup manualMax="0" manualMin="0" displayEmptyCellsAs="span" xr2:uid="{AB1E5EFA-C0B0-4B26-9622-7D2F256B37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wdog21!AM80:CC80</xm:f>
              <xm:sqref>DM80</xm:sqref>
            </x14:sparkline>
          </x14:sparklines>
        </x14:sparklineGroup>
        <x14:sparklineGroup manualMax="0" manualMin="0" displayEmptyCellsAs="span" xr2:uid="{EF99EC10-76AF-4B6B-9B01-14C09E7A99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wdog21!AM81:CC81</xm:f>
              <xm:sqref>DO80</xm:sqref>
            </x14:sparkline>
          </x14:sparklines>
        </x14:sparklineGroup>
        <x14:sparklineGroup manualMax="0" manualMin="0" displayEmptyCellsAs="span" xr2:uid="{4CB2FB67-4080-4567-8C5F-45102E88AE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wdog21!AM82:CC82</xm:f>
              <xm:sqref>DQ80</xm:sqref>
            </x14:sparkline>
          </x14:sparklines>
        </x14:sparklineGroup>
        <x14:sparklineGroup manualMax="0" manualMin="0" displayEmptyCellsAs="span" xr2:uid="{D3AA22D2-267C-41E8-80B7-B5F38B6C6DA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wdog21!AM90:CC90</xm:f>
              <xm:sqref>DU86</xm:sqref>
            </x14:sparkline>
          </x14:sparklines>
        </x14:sparklineGroup>
        <x14:sparklineGroup manualMax="0" manualMin="0" displayEmptyCellsAs="span" xr2:uid="{82665102-BE35-4B23-B12E-2BA4818FC3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wdog21!AM86:CC86</xm:f>
              <xm:sqref>DM86</xm:sqref>
            </x14:sparkline>
          </x14:sparklines>
        </x14:sparklineGroup>
        <x14:sparklineGroup manualMax="0" manualMin="0" displayEmptyCellsAs="span" xr2:uid="{4799441D-9F46-4204-99A7-940F9DA573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wdog21!AM87:CC87</xm:f>
              <xm:sqref>DO86</xm:sqref>
            </x14:sparkline>
          </x14:sparklines>
        </x14:sparklineGroup>
        <x14:sparklineGroup manualMax="0" manualMin="0" displayEmptyCellsAs="span" xr2:uid="{B1B73288-9F01-492A-8FA7-9AADB79F20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wdog21!AM88:CC88</xm:f>
              <xm:sqref>DQ86</xm:sqref>
            </x14:sparkline>
          </x14:sparklines>
        </x14:sparklineGroup>
        <x14:sparklineGroup manualMax="0" manualMin="0" displayEmptyCellsAs="span" xr2:uid="{EF9AAC2B-2CBB-4AD4-95A1-78C208A533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wdog21!AM96:CC96</xm:f>
              <xm:sqref>DU92</xm:sqref>
            </x14:sparkline>
          </x14:sparklines>
        </x14:sparklineGroup>
        <x14:sparklineGroup manualMax="0" manualMin="0" displayEmptyCellsAs="span" xr2:uid="{338AEC64-4776-445B-8F3B-6C02009B6B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wdog21!AM92:CC92</xm:f>
              <xm:sqref>DM92</xm:sqref>
            </x14:sparkline>
          </x14:sparklines>
        </x14:sparklineGroup>
        <x14:sparklineGroup manualMax="0" manualMin="0" displayEmptyCellsAs="span" xr2:uid="{0FDF5119-874C-4502-A7EA-D0AB0A821E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wdog21!AM93:CC93</xm:f>
              <xm:sqref>DO92</xm:sqref>
            </x14:sparkline>
          </x14:sparklines>
        </x14:sparklineGroup>
        <x14:sparklineGroup manualMax="0" manualMin="0" displayEmptyCellsAs="span" xr2:uid="{B56B7270-04A6-4F80-88E0-DE0135D670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wdog21!AM94:CC94</xm:f>
              <xm:sqref>DQ92</xm:sqref>
            </x14:sparkline>
          </x14:sparklines>
        </x14:sparklineGroup>
        <x14:sparklineGroup manualMax="0" manualMin="0" displayEmptyCellsAs="span" xr2:uid="{2F696844-8152-4267-B47A-4260CCF45C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wdog21!AM102:CC102</xm:f>
              <xm:sqref>DU98</xm:sqref>
            </x14:sparkline>
          </x14:sparklines>
        </x14:sparklineGroup>
        <x14:sparklineGroup manualMax="0" manualMin="0" displayEmptyCellsAs="span" xr2:uid="{D3FB14DC-FAE5-41E1-A5A5-14078F171B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wdog21!AM98:CC98</xm:f>
              <xm:sqref>DM98</xm:sqref>
            </x14:sparkline>
          </x14:sparklines>
        </x14:sparklineGroup>
        <x14:sparklineGroup manualMax="0" manualMin="0" displayEmptyCellsAs="span" xr2:uid="{2D6056C5-FDC6-404E-BE0C-6DDFA9F2E9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wdog21!AM99:CC99</xm:f>
              <xm:sqref>DO98</xm:sqref>
            </x14:sparkline>
          </x14:sparklines>
        </x14:sparklineGroup>
        <x14:sparklineGroup manualMax="0" manualMin="0" displayEmptyCellsAs="span" xr2:uid="{76987983-B1D1-48CA-A0D2-C8D86E1FCA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wdog21!AM100:CC100</xm:f>
              <xm:sqref>DQ98</xm:sqref>
            </x14:sparkline>
          </x14:sparklines>
        </x14:sparklineGroup>
        <x14:sparklineGroup manualMax="0" manualMin="0" displayEmptyCellsAs="span" xr2:uid="{8DDDC8B0-0D32-4CD1-8153-E47E5CF430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wdog21!AM108:CC108</xm:f>
              <xm:sqref>DU104</xm:sqref>
            </x14:sparkline>
          </x14:sparklines>
        </x14:sparklineGroup>
        <x14:sparklineGroup manualMax="0" manualMin="0" displayEmptyCellsAs="span" xr2:uid="{6364D396-0BE3-4B71-8484-6FFBC14994C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wdog21!AM104:CC104</xm:f>
              <xm:sqref>DM104</xm:sqref>
            </x14:sparkline>
          </x14:sparklines>
        </x14:sparklineGroup>
        <x14:sparklineGroup manualMax="0" manualMin="0" displayEmptyCellsAs="span" xr2:uid="{B37AC2A5-CE29-4BA8-8C85-B8FE132A87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wdog21!AM105:CC105</xm:f>
              <xm:sqref>DO104</xm:sqref>
            </x14:sparkline>
          </x14:sparklines>
        </x14:sparklineGroup>
        <x14:sparklineGroup manualMax="0" manualMin="0" displayEmptyCellsAs="span" xr2:uid="{CDE6788C-FBFC-4F63-B7BD-AC3B762A09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wdog21!AM106:CC106</xm:f>
              <xm:sqref>DQ104</xm:sqref>
            </x14:sparkline>
          </x14:sparklines>
        </x14:sparklineGroup>
        <x14:sparklineGroup manualMax="0" manualMin="0" displayEmptyCellsAs="span" xr2:uid="{C6052150-5D04-48AD-870A-B33FBD59F9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wdog21!AM114:CC114</xm:f>
              <xm:sqref>DU110</xm:sqref>
            </x14:sparkline>
          </x14:sparklines>
        </x14:sparklineGroup>
        <x14:sparklineGroup manualMax="0" manualMin="0" displayEmptyCellsAs="span" xr2:uid="{0BDC8C5C-F153-4275-8649-792C68A434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wdog21!AM110:CC110</xm:f>
              <xm:sqref>DM110</xm:sqref>
            </x14:sparkline>
          </x14:sparklines>
        </x14:sparklineGroup>
        <x14:sparklineGroup manualMax="0" manualMin="0" displayEmptyCellsAs="span" xr2:uid="{5FD52A71-F62E-4B58-8736-F411CBD2C2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wdog21!AM111:CC111</xm:f>
              <xm:sqref>DO110</xm:sqref>
            </x14:sparkline>
          </x14:sparklines>
        </x14:sparklineGroup>
        <x14:sparklineGroup manualMax="0" manualMin="0" displayEmptyCellsAs="span" xr2:uid="{4F737CB2-67EB-43C1-9E4E-A0240F389A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wdog21!AM112:CC112</xm:f>
              <xm:sqref>DQ110</xm:sqref>
            </x14:sparkline>
          </x14:sparklines>
        </x14:sparklineGroup>
        <x14:sparklineGroup manualMax="0" manualMin="0" displayEmptyCellsAs="span" xr2:uid="{FF2A52D5-8622-4232-9D38-96065966D1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wdog21!AM119:CC119</xm:f>
              <xm:sqref>DS116</xm:sqref>
            </x14:sparkline>
          </x14:sparklines>
        </x14:sparklineGroup>
        <x14:sparklineGroup manualMax="0" manualMin="0" displayEmptyCellsAs="span" xr2:uid="{98172612-43D3-4EC2-8527-8052A8E490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wdog21!AM118:CC118</xm:f>
              <xm:sqref>DQ116</xm:sqref>
            </x14:sparkline>
          </x14:sparklines>
        </x14:sparklineGroup>
        <x14:sparklineGroup manualMax="0" manualMin="0" displayEmptyCellsAs="span" xr2:uid="{DFAB3AB0-2C44-4C88-9BBB-C4E1F0B9EE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wdog21!AM117:CC117</xm:f>
              <xm:sqref>DO116</xm:sqref>
            </x14:sparkline>
          </x14:sparklines>
        </x14:sparklineGroup>
        <x14:sparklineGroup manualMax="0" manualMin="0" displayEmptyCellsAs="span" xr2:uid="{CE02EAF9-AB19-42EE-B5BF-6FE7EEE4BD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wdog21!AM6:CC6</xm:f>
              <xm:sqref>DU2</xm:sqref>
            </x14:sparkline>
          </x14:sparklines>
        </x14:sparklineGroup>
        <x14:sparklineGroup manualMax="0" manualMin="0" displayEmptyCellsAs="span" xr2:uid="{B4D4D8F7-8531-4F47-B5DD-8C59177F40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wdog21!AM11:CC11</xm:f>
              <xm:sqref>DS8</xm:sqref>
            </x14:sparkline>
          </x14:sparklines>
        </x14:sparklineGroup>
        <x14:sparklineGroup manualMax="0" manualMin="0" displayEmptyCellsAs="span" xr2:uid="{0C65DE1E-8059-42A6-A3B0-99EE3C6D63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wdog21!AM17:CC17</xm:f>
              <xm:sqref>DS14</xm:sqref>
            </x14:sparkline>
          </x14:sparklines>
        </x14:sparklineGroup>
        <x14:sparklineGroup manualMax="0" manualMin="0" displayEmptyCellsAs="span" xr2:uid="{3EE55EC7-8F76-4D81-8DD7-9E516DDA94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wdog21!AM23:CC23</xm:f>
              <xm:sqref>DS20</xm:sqref>
            </x14:sparkline>
          </x14:sparklines>
        </x14:sparklineGroup>
        <x14:sparklineGroup manualMax="0" manualMin="0" displayEmptyCellsAs="span" xr2:uid="{F6DA89C2-6EE0-4E18-BAC5-C000BA9C4AA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wdog21!AM29:CC29</xm:f>
              <xm:sqref>DS26</xm:sqref>
            </x14:sparkline>
          </x14:sparklines>
        </x14:sparklineGroup>
        <x14:sparklineGroup manualMax="0" manualMin="0" displayEmptyCellsAs="span" xr2:uid="{2199BC0E-6F6F-4CC8-BDC9-CC5CCDF3F81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wdog21!AM35:CC35</xm:f>
              <xm:sqref>DS32</xm:sqref>
            </x14:sparkline>
          </x14:sparklines>
        </x14:sparklineGroup>
        <x14:sparklineGroup manualMax="0" manualMin="0" displayEmptyCellsAs="span" xr2:uid="{03B231CF-4480-48DB-B548-D0F3242B47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wdog21!AM41:CC41</xm:f>
              <xm:sqref>DS38</xm:sqref>
            </x14:sparkline>
          </x14:sparklines>
        </x14:sparklineGroup>
        <x14:sparklineGroup manualMax="0" manualMin="0" displayEmptyCellsAs="span" xr2:uid="{14304652-AABB-4EAF-B36E-445C4ABA6C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wdog21!AM47:CC47</xm:f>
              <xm:sqref>DS44</xm:sqref>
            </x14:sparkline>
          </x14:sparklines>
        </x14:sparklineGroup>
        <x14:sparklineGroup manualMax="0" manualMin="0" displayEmptyCellsAs="span" xr2:uid="{BA8906D7-8ECE-403E-9EF8-CD83365139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wdog21!AM53:CC53</xm:f>
              <xm:sqref>DS50</xm:sqref>
            </x14:sparkline>
          </x14:sparklines>
        </x14:sparklineGroup>
        <x14:sparklineGroup manualMax="0" manualMin="0" displayEmptyCellsAs="span" xr2:uid="{5AFC36F5-5AA9-4426-86CC-D54F5E1796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wdog21!AM59:CC59</xm:f>
              <xm:sqref>DS56</xm:sqref>
            </x14:sparkline>
          </x14:sparklines>
        </x14:sparklineGroup>
        <x14:sparklineGroup manualMax="0" manualMin="0" displayEmptyCellsAs="span" xr2:uid="{A6AF0CBA-7255-44B1-AC19-100A2C4B3E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wdog21!AM65:CC65</xm:f>
              <xm:sqref>DS62</xm:sqref>
            </x14:sparkline>
          </x14:sparklines>
        </x14:sparklineGroup>
        <x14:sparklineGroup manualMax="0" manualMin="0" displayEmptyCellsAs="span" xr2:uid="{A886F9C0-9584-4DA1-85C0-6B69695E68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wdog21!AM71:CC71</xm:f>
              <xm:sqref>DS68</xm:sqref>
            </x14:sparkline>
          </x14:sparklines>
        </x14:sparklineGroup>
        <x14:sparklineGroup manualMax="0" manualMin="0" displayEmptyCellsAs="span" xr2:uid="{3702D855-EBE6-4296-9650-24050B91B9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wdog21!AM77:CC77</xm:f>
              <xm:sqref>DS74</xm:sqref>
            </x14:sparkline>
          </x14:sparklines>
        </x14:sparklineGroup>
        <x14:sparklineGroup manualMax="0" manualMin="0" displayEmptyCellsAs="span" xr2:uid="{4185A447-8688-4E58-BA3F-CEBA3F40AC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wdog21!AM83:CC83</xm:f>
              <xm:sqref>DS80</xm:sqref>
            </x14:sparkline>
          </x14:sparklines>
        </x14:sparklineGroup>
        <x14:sparklineGroup manualMax="0" manualMin="0" displayEmptyCellsAs="span" xr2:uid="{3463F85F-FC51-4DC7-A73A-21B8A1010A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wdog21!AM89:CC89</xm:f>
              <xm:sqref>DS86</xm:sqref>
            </x14:sparkline>
          </x14:sparklines>
        </x14:sparklineGroup>
        <x14:sparklineGroup manualMax="0" manualMin="0" displayEmptyCellsAs="span" xr2:uid="{4B76A7F5-74DA-41AE-8D8A-415AB13ABE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wdog21!AM95:CC95</xm:f>
              <xm:sqref>DS92</xm:sqref>
            </x14:sparkline>
          </x14:sparklines>
        </x14:sparklineGroup>
        <x14:sparklineGroup manualMax="0" manualMin="0" displayEmptyCellsAs="span" xr2:uid="{EC6EC6D4-BD88-4B31-A0B4-74BC9C76E2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wdog21!AM101:CC101</xm:f>
              <xm:sqref>DS98</xm:sqref>
            </x14:sparkline>
          </x14:sparklines>
        </x14:sparklineGroup>
        <x14:sparklineGroup manualMax="0" manualMin="0" displayEmptyCellsAs="span" xr2:uid="{4384B3BC-A292-48DF-8A24-F6265E95330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wdog21!AM107:CC107</xm:f>
              <xm:sqref>DS104</xm:sqref>
            </x14:sparkline>
          </x14:sparklines>
        </x14:sparklineGroup>
        <x14:sparklineGroup manualMax="0" manualMin="0" displayEmptyCellsAs="span" xr2:uid="{3B7F66EB-3EA6-4810-85D4-BAC8AF9025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wdog21!AM113:CC113</xm:f>
              <xm:sqref>DS110</xm:sqref>
            </x14:sparkline>
          </x14:sparklines>
        </x14:sparklineGroup>
        <x14:sparklineGroup manualMax="0" manualMin="0" displayEmptyCellsAs="span" xr2:uid="{788A3684-60E0-432F-ADBE-34EBDA1B82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wdog21!AM116:CC116</xm:f>
              <xm:sqref>DM116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678F-76A0-4CCB-9993-18EF2066B41D}">
  <dimension ref="A1:DK95"/>
  <sheetViews>
    <sheetView topLeftCell="A33" zoomScaleNormal="100" workbookViewId="0">
      <selection activeCell="E53" sqref="E53"/>
    </sheetView>
  </sheetViews>
  <sheetFormatPr defaultRowHeight="15" x14ac:dyDescent="0.25"/>
  <cols>
    <col min="1" max="1" width="10.7109375" bestFit="1" customWidth="1"/>
  </cols>
  <sheetData>
    <row r="1" spans="1:115" ht="15.75" x14ac:dyDescent="0.25">
      <c r="A1" s="11" t="s">
        <v>5</v>
      </c>
      <c r="B1" s="11" t="s">
        <v>11</v>
      </c>
      <c r="C1" s="15">
        <v>0.37847222222222227</v>
      </c>
      <c r="D1" s="15">
        <v>0.38194444444444442</v>
      </c>
      <c r="E1" s="15">
        <v>0.38541666666666669</v>
      </c>
      <c r="F1" s="15">
        <v>0.3888888888888889</v>
      </c>
      <c r="G1" s="15">
        <v>0.3923611111111111</v>
      </c>
      <c r="H1" s="15">
        <v>0.39583333333333331</v>
      </c>
      <c r="I1" s="15">
        <v>0.39930555555555558</v>
      </c>
      <c r="J1" s="15">
        <v>0.40277777777777773</v>
      </c>
      <c r="K1" s="15">
        <v>0.40625</v>
      </c>
      <c r="L1" s="15">
        <v>0.40972222222222227</v>
      </c>
      <c r="M1" s="15">
        <v>0.41319444444444442</v>
      </c>
      <c r="N1" s="15">
        <v>0.41666666666666669</v>
      </c>
      <c r="O1" s="15">
        <v>0.4201388888888889</v>
      </c>
      <c r="P1" s="15">
        <v>0.4236111111111111</v>
      </c>
      <c r="Q1" s="15">
        <v>0.42708333333333331</v>
      </c>
      <c r="R1" s="15">
        <v>0.43055555555555558</v>
      </c>
      <c r="S1" s="15">
        <v>0.43402777777777773</v>
      </c>
      <c r="T1" s="15">
        <v>0.4375</v>
      </c>
      <c r="U1" s="15">
        <v>0.44097222222222227</v>
      </c>
      <c r="V1" s="15">
        <v>0.44444444444444442</v>
      </c>
      <c r="W1" s="15">
        <v>0.44791666666666669</v>
      </c>
      <c r="X1" s="15">
        <v>0.4513888888888889</v>
      </c>
      <c r="Y1" s="15">
        <v>0.4548611111111111</v>
      </c>
      <c r="Z1" s="15">
        <v>0.45833333333333331</v>
      </c>
      <c r="AA1" s="15">
        <v>0.46180555555555558</v>
      </c>
      <c r="AB1" s="15">
        <v>0.46527777777777773</v>
      </c>
      <c r="AC1" s="15">
        <v>0.46875</v>
      </c>
      <c r="AD1" s="15">
        <v>0.47222222222222227</v>
      </c>
      <c r="AE1" s="15">
        <v>0.47569444444444442</v>
      </c>
      <c r="AF1" s="15">
        <v>0.47916666666666669</v>
      </c>
      <c r="AG1" s="15">
        <v>0.4826388888888889</v>
      </c>
      <c r="AH1" s="15">
        <v>0.4861111111111111</v>
      </c>
      <c r="AI1" s="15">
        <v>0.48958333333333331</v>
      </c>
      <c r="AJ1" s="15">
        <v>0.49305555555555558</v>
      </c>
      <c r="AK1" s="15">
        <v>0.49652777777777773</v>
      </c>
      <c r="AL1" s="15">
        <v>0.5</v>
      </c>
      <c r="AM1" s="15">
        <v>0.50347222222222221</v>
      </c>
      <c r="AN1" s="15">
        <v>0.50694444444444442</v>
      </c>
      <c r="AO1" s="15">
        <v>0.51041666666666663</v>
      </c>
      <c r="AP1" s="15">
        <v>0.51388888888888895</v>
      </c>
      <c r="AQ1" s="15">
        <v>0.51736111111111105</v>
      </c>
      <c r="AR1" s="15">
        <v>0.52083333333333337</v>
      </c>
      <c r="AS1" s="15">
        <v>0.52430555555555558</v>
      </c>
      <c r="AT1" s="15">
        <v>0.52777777777777779</v>
      </c>
      <c r="AU1" s="15">
        <v>0.53125</v>
      </c>
      <c r="AV1" s="15">
        <v>0.53472222222222221</v>
      </c>
      <c r="AW1" s="15">
        <v>0.53819444444444442</v>
      </c>
      <c r="AX1" s="15">
        <v>0.54166666666666663</v>
      </c>
      <c r="AY1" s="15">
        <v>0.54513888888888895</v>
      </c>
      <c r="AZ1" s="15">
        <v>0.54861111111111105</v>
      </c>
      <c r="BA1" s="15">
        <v>0.55208333333333337</v>
      </c>
      <c r="BB1" s="15">
        <v>0.55555555555555558</v>
      </c>
      <c r="BC1" s="15">
        <v>0.55902777777777779</v>
      </c>
      <c r="BD1" s="15">
        <v>0.5625</v>
      </c>
      <c r="BE1" s="15">
        <v>0.56597222222222221</v>
      </c>
      <c r="BF1" s="15">
        <v>0.56944444444444442</v>
      </c>
      <c r="BG1" s="15">
        <v>0.57291666666666663</v>
      </c>
      <c r="BH1" s="15">
        <v>0.57638888888888895</v>
      </c>
      <c r="BI1" s="15">
        <v>0.57986111111111105</v>
      </c>
      <c r="BJ1" s="15">
        <v>0.58333333333333337</v>
      </c>
      <c r="BK1" s="15">
        <v>0.58680555555555558</v>
      </c>
      <c r="BL1" s="15">
        <v>0.59027777777777779</v>
      </c>
      <c r="BM1" s="15">
        <v>0.59375</v>
      </c>
      <c r="BN1" s="15">
        <v>0.59722222222222221</v>
      </c>
      <c r="BO1" s="15">
        <v>0.60069444444444442</v>
      </c>
      <c r="BP1" s="15">
        <v>0.60416666666666663</v>
      </c>
      <c r="BQ1" s="15">
        <v>0.60763888888888895</v>
      </c>
      <c r="BR1" s="15">
        <v>0.61111111111111105</v>
      </c>
      <c r="BS1" s="15">
        <v>0.61458333333333337</v>
      </c>
      <c r="BT1" s="15">
        <v>0.61805555555555558</v>
      </c>
      <c r="BU1" s="15">
        <v>0.62152777777777779</v>
      </c>
      <c r="BV1" s="15">
        <v>0.625</v>
      </c>
      <c r="BW1" s="15">
        <v>0.62847222222222221</v>
      </c>
      <c r="BX1" s="15">
        <v>0.63194444444444442</v>
      </c>
      <c r="BY1" s="15">
        <v>0.63541666666666663</v>
      </c>
      <c r="BZ1" s="15">
        <v>0.63888888888888895</v>
      </c>
      <c r="CA1" s="15">
        <v>0.64236111111111105</v>
      </c>
      <c r="CB1" s="15">
        <v>0.64583333333333337</v>
      </c>
      <c r="CC1" s="15">
        <v>0.64930555555555558</v>
      </c>
      <c r="CD1" s="15">
        <v>0.65277777777777779</v>
      </c>
      <c r="CE1" s="15">
        <v>0.65625</v>
      </c>
      <c r="CF1" s="15">
        <v>0.65972222222222221</v>
      </c>
      <c r="CG1" s="15">
        <v>0.66319444444444442</v>
      </c>
      <c r="CH1" s="15">
        <v>0.66666666666666663</v>
      </c>
      <c r="CI1" s="15">
        <v>0.67013888888888884</v>
      </c>
      <c r="CJ1" s="15">
        <v>0.67361111111111116</v>
      </c>
      <c r="CK1" s="15">
        <v>0.67708333333333337</v>
      </c>
      <c r="CL1" s="15">
        <v>0.68055555555555547</v>
      </c>
      <c r="CM1" s="15">
        <v>0.68402777777777779</v>
      </c>
      <c r="CN1" s="15">
        <v>0.6875</v>
      </c>
      <c r="CO1" s="15">
        <v>0.69097222222222221</v>
      </c>
      <c r="CP1" s="15">
        <v>0.69444444444444453</v>
      </c>
      <c r="CQ1" s="15">
        <v>0.69791666666666663</v>
      </c>
      <c r="CR1" s="15">
        <v>0.70138888888888884</v>
      </c>
      <c r="CS1" s="15">
        <v>0.70486111111111116</v>
      </c>
      <c r="CT1" s="15">
        <v>0.70833333333333337</v>
      </c>
      <c r="CU1" s="15">
        <v>0.71180555555555547</v>
      </c>
      <c r="CV1" s="15">
        <v>0.71527777777777779</v>
      </c>
      <c r="CW1" s="15">
        <v>0.71875</v>
      </c>
      <c r="CX1" s="15">
        <v>0.72222222222222221</v>
      </c>
      <c r="CY1" s="15">
        <v>0.72569444444444453</v>
      </c>
      <c r="CZ1" s="15">
        <v>0.72916666666666663</v>
      </c>
      <c r="DA1" s="15">
        <v>0.73263888888888884</v>
      </c>
      <c r="DB1" s="15">
        <v>0.73611111111111116</v>
      </c>
      <c r="DC1" s="15">
        <v>0.73958333333333337</v>
      </c>
      <c r="DD1" s="15">
        <v>0.74305555555555547</v>
      </c>
      <c r="DE1" s="15">
        <v>0.74652777777777779</v>
      </c>
      <c r="DF1" s="15">
        <v>0.75</v>
      </c>
      <c r="DG1" s="15">
        <v>0.75347222222222221</v>
      </c>
      <c r="DH1" s="15">
        <v>0.75694444444444453</v>
      </c>
      <c r="DI1" s="15">
        <v>0.76041666666666663</v>
      </c>
      <c r="DJ1" s="15">
        <v>0.76388888888888884</v>
      </c>
      <c r="DK1" s="15">
        <v>0.76736111111111116</v>
      </c>
    </row>
    <row r="2" spans="1:115" ht="15.75" x14ac:dyDescent="0.25">
      <c r="A2" s="14">
        <v>44200</v>
      </c>
      <c r="B2" s="12" t="s">
        <v>6</v>
      </c>
      <c r="C2" s="13">
        <v>5156</v>
      </c>
      <c r="D2" s="13">
        <v>5144.67</v>
      </c>
      <c r="E2" s="13">
        <v>5143.3999999999996</v>
      </c>
      <c r="F2" s="13">
        <v>5140.3999999999996</v>
      </c>
      <c r="G2" s="13">
        <v>5140.8</v>
      </c>
      <c r="H2" s="13">
        <v>5140.8</v>
      </c>
      <c r="I2" s="13">
        <v>5142.8</v>
      </c>
      <c r="J2" s="13">
        <v>5141.8900000000003</v>
      </c>
      <c r="K2" s="13">
        <v>5140.8900000000003</v>
      </c>
      <c r="L2" s="13">
        <v>5145.8900000000003</v>
      </c>
      <c r="M2" s="13">
        <v>5144.4799999999996</v>
      </c>
      <c r="N2" s="13">
        <v>5144.62</v>
      </c>
      <c r="O2" s="13">
        <v>5151.4799999999996</v>
      </c>
      <c r="P2" s="13">
        <v>5155.1400000000003</v>
      </c>
      <c r="Q2" s="13">
        <v>5153.04</v>
      </c>
      <c r="R2" s="13">
        <v>5161.41</v>
      </c>
      <c r="S2" s="13">
        <v>5169.8599999999997</v>
      </c>
      <c r="T2" s="13">
        <v>5176.1400000000003</v>
      </c>
      <c r="U2" s="13">
        <v>5175.82</v>
      </c>
      <c r="V2" s="13">
        <v>5168.45</v>
      </c>
      <c r="W2" s="13">
        <v>5165.1000000000004</v>
      </c>
      <c r="X2" s="13">
        <v>5169.8599999999997</v>
      </c>
      <c r="Y2" s="13">
        <v>5168.26</v>
      </c>
      <c r="Z2" s="13">
        <v>5170.87</v>
      </c>
      <c r="AA2" s="13">
        <v>5170</v>
      </c>
      <c r="AB2" s="13">
        <v>5170.55</v>
      </c>
      <c r="AC2" s="13">
        <v>5177.1499999999996</v>
      </c>
      <c r="AD2" s="13">
        <v>5175</v>
      </c>
      <c r="AE2" s="13">
        <v>5173.8100000000004</v>
      </c>
      <c r="AF2" s="13">
        <v>5167.6400000000003</v>
      </c>
      <c r="AG2" s="13">
        <v>5164.0600000000004</v>
      </c>
      <c r="AH2" s="13">
        <v>5163.24</v>
      </c>
      <c r="AI2" s="13">
        <v>5166.67</v>
      </c>
      <c r="AJ2" s="13">
        <v>5157.8100000000004</v>
      </c>
      <c r="AK2" s="13">
        <v>5157.5200000000004</v>
      </c>
      <c r="AL2" s="13">
        <v>5160.79</v>
      </c>
      <c r="AM2" s="13">
        <v>5152.8999999999996</v>
      </c>
      <c r="AN2" s="13">
        <v>5169.2700000000004</v>
      </c>
      <c r="AO2" s="13">
        <v>5170.6099999999997</v>
      </c>
      <c r="AP2" s="13">
        <v>5171.42</v>
      </c>
      <c r="AQ2" s="13">
        <v>5177.97</v>
      </c>
      <c r="AR2" s="13">
        <v>5192.97</v>
      </c>
      <c r="AS2" s="13">
        <v>5198.79</v>
      </c>
      <c r="AT2" s="13">
        <v>5205.43</v>
      </c>
      <c r="AU2" s="13">
        <v>5210.8</v>
      </c>
      <c r="AV2" s="13">
        <v>5219.84</v>
      </c>
      <c r="AW2" s="13">
        <v>5220.34</v>
      </c>
      <c r="AX2" s="13">
        <v>5227.4399999999996</v>
      </c>
      <c r="AY2" s="13">
        <v>5227.29</v>
      </c>
      <c r="AZ2" s="13">
        <v>5226.97</v>
      </c>
      <c r="BA2" s="13">
        <v>5230.07</v>
      </c>
      <c r="BB2" s="13">
        <v>5224.17</v>
      </c>
      <c r="BC2" s="13">
        <v>5233.8599999999997</v>
      </c>
      <c r="BD2" s="13">
        <v>5236.9399999999996</v>
      </c>
      <c r="BE2" s="13">
        <v>5235.1499999999996</v>
      </c>
      <c r="BF2" s="13">
        <v>5239.49</v>
      </c>
      <c r="BG2" s="13">
        <v>5244.94</v>
      </c>
      <c r="BH2" s="13">
        <v>5247.17</v>
      </c>
      <c r="BI2" s="13">
        <v>5252.39</v>
      </c>
      <c r="BJ2" s="13">
        <v>5262.36</v>
      </c>
      <c r="BK2" s="13">
        <v>5269.14</v>
      </c>
      <c r="BL2" s="13">
        <v>5268.82</v>
      </c>
      <c r="BM2" s="13">
        <v>5274.64</v>
      </c>
      <c r="BN2" s="13">
        <v>5280.32</v>
      </c>
      <c r="BO2" s="13">
        <v>5274.94</v>
      </c>
      <c r="BP2" s="13">
        <v>5273.11</v>
      </c>
      <c r="BQ2" s="13">
        <v>5272.87</v>
      </c>
      <c r="BR2" s="13">
        <v>5278.97</v>
      </c>
      <c r="BS2" s="13">
        <v>5282.34</v>
      </c>
      <c r="BT2" s="13">
        <v>5279.34</v>
      </c>
      <c r="BU2" s="13">
        <v>5275.29</v>
      </c>
      <c r="BV2" s="13">
        <v>5271.53</v>
      </c>
      <c r="BW2" s="13">
        <v>5270.7</v>
      </c>
      <c r="BX2" s="13">
        <v>5269.52</v>
      </c>
      <c r="BY2" s="13">
        <v>5265.37</v>
      </c>
      <c r="BZ2" s="13">
        <v>5263.95</v>
      </c>
      <c r="CA2" s="13">
        <v>5264.79</v>
      </c>
      <c r="CB2" s="13">
        <v>5261.81</v>
      </c>
      <c r="CC2" s="13">
        <v>5263.93</v>
      </c>
      <c r="CD2" s="13">
        <v>5269</v>
      </c>
      <c r="CE2" s="13">
        <v>5261.37</v>
      </c>
      <c r="CF2" s="13">
        <v>5258.97</v>
      </c>
      <c r="CG2" s="13">
        <v>5262.14</v>
      </c>
      <c r="CH2" s="13">
        <v>5264.42</v>
      </c>
      <c r="CI2" s="13">
        <v>5266.38</v>
      </c>
      <c r="CJ2" s="13">
        <v>5275.81</v>
      </c>
      <c r="CK2" s="13">
        <v>5284.86</v>
      </c>
      <c r="CL2" s="13">
        <v>5277.65</v>
      </c>
      <c r="CM2" s="13">
        <v>5282.79</v>
      </c>
      <c r="CN2" s="13">
        <v>5276.91</v>
      </c>
      <c r="CO2" s="13">
        <v>5275.27</v>
      </c>
      <c r="CP2" s="13">
        <v>5279.77</v>
      </c>
      <c r="CQ2" s="13">
        <v>5287.66</v>
      </c>
      <c r="CR2" s="13">
        <v>5292.25</v>
      </c>
      <c r="CS2" s="13">
        <v>5289.89</v>
      </c>
      <c r="CT2" s="13">
        <v>5289.58</v>
      </c>
      <c r="CU2" s="13">
        <v>5282.94</v>
      </c>
      <c r="CV2" s="13">
        <v>5287.28</v>
      </c>
      <c r="CW2" s="13">
        <v>5288.71</v>
      </c>
      <c r="CX2" s="13">
        <v>5287.71</v>
      </c>
      <c r="CY2" s="13">
        <v>5286.78</v>
      </c>
      <c r="CZ2" s="13">
        <v>5286.82</v>
      </c>
      <c r="DA2" s="13">
        <v>5296.19</v>
      </c>
      <c r="DB2" s="13">
        <v>5295.19</v>
      </c>
      <c r="DC2" s="13">
        <v>5291.38</v>
      </c>
      <c r="DD2" s="13">
        <v>5290.53</v>
      </c>
      <c r="DE2" s="13">
        <v>5298.21</v>
      </c>
      <c r="DF2" s="13">
        <v>5302.9</v>
      </c>
      <c r="DG2" s="13">
        <v>5302.22</v>
      </c>
      <c r="DH2" s="13">
        <v>5301.67</v>
      </c>
      <c r="DI2" s="13">
        <v>5307.11</v>
      </c>
      <c r="DJ2" s="13">
        <v>5306.76</v>
      </c>
      <c r="DK2" s="13">
        <v>5307.88</v>
      </c>
    </row>
    <row r="3" spans="1:115" ht="15.75" x14ac:dyDescent="0.25">
      <c r="A3" s="14" t="s">
        <v>12</v>
      </c>
      <c r="B3" s="12" t="s">
        <v>10</v>
      </c>
      <c r="C3" s="13">
        <v>5133</v>
      </c>
      <c r="D3" s="13">
        <v>5142.83</v>
      </c>
      <c r="E3" s="13">
        <v>5129.67</v>
      </c>
      <c r="F3" s="13">
        <v>5134.8</v>
      </c>
      <c r="G3" s="13">
        <v>5137</v>
      </c>
      <c r="H3" s="13">
        <v>5139.8</v>
      </c>
      <c r="I3" s="13">
        <v>5137.8</v>
      </c>
      <c r="J3" s="13">
        <v>5141.8900000000003</v>
      </c>
      <c r="K3" s="13">
        <v>5139.8900000000003</v>
      </c>
      <c r="L3" s="13">
        <v>5140.83</v>
      </c>
      <c r="M3" s="13">
        <v>5141.0600000000004</v>
      </c>
      <c r="N3" s="13">
        <v>5144.62</v>
      </c>
      <c r="O3" s="13">
        <v>5151.4799999999996</v>
      </c>
      <c r="P3" s="13">
        <v>5150.68</v>
      </c>
      <c r="Q3" s="13">
        <v>5153.04</v>
      </c>
      <c r="R3" s="13">
        <v>5159.8999999999996</v>
      </c>
      <c r="S3" s="13">
        <v>5169.45</v>
      </c>
      <c r="T3" s="13">
        <v>5174.26</v>
      </c>
      <c r="U3" s="13">
        <v>5168.45</v>
      </c>
      <c r="V3" s="13">
        <v>5163.3500000000004</v>
      </c>
      <c r="W3" s="13">
        <v>5161.6099999999997</v>
      </c>
      <c r="X3" s="13">
        <v>5165.1000000000004</v>
      </c>
      <c r="Y3" s="13">
        <v>5167.3900000000003</v>
      </c>
      <c r="Z3" s="13">
        <v>5170</v>
      </c>
      <c r="AA3" s="13">
        <v>5163.84</v>
      </c>
      <c r="AB3" s="13">
        <v>5170.55</v>
      </c>
      <c r="AC3" s="13">
        <v>5166.82</v>
      </c>
      <c r="AD3" s="13">
        <v>5174.18</v>
      </c>
      <c r="AE3" s="13">
        <v>5171.1899999999996</v>
      </c>
      <c r="AF3" s="13">
        <v>5163.12</v>
      </c>
      <c r="AG3" s="13">
        <v>5156.9399999999996</v>
      </c>
      <c r="AH3" s="13">
        <v>5160.22</v>
      </c>
      <c r="AI3" s="13">
        <v>5160.07</v>
      </c>
      <c r="AJ3" s="13">
        <v>5151.79</v>
      </c>
      <c r="AK3" s="13">
        <v>5148.67</v>
      </c>
      <c r="AL3" s="13">
        <v>5143.4399999999996</v>
      </c>
      <c r="AM3" s="13">
        <v>5147.92</v>
      </c>
      <c r="AN3" s="13">
        <v>5166.4399999999996</v>
      </c>
      <c r="AO3" s="13">
        <v>5167.33</v>
      </c>
      <c r="AP3" s="13">
        <v>5169.7299999999996</v>
      </c>
      <c r="AQ3" s="13">
        <v>5177.97</v>
      </c>
      <c r="AR3" s="13">
        <v>5192.97</v>
      </c>
      <c r="AS3" s="13">
        <v>5196.22</v>
      </c>
      <c r="AT3" s="13">
        <v>5205.17</v>
      </c>
      <c r="AU3" s="13">
        <v>5208.18</v>
      </c>
      <c r="AV3" s="13">
        <v>5216.63</v>
      </c>
      <c r="AW3" s="13">
        <v>5217.8500000000004</v>
      </c>
      <c r="AX3" s="13">
        <v>5226.3100000000004</v>
      </c>
      <c r="AY3" s="13">
        <v>5226.03</v>
      </c>
      <c r="AZ3" s="13">
        <v>5222.08</v>
      </c>
      <c r="BA3" s="13">
        <v>5219.21</v>
      </c>
      <c r="BB3" s="13">
        <v>5221.29</v>
      </c>
      <c r="BC3" s="13">
        <v>5229.91</v>
      </c>
      <c r="BD3" s="13">
        <v>5230.6400000000003</v>
      </c>
      <c r="BE3" s="13">
        <v>5235.1499999999996</v>
      </c>
      <c r="BF3" s="13">
        <v>5239.49</v>
      </c>
      <c r="BG3" s="13">
        <v>5242.8599999999997</v>
      </c>
      <c r="BH3" s="13">
        <v>5247.17</v>
      </c>
      <c r="BI3" s="13">
        <v>5252.39</v>
      </c>
      <c r="BJ3" s="13">
        <v>5259.52</v>
      </c>
      <c r="BK3" s="13">
        <v>5268.86</v>
      </c>
      <c r="BL3" s="13">
        <v>5268.64</v>
      </c>
      <c r="BM3" s="13">
        <v>5274.64</v>
      </c>
      <c r="BN3" s="13">
        <v>5273.64</v>
      </c>
      <c r="BO3" s="13">
        <v>5265.46</v>
      </c>
      <c r="BP3" s="13">
        <v>5265.92</v>
      </c>
      <c r="BQ3" s="13">
        <v>5271.13</v>
      </c>
      <c r="BR3" s="13">
        <v>5276.68</v>
      </c>
      <c r="BS3" s="13">
        <v>5279.17</v>
      </c>
      <c r="BT3" s="13">
        <v>5275.38</v>
      </c>
      <c r="BU3" s="13">
        <v>5263.03</v>
      </c>
      <c r="BV3" s="13">
        <v>5269.56</v>
      </c>
      <c r="BW3" s="13">
        <v>5267.29</v>
      </c>
      <c r="BX3" s="13">
        <v>5260.69</v>
      </c>
      <c r="BY3" s="13">
        <v>5262.31</v>
      </c>
      <c r="BZ3" s="13">
        <v>5262.94</v>
      </c>
      <c r="CA3" s="13">
        <v>5249.65</v>
      </c>
      <c r="CB3" s="13">
        <v>5260.39</v>
      </c>
      <c r="CC3" s="13">
        <v>5262.37</v>
      </c>
      <c r="CD3" s="13">
        <v>5255.16</v>
      </c>
      <c r="CE3" s="13">
        <v>5254.56</v>
      </c>
      <c r="CF3" s="13">
        <v>5258.97</v>
      </c>
      <c r="CG3" s="13">
        <v>5261.47</v>
      </c>
      <c r="CH3" s="13">
        <v>5258.76</v>
      </c>
      <c r="CI3" s="13">
        <v>5265.4</v>
      </c>
      <c r="CJ3" s="13">
        <v>5273.5</v>
      </c>
      <c r="CK3" s="13">
        <v>5277.5</v>
      </c>
      <c r="CL3" s="13">
        <v>5275.27</v>
      </c>
      <c r="CM3" s="13">
        <v>5278</v>
      </c>
      <c r="CN3" s="13">
        <v>5273.15</v>
      </c>
      <c r="CO3" s="13">
        <v>5274.09</v>
      </c>
      <c r="CP3" s="13">
        <v>5274.68</v>
      </c>
      <c r="CQ3" s="13">
        <v>5287.66</v>
      </c>
      <c r="CR3" s="13">
        <v>5284.67</v>
      </c>
      <c r="CS3" s="13">
        <v>5289.58</v>
      </c>
      <c r="CT3" s="13">
        <v>5281.05</v>
      </c>
      <c r="CU3" s="13">
        <v>5282.91</v>
      </c>
      <c r="CV3" s="13">
        <v>5286.06</v>
      </c>
      <c r="CW3" s="13">
        <v>5281.75</v>
      </c>
      <c r="CX3" s="13">
        <v>5284.26</v>
      </c>
      <c r="CY3" s="13">
        <v>5285.21</v>
      </c>
      <c r="CZ3" s="13">
        <v>5286.82</v>
      </c>
      <c r="DA3" s="13">
        <v>5292.65</v>
      </c>
      <c r="DB3" s="13">
        <v>5289.92</v>
      </c>
      <c r="DC3" s="13">
        <v>5287.81</v>
      </c>
      <c r="DD3" s="13">
        <v>5289.95</v>
      </c>
      <c r="DE3" s="13">
        <v>5293.91</v>
      </c>
      <c r="DF3" s="13">
        <v>5293.62</v>
      </c>
      <c r="DG3" s="13">
        <v>5299.79</v>
      </c>
      <c r="DH3" s="13">
        <v>5291.5</v>
      </c>
      <c r="DI3" s="13">
        <v>5300.43</v>
      </c>
      <c r="DJ3" s="13">
        <v>5303.4</v>
      </c>
      <c r="DK3" s="13">
        <v>5305.07</v>
      </c>
    </row>
    <row r="4" spans="1:115" ht="15.75" x14ac:dyDescent="0.25">
      <c r="A4" s="14" t="s">
        <v>12</v>
      </c>
      <c r="B4" s="12" t="s">
        <v>9</v>
      </c>
      <c r="C4" s="13">
        <v>5135</v>
      </c>
      <c r="D4" s="13">
        <v>5134.17</v>
      </c>
      <c r="E4" s="13">
        <v>5121.17</v>
      </c>
      <c r="F4" s="13">
        <v>5125.96</v>
      </c>
      <c r="G4" s="13">
        <v>5128.17</v>
      </c>
      <c r="H4" s="13">
        <v>5131</v>
      </c>
      <c r="I4" s="13">
        <v>5128.17</v>
      </c>
      <c r="J4" s="13">
        <v>5132.92</v>
      </c>
      <c r="K4" s="13">
        <v>5130.16</v>
      </c>
      <c r="L4" s="13">
        <v>5131.66</v>
      </c>
      <c r="M4" s="13">
        <v>5132.6400000000003</v>
      </c>
      <c r="N4" s="13">
        <v>5135.58</v>
      </c>
      <c r="O4" s="13">
        <v>5142.47</v>
      </c>
      <c r="P4" s="13">
        <v>5140.92</v>
      </c>
      <c r="Q4" s="13">
        <v>5144.4399999999996</v>
      </c>
      <c r="R4" s="13">
        <v>5151.1000000000004</v>
      </c>
      <c r="S4" s="13">
        <v>5158.62</v>
      </c>
      <c r="T4" s="13">
        <v>5159.18</v>
      </c>
      <c r="U4" s="13">
        <v>5156.7299999999996</v>
      </c>
      <c r="V4" s="13">
        <v>5152.12</v>
      </c>
      <c r="W4" s="13">
        <v>5146.5</v>
      </c>
      <c r="X4" s="13">
        <v>5150.2700000000004</v>
      </c>
      <c r="Y4" s="13">
        <v>5155.99</v>
      </c>
      <c r="Z4" s="13">
        <v>5158.0200000000004</v>
      </c>
      <c r="AA4" s="13">
        <v>5151.1499999999996</v>
      </c>
      <c r="AB4" s="13">
        <v>5154.66</v>
      </c>
      <c r="AC4" s="13">
        <v>5154.8500000000004</v>
      </c>
      <c r="AD4" s="13">
        <v>5162.6499999999996</v>
      </c>
      <c r="AE4" s="13">
        <v>5159.03</v>
      </c>
      <c r="AF4" s="13">
        <v>5146.8599999999997</v>
      </c>
      <c r="AG4" s="13">
        <v>5144.1400000000003</v>
      </c>
      <c r="AH4" s="13">
        <v>5144.3100000000004</v>
      </c>
      <c r="AI4" s="13">
        <v>5144.3500000000004</v>
      </c>
      <c r="AJ4" s="13">
        <v>5133.8100000000004</v>
      </c>
      <c r="AK4" s="13">
        <v>5133.8100000000004</v>
      </c>
      <c r="AL4" s="13">
        <v>5129.5</v>
      </c>
      <c r="AM4" s="13">
        <v>5128.58</v>
      </c>
      <c r="AN4" s="13">
        <v>5155.9799999999996</v>
      </c>
      <c r="AO4" s="13">
        <v>5155.29</v>
      </c>
      <c r="AP4" s="13">
        <v>5157.29</v>
      </c>
      <c r="AQ4" s="13">
        <v>5168.1499999999996</v>
      </c>
      <c r="AR4" s="13">
        <v>5181.72</v>
      </c>
      <c r="AS4" s="13">
        <v>5175.04</v>
      </c>
      <c r="AT4" s="13">
        <v>5179.25</v>
      </c>
      <c r="AU4" s="13">
        <v>5193.54</v>
      </c>
      <c r="AV4" s="13">
        <v>5201.9799999999996</v>
      </c>
      <c r="AW4" s="13">
        <v>5205.33</v>
      </c>
      <c r="AX4" s="13">
        <v>5214.66</v>
      </c>
      <c r="AY4" s="13">
        <v>5213.87</v>
      </c>
      <c r="AZ4" s="13">
        <v>5210.93</v>
      </c>
      <c r="BA4" s="13">
        <v>5208.03</v>
      </c>
      <c r="BB4" s="13">
        <v>5208.97</v>
      </c>
      <c r="BC4" s="13">
        <v>5218.5600000000004</v>
      </c>
      <c r="BD4" s="13">
        <v>5218.5600000000004</v>
      </c>
      <c r="BE4" s="13">
        <v>5213.5200000000004</v>
      </c>
      <c r="BF4" s="13">
        <v>5229.28</v>
      </c>
      <c r="BG4" s="13">
        <v>5231.22</v>
      </c>
      <c r="BH4" s="13">
        <v>5237.91</v>
      </c>
      <c r="BI4" s="13">
        <v>5240.76</v>
      </c>
      <c r="BJ4" s="13">
        <v>5246.41</v>
      </c>
      <c r="BK4" s="13">
        <v>5251.77</v>
      </c>
      <c r="BL4" s="13">
        <v>5251.19</v>
      </c>
      <c r="BM4" s="13">
        <v>5250.86</v>
      </c>
      <c r="BN4" s="13">
        <v>5252.2</v>
      </c>
      <c r="BO4" s="13">
        <v>5250.41</v>
      </c>
      <c r="BP4" s="13">
        <v>5250.77</v>
      </c>
      <c r="BQ4" s="13">
        <v>5251.28</v>
      </c>
      <c r="BR4" s="13">
        <v>5252.16</v>
      </c>
      <c r="BS4" s="13">
        <v>5253.1</v>
      </c>
      <c r="BT4" s="13">
        <v>5260.78</v>
      </c>
      <c r="BU4" s="13">
        <v>5219.6499999999996</v>
      </c>
      <c r="BV4" s="13">
        <v>5224.88</v>
      </c>
      <c r="BW4" s="13">
        <v>5222.76</v>
      </c>
      <c r="BX4" s="13">
        <v>5218.53</v>
      </c>
      <c r="BY4" s="13">
        <v>5227</v>
      </c>
      <c r="BZ4" s="13">
        <v>5219.3500000000004</v>
      </c>
      <c r="CA4" s="13">
        <v>5209.76</v>
      </c>
      <c r="CB4" s="13">
        <v>5224.2299999999996</v>
      </c>
      <c r="CC4" s="13">
        <v>5226.7700000000004</v>
      </c>
      <c r="CD4" s="13">
        <v>5219.05</v>
      </c>
      <c r="CE4" s="13">
        <v>5213.71</v>
      </c>
      <c r="CF4" s="13">
        <v>5226.8100000000004</v>
      </c>
      <c r="CG4" s="13">
        <v>5225.2299999999996</v>
      </c>
      <c r="CH4" s="13">
        <v>5221.3500000000004</v>
      </c>
      <c r="CI4" s="13">
        <v>5228.8599999999997</v>
      </c>
      <c r="CJ4" s="13">
        <v>5227.82</v>
      </c>
      <c r="CK4" s="13">
        <v>5230.29</v>
      </c>
      <c r="CL4" s="13">
        <v>5237.59</v>
      </c>
      <c r="CM4" s="13">
        <v>5228.63</v>
      </c>
      <c r="CN4" s="13">
        <v>5227.41</v>
      </c>
      <c r="CO4" s="13">
        <v>5228.12</v>
      </c>
      <c r="CP4" s="13">
        <v>5237.1400000000003</v>
      </c>
      <c r="CQ4" s="13">
        <v>5253.26</v>
      </c>
      <c r="CR4" s="13">
        <v>5244.32</v>
      </c>
      <c r="CS4" s="13">
        <v>5247.82</v>
      </c>
      <c r="CT4" s="13">
        <v>5218</v>
      </c>
      <c r="CU4" s="13">
        <v>5242.0600000000004</v>
      </c>
      <c r="CV4" s="13">
        <v>5251.62</v>
      </c>
      <c r="CW4" s="13">
        <v>5239.8100000000004</v>
      </c>
      <c r="CX4" s="13">
        <v>5240.24</v>
      </c>
      <c r="CY4" s="13">
        <v>5248.91</v>
      </c>
      <c r="CZ4" s="13">
        <v>5254.63</v>
      </c>
      <c r="DA4" s="13">
        <v>5245.18</v>
      </c>
      <c r="DB4" s="13">
        <v>5243.06</v>
      </c>
      <c r="DC4" s="13">
        <v>5240.6499999999996</v>
      </c>
      <c r="DD4" s="13">
        <v>5250</v>
      </c>
      <c r="DE4" s="13">
        <v>5242.0600000000004</v>
      </c>
      <c r="DF4" s="13">
        <v>5247.14</v>
      </c>
      <c r="DG4" s="13">
        <v>5244.18</v>
      </c>
      <c r="DH4" s="13">
        <v>5242.3500000000004</v>
      </c>
      <c r="DI4" s="13">
        <v>5245.88</v>
      </c>
      <c r="DJ4" s="13">
        <v>5243.27</v>
      </c>
      <c r="DK4" s="13">
        <v>5285.55</v>
      </c>
    </row>
    <row r="5" spans="1:115" ht="15.75" x14ac:dyDescent="0.25">
      <c r="A5" s="14" t="s">
        <v>12</v>
      </c>
      <c r="B5" s="12" t="s">
        <v>7</v>
      </c>
      <c r="C5" s="13">
        <v>5116</v>
      </c>
      <c r="D5" s="13">
        <v>5133.17</v>
      </c>
      <c r="E5" s="13">
        <v>5121</v>
      </c>
      <c r="F5" s="13">
        <v>5121.17</v>
      </c>
      <c r="G5" s="13">
        <v>5125.96</v>
      </c>
      <c r="H5" s="13">
        <v>5128.16</v>
      </c>
      <c r="I5" s="13">
        <v>5125.96</v>
      </c>
      <c r="J5" s="13">
        <v>5126.17</v>
      </c>
      <c r="K5" s="13">
        <v>5128.9799999999996</v>
      </c>
      <c r="L5" s="13">
        <v>5128.93</v>
      </c>
      <c r="M5" s="13">
        <v>5128.7299999999996</v>
      </c>
      <c r="N5" s="13">
        <v>5128.79</v>
      </c>
      <c r="O5" s="13">
        <v>5131.34</v>
      </c>
      <c r="P5" s="13">
        <v>5138.79</v>
      </c>
      <c r="Q5" s="13">
        <v>5138.04</v>
      </c>
      <c r="R5" s="13">
        <v>5142.5200000000004</v>
      </c>
      <c r="S5" s="13">
        <v>5149.03</v>
      </c>
      <c r="T5" s="13">
        <v>5154.26</v>
      </c>
      <c r="U5" s="13">
        <v>5152.78</v>
      </c>
      <c r="V5" s="13">
        <v>5142.28</v>
      </c>
      <c r="W5" s="13">
        <v>5145.7700000000004</v>
      </c>
      <c r="X5" s="13">
        <v>5146.67</v>
      </c>
      <c r="Y5" s="13">
        <v>5149.03</v>
      </c>
      <c r="Z5" s="13">
        <v>5154.6000000000004</v>
      </c>
      <c r="AA5" s="13">
        <v>5149.03</v>
      </c>
      <c r="AB5" s="13">
        <v>5148.47</v>
      </c>
      <c r="AC5" s="13">
        <v>5152.2</v>
      </c>
      <c r="AD5" s="13">
        <v>5151.8999999999996</v>
      </c>
      <c r="AE5" s="13">
        <v>5152.38</v>
      </c>
      <c r="AF5" s="13">
        <v>5145.71</v>
      </c>
      <c r="AG5" s="13">
        <v>5141.33</v>
      </c>
      <c r="AH5" s="13">
        <v>5139</v>
      </c>
      <c r="AI5" s="13">
        <v>5139.76</v>
      </c>
      <c r="AJ5" s="13">
        <v>5128.76</v>
      </c>
      <c r="AK5" s="13">
        <v>5133.62</v>
      </c>
      <c r="AL5" s="13">
        <v>5128.76</v>
      </c>
      <c r="AM5" s="13">
        <v>5128</v>
      </c>
      <c r="AN5" s="13">
        <v>5131.55</v>
      </c>
      <c r="AO5" s="13">
        <v>5146.12</v>
      </c>
      <c r="AP5" s="13">
        <v>5148.8100000000004</v>
      </c>
      <c r="AQ5" s="13">
        <v>5152.1899999999996</v>
      </c>
      <c r="AR5" s="13">
        <v>5165.4799999999996</v>
      </c>
      <c r="AS5" s="13">
        <v>5172.6099999999997</v>
      </c>
      <c r="AT5" s="13">
        <v>5176.42</v>
      </c>
      <c r="AU5" s="13">
        <v>5179.25</v>
      </c>
      <c r="AV5" s="13">
        <v>5183.75</v>
      </c>
      <c r="AW5" s="13">
        <v>5183.96</v>
      </c>
      <c r="AX5" s="13">
        <v>5189.63</v>
      </c>
      <c r="AY5" s="13">
        <v>5192.6499999999996</v>
      </c>
      <c r="AZ5" s="13">
        <v>5195.78</v>
      </c>
      <c r="BA5" s="13">
        <v>5197.04</v>
      </c>
      <c r="BB5" s="13">
        <v>5197.04</v>
      </c>
      <c r="BC5" s="13">
        <v>5197.04</v>
      </c>
      <c r="BD5" s="13">
        <v>5203.09</v>
      </c>
      <c r="BE5" s="13">
        <v>5209.18</v>
      </c>
      <c r="BF5" s="13">
        <v>5206.3900000000003</v>
      </c>
      <c r="BG5" s="13">
        <v>5212.78</v>
      </c>
      <c r="BH5" s="13">
        <v>5237.91</v>
      </c>
      <c r="BI5" s="13">
        <v>5214.78</v>
      </c>
      <c r="BJ5" s="13">
        <v>5226.22</v>
      </c>
      <c r="BK5" s="13">
        <v>5226.22</v>
      </c>
      <c r="BL5" s="13">
        <v>5250.59</v>
      </c>
      <c r="BM5" s="13">
        <v>5250.77</v>
      </c>
      <c r="BN5" s="13">
        <v>5251.58</v>
      </c>
      <c r="BO5" s="13">
        <v>5250.29</v>
      </c>
      <c r="BP5" s="13">
        <v>5250.28</v>
      </c>
      <c r="BQ5" s="13">
        <v>5250.31</v>
      </c>
      <c r="BR5" s="13">
        <v>5251.1</v>
      </c>
      <c r="BS5" s="13">
        <v>5251.6</v>
      </c>
      <c r="BT5" s="13">
        <v>5225.17</v>
      </c>
      <c r="BU5" s="13">
        <v>5199</v>
      </c>
      <c r="BV5" s="13">
        <v>5204</v>
      </c>
      <c r="BW5" s="13">
        <v>5220.6499999999996</v>
      </c>
      <c r="BX5" s="13">
        <v>5206.17</v>
      </c>
      <c r="BY5" s="13">
        <v>5218.53</v>
      </c>
      <c r="BZ5" s="13">
        <v>5205.58</v>
      </c>
      <c r="CA5" s="13">
        <v>5193.08</v>
      </c>
      <c r="CB5" s="13">
        <v>5193.57</v>
      </c>
      <c r="CC5" s="13">
        <v>5216.25</v>
      </c>
      <c r="CD5" s="13">
        <v>5187.6899999999996</v>
      </c>
      <c r="CE5" s="13">
        <v>5193.62</v>
      </c>
      <c r="CF5" s="13">
        <v>5216.3500000000004</v>
      </c>
      <c r="CG5" s="13">
        <v>5211.87</v>
      </c>
      <c r="CH5" s="13">
        <v>5202.25</v>
      </c>
      <c r="CI5" s="13">
        <v>5197.92</v>
      </c>
      <c r="CJ5" s="13">
        <v>5227.82</v>
      </c>
      <c r="CK5" s="13">
        <v>5212.17</v>
      </c>
      <c r="CL5" s="13">
        <v>5214.5</v>
      </c>
      <c r="CM5" s="13">
        <v>5228.63</v>
      </c>
      <c r="CN5" s="13">
        <v>5212.75</v>
      </c>
      <c r="CO5" s="13">
        <v>5212.75</v>
      </c>
      <c r="CP5" s="13">
        <v>5213.92</v>
      </c>
      <c r="CQ5" s="13">
        <v>5229.24</v>
      </c>
      <c r="CR5" s="13">
        <v>5222.08</v>
      </c>
      <c r="CS5" s="13">
        <v>5244.1</v>
      </c>
      <c r="CT5" s="13">
        <v>5216.25</v>
      </c>
      <c r="CU5" s="13">
        <v>5215.08</v>
      </c>
      <c r="CV5" s="13">
        <v>5241.3100000000004</v>
      </c>
      <c r="CW5" s="13">
        <v>5230.7299999999996</v>
      </c>
      <c r="CX5" s="13">
        <v>5239.53</v>
      </c>
      <c r="CY5" s="13">
        <v>5224.33</v>
      </c>
      <c r="CZ5" s="13">
        <v>5222.58</v>
      </c>
      <c r="DA5" s="13">
        <v>5242.3500000000004</v>
      </c>
      <c r="DB5" s="13">
        <v>5201.63</v>
      </c>
      <c r="DC5" s="13">
        <v>5225.5</v>
      </c>
      <c r="DD5" s="13">
        <v>5225.5</v>
      </c>
      <c r="DE5" s="13">
        <v>5241.88</v>
      </c>
      <c r="DF5" s="13">
        <v>5228.8500000000004</v>
      </c>
      <c r="DG5" s="13">
        <v>5240.47</v>
      </c>
      <c r="DH5" s="13">
        <v>5236.21</v>
      </c>
      <c r="DI5" s="13">
        <v>5242.3500000000004</v>
      </c>
      <c r="DJ5" s="13">
        <v>5231.92</v>
      </c>
      <c r="DK5" s="13">
        <v>5248</v>
      </c>
    </row>
    <row r="6" spans="1:115" ht="15.75" x14ac:dyDescent="0.25">
      <c r="A6" s="11" t="s">
        <v>5</v>
      </c>
      <c r="B6" s="11" t="s">
        <v>11</v>
      </c>
      <c r="C6" s="15">
        <v>0.37847222222222227</v>
      </c>
      <c r="D6" s="15">
        <v>0.38194444444444442</v>
      </c>
      <c r="E6" s="15">
        <v>0.38541666666666669</v>
      </c>
      <c r="F6" s="15">
        <v>0.3888888888888889</v>
      </c>
      <c r="G6" s="15">
        <v>0.3923611111111111</v>
      </c>
      <c r="H6" s="15">
        <v>0.39583333333333331</v>
      </c>
      <c r="I6" s="15">
        <v>0.39930555555555558</v>
      </c>
      <c r="J6" s="15">
        <v>0.40277777777777773</v>
      </c>
      <c r="K6" s="15">
        <v>0.40625</v>
      </c>
      <c r="L6" s="15">
        <v>0.40972222222222227</v>
      </c>
      <c r="M6" s="15">
        <v>0.41319444444444442</v>
      </c>
      <c r="N6" s="15">
        <v>0.41666666666666669</v>
      </c>
      <c r="O6" s="15">
        <v>0.4201388888888889</v>
      </c>
      <c r="P6" s="15">
        <v>0.4236111111111111</v>
      </c>
      <c r="Q6" s="15">
        <v>0.42708333333333331</v>
      </c>
      <c r="R6" s="15">
        <v>0.43055555555555558</v>
      </c>
      <c r="S6" s="15">
        <v>0.43402777777777773</v>
      </c>
      <c r="T6" s="15">
        <v>0.4375</v>
      </c>
      <c r="U6" s="15">
        <v>0.44097222222222227</v>
      </c>
      <c r="V6" s="15">
        <v>0.44444444444444442</v>
      </c>
      <c r="W6" s="15">
        <v>0.44791666666666669</v>
      </c>
      <c r="X6" s="15">
        <v>0.4513888888888889</v>
      </c>
      <c r="Y6" s="15">
        <v>0.4548611111111111</v>
      </c>
      <c r="Z6" s="15">
        <v>0.45833333333333331</v>
      </c>
      <c r="AA6" s="15">
        <v>0.46180555555555558</v>
      </c>
      <c r="AB6" s="15">
        <v>0.46527777777777773</v>
      </c>
      <c r="AC6" s="15">
        <v>0.46875</v>
      </c>
      <c r="AD6" s="15">
        <v>0.47222222222222227</v>
      </c>
      <c r="AE6" s="15">
        <v>0.47569444444444442</v>
      </c>
      <c r="AF6" s="15">
        <v>0.47916666666666669</v>
      </c>
      <c r="AG6" s="15">
        <v>0.4826388888888889</v>
      </c>
      <c r="AH6" s="15">
        <v>0.4861111111111111</v>
      </c>
      <c r="AI6" s="15">
        <v>0.48958333333333331</v>
      </c>
      <c r="AJ6" s="15">
        <v>0.49305555555555558</v>
      </c>
      <c r="AK6" s="15">
        <v>0.49652777777777773</v>
      </c>
      <c r="AL6" s="15">
        <v>0.5</v>
      </c>
      <c r="AM6" s="15">
        <v>0.50347222222222221</v>
      </c>
      <c r="AN6" s="15">
        <v>0.50694444444444442</v>
      </c>
      <c r="AO6" s="15">
        <v>0.51041666666666663</v>
      </c>
      <c r="AP6" s="15">
        <v>0.51388888888888895</v>
      </c>
      <c r="AQ6" s="15">
        <v>0.51736111111111105</v>
      </c>
      <c r="AR6" s="15">
        <v>0.52083333333333337</v>
      </c>
      <c r="AS6" s="15">
        <v>0.52430555555555558</v>
      </c>
      <c r="AT6" s="15">
        <v>0.52777777777777779</v>
      </c>
      <c r="AU6" s="15">
        <v>0.53125</v>
      </c>
      <c r="AV6" s="15">
        <v>0.53472222222222221</v>
      </c>
      <c r="AW6" s="15">
        <v>0.53819444444444442</v>
      </c>
      <c r="AX6" s="15">
        <v>0.54166666666666663</v>
      </c>
      <c r="AY6" s="15">
        <v>0.54513888888888895</v>
      </c>
      <c r="AZ6" s="15">
        <v>0.54861111111111105</v>
      </c>
      <c r="BA6" s="15">
        <v>0.55208333333333337</v>
      </c>
      <c r="BB6" s="15">
        <v>0.55555555555555558</v>
      </c>
      <c r="BC6" s="15">
        <v>0.55902777777777779</v>
      </c>
      <c r="BD6" s="15">
        <v>0.5625</v>
      </c>
      <c r="BE6" s="15">
        <v>0.56597222222222221</v>
      </c>
      <c r="BF6" s="15">
        <v>0.56944444444444442</v>
      </c>
      <c r="BG6" s="15">
        <v>0.57291666666666663</v>
      </c>
      <c r="BH6" s="15">
        <v>0.57638888888888895</v>
      </c>
      <c r="BI6" s="15">
        <v>0.57986111111111105</v>
      </c>
      <c r="BJ6" s="15">
        <v>0.58333333333333337</v>
      </c>
      <c r="BK6" s="15">
        <v>0.58680555555555558</v>
      </c>
      <c r="BL6" s="15">
        <v>0.59027777777777779</v>
      </c>
      <c r="BM6" s="15">
        <v>0.59375</v>
      </c>
      <c r="BN6" s="15">
        <v>0.59722222222222221</v>
      </c>
      <c r="BO6" s="15">
        <v>0.60069444444444442</v>
      </c>
      <c r="BP6" s="15">
        <v>0.60416666666666663</v>
      </c>
      <c r="BQ6" s="15">
        <v>0.60763888888888895</v>
      </c>
      <c r="BR6" s="15">
        <v>0.61111111111111105</v>
      </c>
      <c r="BS6" s="15">
        <v>0.61458333333333337</v>
      </c>
      <c r="BT6" s="15">
        <v>0.61805555555555558</v>
      </c>
      <c r="BU6" s="15">
        <v>0.62152777777777779</v>
      </c>
      <c r="BV6" s="15">
        <v>0.625</v>
      </c>
      <c r="BW6" s="15">
        <v>0.62847222222222221</v>
      </c>
      <c r="BX6" s="15">
        <v>0.63194444444444442</v>
      </c>
      <c r="BY6" s="15">
        <v>0.63541666666666663</v>
      </c>
      <c r="BZ6" s="15">
        <v>0.63888888888888895</v>
      </c>
      <c r="CA6" s="15">
        <v>0.64236111111111105</v>
      </c>
      <c r="CB6" s="15">
        <v>0.64583333333333337</v>
      </c>
      <c r="CC6" s="15">
        <v>0.64930555555555558</v>
      </c>
      <c r="CD6" s="15">
        <v>0.65277777777777779</v>
      </c>
      <c r="CE6" s="15">
        <v>0.65625</v>
      </c>
      <c r="CF6" s="15">
        <v>0.65972222222222221</v>
      </c>
      <c r="CG6" s="15">
        <v>0.66319444444444442</v>
      </c>
      <c r="CH6" s="15">
        <v>0.66666666666666663</v>
      </c>
      <c r="CI6" s="15">
        <v>0.67013888888888884</v>
      </c>
      <c r="CJ6" s="15">
        <v>0.67361111111111116</v>
      </c>
      <c r="CK6" s="15">
        <v>0.67708333333333337</v>
      </c>
      <c r="CL6" s="15">
        <v>0.68055555555555547</v>
      </c>
      <c r="CM6" s="15">
        <v>0.68402777777777779</v>
      </c>
      <c r="CN6" s="15">
        <v>0.6875</v>
      </c>
      <c r="CO6" s="15">
        <v>0.69097222222222221</v>
      </c>
      <c r="CP6" s="15">
        <v>0.69444444444444453</v>
      </c>
      <c r="CQ6" s="15">
        <v>0.69791666666666663</v>
      </c>
      <c r="CR6" s="15">
        <v>0.70138888888888884</v>
      </c>
      <c r="CS6" s="15">
        <v>0.70486111111111116</v>
      </c>
      <c r="CT6" s="15">
        <v>0.70833333333333337</v>
      </c>
      <c r="CU6" s="15">
        <v>0.71180555555555547</v>
      </c>
      <c r="CV6" s="15">
        <v>0.71527777777777779</v>
      </c>
      <c r="CW6" s="15">
        <v>0.71875</v>
      </c>
      <c r="CX6" s="15">
        <v>0.72222222222222221</v>
      </c>
      <c r="CY6" s="15">
        <v>0.72569444444444453</v>
      </c>
      <c r="CZ6" s="15">
        <v>0.72916666666666663</v>
      </c>
      <c r="DA6" s="15">
        <v>0.73263888888888884</v>
      </c>
      <c r="DB6" s="15">
        <v>0.73611111111111116</v>
      </c>
      <c r="DC6" s="15">
        <v>0.73958333333333337</v>
      </c>
      <c r="DD6" s="15">
        <v>0.74305555555555547</v>
      </c>
      <c r="DE6" s="15">
        <v>0.74652777777777779</v>
      </c>
      <c r="DF6" s="15">
        <v>0.75</v>
      </c>
      <c r="DG6" s="15">
        <v>0.75347222222222221</v>
      </c>
      <c r="DH6" s="15">
        <v>0.75694444444444453</v>
      </c>
      <c r="DI6" s="15">
        <v>0.76041666666666663</v>
      </c>
      <c r="DJ6" s="15">
        <v>0.76388888888888884</v>
      </c>
      <c r="DK6" s="15">
        <v>0.76736111111111116</v>
      </c>
    </row>
    <row r="7" spans="1:115" ht="15.75" x14ac:dyDescent="0.25">
      <c r="A7" s="14">
        <v>44201</v>
      </c>
      <c r="B7" s="12" t="s">
        <v>6</v>
      </c>
      <c r="C7" s="13">
        <v>5300.74</v>
      </c>
      <c r="D7" s="13">
        <v>5304</v>
      </c>
      <c r="E7" s="13">
        <v>5302</v>
      </c>
      <c r="F7" s="13">
        <v>5328</v>
      </c>
      <c r="G7" s="13">
        <v>5343</v>
      </c>
      <c r="H7" s="13">
        <v>5352</v>
      </c>
      <c r="I7" s="13">
        <v>5359</v>
      </c>
      <c r="J7" s="13">
        <v>5350.2</v>
      </c>
      <c r="K7" s="13">
        <v>5351.17</v>
      </c>
      <c r="L7" s="13">
        <v>5360</v>
      </c>
      <c r="M7" s="13">
        <v>5360</v>
      </c>
      <c r="N7" s="13">
        <v>5350</v>
      </c>
      <c r="O7" s="13">
        <v>5356.33</v>
      </c>
      <c r="P7" s="13">
        <v>5354.75</v>
      </c>
      <c r="Q7" s="13">
        <v>5356.33</v>
      </c>
      <c r="R7" s="13">
        <v>5356.09</v>
      </c>
      <c r="S7" s="13">
        <v>5358.15</v>
      </c>
      <c r="T7" s="13">
        <v>5361.89</v>
      </c>
      <c r="U7" s="13">
        <v>5362.07</v>
      </c>
      <c r="V7" s="13">
        <v>5359</v>
      </c>
      <c r="W7" s="13">
        <v>5350.18</v>
      </c>
      <c r="X7" s="13">
        <v>5354.15</v>
      </c>
      <c r="Y7" s="13">
        <v>5359.15</v>
      </c>
      <c r="Z7" s="13">
        <v>5363.15</v>
      </c>
      <c r="AA7" s="13">
        <v>5364.15</v>
      </c>
      <c r="AB7" s="13">
        <v>5355.15</v>
      </c>
      <c r="AC7" s="13">
        <v>5350.89</v>
      </c>
      <c r="AD7" s="13">
        <v>5346.18</v>
      </c>
      <c r="AE7" s="13">
        <v>5344.15</v>
      </c>
      <c r="AF7" s="13">
        <v>5340.52</v>
      </c>
      <c r="AG7" s="13">
        <v>5333.13</v>
      </c>
      <c r="AH7" s="13">
        <v>5315.13</v>
      </c>
      <c r="AI7" s="13">
        <v>5309.96</v>
      </c>
      <c r="AJ7" s="13">
        <v>5312.96</v>
      </c>
      <c r="AK7" s="13">
        <v>5312.96</v>
      </c>
      <c r="AL7" s="13">
        <v>5307.15</v>
      </c>
      <c r="AM7" s="13">
        <v>5310.28</v>
      </c>
      <c r="AN7" s="13">
        <v>5326.96</v>
      </c>
      <c r="AO7" s="13">
        <v>5329.28</v>
      </c>
      <c r="AP7" s="13">
        <v>5331.44</v>
      </c>
      <c r="AQ7" s="13">
        <v>5342.15</v>
      </c>
      <c r="AR7" s="13">
        <v>5335.15</v>
      </c>
      <c r="AS7" s="13">
        <v>5328.96</v>
      </c>
      <c r="AT7" s="13">
        <v>5327.24</v>
      </c>
      <c r="AU7" s="13">
        <v>5330.15</v>
      </c>
      <c r="AV7" s="13">
        <v>5331.15</v>
      </c>
      <c r="AW7" s="13">
        <v>5325.52</v>
      </c>
      <c r="AX7" s="13">
        <v>5325.18</v>
      </c>
      <c r="AY7" s="13">
        <v>5339</v>
      </c>
      <c r="AZ7" s="13">
        <v>5336.15</v>
      </c>
      <c r="BA7" s="13">
        <v>5344</v>
      </c>
      <c r="BB7" s="13">
        <v>5338.5</v>
      </c>
      <c r="BC7" s="13">
        <v>5334</v>
      </c>
      <c r="BD7" s="13">
        <v>5336</v>
      </c>
      <c r="BE7" s="13">
        <v>5335</v>
      </c>
      <c r="BF7" s="13">
        <v>5335</v>
      </c>
      <c r="BG7" s="13">
        <v>5330.33</v>
      </c>
      <c r="BH7" s="13">
        <v>5323</v>
      </c>
      <c r="BI7" s="13">
        <v>5319</v>
      </c>
      <c r="BJ7" s="13">
        <v>5317.33</v>
      </c>
      <c r="BK7" s="13">
        <v>5314.33</v>
      </c>
      <c r="BL7" s="13">
        <v>5313</v>
      </c>
      <c r="BM7" s="13">
        <v>5308.17</v>
      </c>
      <c r="BN7" s="13">
        <v>5307.11</v>
      </c>
      <c r="BO7" s="13">
        <v>5303.84</v>
      </c>
      <c r="BP7" s="13">
        <v>5308.18</v>
      </c>
      <c r="BQ7" s="13">
        <v>5309.24</v>
      </c>
      <c r="BR7" s="13">
        <v>5303.96</v>
      </c>
      <c r="BS7" s="13">
        <v>5304.18</v>
      </c>
      <c r="BT7" s="13">
        <v>5305.18</v>
      </c>
      <c r="BU7" s="13">
        <v>5305.15</v>
      </c>
      <c r="BV7" s="13">
        <v>5301.96</v>
      </c>
      <c r="BW7" s="13">
        <v>5297.15</v>
      </c>
      <c r="BX7" s="13">
        <v>5295.18</v>
      </c>
      <c r="BY7" s="13">
        <v>5299.18</v>
      </c>
      <c r="BZ7" s="13">
        <v>5297.15</v>
      </c>
      <c r="CA7" s="13">
        <v>5275.96</v>
      </c>
      <c r="CB7" s="13">
        <v>5275.96</v>
      </c>
      <c r="CC7" s="13">
        <v>5280.96</v>
      </c>
      <c r="CD7" s="13">
        <v>5280.96</v>
      </c>
      <c r="CE7" s="13">
        <v>5280.18</v>
      </c>
      <c r="CF7" s="13">
        <v>5280.18</v>
      </c>
      <c r="CG7" s="13">
        <v>5279.18</v>
      </c>
      <c r="CH7" s="13">
        <v>5277.13</v>
      </c>
      <c r="CI7" s="13">
        <v>5281.96</v>
      </c>
      <c r="CJ7" s="13">
        <v>5280.24</v>
      </c>
      <c r="CK7" s="13">
        <v>5278.18</v>
      </c>
      <c r="CL7" s="13">
        <v>5277.28</v>
      </c>
      <c r="CM7" s="13">
        <v>5275.18</v>
      </c>
      <c r="CN7" s="13">
        <v>5275.18</v>
      </c>
      <c r="CO7" s="13">
        <v>5277.96</v>
      </c>
      <c r="CP7" s="13">
        <v>5278</v>
      </c>
      <c r="CQ7" s="13">
        <v>5280.96</v>
      </c>
      <c r="CR7" s="13">
        <v>5279.18</v>
      </c>
      <c r="CS7" s="13">
        <v>5280.18</v>
      </c>
      <c r="CT7" s="13">
        <v>5279.96</v>
      </c>
      <c r="CU7" s="13">
        <v>5277.15</v>
      </c>
      <c r="CV7" s="13">
        <v>5277.15</v>
      </c>
      <c r="CW7" s="13">
        <v>5278.96</v>
      </c>
      <c r="CX7" s="13">
        <v>5272.92</v>
      </c>
      <c r="CY7" s="13">
        <v>5277.97</v>
      </c>
      <c r="CZ7" s="13">
        <v>5289.15</v>
      </c>
      <c r="DA7" s="13">
        <v>5287.18</v>
      </c>
      <c r="DB7" s="13">
        <v>5282.64</v>
      </c>
      <c r="DC7" s="13">
        <v>5283.28</v>
      </c>
      <c r="DD7" s="13">
        <v>5284.15</v>
      </c>
      <c r="DE7" s="13">
        <v>5284.15</v>
      </c>
      <c r="DF7" s="13">
        <v>5289.18</v>
      </c>
      <c r="DG7" s="13">
        <v>5293.15</v>
      </c>
      <c r="DH7" s="13">
        <v>5290</v>
      </c>
      <c r="DI7" s="13">
        <v>5296</v>
      </c>
      <c r="DJ7" s="13">
        <v>5296.33</v>
      </c>
      <c r="DK7" s="13">
        <v>5306.18</v>
      </c>
    </row>
    <row r="8" spans="1:115" ht="15.75" x14ac:dyDescent="0.25">
      <c r="A8" s="14" t="s">
        <v>12</v>
      </c>
      <c r="B8" s="12" t="s">
        <v>10</v>
      </c>
      <c r="C8" s="13">
        <v>5293</v>
      </c>
      <c r="D8" s="13">
        <v>5303.17</v>
      </c>
      <c r="E8" s="13">
        <v>5302</v>
      </c>
      <c r="F8" s="13">
        <v>5328</v>
      </c>
      <c r="G8" s="13">
        <v>5343</v>
      </c>
      <c r="H8" s="13">
        <v>5349</v>
      </c>
      <c r="I8" s="13">
        <v>5347.2</v>
      </c>
      <c r="J8" s="13">
        <v>5347.2</v>
      </c>
      <c r="K8" s="13">
        <v>5347.2</v>
      </c>
      <c r="L8" s="13">
        <v>5350</v>
      </c>
      <c r="M8" s="13">
        <v>5350</v>
      </c>
      <c r="N8" s="13">
        <v>5350</v>
      </c>
      <c r="O8" s="13">
        <v>5355</v>
      </c>
      <c r="P8" s="13">
        <v>5353.33</v>
      </c>
      <c r="Q8" s="13">
        <v>5351.15</v>
      </c>
      <c r="R8" s="13">
        <v>5352.18</v>
      </c>
      <c r="S8" s="13">
        <v>5358.07</v>
      </c>
      <c r="T8" s="13">
        <v>5354.84</v>
      </c>
      <c r="U8" s="13">
        <v>5359</v>
      </c>
      <c r="V8" s="13">
        <v>5350.15</v>
      </c>
      <c r="W8" s="13">
        <v>5341.18</v>
      </c>
      <c r="X8" s="13">
        <v>5353.15</v>
      </c>
      <c r="Y8" s="13">
        <v>5354.15</v>
      </c>
      <c r="Z8" s="13">
        <v>5362.15</v>
      </c>
      <c r="AA8" s="13">
        <v>5348.32</v>
      </c>
      <c r="AB8" s="13">
        <v>5351.5</v>
      </c>
      <c r="AC8" s="13">
        <v>5345.13</v>
      </c>
      <c r="AD8" s="13">
        <v>5339.78</v>
      </c>
      <c r="AE8" s="13">
        <v>5341.13</v>
      </c>
      <c r="AF8" s="13">
        <v>5334.96</v>
      </c>
      <c r="AG8" s="13">
        <v>5314.24</v>
      </c>
      <c r="AH8" s="13">
        <v>5309.51</v>
      </c>
      <c r="AI8" s="13">
        <v>5303.97</v>
      </c>
      <c r="AJ8" s="13">
        <v>5306.28</v>
      </c>
      <c r="AK8" s="13">
        <v>5306.59</v>
      </c>
      <c r="AL8" s="13">
        <v>5305.15</v>
      </c>
      <c r="AM8" s="13">
        <v>5307.18</v>
      </c>
      <c r="AN8" s="13">
        <v>5324.96</v>
      </c>
      <c r="AO8" s="13">
        <v>5323.15</v>
      </c>
      <c r="AP8" s="13">
        <v>5331.44</v>
      </c>
      <c r="AQ8" s="13">
        <v>5333.5</v>
      </c>
      <c r="AR8" s="13">
        <v>5323.15</v>
      </c>
      <c r="AS8" s="13">
        <v>5326.15</v>
      </c>
      <c r="AT8" s="13">
        <v>5326.33</v>
      </c>
      <c r="AU8" s="13">
        <v>5327.13</v>
      </c>
      <c r="AV8" s="13">
        <v>5323.59</v>
      </c>
      <c r="AW8" s="13">
        <v>5313.51</v>
      </c>
      <c r="AX8" s="13">
        <v>5325.18</v>
      </c>
      <c r="AY8" s="13">
        <v>5332.75</v>
      </c>
      <c r="AZ8" s="13">
        <v>5334.52</v>
      </c>
      <c r="BA8" s="13">
        <v>5333.43</v>
      </c>
      <c r="BB8" s="13">
        <v>5334.67</v>
      </c>
      <c r="BC8" s="13">
        <v>5332.14</v>
      </c>
      <c r="BD8" s="13">
        <v>5335</v>
      </c>
      <c r="BE8" s="13">
        <v>5335</v>
      </c>
      <c r="BF8" s="13">
        <v>5330.33</v>
      </c>
      <c r="BG8" s="13">
        <v>5323.86</v>
      </c>
      <c r="BH8" s="13">
        <v>5314.67</v>
      </c>
      <c r="BI8" s="13">
        <v>5319</v>
      </c>
      <c r="BJ8" s="13">
        <v>5316</v>
      </c>
      <c r="BK8" s="13">
        <v>5300</v>
      </c>
      <c r="BL8" s="13">
        <v>5308.2</v>
      </c>
      <c r="BM8" s="13">
        <v>5307.28</v>
      </c>
      <c r="BN8" s="13">
        <v>5302.19</v>
      </c>
      <c r="BO8" s="13">
        <v>5292.97</v>
      </c>
      <c r="BP8" s="13">
        <v>5307.15</v>
      </c>
      <c r="BQ8" s="13">
        <v>5304.13</v>
      </c>
      <c r="BR8" s="13">
        <v>5301.13</v>
      </c>
      <c r="BS8" s="13">
        <v>5301.96</v>
      </c>
      <c r="BT8" s="13">
        <v>5305.15</v>
      </c>
      <c r="BU8" s="13">
        <v>5296.38</v>
      </c>
      <c r="BV8" s="13">
        <v>5292.65</v>
      </c>
      <c r="BW8" s="13">
        <v>5293.44</v>
      </c>
      <c r="BX8" s="13">
        <v>5294.15</v>
      </c>
      <c r="BY8" s="13">
        <v>5297.15</v>
      </c>
      <c r="BZ8" s="13">
        <v>5270.96</v>
      </c>
      <c r="CA8" s="13">
        <v>5270.97</v>
      </c>
      <c r="CB8" s="13">
        <v>5275.96</v>
      </c>
      <c r="CC8" s="13">
        <v>5278.96</v>
      </c>
      <c r="CD8" s="13">
        <v>5277</v>
      </c>
      <c r="CE8" s="13">
        <v>5278.15</v>
      </c>
      <c r="CF8" s="13">
        <v>5278.96</v>
      </c>
      <c r="CG8" s="13">
        <v>5275.7</v>
      </c>
      <c r="CH8" s="13">
        <v>5274.24</v>
      </c>
      <c r="CI8" s="13">
        <v>5279.38</v>
      </c>
      <c r="CJ8" s="13">
        <v>5276.44</v>
      </c>
      <c r="CK8" s="13">
        <v>5277.28</v>
      </c>
      <c r="CL8" s="13">
        <v>5270.44</v>
      </c>
      <c r="CM8" s="13">
        <v>5273.44</v>
      </c>
      <c r="CN8" s="13">
        <v>5274.15</v>
      </c>
      <c r="CO8" s="13">
        <v>5273.28</v>
      </c>
      <c r="CP8" s="13">
        <v>5276.8</v>
      </c>
      <c r="CQ8" s="13">
        <v>5278.28</v>
      </c>
      <c r="CR8" s="13">
        <v>5277.11</v>
      </c>
      <c r="CS8" s="13">
        <v>5279.96</v>
      </c>
      <c r="CT8" s="13">
        <v>5275.96</v>
      </c>
      <c r="CU8" s="13">
        <v>5277.15</v>
      </c>
      <c r="CV8" s="13">
        <v>5275.96</v>
      </c>
      <c r="CW8" s="13">
        <v>5278.96</v>
      </c>
      <c r="CX8" s="13">
        <v>5272.92</v>
      </c>
      <c r="CY8" s="13">
        <v>5277.97</v>
      </c>
      <c r="CZ8" s="13">
        <v>5286.06</v>
      </c>
      <c r="DA8" s="13">
        <v>5284</v>
      </c>
      <c r="DB8" s="13">
        <v>5281.59</v>
      </c>
      <c r="DC8" s="13">
        <v>5280.44</v>
      </c>
      <c r="DD8" s="13">
        <v>5284.15</v>
      </c>
      <c r="DE8" s="13">
        <v>5284.15</v>
      </c>
      <c r="DF8" s="13">
        <v>5289.15</v>
      </c>
      <c r="DG8" s="13">
        <v>5288.18</v>
      </c>
      <c r="DH8" s="13">
        <v>5285.43</v>
      </c>
      <c r="DI8" s="13">
        <v>5292.18</v>
      </c>
      <c r="DJ8" s="13">
        <v>5296.18</v>
      </c>
      <c r="DK8" s="13">
        <v>5306.18</v>
      </c>
    </row>
    <row r="9" spans="1:115" ht="15.75" x14ac:dyDescent="0.25">
      <c r="A9" s="14" t="s">
        <v>12</v>
      </c>
      <c r="B9" s="12" t="s">
        <v>9</v>
      </c>
      <c r="C9" s="13">
        <v>5285.2</v>
      </c>
      <c r="D9" s="13">
        <v>5293.67</v>
      </c>
      <c r="E9" s="13">
        <v>5292.2</v>
      </c>
      <c r="F9" s="13">
        <v>5318</v>
      </c>
      <c r="G9" s="13">
        <v>5333.17</v>
      </c>
      <c r="H9" s="13">
        <v>5339.26</v>
      </c>
      <c r="I9" s="13">
        <v>5338.11</v>
      </c>
      <c r="J9" s="13">
        <v>5338.11</v>
      </c>
      <c r="K9" s="13">
        <v>5338.11</v>
      </c>
      <c r="L9" s="13">
        <v>5330.75</v>
      </c>
      <c r="M9" s="13">
        <v>5330.75</v>
      </c>
      <c r="N9" s="13">
        <v>5331.85</v>
      </c>
      <c r="O9" s="13">
        <v>5332.6</v>
      </c>
      <c r="P9" s="13">
        <v>5330.31</v>
      </c>
      <c r="Q9" s="13">
        <v>5329.71</v>
      </c>
      <c r="R9" s="13">
        <v>5330</v>
      </c>
      <c r="S9" s="13">
        <v>5330.96</v>
      </c>
      <c r="T9" s="13">
        <v>5329.81</v>
      </c>
      <c r="U9" s="13">
        <v>5331.24</v>
      </c>
      <c r="V9" s="13">
        <v>5328.66</v>
      </c>
      <c r="W9" s="13">
        <v>5322.73</v>
      </c>
      <c r="X9" s="13">
        <v>5334.71</v>
      </c>
      <c r="Y9" s="13">
        <v>5318.69</v>
      </c>
      <c r="Z9" s="13">
        <v>5324.48</v>
      </c>
      <c r="AA9" s="13">
        <v>5313.49</v>
      </c>
      <c r="AB9" s="13">
        <v>5316.76</v>
      </c>
      <c r="AC9" s="13">
        <v>5306</v>
      </c>
      <c r="AD9" s="13">
        <v>5310.21</v>
      </c>
      <c r="AE9" s="13">
        <v>5314.55</v>
      </c>
      <c r="AF9" s="13">
        <v>5309.75</v>
      </c>
      <c r="AG9" s="13">
        <v>5292.03</v>
      </c>
      <c r="AH9" s="13">
        <v>5289.33</v>
      </c>
      <c r="AI9" s="13">
        <v>5279.83</v>
      </c>
      <c r="AJ9" s="13">
        <v>5276.23</v>
      </c>
      <c r="AK9" s="13">
        <v>5280.54</v>
      </c>
      <c r="AL9" s="13">
        <v>5278.91</v>
      </c>
      <c r="AM9" s="13">
        <v>5283.31</v>
      </c>
      <c r="AN9" s="13">
        <v>5297.8</v>
      </c>
      <c r="AO9" s="13">
        <v>5295.36</v>
      </c>
      <c r="AP9" s="13">
        <v>5301.2</v>
      </c>
      <c r="AQ9" s="13">
        <v>5297.14</v>
      </c>
      <c r="AR9" s="13">
        <v>5292.65</v>
      </c>
      <c r="AS9" s="13">
        <v>5296.93</v>
      </c>
      <c r="AT9" s="13">
        <v>5294.68</v>
      </c>
      <c r="AU9" s="13">
        <v>5295.9</v>
      </c>
      <c r="AV9" s="13">
        <v>5293.2</v>
      </c>
      <c r="AW9" s="13">
        <v>5285.9</v>
      </c>
      <c r="AX9" s="13">
        <v>5294.3</v>
      </c>
      <c r="AY9" s="13">
        <v>5302.98</v>
      </c>
      <c r="AZ9" s="13">
        <v>5301.18</v>
      </c>
      <c r="BA9" s="13">
        <v>5298.53</v>
      </c>
      <c r="BB9" s="13">
        <v>5302.77</v>
      </c>
      <c r="BC9" s="13">
        <v>5298.13</v>
      </c>
      <c r="BD9" s="13">
        <v>5305.4</v>
      </c>
      <c r="BE9" s="13">
        <v>5305.29</v>
      </c>
      <c r="BF9" s="13">
        <v>5300.44</v>
      </c>
      <c r="BG9" s="13">
        <v>5293</v>
      </c>
      <c r="BH9" s="13">
        <v>5287.08</v>
      </c>
      <c r="BI9" s="13">
        <v>5289.71</v>
      </c>
      <c r="BJ9" s="13">
        <v>5291.33</v>
      </c>
      <c r="BK9" s="13">
        <v>5270.64</v>
      </c>
      <c r="BL9" s="13">
        <v>5284.7</v>
      </c>
      <c r="BM9" s="13">
        <v>5282.23</v>
      </c>
      <c r="BN9" s="13">
        <v>5279.23</v>
      </c>
      <c r="BO9" s="13">
        <v>5269.37</v>
      </c>
      <c r="BP9" s="13">
        <v>5284.4</v>
      </c>
      <c r="BQ9" s="13">
        <v>5280.5</v>
      </c>
      <c r="BR9" s="13">
        <v>5278.48</v>
      </c>
      <c r="BS9" s="13">
        <v>5279.7</v>
      </c>
      <c r="BT9" s="13">
        <v>5281.85</v>
      </c>
      <c r="BU9" s="13">
        <v>5277.69</v>
      </c>
      <c r="BV9" s="13">
        <v>5272.72</v>
      </c>
      <c r="BW9" s="13">
        <v>5273.11</v>
      </c>
      <c r="BX9" s="13">
        <v>5273.25</v>
      </c>
      <c r="BY9" s="13">
        <v>5275.55</v>
      </c>
      <c r="BZ9" s="13">
        <v>5256.76</v>
      </c>
      <c r="CA9" s="13">
        <v>5256.58</v>
      </c>
      <c r="CB9" s="13">
        <v>5261.75</v>
      </c>
      <c r="CC9" s="13">
        <v>5264.13</v>
      </c>
      <c r="CD9" s="13">
        <v>5262.47</v>
      </c>
      <c r="CE9" s="13">
        <v>5262.45</v>
      </c>
      <c r="CF9" s="13">
        <v>5265.43</v>
      </c>
      <c r="CG9" s="13">
        <v>5261.88</v>
      </c>
      <c r="CH9" s="13">
        <v>5261.88</v>
      </c>
      <c r="CI9" s="13">
        <v>5264.94</v>
      </c>
      <c r="CJ9" s="13">
        <v>5263.3</v>
      </c>
      <c r="CK9" s="13">
        <v>5263.3</v>
      </c>
      <c r="CL9" s="13">
        <v>5257.64</v>
      </c>
      <c r="CM9" s="13">
        <v>5261.13</v>
      </c>
      <c r="CN9" s="13">
        <v>5261.18</v>
      </c>
      <c r="CO9" s="13">
        <v>5259.42</v>
      </c>
      <c r="CP9" s="13">
        <v>5263.12</v>
      </c>
      <c r="CQ9" s="13">
        <v>5264.33</v>
      </c>
      <c r="CR9" s="13">
        <v>5262.7</v>
      </c>
      <c r="CS9" s="13">
        <v>5267.92</v>
      </c>
      <c r="CT9" s="13">
        <v>5265.3</v>
      </c>
      <c r="CU9" s="13">
        <v>5266.06</v>
      </c>
      <c r="CV9" s="13">
        <v>5265.22</v>
      </c>
      <c r="CW9" s="13">
        <v>5266.91</v>
      </c>
      <c r="CX9" s="13">
        <v>5261.59</v>
      </c>
      <c r="CY9" s="13">
        <v>5266.06</v>
      </c>
      <c r="CZ9" s="13">
        <v>5273.5</v>
      </c>
      <c r="DA9" s="13">
        <v>5271.41</v>
      </c>
      <c r="DB9" s="13">
        <v>5269.03</v>
      </c>
      <c r="DC9" s="13">
        <v>5269.03</v>
      </c>
      <c r="DD9" s="13">
        <v>5271.74</v>
      </c>
      <c r="DE9" s="13">
        <v>5269.5</v>
      </c>
      <c r="DF9" s="13">
        <v>5276.03</v>
      </c>
      <c r="DG9" s="13">
        <v>5273.72</v>
      </c>
      <c r="DH9" s="13">
        <v>5272.14</v>
      </c>
      <c r="DI9" s="13">
        <v>5277.45</v>
      </c>
      <c r="DJ9" s="13">
        <v>5280.48</v>
      </c>
      <c r="DK9" s="13">
        <v>5287.31</v>
      </c>
    </row>
    <row r="10" spans="1:115" ht="15.75" x14ac:dyDescent="0.25">
      <c r="A10" s="14" t="s">
        <v>12</v>
      </c>
      <c r="B10" s="12" t="s">
        <v>7</v>
      </c>
      <c r="C10" s="13">
        <v>5273</v>
      </c>
      <c r="D10" s="13">
        <v>5278</v>
      </c>
      <c r="E10" s="13">
        <v>5277.2</v>
      </c>
      <c r="F10" s="13">
        <v>5292.2</v>
      </c>
      <c r="G10" s="13">
        <v>5318</v>
      </c>
      <c r="H10" s="13">
        <v>5333.2</v>
      </c>
      <c r="I10" s="13">
        <v>5333.35</v>
      </c>
      <c r="J10" s="13">
        <v>5333.35</v>
      </c>
      <c r="K10" s="13">
        <v>5333.35</v>
      </c>
      <c r="L10" s="13">
        <v>5321</v>
      </c>
      <c r="M10" s="13">
        <v>5321</v>
      </c>
      <c r="N10" s="13">
        <v>5329.05</v>
      </c>
      <c r="O10" s="13">
        <v>5330.29</v>
      </c>
      <c r="P10" s="13">
        <v>5330.27</v>
      </c>
      <c r="Q10" s="13">
        <v>5328.53</v>
      </c>
      <c r="R10" s="13">
        <v>5328.73</v>
      </c>
      <c r="S10" s="13">
        <v>5328.73</v>
      </c>
      <c r="T10" s="13">
        <v>5328.32</v>
      </c>
      <c r="U10" s="13">
        <v>5329.52</v>
      </c>
      <c r="V10" s="13">
        <v>5327.97</v>
      </c>
      <c r="W10" s="13">
        <v>5321.31</v>
      </c>
      <c r="X10" s="13">
        <v>5320.82</v>
      </c>
      <c r="Y10" s="13">
        <v>5314.35</v>
      </c>
      <c r="Z10" s="13">
        <v>5315.86</v>
      </c>
      <c r="AA10" s="13">
        <v>5312.3</v>
      </c>
      <c r="AB10" s="13">
        <v>5312.3</v>
      </c>
      <c r="AC10" s="13">
        <v>5304.94</v>
      </c>
      <c r="AD10" s="13">
        <v>5309.34</v>
      </c>
      <c r="AE10" s="13">
        <v>5308.18</v>
      </c>
      <c r="AF10" s="13">
        <v>5302.19</v>
      </c>
      <c r="AG10" s="13">
        <v>5288.63</v>
      </c>
      <c r="AH10" s="13">
        <v>5285.37</v>
      </c>
      <c r="AI10" s="13">
        <v>5277.77</v>
      </c>
      <c r="AJ10" s="13">
        <v>5276.23</v>
      </c>
      <c r="AK10" s="13">
        <v>5275.67</v>
      </c>
      <c r="AL10" s="13">
        <v>5277.66</v>
      </c>
      <c r="AM10" s="13">
        <v>5276.33</v>
      </c>
      <c r="AN10" s="13">
        <v>5285.32</v>
      </c>
      <c r="AO10" s="13">
        <v>5287.9</v>
      </c>
      <c r="AP10" s="13">
        <v>5292.53</v>
      </c>
      <c r="AQ10" s="13">
        <v>5289.27</v>
      </c>
      <c r="AR10" s="13">
        <v>5290.97</v>
      </c>
      <c r="AS10" s="13">
        <v>5286.43</v>
      </c>
      <c r="AT10" s="13">
        <v>5290.23</v>
      </c>
      <c r="AU10" s="13">
        <v>5290.23</v>
      </c>
      <c r="AV10" s="13">
        <v>5290.57</v>
      </c>
      <c r="AW10" s="13">
        <v>5281.33</v>
      </c>
      <c r="AX10" s="13">
        <v>5283.31</v>
      </c>
      <c r="AY10" s="13">
        <v>5287.57</v>
      </c>
      <c r="AZ10" s="13">
        <v>5298.92</v>
      </c>
      <c r="BA10" s="13">
        <v>5256.21</v>
      </c>
      <c r="BB10" s="13">
        <v>5291.57</v>
      </c>
      <c r="BC10" s="13">
        <v>5288.89</v>
      </c>
      <c r="BD10" s="13">
        <v>5289.25</v>
      </c>
      <c r="BE10" s="13">
        <v>5298.26</v>
      </c>
      <c r="BF10" s="13">
        <v>5289.96</v>
      </c>
      <c r="BG10" s="13">
        <v>5285.68</v>
      </c>
      <c r="BH10" s="13">
        <v>5281.93</v>
      </c>
      <c r="BI10" s="13">
        <v>5281.93</v>
      </c>
      <c r="BJ10" s="13">
        <v>5280.42</v>
      </c>
      <c r="BK10" s="13">
        <v>5250.31</v>
      </c>
      <c r="BL10" s="13">
        <v>5264.67</v>
      </c>
      <c r="BM10" s="13">
        <v>5276.69</v>
      </c>
      <c r="BN10" s="13">
        <v>5274.87</v>
      </c>
      <c r="BO10" s="13">
        <v>5269.37</v>
      </c>
      <c r="BP10" s="13">
        <v>5272.78</v>
      </c>
      <c r="BQ10" s="13">
        <v>5279.54</v>
      </c>
      <c r="BR10" s="13">
        <v>5277.66</v>
      </c>
      <c r="BS10" s="13">
        <v>5274.93</v>
      </c>
      <c r="BT10" s="13">
        <v>5277.2</v>
      </c>
      <c r="BU10" s="13">
        <v>5276.95</v>
      </c>
      <c r="BV10" s="13">
        <v>5269.62</v>
      </c>
      <c r="BW10" s="13">
        <v>5265.82</v>
      </c>
      <c r="BX10" s="13">
        <v>5270.07</v>
      </c>
      <c r="BY10" s="13">
        <v>5273.11</v>
      </c>
      <c r="BZ10" s="13">
        <v>5255.92</v>
      </c>
      <c r="CA10" s="13">
        <v>5253.74</v>
      </c>
      <c r="CB10" s="13">
        <v>5253.74</v>
      </c>
      <c r="CC10" s="13">
        <v>5259.79</v>
      </c>
      <c r="CD10" s="13">
        <v>5260.18</v>
      </c>
      <c r="CE10" s="13">
        <v>5260.75</v>
      </c>
      <c r="CF10" s="13">
        <v>5260.67</v>
      </c>
      <c r="CG10" s="13">
        <v>5258.22</v>
      </c>
      <c r="CH10" s="13">
        <v>5259.21</v>
      </c>
      <c r="CI10" s="13">
        <v>5262.48</v>
      </c>
      <c r="CJ10" s="13">
        <v>5260.61</v>
      </c>
      <c r="CK10" s="13">
        <v>5262.29</v>
      </c>
      <c r="CL10" s="13">
        <v>5256.07</v>
      </c>
      <c r="CM10" s="13">
        <v>5257.64</v>
      </c>
      <c r="CN10" s="13">
        <v>5259.82</v>
      </c>
      <c r="CO10" s="13">
        <v>5258.43</v>
      </c>
      <c r="CP10" s="13">
        <v>5256.97</v>
      </c>
      <c r="CQ10" s="13">
        <v>5262.47</v>
      </c>
      <c r="CR10" s="13">
        <v>5261.87</v>
      </c>
      <c r="CS10" s="13">
        <v>5262.7</v>
      </c>
      <c r="CT10" s="13">
        <v>5263.39</v>
      </c>
      <c r="CU10" s="13">
        <v>5261.69</v>
      </c>
      <c r="CV10" s="13">
        <v>5263.7</v>
      </c>
      <c r="CW10" s="13">
        <v>5264.52</v>
      </c>
      <c r="CX10" s="13">
        <v>5261.59</v>
      </c>
      <c r="CY10" s="13">
        <v>5263.21</v>
      </c>
      <c r="CZ10" s="13">
        <v>5266.06</v>
      </c>
      <c r="DA10" s="13">
        <v>5269.86</v>
      </c>
      <c r="DB10" s="13">
        <v>5268.34</v>
      </c>
      <c r="DC10" s="13">
        <v>5268.97</v>
      </c>
      <c r="DD10" s="13">
        <v>5267.38</v>
      </c>
      <c r="DE10" s="13">
        <v>5269.5</v>
      </c>
      <c r="DF10" s="13">
        <v>5272.14</v>
      </c>
      <c r="DG10" s="13">
        <v>5270.95</v>
      </c>
      <c r="DH10" s="13">
        <v>5269.68</v>
      </c>
      <c r="DI10" s="13">
        <v>5272.14</v>
      </c>
      <c r="DJ10" s="13">
        <v>5276.69</v>
      </c>
      <c r="DK10" s="13">
        <v>5276.63</v>
      </c>
    </row>
    <row r="11" spans="1:115" ht="15.75" x14ac:dyDescent="0.25">
      <c r="A11" s="11" t="s">
        <v>5</v>
      </c>
      <c r="B11" s="11" t="s">
        <v>11</v>
      </c>
      <c r="C11" s="15">
        <v>0.37847222222222227</v>
      </c>
      <c r="D11" s="15">
        <v>0.38194444444444442</v>
      </c>
      <c r="E11" s="15">
        <v>0.38541666666666669</v>
      </c>
      <c r="F11" s="15">
        <v>0.3888888888888889</v>
      </c>
      <c r="G11" s="15">
        <v>0.3923611111111111</v>
      </c>
      <c r="H11" s="15">
        <v>0.39583333333333331</v>
      </c>
      <c r="I11" s="15">
        <v>0.39930555555555558</v>
      </c>
      <c r="J11" s="15">
        <v>0.40277777777777773</v>
      </c>
      <c r="K11" s="15">
        <v>0.40625</v>
      </c>
      <c r="L11" s="15">
        <v>0.40972222222222227</v>
      </c>
      <c r="M11" s="15">
        <v>0.41319444444444442</v>
      </c>
      <c r="N11" s="15">
        <v>0.41666666666666669</v>
      </c>
      <c r="O11" s="15">
        <v>0.4201388888888889</v>
      </c>
      <c r="P11" s="15">
        <v>0.4236111111111111</v>
      </c>
      <c r="Q11" s="15">
        <v>0.42708333333333331</v>
      </c>
      <c r="R11" s="15">
        <v>0.43055555555555558</v>
      </c>
      <c r="S11" s="15">
        <v>0.43402777777777773</v>
      </c>
      <c r="T11" s="15">
        <v>0.4375</v>
      </c>
      <c r="U11" s="15">
        <v>0.44097222222222227</v>
      </c>
      <c r="V11" s="15">
        <v>0.44444444444444442</v>
      </c>
      <c r="W11" s="15">
        <v>0.44791666666666669</v>
      </c>
      <c r="X11" s="15">
        <v>0.4513888888888889</v>
      </c>
      <c r="Y11" s="15">
        <v>0.4548611111111111</v>
      </c>
      <c r="Z11" s="15">
        <v>0.45833333333333331</v>
      </c>
      <c r="AA11" s="15">
        <v>0.46180555555555558</v>
      </c>
      <c r="AB11" s="15">
        <v>0.46527777777777773</v>
      </c>
      <c r="AC11" s="15">
        <v>0.46875</v>
      </c>
      <c r="AD11" s="15">
        <v>0.47222222222222227</v>
      </c>
      <c r="AE11" s="15">
        <v>0.47569444444444442</v>
      </c>
      <c r="AF11" s="15">
        <v>0.47916666666666669</v>
      </c>
      <c r="AG11" s="15">
        <v>0.4826388888888889</v>
      </c>
      <c r="AH11" s="15">
        <v>0.4861111111111111</v>
      </c>
      <c r="AI11" s="15">
        <v>0.48958333333333331</v>
      </c>
      <c r="AJ11" s="15">
        <v>0.49305555555555558</v>
      </c>
      <c r="AK11" s="15">
        <v>0.49652777777777773</v>
      </c>
      <c r="AL11" s="15">
        <v>0.5</v>
      </c>
      <c r="AM11" s="15">
        <v>0.50347222222222221</v>
      </c>
      <c r="AN11" s="15">
        <v>0.50694444444444442</v>
      </c>
      <c r="AO11" s="15">
        <v>0.51041666666666663</v>
      </c>
      <c r="AP11" s="15">
        <v>0.51388888888888895</v>
      </c>
      <c r="AQ11" s="15">
        <v>0.51736111111111105</v>
      </c>
      <c r="AR11" s="15">
        <v>0.52083333333333337</v>
      </c>
      <c r="AS11" s="15">
        <v>0.52430555555555558</v>
      </c>
      <c r="AT11" s="15">
        <v>0.52777777777777779</v>
      </c>
      <c r="AU11" s="15">
        <v>0.53125</v>
      </c>
      <c r="AV11" s="15">
        <v>0.53472222222222221</v>
      </c>
      <c r="AW11" s="15">
        <v>0.53819444444444442</v>
      </c>
      <c r="AX11" s="15">
        <v>0.54166666666666663</v>
      </c>
      <c r="AY11" s="15">
        <v>0.54513888888888895</v>
      </c>
      <c r="AZ11" s="15">
        <v>0.54861111111111105</v>
      </c>
      <c r="BA11" s="15">
        <v>0.55208333333333337</v>
      </c>
      <c r="BB11" s="15">
        <v>0.55555555555555558</v>
      </c>
      <c r="BC11" s="15">
        <v>0.55902777777777779</v>
      </c>
      <c r="BD11" s="15">
        <v>0.5625</v>
      </c>
      <c r="BE11" s="15">
        <v>0.56597222222222221</v>
      </c>
      <c r="BF11" s="15">
        <v>0.56944444444444442</v>
      </c>
      <c r="BG11" s="15">
        <v>0.57291666666666663</v>
      </c>
      <c r="BH11" s="15">
        <v>0.57638888888888895</v>
      </c>
      <c r="BI11" s="15">
        <v>0.57986111111111105</v>
      </c>
      <c r="BJ11" s="15">
        <v>0.58333333333333337</v>
      </c>
      <c r="BK11" s="15">
        <v>0.58680555555555558</v>
      </c>
      <c r="BL11" s="15">
        <v>0.59027777777777779</v>
      </c>
      <c r="BM11" s="15">
        <v>0.59375</v>
      </c>
      <c r="BN11" s="15">
        <v>0.59722222222222221</v>
      </c>
      <c r="BO11" s="15">
        <v>0.60069444444444442</v>
      </c>
      <c r="BP11" s="15">
        <v>0.60416666666666663</v>
      </c>
      <c r="BQ11" s="15">
        <v>0.60763888888888895</v>
      </c>
      <c r="BR11" s="15">
        <v>0.61111111111111105</v>
      </c>
      <c r="BS11" s="15">
        <v>0.61458333333333337</v>
      </c>
      <c r="BT11" s="15">
        <v>0.61805555555555558</v>
      </c>
      <c r="BU11" s="15">
        <v>0.62152777777777779</v>
      </c>
      <c r="BV11" s="15">
        <v>0.625</v>
      </c>
      <c r="BW11" s="15">
        <v>0.62847222222222221</v>
      </c>
      <c r="BX11" s="15">
        <v>0.63194444444444442</v>
      </c>
      <c r="BY11" s="15">
        <v>0.63541666666666663</v>
      </c>
      <c r="BZ11" s="15">
        <v>0.63888888888888895</v>
      </c>
      <c r="CA11" s="15">
        <v>0.64236111111111105</v>
      </c>
      <c r="CB11" s="15">
        <v>0.64583333333333337</v>
      </c>
      <c r="CC11" s="15">
        <v>0.64930555555555558</v>
      </c>
      <c r="CD11" s="15">
        <v>0.65277777777777779</v>
      </c>
      <c r="CE11" s="15">
        <v>0.65625</v>
      </c>
      <c r="CF11" s="15">
        <v>0.65972222222222221</v>
      </c>
      <c r="CG11" s="15">
        <v>0.66319444444444442</v>
      </c>
      <c r="CH11" s="15">
        <v>0.66666666666666663</v>
      </c>
      <c r="CI11" s="15">
        <v>0.67013888888888884</v>
      </c>
      <c r="CJ11" s="15">
        <v>0.67361111111111116</v>
      </c>
      <c r="CK11" s="15">
        <v>0.67708333333333337</v>
      </c>
      <c r="CL11" s="15">
        <v>0.68055555555555547</v>
      </c>
      <c r="CM11" s="15">
        <v>0.68402777777777779</v>
      </c>
      <c r="CN11" s="15">
        <v>0.6875</v>
      </c>
      <c r="CO11" s="15">
        <v>0.69097222222222221</v>
      </c>
      <c r="CP11" s="15">
        <v>0.69444444444444453</v>
      </c>
      <c r="CQ11" s="15">
        <v>0.69791666666666663</v>
      </c>
      <c r="CR11" s="15">
        <v>0.70138888888888884</v>
      </c>
      <c r="CS11" s="15">
        <v>0.70486111111111116</v>
      </c>
      <c r="CT11" s="15">
        <v>0.70833333333333337</v>
      </c>
      <c r="CU11" s="15">
        <v>0.71180555555555547</v>
      </c>
      <c r="CV11" s="15">
        <v>0.71527777777777779</v>
      </c>
      <c r="CW11" s="15">
        <v>0.71875</v>
      </c>
      <c r="CX11" s="15">
        <v>0.72222222222222221</v>
      </c>
      <c r="CY11" s="15">
        <v>0.72569444444444453</v>
      </c>
      <c r="CZ11" s="15">
        <v>0.72916666666666663</v>
      </c>
      <c r="DA11" s="15">
        <v>0.73263888888888884</v>
      </c>
      <c r="DB11" s="15">
        <v>0.73611111111111116</v>
      </c>
      <c r="DC11" s="15">
        <v>0.73958333333333337</v>
      </c>
      <c r="DD11" s="15">
        <v>0.74305555555555547</v>
      </c>
      <c r="DE11" s="15">
        <v>0.74652777777777779</v>
      </c>
      <c r="DF11" s="15">
        <v>0.75</v>
      </c>
      <c r="DG11" s="15">
        <v>0.75347222222222221</v>
      </c>
      <c r="DH11" s="15">
        <v>0.75694444444444453</v>
      </c>
      <c r="DI11" s="15">
        <v>0.76041666666666663</v>
      </c>
      <c r="DJ11" s="15">
        <v>0.76388888888888884</v>
      </c>
      <c r="DK11" s="15">
        <v>0.76736111111111116</v>
      </c>
    </row>
    <row r="12" spans="1:115" ht="15.75" x14ac:dyDescent="0.25">
      <c r="A12" s="14">
        <v>44202</v>
      </c>
      <c r="B12" s="12" t="s">
        <v>6</v>
      </c>
      <c r="C12" s="13">
        <v>5292</v>
      </c>
      <c r="D12" s="13">
        <v>5271.6</v>
      </c>
      <c r="E12" s="13">
        <v>5258</v>
      </c>
      <c r="F12" s="13">
        <v>5257.18</v>
      </c>
      <c r="G12" s="13">
        <v>5253.41</v>
      </c>
      <c r="H12" s="13">
        <v>5253.36</v>
      </c>
      <c r="I12" s="13">
        <v>5262.2</v>
      </c>
      <c r="J12" s="13">
        <v>5287.35</v>
      </c>
      <c r="K12" s="13">
        <v>5310</v>
      </c>
      <c r="L12" s="13">
        <v>5319.63</v>
      </c>
      <c r="M12" s="13"/>
      <c r="N12" s="13">
        <v>5351.45</v>
      </c>
      <c r="O12" s="13">
        <v>5351.57</v>
      </c>
      <c r="P12" s="13">
        <v>5349.51</v>
      </c>
      <c r="Q12" s="13">
        <v>5347.36</v>
      </c>
      <c r="R12" s="13">
        <v>5348.48</v>
      </c>
      <c r="S12" s="13">
        <v>5346.49</v>
      </c>
      <c r="T12" s="13">
        <v>5345.54</v>
      </c>
      <c r="U12" s="13">
        <v>5346.38</v>
      </c>
      <c r="V12" s="13">
        <v>5347.05</v>
      </c>
      <c r="W12" s="13">
        <v>5349.02</v>
      </c>
      <c r="X12" s="13">
        <v>5350.18</v>
      </c>
      <c r="Y12" s="13">
        <v>5349.57</v>
      </c>
      <c r="Z12" s="13">
        <v>5350.8</v>
      </c>
      <c r="AA12" s="13">
        <v>5349.83</v>
      </c>
      <c r="AB12" s="13">
        <v>5351.29</v>
      </c>
      <c r="AC12" s="13">
        <v>5351.29</v>
      </c>
      <c r="AD12" s="13">
        <v>5354.6</v>
      </c>
      <c r="AE12" s="13">
        <v>5355.83</v>
      </c>
      <c r="AF12" s="13">
        <v>5356.6</v>
      </c>
      <c r="AG12" s="13">
        <v>5367.15</v>
      </c>
      <c r="AH12" s="13">
        <v>5374.85</v>
      </c>
      <c r="AI12" s="13">
        <v>5359.29</v>
      </c>
      <c r="AJ12" s="13">
        <v>5364</v>
      </c>
      <c r="AK12" s="13">
        <v>5348.95</v>
      </c>
      <c r="AL12" s="13">
        <v>5351.15</v>
      </c>
      <c r="AM12" s="13">
        <v>5359.81</v>
      </c>
      <c r="AN12" s="13">
        <v>5363.05</v>
      </c>
      <c r="AO12" s="13">
        <v>5352.77</v>
      </c>
      <c r="AP12" s="13">
        <v>5356.93</v>
      </c>
      <c r="AQ12" s="13">
        <v>5343.62</v>
      </c>
      <c r="AR12" s="13">
        <v>5351.39</v>
      </c>
      <c r="AS12" s="13">
        <v>5342.74</v>
      </c>
      <c r="AT12" s="13">
        <v>5345.39</v>
      </c>
      <c r="AU12" s="13">
        <v>5351.77</v>
      </c>
      <c r="AV12" s="13">
        <v>5347.88</v>
      </c>
      <c r="AW12" s="13">
        <v>5354.45</v>
      </c>
      <c r="AX12" s="13">
        <v>5358.81</v>
      </c>
      <c r="AY12" s="13">
        <v>5357.29</v>
      </c>
      <c r="AZ12" s="13">
        <v>5361.61</v>
      </c>
      <c r="BA12" s="13">
        <v>5366.31</v>
      </c>
      <c r="BB12" s="13">
        <v>5363.77</v>
      </c>
      <c r="BC12" s="13">
        <v>5362.08</v>
      </c>
      <c r="BD12" s="13">
        <v>5356.18</v>
      </c>
      <c r="BE12" s="13">
        <v>5351.5</v>
      </c>
      <c r="BF12" s="13">
        <v>5353.62</v>
      </c>
      <c r="BG12" s="13">
        <v>5355.17</v>
      </c>
      <c r="BH12" s="13">
        <v>5354.54</v>
      </c>
      <c r="BI12" s="13">
        <v>5353.69</v>
      </c>
      <c r="BJ12" s="13">
        <v>5361.65</v>
      </c>
      <c r="BK12" s="13">
        <v>5359.46</v>
      </c>
      <c r="BL12" s="13">
        <v>5364.61</v>
      </c>
      <c r="BM12" s="13">
        <v>5363.14</v>
      </c>
      <c r="BN12" s="13">
        <v>5365.13</v>
      </c>
      <c r="BO12" s="13">
        <v>5360.26</v>
      </c>
      <c r="BP12" s="13">
        <v>5354.21</v>
      </c>
      <c r="BQ12" s="13">
        <v>5340.18</v>
      </c>
      <c r="BR12" s="13">
        <v>5340.59</v>
      </c>
      <c r="BS12" s="13">
        <v>5337.33</v>
      </c>
      <c r="BT12" s="13">
        <v>5338.13</v>
      </c>
      <c r="BU12" s="13">
        <v>5330.5</v>
      </c>
      <c r="BV12" s="13">
        <v>5324.37</v>
      </c>
      <c r="BW12" s="13">
        <v>5323.22</v>
      </c>
      <c r="BX12" s="13">
        <v>5313.53</v>
      </c>
      <c r="BY12" s="13">
        <v>5317</v>
      </c>
      <c r="BZ12" s="13">
        <v>5315.86</v>
      </c>
      <c r="CA12" s="13">
        <v>5317.62</v>
      </c>
      <c r="CB12" s="13">
        <v>5314.56</v>
      </c>
      <c r="CC12" s="13">
        <v>5318.24</v>
      </c>
      <c r="CD12" s="13">
        <v>5320.9</v>
      </c>
      <c r="CE12" s="13">
        <v>5313.45</v>
      </c>
      <c r="CF12" s="13">
        <v>5309.34</v>
      </c>
      <c r="CG12" s="13">
        <v>5326.63</v>
      </c>
      <c r="CH12" s="13">
        <v>5302.71</v>
      </c>
      <c r="CI12" s="13">
        <v>5314.92</v>
      </c>
      <c r="CJ12" s="13">
        <v>5311.1</v>
      </c>
      <c r="CK12" s="13">
        <v>5317</v>
      </c>
      <c r="CL12" s="13">
        <v>5321.31</v>
      </c>
      <c r="CM12" s="13">
        <v>5320.67</v>
      </c>
      <c r="CN12" s="13">
        <v>5324.06</v>
      </c>
      <c r="CO12" s="13">
        <v>5321.66</v>
      </c>
      <c r="CP12" s="13">
        <v>5323.31</v>
      </c>
      <c r="CQ12" s="13">
        <v>5328.17</v>
      </c>
      <c r="CR12" s="13">
        <v>5334.03</v>
      </c>
      <c r="CS12" s="13">
        <v>5333.21</v>
      </c>
      <c r="CT12" s="13">
        <v>5332.28</v>
      </c>
      <c r="CU12" s="13">
        <v>5334.55</v>
      </c>
      <c r="CV12" s="13">
        <v>5336.35</v>
      </c>
      <c r="CW12" s="13">
        <v>5332.03</v>
      </c>
      <c r="CX12" s="13">
        <v>5327.05</v>
      </c>
      <c r="CY12" s="13">
        <v>5341.42</v>
      </c>
      <c r="CZ12" s="13">
        <v>5343.81</v>
      </c>
      <c r="DA12" s="13">
        <v>5347</v>
      </c>
      <c r="DB12" s="13">
        <v>5338.91</v>
      </c>
      <c r="DC12" s="13">
        <v>5339.48</v>
      </c>
      <c r="DD12" s="13">
        <v>5335.7</v>
      </c>
      <c r="DE12" s="13">
        <v>5334.63</v>
      </c>
      <c r="DF12" s="13">
        <v>5337.62</v>
      </c>
      <c r="DG12" s="13">
        <v>5337.52</v>
      </c>
      <c r="DH12" s="13">
        <v>5334.16</v>
      </c>
      <c r="DI12" s="13">
        <v>5334</v>
      </c>
      <c r="DJ12" s="13">
        <v>5337.91</v>
      </c>
      <c r="DK12" s="13">
        <v>5336.82</v>
      </c>
    </row>
    <row r="13" spans="1:115" ht="15.75" x14ac:dyDescent="0.25">
      <c r="A13" s="14" t="s">
        <v>12</v>
      </c>
      <c r="B13" s="12" t="s">
        <v>10</v>
      </c>
      <c r="C13" s="13">
        <v>5270.2</v>
      </c>
      <c r="D13" s="13">
        <v>5255</v>
      </c>
      <c r="E13" s="13">
        <v>5253.17</v>
      </c>
      <c r="F13" s="13">
        <v>5252.08</v>
      </c>
      <c r="G13" s="13">
        <v>5250.43</v>
      </c>
      <c r="H13" s="13">
        <v>5253.23</v>
      </c>
      <c r="I13" s="13">
        <v>5260.2</v>
      </c>
      <c r="J13" s="13">
        <v>5284.44</v>
      </c>
      <c r="K13" s="13">
        <v>5305.37</v>
      </c>
      <c r="L13" s="13">
        <v>5309.84</v>
      </c>
      <c r="M13" s="13">
        <v>5326.09</v>
      </c>
      <c r="N13" s="13">
        <v>5349.07</v>
      </c>
      <c r="O13" s="13">
        <v>5348.21</v>
      </c>
      <c r="P13" s="13">
        <v>5347.97</v>
      </c>
      <c r="Q13" s="13">
        <v>5346.28</v>
      </c>
      <c r="R13" s="13">
        <v>5342.97</v>
      </c>
      <c r="S13" s="13">
        <v>5341.47</v>
      </c>
      <c r="T13" s="13">
        <v>5340.73</v>
      </c>
      <c r="U13" s="13">
        <v>5342.74</v>
      </c>
      <c r="V13" s="13">
        <v>5344.71</v>
      </c>
      <c r="W13" s="13">
        <v>5349.02</v>
      </c>
      <c r="X13" s="13">
        <v>5346.22</v>
      </c>
      <c r="Y13" s="13">
        <v>5347.83</v>
      </c>
      <c r="Z13" s="13">
        <v>5348.04</v>
      </c>
      <c r="AA13" s="13">
        <v>5348.76</v>
      </c>
      <c r="AB13" s="13">
        <v>5351.29</v>
      </c>
      <c r="AC13" s="13">
        <v>5350.06</v>
      </c>
      <c r="AD13" s="13">
        <v>5354.41</v>
      </c>
      <c r="AE13" s="13">
        <v>5355.83</v>
      </c>
      <c r="AF13" s="13">
        <v>5356.14</v>
      </c>
      <c r="AG13" s="13">
        <v>5364.24</v>
      </c>
      <c r="AH13" s="13">
        <v>5355.76</v>
      </c>
      <c r="AI13" s="13">
        <v>5356.17</v>
      </c>
      <c r="AJ13" s="13">
        <v>5345.15</v>
      </c>
      <c r="AK13" s="13">
        <v>5338.41</v>
      </c>
      <c r="AL13" s="13">
        <v>5350.75</v>
      </c>
      <c r="AM13" s="13">
        <v>5357.38</v>
      </c>
      <c r="AN13" s="13">
        <v>5344.09</v>
      </c>
      <c r="AO13" s="13">
        <v>5345.17</v>
      </c>
      <c r="AP13" s="13">
        <v>5342</v>
      </c>
      <c r="AQ13" s="13">
        <v>5332.5</v>
      </c>
      <c r="AR13" s="13">
        <v>5344.32</v>
      </c>
      <c r="AS13" s="13">
        <v>5336.35</v>
      </c>
      <c r="AT13" s="13">
        <v>5337.33</v>
      </c>
      <c r="AU13" s="13">
        <v>5347.41</v>
      </c>
      <c r="AV13" s="13">
        <v>5345.41</v>
      </c>
      <c r="AW13" s="13">
        <v>5353.65</v>
      </c>
      <c r="AX13" s="13">
        <v>5349.21</v>
      </c>
      <c r="AY13" s="13">
        <v>5353.36</v>
      </c>
      <c r="AZ13" s="13">
        <v>5356.17</v>
      </c>
      <c r="BA13" s="13">
        <v>5359.34</v>
      </c>
      <c r="BB13" s="13">
        <v>5359.17</v>
      </c>
      <c r="BC13" s="13">
        <v>5354.69</v>
      </c>
      <c r="BD13" s="13">
        <v>5350.79</v>
      </c>
      <c r="BE13" s="13">
        <v>5344.88</v>
      </c>
      <c r="BF13" s="13">
        <v>5349</v>
      </c>
      <c r="BG13" s="13">
        <v>5348.06</v>
      </c>
      <c r="BH13" s="13">
        <v>5348.24</v>
      </c>
      <c r="BI13" s="13">
        <v>5350.55</v>
      </c>
      <c r="BJ13" s="13">
        <v>5354.25</v>
      </c>
      <c r="BK13" s="13">
        <v>5358.1</v>
      </c>
      <c r="BL13" s="13">
        <v>5362.68</v>
      </c>
      <c r="BM13" s="13">
        <v>5354.02</v>
      </c>
      <c r="BN13" s="13">
        <v>5352.25</v>
      </c>
      <c r="BO13" s="13">
        <v>5353.28</v>
      </c>
      <c r="BP13" s="13">
        <v>5333.84</v>
      </c>
      <c r="BQ13" s="13">
        <v>5336.3</v>
      </c>
      <c r="BR13" s="13">
        <v>5333.04</v>
      </c>
      <c r="BS13" s="13">
        <v>5332.36</v>
      </c>
      <c r="BT13" s="13">
        <v>5326.17</v>
      </c>
      <c r="BU13" s="13">
        <v>5309.53</v>
      </c>
      <c r="BV13" s="13">
        <v>5315.71</v>
      </c>
      <c r="BW13" s="13">
        <v>5310.21</v>
      </c>
      <c r="BX13" s="13">
        <v>5305.29</v>
      </c>
      <c r="BY13" s="13">
        <v>5307.45</v>
      </c>
      <c r="BZ13" s="13">
        <v>5315.86</v>
      </c>
      <c r="CA13" s="13">
        <v>5305.68</v>
      </c>
      <c r="CB13" s="13">
        <v>5313.23</v>
      </c>
      <c r="CC13" s="13">
        <v>5313.74</v>
      </c>
      <c r="CD13" s="13">
        <v>5301.41</v>
      </c>
      <c r="CE13" s="13">
        <v>5296.88</v>
      </c>
      <c r="CF13" s="13">
        <v>5294.1</v>
      </c>
      <c r="CG13" s="13">
        <v>5298.64</v>
      </c>
      <c r="CH13" s="13">
        <v>5298.82</v>
      </c>
      <c r="CI13" s="13">
        <v>5296.56</v>
      </c>
      <c r="CJ13" s="13">
        <v>5304.05</v>
      </c>
      <c r="CK13" s="13">
        <v>5304.05</v>
      </c>
      <c r="CL13" s="13">
        <v>5316</v>
      </c>
      <c r="CM13" s="13">
        <v>5320.67</v>
      </c>
      <c r="CN13" s="13">
        <v>5316.69</v>
      </c>
      <c r="CO13" s="13">
        <v>5315.26</v>
      </c>
      <c r="CP13" s="13">
        <v>5317.2</v>
      </c>
      <c r="CQ13" s="13">
        <v>5317.38</v>
      </c>
      <c r="CR13" s="13">
        <v>5324.96</v>
      </c>
      <c r="CS13" s="13">
        <v>5330.3</v>
      </c>
      <c r="CT13" s="13">
        <v>5329.44</v>
      </c>
      <c r="CU13" s="13">
        <v>5331.18</v>
      </c>
      <c r="CV13" s="13">
        <v>5330.36</v>
      </c>
      <c r="CW13" s="13">
        <v>5324.59</v>
      </c>
      <c r="CX13" s="13">
        <v>5323.31</v>
      </c>
      <c r="CY13" s="13">
        <v>5338.17</v>
      </c>
      <c r="CZ13" s="13">
        <v>5336.95</v>
      </c>
      <c r="DA13" s="13">
        <v>5337</v>
      </c>
      <c r="DB13" s="13">
        <v>5332.36</v>
      </c>
      <c r="DC13" s="13">
        <v>5336.08</v>
      </c>
      <c r="DD13" s="13">
        <v>5326.86</v>
      </c>
      <c r="DE13" s="13">
        <v>5329.38</v>
      </c>
      <c r="DF13" s="13">
        <v>5324.13</v>
      </c>
      <c r="DG13" s="13">
        <v>5330.31</v>
      </c>
      <c r="DH13" s="13">
        <v>5332.09</v>
      </c>
      <c r="DI13" s="13">
        <v>5330.78</v>
      </c>
      <c r="DJ13" s="13">
        <v>5337.91</v>
      </c>
      <c r="DK13" s="13">
        <v>5329.19</v>
      </c>
    </row>
    <row r="14" spans="1:115" ht="15.75" x14ac:dyDescent="0.25">
      <c r="A14" s="14" t="s">
        <v>12</v>
      </c>
      <c r="B14" s="12" t="s">
        <v>9</v>
      </c>
      <c r="C14" s="13">
        <v>5262</v>
      </c>
      <c r="D14" s="13">
        <v>5247</v>
      </c>
      <c r="E14" s="13">
        <v>5244.85</v>
      </c>
      <c r="F14" s="13">
        <v>5242.92</v>
      </c>
      <c r="G14" s="13">
        <v>5241</v>
      </c>
      <c r="H14" s="13">
        <v>5245</v>
      </c>
      <c r="I14" s="13">
        <v>5252</v>
      </c>
      <c r="J14" s="13">
        <v>5267.2</v>
      </c>
      <c r="K14" s="13">
        <v>5289</v>
      </c>
      <c r="L14" s="13">
        <v>5293</v>
      </c>
      <c r="M14" s="13">
        <v>5307.83</v>
      </c>
      <c r="N14" s="13">
        <v>5303.83</v>
      </c>
      <c r="O14" s="13">
        <v>5301.85</v>
      </c>
      <c r="P14" s="13">
        <v>5293.1</v>
      </c>
      <c r="Q14" s="13">
        <v>5280.85</v>
      </c>
      <c r="R14" s="13">
        <v>5273.86</v>
      </c>
      <c r="S14" s="13">
        <v>5265</v>
      </c>
      <c r="T14" s="13">
        <v>5261.03</v>
      </c>
      <c r="U14" s="13">
        <v>5271.52</v>
      </c>
      <c r="V14" s="13">
        <v>5282.41</v>
      </c>
      <c r="W14" s="13">
        <v>5286.35</v>
      </c>
      <c r="X14" s="13">
        <v>5292.68</v>
      </c>
      <c r="Y14" s="13">
        <v>5291.08</v>
      </c>
      <c r="Z14" s="13">
        <v>5300.14</v>
      </c>
      <c r="AA14" s="13">
        <v>5297.27</v>
      </c>
      <c r="AB14" s="13">
        <v>5304.68</v>
      </c>
      <c r="AC14" s="13">
        <v>5309.81</v>
      </c>
      <c r="AD14" s="13">
        <v>5334.19</v>
      </c>
      <c r="AE14" s="13">
        <v>5342.81</v>
      </c>
      <c r="AF14" s="13">
        <v>5350.76</v>
      </c>
      <c r="AG14" s="13">
        <v>5353.03</v>
      </c>
      <c r="AH14" s="13">
        <v>5340.66</v>
      </c>
      <c r="AI14" s="13">
        <v>5342.5</v>
      </c>
      <c r="AJ14" s="13">
        <v>5332.5</v>
      </c>
      <c r="AK14" s="13">
        <v>5326.04</v>
      </c>
      <c r="AL14" s="13">
        <v>5337.73</v>
      </c>
      <c r="AM14" s="13">
        <v>5344.76</v>
      </c>
      <c r="AN14" s="13">
        <v>5331.72</v>
      </c>
      <c r="AO14" s="13">
        <v>5331.04</v>
      </c>
      <c r="AP14" s="13">
        <v>5329.24</v>
      </c>
      <c r="AQ14" s="13">
        <v>5318.72</v>
      </c>
      <c r="AR14" s="13">
        <v>5329.03</v>
      </c>
      <c r="AS14" s="13">
        <v>5319.5</v>
      </c>
      <c r="AT14" s="13">
        <v>5321.72</v>
      </c>
      <c r="AU14" s="13">
        <v>5326.34</v>
      </c>
      <c r="AV14" s="13">
        <v>5329.54</v>
      </c>
      <c r="AW14" s="13">
        <v>5340.59</v>
      </c>
      <c r="AX14" s="13">
        <v>5334.72</v>
      </c>
      <c r="AY14" s="13">
        <v>5340.94</v>
      </c>
      <c r="AZ14" s="13">
        <v>5343.04</v>
      </c>
      <c r="BA14" s="13">
        <v>5347.78</v>
      </c>
      <c r="BB14" s="13">
        <v>5346.78</v>
      </c>
      <c r="BC14" s="13">
        <v>5343.59</v>
      </c>
      <c r="BD14" s="13">
        <v>5335.78</v>
      </c>
      <c r="BE14" s="13">
        <v>5332.1</v>
      </c>
      <c r="BF14" s="13">
        <v>5335.56</v>
      </c>
      <c r="BG14" s="13">
        <v>5334.24</v>
      </c>
      <c r="BH14" s="13">
        <v>5335.78</v>
      </c>
      <c r="BI14" s="13">
        <v>5335.03</v>
      </c>
      <c r="BJ14" s="13">
        <v>5340.12</v>
      </c>
      <c r="BK14" s="13">
        <v>5341.68</v>
      </c>
      <c r="BL14" s="13">
        <v>5344.49</v>
      </c>
      <c r="BM14" s="13">
        <v>5339.71</v>
      </c>
      <c r="BN14" s="13">
        <v>5336.79</v>
      </c>
      <c r="BO14" s="13">
        <v>5338.16</v>
      </c>
      <c r="BP14" s="13">
        <v>5315.63</v>
      </c>
      <c r="BQ14" s="13">
        <v>5319.38</v>
      </c>
      <c r="BR14" s="13">
        <v>5315.57</v>
      </c>
      <c r="BS14" s="13">
        <v>5313.51</v>
      </c>
      <c r="BT14" s="13">
        <v>5306.76</v>
      </c>
      <c r="BU14" s="13">
        <v>5287.39</v>
      </c>
      <c r="BV14" s="13">
        <v>5289.23</v>
      </c>
      <c r="BW14" s="13">
        <v>5282.79</v>
      </c>
      <c r="BX14" s="13">
        <v>5277.53</v>
      </c>
      <c r="BY14" s="13">
        <v>5280.09</v>
      </c>
      <c r="BZ14" s="13">
        <v>5276.54</v>
      </c>
      <c r="CA14" s="13">
        <v>5276.65</v>
      </c>
      <c r="CB14" s="13">
        <v>5282.69</v>
      </c>
      <c r="CC14" s="13">
        <v>5283.46</v>
      </c>
      <c r="CD14" s="13">
        <v>5274.78</v>
      </c>
      <c r="CE14" s="13">
        <v>5269.38</v>
      </c>
      <c r="CF14" s="13">
        <v>5266.68</v>
      </c>
      <c r="CG14" s="13">
        <v>5263.68</v>
      </c>
      <c r="CH14" s="13">
        <v>5259.42</v>
      </c>
      <c r="CI14" s="13">
        <v>5262.27</v>
      </c>
      <c r="CJ14" s="13">
        <v>5267.85</v>
      </c>
      <c r="CK14" s="13">
        <v>5267.85</v>
      </c>
      <c r="CL14" s="13">
        <v>5285.6</v>
      </c>
      <c r="CM14" s="13">
        <v>5292.78</v>
      </c>
      <c r="CN14" s="13">
        <v>5288.4</v>
      </c>
      <c r="CO14" s="13">
        <v>5287.18</v>
      </c>
      <c r="CP14" s="13">
        <v>5291.4</v>
      </c>
      <c r="CQ14" s="13">
        <v>5289.51</v>
      </c>
      <c r="CR14" s="13">
        <v>5303.03</v>
      </c>
      <c r="CS14" s="13">
        <v>5305.78</v>
      </c>
      <c r="CT14" s="13">
        <v>5304.14</v>
      </c>
      <c r="CU14" s="13">
        <v>5308.28</v>
      </c>
      <c r="CV14" s="13">
        <v>5307.06</v>
      </c>
      <c r="CW14" s="13">
        <v>5295.28</v>
      </c>
      <c r="CX14" s="13">
        <v>5295.28</v>
      </c>
      <c r="CY14" s="13">
        <v>5301.69</v>
      </c>
      <c r="CZ14" s="13">
        <v>5296.78</v>
      </c>
      <c r="DA14" s="13">
        <v>5294.86</v>
      </c>
      <c r="DB14" s="13">
        <v>5294.25</v>
      </c>
      <c r="DC14" s="13">
        <v>5300.99</v>
      </c>
      <c r="DD14" s="13">
        <v>5293.68</v>
      </c>
      <c r="DE14" s="13">
        <v>5297.87</v>
      </c>
      <c r="DF14" s="13">
        <v>5295.8</v>
      </c>
      <c r="DG14" s="13">
        <v>5309.51</v>
      </c>
      <c r="DH14" s="13">
        <v>5307.81</v>
      </c>
      <c r="DI14" s="13">
        <v>5308.26</v>
      </c>
      <c r="DJ14" s="13">
        <v>5304.44</v>
      </c>
      <c r="DK14" s="13">
        <v>5303.07</v>
      </c>
    </row>
    <row r="15" spans="1:115" ht="15.75" x14ac:dyDescent="0.25">
      <c r="A15" s="14" t="s">
        <v>12</v>
      </c>
      <c r="B15" s="12" t="s">
        <v>7</v>
      </c>
      <c r="C15" s="13">
        <v>5256</v>
      </c>
      <c r="D15" s="13">
        <v>5244</v>
      </c>
      <c r="E15" s="13">
        <v>5241</v>
      </c>
      <c r="F15" s="13">
        <v>5241.88</v>
      </c>
      <c r="G15" s="13">
        <v>5237.1899999999996</v>
      </c>
      <c r="H15" s="13">
        <v>5241</v>
      </c>
      <c r="I15" s="13">
        <v>5238</v>
      </c>
      <c r="J15" s="13">
        <v>5260</v>
      </c>
      <c r="K15" s="13">
        <v>5264.2</v>
      </c>
      <c r="L15" s="13">
        <v>5283</v>
      </c>
      <c r="M15" s="13">
        <v>5295</v>
      </c>
      <c r="N15" s="13">
        <v>5302.17</v>
      </c>
      <c r="O15" s="13">
        <v>5300.92</v>
      </c>
      <c r="P15" s="13">
        <v>5291.28</v>
      </c>
      <c r="Q15" s="13">
        <v>5280.48</v>
      </c>
      <c r="R15" s="13">
        <v>5272.93</v>
      </c>
      <c r="S15" s="13">
        <v>5260.85</v>
      </c>
      <c r="T15" s="13">
        <v>5254.23</v>
      </c>
      <c r="U15" s="13">
        <v>5259</v>
      </c>
      <c r="V15" s="13">
        <v>5270.27</v>
      </c>
      <c r="W15" s="13">
        <v>5282.15</v>
      </c>
      <c r="X15" s="13">
        <v>5284.74</v>
      </c>
      <c r="Y15" s="13">
        <v>5289.76</v>
      </c>
      <c r="Z15" s="13">
        <v>5292.59</v>
      </c>
      <c r="AA15" s="13">
        <v>5293.5</v>
      </c>
      <c r="AB15" s="13">
        <v>5293.06</v>
      </c>
      <c r="AC15" s="13">
        <v>5301.97</v>
      </c>
      <c r="AD15" s="13">
        <v>5308.53</v>
      </c>
      <c r="AE15" s="13">
        <v>5330.15</v>
      </c>
      <c r="AF15" s="13">
        <v>5336.53</v>
      </c>
      <c r="AG15" s="13">
        <v>5344</v>
      </c>
      <c r="AH15" s="13">
        <v>5340.66</v>
      </c>
      <c r="AI15" s="13">
        <v>5333.07</v>
      </c>
      <c r="AJ15" s="13">
        <v>5330.66</v>
      </c>
      <c r="AK15" s="13">
        <v>5325.78</v>
      </c>
      <c r="AL15" s="13">
        <v>5324.97</v>
      </c>
      <c r="AM15" s="13">
        <v>5336.14</v>
      </c>
      <c r="AN15" s="13">
        <v>5330.54</v>
      </c>
      <c r="AO15" s="13">
        <v>5324.54</v>
      </c>
      <c r="AP15" s="13">
        <v>5328.04</v>
      </c>
      <c r="AQ15" s="13">
        <v>5316.03</v>
      </c>
      <c r="AR15" s="13">
        <v>5321.78</v>
      </c>
      <c r="AS15" s="13">
        <v>5318</v>
      </c>
      <c r="AT15" s="13">
        <v>5321</v>
      </c>
      <c r="AU15" s="13">
        <v>5323.16</v>
      </c>
      <c r="AV15" s="13">
        <v>5327.68</v>
      </c>
      <c r="AW15" s="13">
        <v>5328</v>
      </c>
      <c r="AX15" s="13">
        <v>5334.72</v>
      </c>
      <c r="AY15" s="13">
        <v>5336.62</v>
      </c>
      <c r="AZ15" s="13">
        <v>5340.09</v>
      </c>
      <c r="BA15" s="13">
        <v>5343.04</v>
      </c>
      <c r="BB15" s="13">
        <v>5346.5</v>
      </c>
      <c r="BC15" s="13">
        <v>5341.72</v>
      </c>
      <c r="BD15" s="13">
        <v>5335.78</v>
      </c>
      <c r="BE15" s="13">
        <v>5332.1</v>
      </c>
      <c r="BF15" s="13">
        <v>5331.97</v>
      </c>
      <c r="BG15" s="13">
        <v>5334.24</v>
      </c>
      <c r="BH15" s="13">
        <v>5334.54</v>
      </c>
      <c r="BI15" s="13">
        <v>5331.66</v>
      </c>
      <c r="BJ15" s="13">
        <v>5333.47</v>
      </c>
      <c r="BK15" s="13">
        <v>5336.74</v>
      </c>
      <c r="BL15" s="13">
        <v>5340.49</v>
      </c>
      <c r="BM15" s="13">
        <v>5338.32</v>
      </c>
      <c r="BN15" s="13">
        <v>5336.79</v>
      </c>
      <c r="BO15" s="13">
        <v>5335.1</v>
      </c>
      <c r="BP15" s="13">
        <v>5312.87</v>
      </c>
      <c r="BQ15" s="13">
        <v>5314.7</v>
      </c>
      <c r="BR15" s="13">
        <v>5314.88</v>
      </c>
      <c r="BS15" s="13">
        <v>5306.53</v>
      </c>
      <c r="BT15" s="13">
        <v>5304.29</v>
      </c>
      <c r="BU15" s="13">
        <v>5287.39</v>
      </c>
      <c r="BV15" s="13">
        <v>5283.97</v>
      </c>
      <c r="BW15" s="13">
        <v>5280.14</v>
      </c>
      <c r="BX15" s="13">
        <v>5275.94</v>
      </c>
      <c r="BY15" s="13">
        <v>5278.27</v>
      </c>
      <c r="BZ15" s="13">
        <v>5272.94</v>
      </c>
      <c r="CA15" s="13">
        <v>5276.65</v>
      </c>
      <c r="CB15" s="13">
        <v>5278.03</v>
      </c>
      <c r="CC15" s="13">
        <v>5281.56</v>
      </c>
      <c r="CD15" s="13">
        <v>5274.78</v>
      </c>
      <c r="CE15" s="13">
        <v>5268.09</v>
      </c>
      <c r="CF15" s="13">
        <v>5264.76</v>
      </c>
      <c r="CG15" s="13">
        <v>5260.06</v>
      </c>
      <c r="CH15" s="13">
        <v>5258.19</v>
      </c>
      <c r="CI15" s="13">
        <v>5258.19</v>
      </c>
      <c r="CJ15" s="13">
        <v>5260.18</v>
      </c>
      <c r="CK15" s="13">
        <v>5264.22</v>
      </c>
      <c r="CL15" s="13">
        <v>5267.34</v>
      </c>
      <c r="CM15" s="13">
        <v>5281.81</v>
      </c>
      <c r="CN15" s="13">
        <v>5283.82</v>
      </c>
      <c r="CO15" s="13">
        <v>5279.79</v>
      </c>
      <c r="CP15" s="13">
        <v>5286.78</v>
      </c>
      <c r="CQ15" s="13">
        <v>5288.12</v>
      </c>
      <c r="CR15" s="13">
        <v>5288.06</v>
      </c>
      <c r="CS15" s="13">
        <v>5302.89</v>
      </c>
      <c r="CT15" s="13">
        <v>5301.09</v>
      </c>
      <c r="CU15" s="13">
        <v>5303.12</v>
      </c>
      <c r="CV15" s="13">
        <v>5305.47</v>
      </c>
      <c r="CW15" s="13">
        <v>5295.28</v>
      </c>
      <c r="CX15" s="13">
        <v>5292.54</v>
      </c>
      <c r="CY15" s="13">
        <v>5293.73</v>
      </c>
      <c r="CZ15" s="13">
        <v>5293.25</v>
      </c>
      <c r="DA15" s="13">
        <v>5293.2</v>
      </c>
      <c r="DB15" s="13">
        <v>5293.04</v>
      </c>
      <c r="DC15" s="13">
        <v>5292.37</v>
      </c>
      <c r="DD15" s="13">
        <v>5292.06</v>
      </c>
      <c r="DE15" s="13">
        <v>5293.3</v>
      </c>
      <c r="DF15" s="13">
        <v>5295.8</v>
      </c>
      <c r="DG15" s="13">
        <v>5306.12</v>
      </c>
      <c r="DH15" s="13">
        <v>5306.62</v>
      </c>
      <c r="DI15" s="13">
        <v>5302.41</v>
      </c>
      <c r="DJ15" s="13">
        <v>5304.17</v>
      </c>
      <c r="DK15" s="13">
        <v>5300.1</v>
      </c>
    </row>
    <row r="16" spans="1:115" ht="15.75" x14ac:dyDescent="0.25">
      <c r="A16" s="11" t="s">
        <v>5</v>
      </c>
      <c r="B16" s="11" t="s">
        <v>11</v>
      </c>
      <c r="C16" s="15">
        <v>0.37847222222222227</v>
      </c>
      <c r="D16" s="15">
        <v>0.38194444444444442</v>
      </c>
      <c r="E16" s="15">
        <v>0.38541666666666669</v>
      </c>
      <c r="F16" s="15">
        <v>0.3888888888888889</v>
      </c>
      <c r="G16" s="15">
        <v>0.3923611111111111</v>
      </c>
      <c r="H16" s="15">
        <v>0.39583333333333331</v>
      </c>
      <c r="I16" s="15">
        <v>0.39930555555555558</v>
      </c>
      <c r="J16" s="15">
        <v>0.40277777777777773</v>
      </c>
      <c r="K16" s="15">
        <v>0.40625</v>
      </c>
      <c r="L16" s="15">
        <v>0.40972222222222227</v>
      </c>
      <c r="M16" s="15">
        <v>0.41319444444444442</v>
      </c>
      <c r="N16" s="15">
        <v>0.41666666666666669</v>
      </c>
      <c r="O16" s="15">
        <v>0.4201388888888889</v>
      </c>
      <c r="P16" s="15">
        <v>0.4236111111111111</v>
      </c>
      <c r="Q16" s="15">
        <v>0.42708333333333331</v>
      </c>
      <c r="R16" s="15">
        <v>0.43055555555555558</v>
      </c>
      <c r="S16" s="15">
        <v>0.43402777777777773</v>
      </c>
      <c r="T16" s="15">
        <v>0.4375</v>
      </c>
      <c r="U16" s="15">
        <v>0.44097222222222227</v>
      </c>
      <c r="V16" s="15">
        <v>0.44444444444444442</v>
      </c>
      <c r="W16" s="15">
        <v>0.44791666666666669</v>
      </c>
      <c r="X16" s="15">
        <v>0.4513888888888889</v>
      </c>
      <c r="Y16" s="15">
        <v>0.4548611111111111</v>
      </c>
      <c r="Z16" s="15">
        <v>0.45833333333333331</v>
      </c>
      <c r="AA16" s="15">
        <v>0.46180555555555558</v>
      </c>
      <c r="AB16" s="15">
        <v>0.46527777777777773</v>
      </c>
      <c r="AC16" s="15">
        <v>0.46875</v>
      </c>
      <c r="AD16" s="15">
        <v>0.47222222222222227</v>
      </c>
      <c r="AE16" s="15">
        <v>0.47569444444444442</v>
      </c>
      <c r="AF16" s="15">
        <v>0.47916666666666669</v>
      </c>
      <c r="AG16" s="15">
        <v>0.4826388888888889</v>
      </c>
      <c r="AH16" s="15">
        <v>0.4861111111111111</v>
      </c>
      <c r="AI16" s="15">
        <v>0.48958333333333331</v>
      </c>
      <c r="AJ16" s="15">
        <v>0.49305555555555558</v>
      </c>
      <c r="AK16" s="15">
        <v>0.49652777777777773</v>
      </c>
      <c r="AL16" s="15">
        <v>0.5</v>
      </c>
      <c r="AM16" s="15">
        <v>0.50347222222222221</v>
      </c>
      <c r="AN16" s="15">
        <v>0.50694444444444442</v>
      </c>
      <c r="AO16" s="15">
        <v>0.51041666666666663</v>
      </c>
      <c r="AP16" s="15">
        <v>0.51388888888888895</v>
      </c>
      <c r="AQ16" s="15">
        <v>0.51736111111111105</v>
      </c>
      <c r="AR16" s="15">
        <v>0.52083333333333337</v>
      </c>
      <c r="AS16" s="15">
        <v>0.52430555555555558</v>
      </c>
      <c r="AT16" s="15">
        <v>0.52777777777777779</v>
      </c>
      <c r="AU16" s="15">
        <v>0.53125</v>
      </c>
      <c r="AV16" s="15">
        <v>0.53472222222222221</v>
      </c>
      <c r="AW16" s="15">
        <v>0.53819444444444442</v>
      </c>
      <c r="AX16" s="15">
        <v>0.54166666666666663</v>
      </c>
      <c r="AY16" s="15">
        <v>0.54513888888888895</v>
      </c>
      <c r="AZ16" s="15">
        <v>0.54861111111111105</v>
      </c>
      <c r="BA16" s="15">
        <v>0.55208333333333337</v>
      </c>
      <c r="BB16" s="15">
        <v>0.55555555555555558</v>
      </c>
      <c r="BC16" s="15">
        <v>0.55902777777777779</v>
      </c>
      <c r="BD16" s="15">
        <v>0.5625</v>
      </c>
      <c r="BE16" s="15">
        <v>0.56597222222222221</v>
      </c>
      <c r="BF16" s="15">
        <v>0.56944444444444442</v>
      </c>
      <c r="BG16" s="15">
        <v>0.57291666666666663</v>
      </c>
      <c r="BH16" s="15">
        <v>0.57638888888888895</v>
      </c>
      <c r="BI16" s="15">
        <v>0.57986111111111105</v>
      </c>
      <c r="BJ16" s="15">
        <v>0.58333333333333337</v>
      </c>
      <c r="BK16" s="15">
        <v>0.58680555555555558</v>
      </c>
      <c r="BL16" s="15">
        <v>0.59027777777777779</v>
      </c>
      <c r="BM16" s="15">
        <v>0.59375</v>
      </c>
      <c r="BN16" s="15">
        <v>0.59722222222222221</v>
      </c>
      <c r="BO16" s="15">
        <v>0.60069444444444442</v>
      </c>
      <c r="BP16" s="15">
        <v>0.60416666666666663</v>
      </c>
      <c r="BQ16" s="15">
        <v>0.60763888888888895</v>
      </c>
      <c r="BR16" s="15">
        <v>0.61111111111111105</v>
      </c>
      <c r="BS16" s="15">
        <v>0.61458333333333337</v>
      </c>
      <c r="BT16" s="15">
        <v>0.61805555555555558</v>
      </c>
      <c r="BU16" s="15">
        <v>0.62152777777777779</v>
      </c>
      <c r="BV16" s="15">
        <v>0.625</v>
      </c>
      <c r="BW16" s="15">
        <v>0.62847222222222221</v>
      </c>
      <c r="BX16" s="15">
        <v>0.63194444444444442</v>
      </c>
      <c r="BY16" s="15">
        <v>0.63541666666666663</v>
      </c>
      <c r="BZ16" s="15">
        <v>0.63888888888888895</v>
      </c>
      <c r="CA16" s="15">
        <v>0.64236111111111105</v>
      </c>
      <c r="CB16" s="15">
        <v>0.64583333333333337</v>
      </c>
      <c r="CC16" s="15">
        <v>0.64930555555555558</v>
      </c>
      <c r="CD16" s="15">
        <v>0.65277777777777779</v>
      </c>
      <c r="CE16" s="15">
        <v>0.65625</v>
      </c>
      <c r="CF16" s="15">
        <v>0.65972222222222221</v>
      </c>
      <c r="CG16" s="15">
        <v>0.66319444444444442</v>
      </c>
      <c r="CH16" s="15">
        <v>0.66666666666666663</v>
      </c>
      <c r="CI16" s="15">
        <v>0.67013888888888884</v>
      </c>
      <c r="CJ16" s="15">
        <v>0.67361111111111116</v>
      </c>
      <c r="CK16" s="15">
        <v>0.67708333333333337</v>
      </c>
      <c r="CL16" s="15">
        <v>0.68055555555555547</v>
      </c>
      <c r="CM16" s="15">
        <v>0.68402777777777779</v>
      </c>
      <c r="CN16" s="15">
        <v>0.6875</v>
      </c>
      <c r="CO16" s="15">
        <v>0.69097222222222221</v>
      </c>
      <c r="CP16" s="15">
        <v>0.69444444444444453</v>
      </c>
      <c r="CQ16" s="15">
        <v>0.69791666666666663</v>
      </c>
      <c r="CR16" s="15">
        <v>0.70138888888888884</v>
      </c>
      <c r="CS16" s="15">
        <v>0.70486111111111116</v>
      </c>
      <c r="CT16" s="15">
        <v>0.70833333333333337</v>
      </c>
      <c r="CU16" s="15">
        <v>0.71180555555555547</v>
      </c>
      <c r="CV16" s="15">
        <v>0.71527777777777779</v>
      </c>
      <c r="CW16" s="15">
        <v>0.71875</v>
      </c>
      <c r="CX16" s="15">
        <v>0.72222222222222221</v>
      </c>
      <c r="CY16" s="15">
        <v>0.72569444444444453</v>
      </c>
      <c r="CZ16" s="15">
        <v>0.72916666666666663</v>
      </c>
      <c r="DA16" s="15">
        <v>0.73263888888888884</v>
      </c>
      <c r="DB16" s="15">
        <v>0.73611111111111116</v>
      </c>
      <c r="DC16" s="15">
        <v>0.73958333333333337</v>
      </c>
      <c r="DD16" s="15">
        <v>0.74305555555555547</v>
      </c>
      <c r="DE16" s="15">
        <v>0.74652777777777779</v>
      </c>
      <c r="DF16" s="15">
        <v>0.75</v>
      </c>
      <c r="DG16" s="15">
        <v>0.75347222222222221</v>
      </c>
      <c r="DH16" s="15">
        <v>0.75694444444444453</v>
      </c>
      <c r="DI16" s="15">
        <v>0.76041666666666663</v>
      </c>
      <c r="DJ16" s="15">
        <v>0.76388888888888884</v>
      </c>
      <c r="DK16" s="15">
        <v>0.76736111111111116</v>
      </c>
    </row>
    <row r="17" spans="1:115" ht="15.75" x14ac:dyDescent="0.25">
      <c r="A17" s="14">
        <v>44203</v>
      </c>
      <c r="B17" s="12" t="s">
        <v>6</v>
      </c>
      <c r="C17" s="13">
        <v>5378</v>
      </c>
      <c r="D17" s="13">
        <v>5372</v>
      </c>
      <c r="E17" s="13">
        <v>5364.07</v>
      </c>
      <c r="F17" s="13">
        <v>5355</v>
      </c>
      <c r="G17" s="13">
        <v>5353.42</v>
      </c>
      <c r="H17" s="13">
        <v>5350</v>
      </c>
      <c r="I17" s="13">
        <v>5357.6</v>
      </c>
      <c r="J17" s="13">
        <v>5355.74</v>
      </c>
      <c r="K17" s="13">
        <v>5347.86</v>
      </c>
      <c r="L17" s="13">
        <v>5345</v>
      </c>
      <c r="M17" s="13">
        <v>5353.6</v>
      </c>
      <c r="N17" s="13">
        <v>5345</v>
      </c>
      <c r="O17" s="13">
        <v>5346.09</v>
      </c>
      <c r="P17" s="13">
        <v>5340</v>
      </c>
      <c r="Q17" s="13">
        <v>5337.76</v>
      </c>
      <c r="R17" s="13">
        <v>5336.3</v>
      </c>
      <c r="S17" s="13">
        <v>5345.26</v>
      </c>
      <c r="T17" s="13">
        <v>5349.13</v>
      </c>
      <c r="U17" s="13">
        <v>5350.43</v>
      </c>
      <c r="V17" s="13">
        <v>5352.31</v>
      </c>
      <c r="W17" s="13">
        <v>5351.78</v>
      </c>
      <c r="X17" s="13">
        <v>5343.55</v>
      </c>
      <c r="Y17" s="13">
        <v>5340.59</v>
      </c>
      <c r="Z17" s="13">
        <v>5344.58</v>
      </c>
      <c r="AA17" s="13">
        <v>5347.92</v>
      </c>
      <c r="AB17" s="13">
        <v>5337.84</v>
      </c>
      <c r="AC17" s="13">
        <v>5327.62</v>
      </c>
      <c r="AD17" s="13">
        <v>5334.38</v>
      </c>
      <c r="AE17" s="13">
        <v>5340.15</v>
      </c>
      <c r="AF17" s="13">
        <v>5339.46</v>
      </c>
      <c r="AG17" s="13">
        <v>5340.31</v>
      </c>
      <c r="AH17" s="13">
        <v>5353.07</v>
      </c>
      <c r="AI17" s="13">
        <v>5358.89</v>
      </c>
      <c r="AJ17" s="13">
        <v>5374.37</v>
      </c>
      <c r="AK17" s="13">
        <v>5378.43</v>
      </c>
      <c r="AL17" s="13">
        <v>5383.75</v>
      </c>
      <c r="AM17" s="13">
        <v>5382.79</v>
      </c>
      <c r="AN17" s="13">
        <v>5383.78</v>
      </c>
      <c r="AO17" s="13">
        <v>5387</v>
      </c>
      <c r="AP17" s="13">
        <v>5423.33</v>
      </c>
      <c r="AQ17" s="13">
        <v>5404.8</v>
      </c>
      <c r="AR17" s="13">
        <v>5404.8</v>
      </c>
      <c r="AS17" s="13">
        <v>5401.6</v>
      </c>
      <c r="AT17" s="13">
        <v>5390.4</v>
      </c>
      <c r="AU17" s="13">
        <v>5388.5</v>
      </c>
      <c r="AV17" s="13">
        <v>5395</v>
      </c>
      <c r="AW17" s="13">
        <v>5394.33</v>
      </c>
      <c r="AX17" s="13">
        <v>5393.67</v>
      </c>
      <c r="AY17" s="13">
        <v>5400.33</v>
      </c>
      <c r="AZ17" s="13">
        <v>5397</v>
      </c>
      <c r="BA17" s="13">
        <v>5400.52</v>
      </c>
      <c r="BB17" s="13">
        <v>5396.33</v>
      </c>
      <c r="BC17" s="13">
        <v>5401.67</v>
      </c>
      <c r="BD17" s="13">
        <v>5400.83</v>
      </c>
      <c r="BE17" s="13">
        <v>5401.67</v>
      </c>
      <c r="BF17" s="13">
        <v>5403.33</v>
      </c>
      <c r="BG17" s="13">
        <v>5405</v>
      </c>
      <c r="BH17" s="13">
        <v>5405.91</v>
      </c>
      <c r="BI17" s="13">
        <v>5408.41</v>
      </c>
      <c r="BJ17" s="13">
        <v>5413.81</v>
      </c>
      <c r="BK17" s="13">
        <v>5416.67</v>
      </c>
      <c r="BL17" s="13">
        <v>5414.02</v>
      </c>
      <c r="BM17" s="13">
        <v>5410.58</v>
      </c>
      <c r="BN17" s="13">
        <v>5409.63</v>
      </c>
      <c r="BO17" s="13">
        <v>5411.1</v>
      </c>
      <c r="BP17" s="13">
        <v>5418.41</v>
      </c>
      <c r="BQ17" s="13">
        <v>5415.49</v>
      </c>
      <c r="BR17" s="13">
        <v>5412.56</v>
      </c>
      <c r="BS17" s="13">
        <v>5410.37</v>
      </c>
      <c r="BT17" s="13">
        <v>5433.24</v>
      </c>
      <c r="BU17" s="13">
        <v>5431.18</v>
      </c>
      <c r="BV17" s="13">
        <v>5433.67</v>
      </c>
      <c r="BW17" s="13">
        <v>5436.31</v>
      </c>
      <c r="BX17" s="13">
        <v>5441.5</v>
      </c>
      <c r="BY17" s="13">
        <v>5441.25</v>
      </c>
      <c r="BZ17" s="13">
        <v>5440.5</v>
      </c>
      <c r="CA17" s="13">
        <v>5441</v>
      </c>
      <c r="CB17" s="13">
        <v>5440.5</v>
      </c>
      <c r="CC17" s="13">
        <v>5440.25</v>
      </c>
      <c r="CD17" s="13">
        <v>5427.75</v>
      </c>
      <c r="CE17" s="13">
        <v>5427</v>
      </c>
      <c r="CF17" s="13">
        <v>5425.9</v>
      </c>
      <c r="CG17" s="13">
        <v>5426.48</v>
      </c>
      <c r="CH17" s="13">
        <v>5426.76</v>
      </c>
      <c r="CI17" s="13">
        <v>5425.33</v>
      </c>
      <c r="CJ17" s="13">
        <v>5422</v>
      </c>
      <c r="CK17" s="13">
        <v>5425.62</v>
      </c>
      <c r="CL17" s="13">
        <v>5425.33</v>
      </c>
      <c r="CM17" s="13">
        <v>5426.48</v>
      </c>
      <c r="CN17" s="13">
        <v>5425.62</v>
      </c>
      <c r="CO17" s="13">
        <v>5425.62</v>
      </c>
      <c r="CP17" s="13">
        <v>5425.05</v>
      </c>
      <c r="CQ17" s="13">
        <v>5419.6</v>
      </c>
      <c r="CR17" s="13">
        <v>5425.05</v>
      </c>
      <c r="CS17" s="13">
        <v>5426.48</v>
      </c>
      <c r="CT17" s="13">
        <v>5434.4</v>
      </c>
      <c r="CU17" s="13">
        <v>5440.1</v>
      </c>
      <c r="CV17" s="13">
        <v>5440.67</v>
      </c>
      <c r="CW17" s="13">
        <v>5440.38</v>
      </c>
      <c r="CX17" s="13">
        <v>5433.5</v>
      </c>
      <c r="CY17" s="13">
        <v>5437.38</v>
      </c>
      <c r="CZ17" s="13">
        <v>5436.25</v>
      </c>
      <c r="DA17" s="13">
        <v>5439.25</v>
      </c>
      <c r="DB17" s="13">
        <v>5438.13</v>
      </c>
      <c r="DC17" s="13">
        <v>5438.5</v>
      </c>
      <c r="DD17" s="13">
        <v>5443.17</v>
      </c>
      <c r="DE17" s="13">
        <v>5447.73</v>
      </c>
      <c r="DF17" s="13">
        <v>5447.73</v>
      </c>
      <c r="DG17" s="13">
        <v>5446.64</v>
      </c>
      <c r="DH17" s="13">
        <v>5446.18</v>
      </c>
      <c r="DI17" s="13">
        <v>5442.91</v>
      </c>
      <c r="DJ17" s="13">
        <v>5439</v>
      </c>
      <c r="DK17" s="13">
        <v>5444.23</v>
      </c>
    </row>
    <row r="18" spans="1:115" ht="15.75" x14ac:dyDescent="0.25">
      <c r="A18" s="14" t="s">
        <v>12</v>
      </c>
      <c r="B18" s="12" t="s">
        <v>10</v>
      </c>
      <c r="C18" s="13">
        <v>5368.83</v>
      </c>
      <c r="D18" s="13">
        <v>5360</v>
      </c>
      <c r="E18" s="13">
        <v>5348.64</v>
      </c>
      <c r="F18" s="13">
        <v>5340</v>
      </c>
      <c r="G18" s="13">
        <v>5343.33</v>
      </c>
      <c r="H18" s="13">
        <v>5343.91</v>
      </c>
      <c r="I18" s="13">
        <v>5355</v>
      </c>
      <c r="J18" s="13">
        <v>5345.18</v>
      </c>
      <c r="K18" s="13">
        <v>5328.37</v>
      </c>
      <c r="L18" s="13">
        <v>5340.31</v>
      </c>
      <c r="M18" s="13">
        <v>5346.09</v>
      </c>
      <c r="N18" s="13">
        <v>5336.48</v>
      </c>
      <c r="O18" s="13">
        <v>5336.09</v>
      </c>
      <c r="P18" s="13">
        <v>5330.81</v>
      </c>
      <c r="Q18" s="13">
        <v>5328.69</v>
      </c>
      <c r="R18" s="13">
        <v>5331.97</v>
      </c>
      <c r="S18" s="13">
        <v>5341.94</v>
      </c>
      <c r="T18" s="13">
        <v>5349.13</v>
      </c>
      <c r="U18" s="13">
        <v>5347.32</v>
      </c>
      <c r="V18" s="13">
        <v>5345.62</v>
      </c>
      <c r="W18" s="13">
        <v>5340.94</v>
      </c>
      <c r="X18" s="13">
        <v>5335.87</v>
      </c>
      <c r="Y18" s="13">
        <v>5328.23</v>
      </c>
      <c r="Z18" s="13">
        <v>5343.73</v>
      </c>
      <c r="AA18" s="13">
        <v>5334</v>
      </c>
      <c r="AB18" s="13">
        <v>5324.03</v>
      </c>
      <c r="AC18" s="13">
        <v>5320.41</v>
      </c>
      <c r="AD18" s="13">
        <v>5332.64</v>
      </c>
      <c r="AE18" s="13">
        <v>5328</v>
      </c>
      <c r="AF18" s="13">
        <v>5332.5</v>
      </c>
      <c r="AG18" s="13">
        <v>5337.09</v>
      </c>
      <c r="AH18" s="13">
        <v>5353.07</v>
      </c>
      <c r="AI18" s="13">
        <v>5357.26</v>
      </c>
      <c r="AJ18" s="13">
        <v>5371.39</v>
      </c>
      <c r="AK18" s="13">
        <v>5369.81</v>
      </c>
      <c r="AL18" s="13">
        <v>5376.15</v>
      </c>
      <c r="AM18" s="13">
        <v>5366.5</v>
      </c>
      <c r="AN18" s="13">
        <v>5373.46</v>
      </c>
      <c r="AO18" s="13">
        <v>5382.83</v>
      </c>
      <c r="AP18" s="13">
        <v>5402.4</v>
      </c>
      <c r="AQ18" s="13">
        <v>5401.03</v>
      </c>
      <c r="AR18" s="13">
        <v>5390</v>
      </c>
      <c r="AS18" s="13">
        <v>5388</v>
      </c>
      <c r="AT18" s="13">
        <v>5382.88</v>
      </c>
      <c r="AU18" s="13">
        <v>5386.72</v>
      </c>
      <c r="AV18" s="13">
        <v>5390</v>
      </c>
      <c r="AW18" s="13">
        <v>5385.83</v>
      </c>
      <c r="AX18" s="13">
        <v>5392.5</v>
      </c>
      <c r="AY18" s="13">
        <v>5399.17</v>
      </c>
      <c r="AZ18" s="13">
        <v>5395.32</v>
      </c>
      <c r="BA18" s="13">
        <v>5395</v>
      </c>
      <c r="BB18" s="13">
        <v>5393.33</v>
      </c>
      <c r="BC18" s="13">
        <v>5401.67</v>
      </c>
      <c r="BD18" s="13">
        <v>5400.83</v>
      </c>
      <c r="BE18" s="13">
        <v>5401.67</v>
      </c>
      <c r="BF18" s="13">
        <v>5403.33</v>
      </c>
      <c r="BG18" s="13">
        <v>5402.28</v>
      </c>
      <c r="BH18" s="13">
        <v>5405.91</v>
      </c>
      <c r="BI18" s="13">
        <v>5407.82</v>
      </c>
      <c r="BJ18" s="13">
        <v>5410.47</v>
      </c>
      <c r="BK18" s="13">
        <v>5411.24</v>
      </c>
      <c r="BL18" s="13">
        <v>5409.24</v>
      </c>
      <c r="BM18" s="13">
        <v>5407.91</v>
      </c>
      <c r="BN18" s="13">
        <v>5408.58</v>
      </c>
      <c r="BO18" s="13">
        <v>5411.1</v>
      </c>
      <c r="BP18" s="13">
        <v>5414.58</v>
      </c>
      <c r="BQ18" s="13">
        <v>5411.1</v>
      </c>
      <c r="BR18" s="13">
        <v>5405.49</v>
      </c>
      <c r="BS18" s="13">
        <v>5409.39</v>
      </c>
      <c r="BT18" s="13">
        <v>5420.52</v>
      </c>
      <c r="BU18" s="13">
        <v>5417.85</v>
      </c>
      <c r="BV18" s="13">
        <v>5420.58</v>
      </c>
      <c r="BW18" s="13">
        <v>5423.63</v>
      </c>
      <c r="BX18" s="13">
        <v>5432.5</v>
      </c>
      <c r="BY18" s="13">
        <v>5429.5</v>
      </c>
      <c r="BZ18" s="13">
        <v>5430</v>
      </c>
      <c r="CA18" s="13">
        <v>5429.5</v>
      </c>
      <c r="CB18" s="13">
        <v>5430</v>
      </c>
      <c r="CC18" s="13">
        <v>5417</v>
      </c>
      <c r="CD18" s="13">
        <v>5414</v>
      </c>
      <c r="CE18" s="13">
        <v>5411.33</v>
      </c>
      <c r="CF18" s="13">
        <v>5413.43</v>
      </c>
      <c r="CG18" s="13">
        <v>5414.48</v>
      </c>
      <c r="CH18" s="13">
        <v>5412.86</v>
      </c>
      <c r="CI18" s="13">
        <v>5413.95</v>
      </c>
      <c r="CJ18" s="13">
        <v>5412.38</v>
      </c>
      <c r="CK18" s="13">
        <v>5414.48</v>
      </c>
      <c r="CL18" s="13">
        <v>5413.43</v>
      </c>
      <c r="CM18" s="13">
        <v>5424.76</v>
      </c>
      <c r="CN18" s="13">
        <v>5411.86</v>
      </c>
      <c r="CO18" s="13">
        <v>5414.48</v>
      </c>
      <c r="CP18" s="13">
        <v>5412.9</v>
      </c>
      <c r="CQ18" s="13">
        <v>5419.6</v>
      </c>
      <c r="CR18" s="13">
        <v>5413.43</v>
      </c>
      <c r="CS18" s="13">
        <v>5413.95</v>
      </c>
      <c r="CT18" s="13">
        <v>5429.67</v>
      </c>
      <c r="CU18" s="13">
        <v>5432.81</v>
      </c>
      <c r="CV18" s="13">
        <v>5433.33</v>
      </c>
      <c r="CW18" s="13">
        <v>5436.4</v>
      </c>
      <c r="CX18" s="13">
        <v>5427.44</v>
      </c>
      <c r="CY18" s="13">
        <v>5427.44</v>
      </c>
      <c r="CZ18" s="13">
        <v>5427.44</v>
      </c>
      <c r="DA18" s="13">
        <v>5439.25</v>
      </c>
      <c r="DB18" s="13">
        <v>5428.13</v>
      </c>
      <c r="DC18" s="13">
        <v>5436.82</v>
      </c>
      <c r="DD18" s="13">
        <v>5438.27</v>
      </c>
      <c r="DE18" s="13">
        <v>5439.28</v>
      </c>
      <c r="DF18" s="13">
        <v>5434.88</v>
      </c>
      <c r="DG18" s="13">
        <v>5432.48</v>
      </c>
      <c r="DH18" s="13">
        <v>5435.28</v>
      </c>
      <c r="DI18" s="13">
        <v>5432</v>
      </c>
      <c r="DJ18" s="13">
        <v>5429.62</v>
      </c>
      <c r="DK18" s="13">
        <v>5439.68</v>
      </c>
    </row>
    <row r="19" spans="1:115" ht="15.75" x14ac:dyDescent="0.25">
      <c r="A19" s="14" t="s">
        <v>12</v>
      </c>
      <c r="B19" s="12" t="s">
        <v>9</v>
      </c>
      <c r="C19" s="13">
        <v>5354.27</v>
      </c>
      <c r="D19" s="13">
        <v>5339.75</v>
      </c>
      <c r="E19" s="13">
        <v>5319.4</v>
      </c>
      <c r="F19" s="13">
        <v>5322.59</v>
      </c>
      <c r="G19" s="13">
        <v>5317.85</v>
      </c>
      <c r="H19" s="13">
        <v>5324.12</v>
      </c>
      <c r="I19" s="13">
        <v>5334.67</v>
      </c>
      <c r="J19" s="13">
        <v>5326.53</v>
      </c>
      <c r="K19" s="13">
        <v>5307.41</v>
      </c>
      <c r="L19" s="13">
        <v>5321.14</v>
      </c>
      <c r="M19" s="13">
        <v>5323</v>
      </c>
      <c r="N19" s="13">
        <v>5316.32</v>
      </c>
      <c r="O19" s="13">
        <v>5317.95</v>
      </c>
      <c r="P19" s="13">
        <v>5314.06</v>
      </c>
      <c r="Q19" s="13">
        <v>5306.85</v>
      </c>
      <c r="R19" s="13">
        <v>5312.32</v>
      </c>
      <c r="S19" s="13">
        <v>5322.09</v>
      </c>
      <c r="T19" s="13">
        <v>5321.11</v>
      </c>
      <c r="U19" s="13">
        <v>5326.91</v>
      </c>
      <c r="V19" s="13">
        <v>5323.42</v>
      </c>
      <c r="W19" s="13">
        <v>5318.91</v>
      </c>
      <c r="X19" s="13">
        <v>5315</v>
      </c>
      <c r="Y19" s="13">
        <v>5310.43</v>
      </c>
      <c r="Z19" s="13">
        <v>5322.73</v>
      </c>
      <c r="AA19" s="13">
        <v>5313.7</v>
      </c>
      <c r="AB19" s="13">
        <v>5304.1</v>
      </c>
      <c r="AC19" s="13">
        <v>5304.6</v>
      </c>
      <c r="AD19" s="13">
        <v>5312.04</v>
      </c>
      <c r="AE19" s="13">
        <v>5312.48</v>
      </c>
      <c r="AF19" s="13">
        <v>5309.95</v>
      </c>
      <c r="AG19" s="13">
        <v>5312.98</v>
      </c>
      <c r="AH19" s="13">
        <v>5324.88</v>
      </c>
      <c r="AI19" s="13">
        <v>5327.63</v>
      </c>
      <c r="AJ19" s="13">
        <v>5335.85</v>
      </c>
      <c r="AK19" s="13">
        <v>5334.12</v>
      </c>
      <c r="AL19" s="13">
        <v>5337.11</v>
      </c>
      <c r="AM19" s="13">
        <v>5328.72</v>
      </c>
      <c r="AN19" s="13">
        <v>5330.91</v>
      </c>
      <c r="AO19" s="13">
        <v>5349.8</v>
      </c>
      <c r="AP19" s="13">
        <v>5344.84</v>
      </c>
      <c r="AQ19" s="13">
        <v>5347.19</v>
      </c>
      <c r="AR19" s="13">
        <v>5335.56</v>
      </c>
      <c r="AS19" s="13">
        <v>5340.94</v>
      </c>
      <c r="AT19" s="13">
        <v>5333.15</v>
      </c>
      <c r="AU19" s="13">
        <v>5345.14</v>
      </c>
      <c r="AV19" s="13">
        <v>5327.05</v>
      </c>
      <c r="AW19" s="13">
        <v>5325.23</v>
      </c>
      <c r="AX19" s="13">
        <v>5313.82</v>
      </c>
      <c r="AY19" s="13">
        <v>5332.5</v>
      </c>
      <c r="AZ19" s="13">
        <v>5330.68</v>
      </c>
      <c r="BA19" s="13">
        <v>5330.68</v>
      </c>
      <c r="BB19" s="13">
        <v>5329.32</v>
      </c>
      <c r="BC19" s="13">
        <v>5316.76</v>
      </c>
      <c r="BD19" s="13">
        <v>5333.41</v>
      </c>
      <c r="BE19" s="13">
        <v>5333.86</v>
      </c>
      <c r="BF19" s="13">
        <v>5334.32</v>
      </c>
      <c r="BG19" s="13">
        <v>5333.86</v>
      </c>
      <c r="BH19" s="13">
        <v>5335.68</v>
      </c>
      <c r="BI19" s="13">
        <v>5337.95</v>
      </c>
      <c r="BJ19" s="13">
        <v>5339.77</v>
      </c>
      <c r="BK19" s="13">
        <v>5286.25</v>
      </c>
      <c r="BL19" s="13">
        <v>5294.23</v>
      </c>
      <c r="BM19" s="13">
        <v>5294.23</v>
      </c>
      <c r="BN19" s="13">
        <v>5294.23</v>
      </c>
      <c r="BO19" s="13">
        <v>5294.23</v>
      </c>
      <c r="BP19" s="13">
        <v>5294.23</v>
      </c>
      <c r="BQ19" s="13">
        <v>5301.79</v>
      </c>
      <c r="BR19" s="13">
        <v>5286.25</v>
      </c>
      <c r="BS19" s="13">
        <v>5286.25</v>
      </c>
      <c r="BT19" s="13">
        <v>5305</v>
      </c>
      <c r="BU19" s="13">
        <v>5305</v>
      </c>
      <c r="BV19" s="13">
        <v>5341.22</v>
      </c>
      <c r="BW19" s="13">
        <v>5341.22</v>
      </c>
      <c r="BX19" s="13">
        <v>5341.22</v>
      </c>
      <c r="BY19" s="13">
        <v>5341.22</v>
      </c>
      <c r="BZ19" s="13">
        <v>5341.22</v>
      </c>
      <c r="CA19" s="13">
        <v>5341.22</v>
      </c>
      <c r="CB19" s="13">
        <v>5341.22</v>
      </c>
      <c r="CC19" s="13">
        <v>5346.07</v>
      </c>
      <c r="CD19" s="13">
        <v>5341.22</v>
      </c>
      <c r="CE19" s="13">
        <v>5343.45</v>
      </c>
      <c r="CF19" s="13">
        <v>5347.76</v>
      </c>
      <c r="CG19" s="13">
        <v>5347.9</v>
      </c>
      <c r="CH19" s="13">
        <v>5347.63</v>
      </c>
      <c r="CI19" s="13">
        <v>5347.9</v>
      </c>
      <c r="CJ19" s="13">
        <v>5347.49</v>
      </c>
      <c r="CK19" s="13">
        <v>5348.04</v>
      </c>
      <c r="CL19" s="13">
        <v>5347.76</v>
      </c>
      <c r="CM19" s="13">
        <v>5347.49</v>
      </c>
      <c r="CN19" s="13">
        <v>5347.49</v>
      </c>
      <c r="CO19" s="13">
        <v>5348.04</v>
      </c>
      <c r="CP19" s="13">
        <v>5347.63</v>
      </c>
      <c r="CQ19" s="13">
        <v>5347.22</v>
      </c>
      <c r="CR19" s="13">
        <v>5347.76</v>
      </c>
      <c r="CS19" s="13">
        <v>5347.9</v>
      </c>
      <c r="CT19" s="13">
        <v>5351.19</v>
      </c>
      <c r="CU19" s="13">
        <v>5350.1</v>
      </c>
      <c r="CV19" s="13">
        <v>5350.1</v>
      </c>
      <c r="CW19" s="13">
        <v>5351.53</v>
      </c>
      <c r="CX19" s="13">
        <v>5349.96</v>
      </c>
      <c r="CY19" s="13">
        <v>5357.59</v>
      </c>
      <c r="CZ19" s="13">
        <v>5357.7</v>
      </c>
      <c r="DA19" s="13">
        <v>5358.16</v>
      </c>
      <c r="DB19" s="13">
        <v>5357.7</v>
      </c>
      <c r="DC19" s="13">
        <v>5359.11</v>
      </c>
      <c r="DD19" s="13">
        <v>5359.65</v>
      </c>
      <c r="DE19" s="13">
        <v>5358.28</v>
      </c>
      <c r="DF19" s="13">
        <v>5374.22</v>
      </c>
      <c r="DG19" s="13">
        <v>5372.31</v>
      </c>
      <c r="DH19" s="13">
        <v>5372.13</v>
      </c>
      <c r="DI19" s="13">
        <v>5376.14</v>
      </c>
      <c r="DJ19" s="13">
        <v>5375.45</v>
      </c>
      <c r="DK19" s="13">
        <v>5368.5</v>
      </c>
    </row>
    <row r="20" spans="1:115" ht="15.75" x14ac:dyDescent="0.25">
      <c r="A20" s="14" t="s">
        <v>12</v>
      </c>
      <c r="B20" s="12" t="s">
        <v>7</v>
      </c>
      <c r="C20" s="13">
        <v>5320.33</v>
      </c>
      <c r="D20" s="13">
        <v>5332.92</v>
      </c>
      <c r="E20" s="13">
        <v>5311.91</v>
      </c>
      <c r="F20" s="13">
        <v>5295.86</v>
      </c>
      <c r="G20" s="13">
        <v>5317.73</v>
      </c>
      <c r="H20" s="13">
        <v>5315.77</v>
      </c>
      <c r="I20" s="13">
        <v>5324.21</v>
      </c>
      <c r="J20" s="13">
        <v>5318.83</v>
      </c>
      <c r="K20" s="13">
        <v>5307.41</v>
      </c>
      <c r="L20" s="13">
        <v>5303.32</v>
      </c>
      <c r="M20" s="13">
        <v>5316.32</v>
      </c>
      <c r="N20" s="13">
        <v>5308.05</v>
      </c>
      <c r="O20" s="13">
        <v>5313.26</v>
      </c>
      <c r="P20" s="13">
        <v>5310.84</v>
      </c>
      <c r="Q20" s="13">
        <v>5300.81</v>
      </c>
      <c r="R20" s="13">
        <v>5306.09</v>
      </c>
      <c r="S20" s="13">
        <v>5310.94</v>
      </c>
      <c r="T20" s="13">
        <v>5319.33</v>
      </c>
      <c r="U20" s="13">
        <v>5317.18</v>
      </c>
      <c r="V20" s="13">
        <v>5323.42</v>
      </c>
      <c r="W20" s="13">
        <v>5317.68</v>
      </c>
      <c r="X20" s="13">
        <v>5307.19</v>
      </c>
      <c r="Y20" s="13">
        <v>5310.24</v>
      </c>
      <c r="Z20" s="13">
        <v>5309.4</v>
      </c>
      <c r="AA20" s="13">
        <v>5311.03</v>
      </c>
      <c r="AB20" s="13">
        <v>5300.6</v>
      </c>
      <c r="AC20" s="13">
        <v>5299.83</v>
      </c>
      <c r="AD20" s="13">
        <v>5302.71</v>
      </c>
      <c r="AE20" s="13">
        <v>5309.4</v>
      </c>
      <c r="AF20" s="13">
        <v>5307.92</v>
      </c>
      <c r="AG20" s="13">
        <v>5302.16</v>
      </c>
      <c r="AH20" s="13">
        <v>5306.29</v>
      </c>
      <c r="AI20" s="13">
        <v>5318.61</v>
      </c>
      <c r="AJ20" s="13">
        <v>5319.48</v>
      </c>
      <c r="AK20" s="13">
        <v>5328.45</v>
      </c>
      <c r="AL20" s="13">
        <v>5323.94</v>
      </c>
      <c r="AM20" s="13">
        <v>5328.72</v>
      </c>
      <c r="AN20" s="13">
        <v>5324.94</v>
      </c>
      <c r="AO20" s="13">
        <v>5332.52</v>
      </c>
      <c r="AP20" s="13">
        <v>5286.25</v>
      </c>
      <c r="AQ20" s="13">
        <v>5327.5</v>
      </c>
      <c r="AR20" s="13">
        <v>5326.59</v>
      </c>
      <c r="AS20" s="13">
        <v>5325.68</v>
      </c>
      <c r="AT20" s="13">
        <v>5324.77</v>
      </c>
      <c r="AU20" s="13">
        <v>5323.86</v>
      </c>
      <c r="AV20" s="13">
        <v>5313.24</v>
      </c>
      <c r="AW20" s="13">
        <v>5312.35</v>
      </c>
      <c r="AX20" s="13">
        <v>5311.47</v>
      </c>
      <c r="AY20" s="13">
        <v>5312.65</v>
      </c>
      <c r="AZ20" s="13">
        <v>5313.82</v>
      </c>
      <c r="BA20" s="13">
        <v>5315.29</v>
      </c>
      <c r="BB20" s="13">
        <v>5314.41</v>
      </c>
      <c r="BC20" s="13">
        <v>5313.82</v>
      </c>
      <c r="BD20" s="13">
        <v>5315.59</v>
      </c>
      <c r="BE20" s="13">
        <v>5316.18</v>
      </c>
      <c r="BF20" s="13">
        <v>5316.47</v>
      </c>
      <c r="BG20" s="13">
        <v>5316.76</v>
      </c>
      <c r="BH20" s="13">
        <v>5317.35</v>
      </c>
      <c r="BI20" s="13">
        <v>5317.35</v>
      </c>
      <c r="BJ20" s="13">
        <v>5337.05</v>
      </c>
      <c r="BK20" s="13">
        <v>5286.25</v>
      </c>
      <c r="BL20" s="13">
        <v>5286.25</v>
      </c>
      <c r="BM20" s="13">
        <v>5294.23</v>
      </c>
      <c r="BN20" s="13">
        <v>5294.23</v>
      </c>
      <c r="BO20" s="13">
        <v>5294.23</v>
      </c>
      <c r="BP20" s="13">
        <v>5294.23</v>
      </c>
      <c r="BQ20" s="13">
        <v>5294.23</v>
      </c>
      <c r="BR20" s="13">
        <v>5286.25</v>
      </c>
      <c r="BS20" s="13">
        <v>5286.25</v>
      </c>
      <c r="BT20" s="13">
        <v>5286.25</v>
      </c>
      <c r="BU20" s="13">
        <v>5305</v>
      </c>
      <c r="BV20" s="13">
        <v>5305</v>
      </c>
      <c r="BW20" s="13">
        <v>5341.22</v>
      </c>
      <c r="BX20" s="13">
        <v>5341.22</v>
      </c>
      <c r="BY20" s="13">
        <v>5341.22</v>
      </c>
      <c r="BZ20" s="13">
        <v>5341.22</v>
      </c>
      <c r="CA20" s="13">
        <v>5341.22</v>
      </c>
      <c r="CB20" s="13">
        <v>5341.22</v>
      </c>
      <c r="CC20" s="13">
        <v>5341.22</v>
      </c>
      <c r="CD20" s="13">
        <v>5341.22</v>
      </c>
      <c r="CE20" s="13">
        <v>5338.78</v>
      </c>
      <c r="CF20" s="13">
        <v>5340.55</v>
      </c>
      <c r="CG20" s="13">
        <v>5344.67</v>
      </c>
      <c r="CH20" s="13">
        <v>5344.67</v>
      </c>
      <c r="CI20" s="13">
        <v>5344.5</v>
      </c>
      <c r="CJ20" s="13">
        <v>5344.63</v>
      </c>
      <c r="CK20" s="13">
        <v>5344.54</v>
      </c>
      <c r="CL20" s="13">
        <v>5344.63</v>
      </c>
      <c r="CM20" s="13">
        <v>5344.67</v>
      </c>
      <c r="CN20" s="13">
        <v>5344.54</v>
      </c>
      <c r="CO20" s="13">
        <v>5344.46</v>
      </c>
      <c r="CP20" s="13">
        <v>5346.12</v>
      </c>
      <c r="CQ20" s="13">
        <v>5344.46</v>
      </c>
      <c r="CR20" s="13">
        <v>5345.71</v>
      </c>
      <c r="CS20" s="13">
        <v>5344.76</v>
      </c>
      <c r="CT20" s="13">
        <v>5347.4</v>
      </c>
      <c r="CU20" s="13">
        <v>5345.02</v>
      </c>
      <c r="CV20" s="13">
        <v>5345.33</v>
      </c>
      <c r="CW20" s="13">
        <v>5345.28</v>
      </c>
      <c r="CX20" s="13">
        <v>5345.33</v>
      </c>
      <c r="CY20" s="13">
        <v>5345.28</v>
      </c>
      <c r="CZ20" s="13">
        <v>5354.39</v>
      </c>
      <c r="DA20" s="13">
        <v>5356.1</v>
      </c>
      <c r="DB20" s="13">
        <v>5354.5</v>
      </c>
      <c r="DC20" s="13">
        <v>5354.54</v>
      </c>
      <c r="DD20" s="13">
        <v>5354.79</v>
      </c>
      <c r="DE20" s="13">
        <v>5354.71</v>
      </c>
      <c r="DF20" s="13">
        <v>5354.68</v>
      </c>
      <c r="DG20" s="13">
        <v>5369.27</v>
      </c>
      <c r="DH20" s="13">
        <v>5371.09</v>
      </c>
      <c r="DI20" s="13">
        <v>5371.14</v>
      </c>
      <c r="DJ20" s="13">
        <v>5373.13</v>
      </c>
      <c r="DK20" s="13">
        <v>5367.69</v>
      </c>
    </row>
    <row r="21" spans="1:115" ht="15.75" x14ac:dyDescent="0.25">
      <c r="A21" s="11" t="s">
        <v>5</v>
      </c>
      <c r="B21" s="11" t="s">
        <v>11</v>
      </c>
      <c r="C21" s="15">
        <v>0.37847222222222227</v>
      </c>
      <c r="D21" s="15">
        <v>0.38194444444444442</v>
      </c>
      <c r="E21" s="15">
        <v>0.38541666666666669</v>
      </c>
      <c r="F21" s="15">
        <v>0.3888888888888889</v>
      </c>
      <c r="G21" s="15">
        <v>0.3923611111111111</v>
      </c>
      <c r="H21" s="15">
        <v>0.39583333333333331</v>
      </c>
      <c r="I21" s="15">
        <v>0.39930555555555558</v>
      </c>
      <c r="J21" s="15">
        <v>0.40277777777777773</v>
      </c>
      <c r="K21" s="15">
        <v>0.40625</v>
      </c>
      <c r="L21" s="15">
        <v>0.40972222222222227</v>
      </c>
      <c r="M21" s="15">
        <v>0.41319444444444442</v>
      </c>
      <c r="N21" s="15">
        <v>0.41666666666666669</v>
      </c>
      <c r="O21" s="15">
        <v>0.4201388888888889</v>
      </c>
      <c r="P21" s="15">
        <v>0.4236111111111111</v>
      </c>
      <c r="Q21" s="15">
        <v>0.42708333333333331</v>
      </c>
      <c r="R21" s="15">
        <v>0.43055555555555558</v>
      </c>
      <c r="S21" s="15">
        <v>0.43402777777777773</v>
      </c>
      <c r="T21" s="15">
        <v>0.4375</v>
      </c>
      <c r="U21" s="15">
        <v>0.44097222222222227</v>
      </c>
      <c r="V21" s="15">
        <v>0.44444444444444442</v>
      </c>
      <c r="W21" s="15">
        <v>0.44791666666666669</v>
      </c>
      <c r="X21" s="15">
        <v>0.4513888888888889</v>
      </c>
      <c r="Y21" s="15">
        <v>0.4548611111111111</v>
      </c>
      <c r="Z21" s="15">
        <v>0.45833333333333331</v>
      </c>
      <c r="AA21" s="15">
        <v>0.46180555555555558</v>
      </c>
      <c r="AB21" s="15">
        <v>0.46527777777777773</v>
      </c>
      <c r="AC21" s="15">
        <v>0.46875</v>
      </c>
      <c r="AD21" s="15">
        <v>0.47222222222222227</v>
      </c>
      <c r="AE21" s="15">
        <v>0.47569444444444442</v>
      </c>
      <c r="AF21" s="15">
        <v>0.47916666666666669</v>
      </c>
      <c r="AG21" s="15">
        <v>0.4826388888888889</v>
      </c>
      <c r="AH21" s="15">
        <v>0.4861111111111111</v>
      </c>
      <c r="AI21" s="15">
        <v>0.48958333333333331</v>
      </c>
      <c r="AJ21" s="15">
        <v>0.49305555555555558</v>
      </c>
      <c r="AK21" s="15">
        <v>0.49652777777777773</v>
      </c>
      <c r="AL21" s="15">
        <v>0.5</v>
      </c>
      <c r="AM21" s="15">
        <v>0.50347222222222221</v>
      </c>
      <c r="AN21" s="15">
        <v>0.50694444444444442</v>
      </c>
      <c r="AO21" s="15">
        <v>0.51041666666666663</v>
      </c>
      <c r="AP21" s="15">
        <v>0.51388888888888895</v>
      </c>
      <c r="AQ21" s="15">
        <v>0.51736111111111105</v>
      </c>
      <c r="AR21" s="15">
        <v>0.52083333333333337</v>
      </c>
      <c r="AS21" s="15">
        <v>0.52430555555555558</v>
      </c>
      <c r="AT21" s="15">
        <v>0.52777777777777779</v>
      </c>
      <c r="AU21" s="15">
        <v>0.53125</v>
      </c>
      <c r="AV21" s="15">
        <v>0.53472222222222221</v>
      </c>
      <c r="AW21" s="15">
        <v>0.53819444444444442</v>
      </c>
      <c r="AX21" s="15">
        <v>0.54166666666666663</v>
      </c>
      <c r="AY21" s="15">
        <v>0.54513888888888895</v>
      </c>
      <c r="AZ21" s="15">
        <v>0.54861111111111105</v>
      </c>
      <c r="BA21" s="15">
        <v>0.55208333333333337</v>
      </c>
      <c r="BB21" s="15">
        <v>0.55555555555555558</v>
      </c>
      <c r="BC21" s="15">
        <v>0.55902777777777779</v>
      </c>
      <c r="BD21" s="15">
        <v>0.5625</v>
      </c>
      <c r="BE21" s="15">
        <v>0.56597222222222221</v>
      </c>
      <c r="BF21" s="15">
        <v>0.56944444444444442</v>
      </c>
      <c r="BG21" s="15">
        <v>0.57291666666666663</v>
      </c>
      <c r="BH21" s="15">
        <v>0.57638888888888895</v>
      </c>
      <c r="BI21" s="15">
        <v>0.57986111111111105</v>
      </c>
      <c r="BJ21" s="15">
        <v>0.58333333333333337</v>
      </c>
      <c r="BK21" s="15">
        <v>0.58680555555555558</v>
      </c>
      <c r="BL21" s="15">
        <v>0.59027777777777779</v>
      </c>
      <c r="BM21" s="15">
        <v>0.59375</v>
      </c>
      <c r="BN21" s="15">
        <v>0.59722222222222221</v>
      </c>
      <c r="BO21" s="15">
        <v>0.60069444444444442</v>
      </c>
      <c r="BP21" s="15">
        <v>0.60416666666666663</v>
      </c>
      <c r="BQ21" s="15">
        <v>0.60763888888888895</v>
      </c>
      <c r="BR21" s="15">
        <v>0.61111111111111105</v>
      </c>
      <c r="BS21" s="15">
        <v>0.61458333333333337</v>
      </c>
      <c r="BT21" s="15">
        <v>0.61805555555555558</v>
      </c>
      <c r="BU21" s="15">
        <v>0.62152777777777779</v>
      </c>
      <c r="BV21" s="15">
        <v>0.625</v>
      </c>
      <c r="BW21" s="15">
        <v>0.62847222222222221</v>
      </c>
      <c r="BX21" s="15">
        <v>0.63194444444444442</v>
      </c>
      <c r="BY21" s="15">
        <v>0.63541666666666663</v>
      </c>
      <c r="BZ21" s="15">
        <v>0.63888888888888895</v>
      </c>
      <c r="CA21" s="15">
        <v>0.64236111111111105</v>
      </c>
      <c r="CB21" s="15">
        <v>0.64583333333333337</v>
      </c>
      <c r="CC21" s="15">
        <v>0.64930555555555558</v>
      </c>
      <c r="CD21" s="15">
        <v>0.65277777777777779</v>
      </c>
      <c r="CE21" s="15">
        <v>0.65625</v>
      </c>
      <c r="CF21" s="15">
        <v>0.65972222222222221</v>
      </c>
      <c r="CG21" s="15">
        <v>0.66319444444444442</v>
      </c>
      <c r="CH21" s="15">
        <v>0.66666666666666663</v>
      </c>
      <c r="CI21" s="15">
        <v>0.67013888888888884</v>
      </c>
      <c r="CJ21" s="15">
        <v>0.67361111111111116</v>
      </c>
      <c r="CK21" s="15">
        <v>0.67708333333333337</v>
      </c>
      <c r="CL21" s="15">
        <v>0.68055555555555547</v>
      </c>
      <c r="CM21" s="15">
        <v>0.68402777777777779</v>
      </c>
      <c r="CN21" s="15">
        <v>0.6875</v>
      </c>
      <c r="CO21" s="15">
        <v>0.69097222222222221</v>
      </c>
      <c r="CP21" s="15">
        <v>0.69444444444444453</v>
      </c>
      <c r="CQ21" s="15">
        <v>0.69791666666666663</v>
      </c>
      <c r="CR21" s="15">
        <v>0.70138888888888884</v>
      </c>
      <c r="CS21" s="15">
        <v>0.70486111111111116</v>
      </c>
      <c r="CT21" s="15">
        <v>0.70833333333333337</v>
      </c>
      <c r="CU21" s="15">
        <v>0.71180555555555547</v>
      </c>
      <c r="CV21" s="15">
        <v>0.71527777777777779</v>
      </c>
      <c r="CW21" s="15">
        <v>0.71875</v>
      </c>
      <c r="CX21" s="15">
        <v>0.72222222222222221</v>
      </c>
      <c r="CY21" s="15">
        <v>0.72569444444444453</v>
      </c>
      <c r="CZ21" s="15">
        <v>0.72916666666666663</v>
      </c>
      <c r="DA21" s="15">
        <v>0.73263888888888884</v>
      </c>
      <c r="DB21" s="15">
        <v>0.73611111111111116</v>
      </c>
      <c r="DC21" s="15">
        <v>0.73958333333333337</v>
      </c>
      <c r="DD21" s="15">
        <v>0.74305555555555547</v>
      </c>
      <c r="DE21" s="15">
        <v>0.74652777777777779</v>
      </c>
      <c r="DF21" s="15">
        <v>0.75</v>
      </c>
      <c r="DG21" s="15">
        <v>0.75347222222222221</v>
      </c>
      <c r="DH21" s="15">
        <v>0.75694444444444453</v>
      </c>
      <c r="DI21" s="15">
        <v>0.76041666666666663</v>
      </c>
      <c r="DJ21" s="15">
        <v>0.76388888888888884</v>
      </c>
      <c r="DK21" s="15">
        <v>0.76736111111111116</v>
      </c>
    </row>
    <row r="22" spans="1:115" ht="15.75" x14ac:dyDescent="0.25">
      <c r="A22" s="14">
        <v>44204</v>
      </c>
      <c r="B22" s="12" t="s">
        <v>6</v>
      </c>
      <c r="C22" s="13">
        <v>5420</v>
      </c>
      <c r="D22" s="13">
        <v>5413.33</v>
      </c>
      <c r="E22" s="13">
        <v>5388</v>
      </c>
      <c r="F22" s="13">
        <v>5383.33</v>
      </c>
      <c r="G22" s="13">
        <v>5390.33</v>
      </c>
      <c r="H22" s="13">
        <v>5385.33</v>
      </c>
      <c r="I22" s="13">
        <v>5404</v>
      </c>
      <c r="J22" s="13">
        <v>5405</v>
      </c>
      <c r="K22" s="13">
        <v>5404</v>
      </c>
      <c r="L22" s="13">
        <v>5404.5</v>
      </c>
      <c r="M22" s="13">
        <v>5404.5</v>
      </c>
      <c r="N22" s="13">
        <v>5403.5</v>
      </c>
      <c r="O22" s="13">
        <v>5401</v>
      </c>
      <c r="P22" s="13">
        <v>5400</v>
      </c>
      <c r="Q22" s="13">
        <v>5402.5</v>
      </c>
      <c r="R22" s="13">
        <v>5402</v>
      </c>
      <c r="S22" s="13">
        <v>5398.5</v>
      </c>
      <c r="T22" s="13">
        <v>5399</v>
      </c>
      <c r="U22" s="13">
        <v>5401</v>
      </c>
      <c r="V22" s="13">
        <v>5384.83</v>
      </c>
      <c r="W22" s="13">
        <v>5365.58</v>
      </c>
      <c r="X22" s="13">
        <v>5413</v>
      </c>
      <c r="Y22" s="13">
        <v>5370.88</v>
      </c>
      <c r="Z22" s="13">
        <v>5370.36</v>
      </c>
      <c r="AA22" s="13">
        <v>5372.14</v>
      </c>
      <c r="AB22" s="13">
        <v>5371.21</v>
      </c>
      <c r="AC22" s="13">
        <v>5376.86</v>
      </c>
      <c r="AD22" s="13">
        <v>5372.79</v>
      </c>
      <c r="AE22" s="13">
        <v>5362.75</v>
      </c>
      <c r="AF22" s="13">
        <v>5367.29</v>
      </c>
      <c r="AG22" s="13">
        <v>5366.5</v>
      </c>
      <c r="AH22" s="13">
        <v>5378.29</v>
      </c>
      <c r="AI22" s="13">
        <v>5383.93</v>
      </c>
      <c r="AJ22" s="13">
        <v>5402.12</v>
      </c>
      <c r="AK22" s="13">
        <v>5413.88</v>
      </c>
      <c r="AL22" s="13">
        <v>5429.25</v>
      </c>
      <c r="AM22" s="13">
        <v>5428.35</v>
      </c>
      <c r="AN22" s="13">
        <v>5414.87</v>
      </c>
      <c r="AO22" s="13">
        <v>5411.69</v>
      </c>
      <c r="AP22" s="13">
        <v>5414</v>
      </c>
      <c r="AQ22" s="13">
        <v>5419.43</v>
      </c>
      <c r="AR22" s="13">
        <v>5424.5</v>
      </c>
      <c r="AS22" s="13">
        <v>5421.75</v>
      </c>
      <c r="AT22" s="13">
        <v>5425.13</v>
      </c>
      <c r="AU22" s="13">
        <v>5424.38</v>
      </c>
      <c r="AV22" s="13">
        <v>5422.88</v>
      </c>
      <c r="AW22" s="13">
        <v>5422.58</v>
      </c>
      <c r="AX22" s="13">
        <v>5415.38</v>
      </c>
      <c r="AY22" s="13">
        <v>5411.63</v>
      </c>
      <c r="AZ22" s="13">
        <v>5411.63</v>
      </c>
      <c r="BA22" s="13">
        <v>5413.13</v>
      </c>
      <c r="BB22" s="13">
        <v>5419.13</v>
      </c>
      <c r="BC22" s="13">
        <v>5410.88</v>
      </c>
      <c r="BD22" s="13">
        <v>5407.13</v>
      </c>
      <c r="BE22" s="13">
        <v>5407.13</v>
      </c>
      <c r="BF22" s="13">
        <v>5407.15</v>
      </c>
      <c r="BG22" s="13">
        <v>5410.13</v>
      </c>
      <c r="BH22" s="13">
        <v>5407.88</v>
      </c>
      <c r="BI22" s="13">
        <v>5409.25</v>
      </c>
      <c r="BJ22" s="13">
        <v>5407.88</v>
      </c>
      <c r="BK22" s="13">
        <v>5419.13</v>
      </c>
      <c r="BL22" s="13">
        <v>5419.13</v>
      </c>
      <c r="BM22" s="13">
        <v>5417.63</v>
      </c>
      <c r="BN22" s="13">
        <v>5408.63</v>
      </c>
      <c r="BO22" s="13">
        <v>5412.38</v>
      </c>
      <c r="BP22" s="13">
        <v>5412.38</v>
      </c>
      <c r="BQ22" s="13">
        <v>5410.13</v>
      </c>
      <c r="BR22" s="13">
        <v>5410.13</v>
      </c>
      <c r="BS22" s="13">
        <v>5407.88</v>
      </c>
      <c r="BT22" s="13">
        <v>5407.13</v>
      </c>
      <c r="BU22" s="13">
        <v>5410.2</v>
      </c>
      <c r="BV22" s="13">
        <v>5405.07</v>
      </c>
      <c r="BW22" s="13">
        <v>5405.8</v>
      </c>
      <c r="BX22" s="13">
        <v>5405.8</v>
      </c>
      <c r="BY22" s="13">
        <v>5408.73</v>
      </c>
      <c r="BZ22" s="13">
        <v>5417.53</v>
      </c>
      <c r="CA22" s="13">
        <v>5427.07</v>
      </c>
      <c r="CB22" s="13">
        <v>5431.36</v>
      </c>
      <c r="CC22" s="13">
        <v>5454</v>
      </c>
      <c r="CD22" s="13">
        <v>5469.25</v>
      </c>
      <c r="CE22" s="13">
        <v>5456.69</v>
      </c>
      <c r="CF22" s="13">
        <v>5452.94</v>
      </c>
      <c r="CG22" s="13">
        <v>5448.33</v>
      </c>
      <c r="CH22" s="13">
        <v>5447.56</v>
      </c>
      <c r="CI22" s="13">
        <v>5445.56</v>
      </c>
      <c r="CJ22" s="13">
        <v>5440.64</v>
      </c>
      <c r="CK22" s="13">
        <v>5435.67</v>
      </c>
      <c r="CL22" s="13">
        <v>5439</v>
      </c>
      <c r="CM22" s="13">
        <v>5440.22</v>
      </c>
      <c r="CN22" s="13">
        <v>5441.44</v>
      </c>
      <c r="CO22" s="13">
        <v>5438.21</v>
      </c>
      <c r="CP22" s="13">
        <v>5433.5</v>
      </c>
      <c r="CQ22" s="13">
        <v>5438.89</v>
      </c>
      <c r="CR22" s="13">
        <v>5432.71</v>
      </c>
      <c r="CS22" s="13">
        <v>5435</v>
      </c>
      <c r="CT22" s="13">
        <v>5439.67</v>
      </c>
      <c r="CU22" s="13">
        <v>5440.22</v>
      </c>
      <c r="CV22" s="13">
        <v>5438.22</v>
      </c>
      <c r="CW22" s="13">
        <v>5434.33</v>
      </c>
      <c r="CX22" s="13">
        <v>5432.89</v>
      </c>
      <c r="CY22" s="13">
        <v>5433.44</v>
      </c>
      <c r="CZ22" s="13">
        <v>5431.56</v>
      </c>
      <c r="DA22" s="13">
        <v>5431</v>
      </c>
      <c r="DB22" s="13">
        <v>5434.89</v>
      </c>
      <c r="DC22" s="13">
        <v>5437</v>
      </c>
      <c r="DD22" s="13">
        <v>5436.33</v>
      </c>
      <c r="DE22" s="13">
        <v>5437.56</v>
      </c>
      <c r="DF22" s="13">
        <v>5440.89</v>
      </c>
      <c r="DG22" s="13">
        <v>5442.46</v>
      </c>
      <c r="DH22" s="13">
        <v>5436.83</v>
      </c>
      <c r="DI22" s="13">
        <v>5438.31</v>
      </c>
      <c r="DJ22" s="13">
        <v>5441.63</v>
      </c>
      <c r="DK22" s="13">
        <v>5443</v>
      </c>
    </row>
    <row r="23" spans="1:115" ht="15.75" x14ac:dyDescent="0.25">
      <c r="A23" s="14" t="s">
        <v>12</v>
      </c>
      <c r="B23" s="12" t="s">
        <v>10</v>
      </c>
      <c r="C23" s="13">
        <v>5394.29</v>
      </c>
      <c r="D23" s="13">
        <v>5379</v>
      </c>
      <c r="E23" s="13">
        <v>5385</v>
      </c>
      <c r="F23" s="13">
        <v>5373.33</v>
      </c>
      <c r="G23" s="13">
        <v>5382</v>
      </c>
      <c r="H23" s="13">
        <v>5384</v>
      </c>
      <c r="I23" s="13">
        <v>5387.57</v>
      </c>
      <c r="J23" s="13">
        <v>5390.14</v>
      </c>
      <c r="K23" s="13">
        <v>5386.71</v>
      </c>
      <c r="L23" s="13">
        <v>5384.14</v>
      </c>
      <c r="M23" s="13">
        <v>5385.86</v>
      </c>
      <c r="N23" s="13">
        <v>5387.5</v>
      </c>
      <c r="O23" s="13">
        <v>5379.86</v>
      </c>
      <c r="P23" s="13">
        <v>5380.71</v>
      </c>
      <c r="Q23" s="13">
        <v>5385.86</v>
      </c>
      <c r="R23" s="13">
        <v>5385</v>
      </c>
      <c r="S23" s="13">
        <v>5377.29</v>
      </c>
      <c r="T23" s="13">
        <v>5376.56</v>
      </c>
      <c r="U23" s="13">
        <v>5381.17</v>
      </c>
      <c r="V23" s="13">
        <v>5372</v>
      </c>
      <c r="W23" s="13">
        <v>5346.25</v>
      </c>
      <c r="X23" s="13">
        <v>5350.81</v>
      </c>
      <c r="Y23" s="13">
        <v>5363.72</v>
      </c>
      <c r="Z23" s="13">
        <v>5354.96</v>
      </c>
      <c r="AA23" s="13">
        <v>5363.71</v>
      </c>
      <c r="AB23" s="13">
        <v>5364.58</v>
      </c>
      <c r="AC23" s="13">
        <v>5365.38</v>
      </c>
      <c r="AD23" s="13">
        <v>5355.75</v>
      </c>
      <c r="AE23" s="13">
        <v>5354.88</v>
      </c>
      <c r="AF23" s="13">
        <v>5367.29</v>
      </c>
      <c r="AG23" s="13">
        <v>5360.13</v>
      </c>
      <c r="AH23" s="13">
        <v>5378.29</v>
      </c>
      <c r="AI23" s="13">
        <v>5381.96</v>
      </c>
      <c r="AJ23" s="13">
        <v>5402.12</v>
      </c>
      <c r="AK23" s="13">
        <v>5409.88</v>
      </c>
      <c r="AL23" s="13">
        <v>5410.28</v>
      </c>
      <c r="AM23" s="13">
        <v>5407.48</v>
      </c>
      <c r="AN23" s="13">
        <v>5412.46</v>
      </c>
      <c r="AO23" s="13">
        <v>5406.61</v>
      </c>
      <c r="AP23" s="13">
        <v>5403.13</v>
      </c>
      <c r="AQ23" s="13">
        <v>5416.33</v>
      </c>
      <c r="AR23" s="13">
        <v>5418.83</v>
      </c>
      <c r="AS23" s="13">
        <v>5420.08</v>
      </c>
      <c r="AT23" s="13">
        <v>5422.38</v>
      </c>
      <c r="AU23" s="13">
        <v>5420.69</v>
      </c>
      <c r="AV23" s="13">
        <v>5420.62</v>
      </c>
      <c r="AW23" s="13">
        <v>5413.92</v>
      </c>
      <c r="AX23" s="13">
        <v>5410.54</v>
      </c>
      <c r="AY23" s="13">
        <v>5399.08</v>
      </c>
      <c r="AZ23" s="13">
        <v>5405.92</v>
      </c>
      <c r="BA23" s="13">
        <v>5408</v>
      </c>
      <c r="BB23" s="13">
        <v>5405.46</v>
      </c>
      <c r="BC23" s="13">
        <v>5403.77</v>
      </c>
      <c r="BD23" s="13">
        <v>5401.62</v>
      </c>
      <c r="BE23" s="13">
        <v>5400.77</v>
      </c>
      <c r="BF23" s="13">
        <v>5405.46</v>
      </c>
      <c r="BG23" s="13">
        <v>5405.46</v>
      </c>
      <c r="BH23" s="13">
        <v>5401.62</v>
      </c>
      <c r="BI23" s="13">
        <v>5404.15</v>
      </c>
      <c r="BJ23" s="13">
        <v>5405.85</v>
      </c>
      <c r="BK23" s="13">
        <v>5416.85</v>
      </c>
      <c r="BL23" s="13">
        <v>5414.31</v>
      </c>
      <c r="BM23" s="13">
        <v>5404.15</v>
      </c>
      <c r="BN23" s="13">
        <v>5407.54</v>
      </c>
      <c r="BO23" s="13">
        <v>5408</v>
      </c>
      <c r="BP23" s="13">
        <v>5408</v>
      </c>
      <c r="BQ23" s="13">
        <v>5408</v>
      </c>
      <c r="BR23" s="13">
        <v>5404.62</v>
      </c>
      <c r="BS23" s="13">
        <v>5402.46</v>
      </c>
      <c r="BT23" s="13">
        <v>5404.48</v>
      </c>
      <c r="BU23" s="13">
        <v>5402.8</v>
      </c>
      <c r="BV23" s="13">
        <v>5394</v>
      </c>
      <c r="BW23" s="13">
        <v>5400.72</v>
      </c>
      <c r="BX23" s="13">
        <v>5403.24</v>
      </c>
      <c r="BY23" s="13">
        <v>5403.24</v>
      </c>
      <c r="BZ23" s="13">
        <v>5417.52</v>
      </c>
      <c r="CA23" s="13">
        <v>5426.76</v>
      </c>
      <c r="CB23" s="13">
        <v>5430.08</v>
      </c>
      <c r="CC23" s="13">
        <v>5454</v>
      </c>
      <c r="CD23" s="13">
        <v>5452.31</v>
      </c>
      <c r="CE23" s="13">
        <v>5446.81</v>
      </c>
      <c r="CF23" s="13">
        <v>5448.96</v>
      </c>
      <c r="CG23" s="13">
        <v>5443</v>
      </c>
      <c r="CH23" s="13">
        <v>5446.33</v>
      </c>
      <c r="CI23" s="13">
        <v>5435.93</v>
      </c>
      <c r="CJ23" s="13">
        <v>5429.64</v>
      </c>
      <c r="CK23" s="13">
        <v>5433.57</v>
      </c>
      <c r="CL23" s="13">
        <v>5433.57</v>
      </c>
      <c r="CM23" s="13">
        <v>5438.89</v>
      </c>
      <c r="CN23" s="13">
        <v>5436.64</v>
      </c>
      <c r="CO23" s="13">
        <v>5431.93</v>
      </c>
      <c r="CP23" s="13">
        <v>5433.5</v>
      </c>
      <c r="CQ23" s="13">
        <v>5432.71</v>
      </c>
      <c r="CR23" s="13">
        <v>5431.93</v>
      </c>
      <c r="CS23" s="13">
        <v>5432.79</v>
      </c>
      <c r="CT23" s="13">
        <v>5434.36</v>
      </c>
      <c r="CU23" s="13">
        <v>5432.79</v>
      </c>
      <c r="CV23" s="13">
        <v>5428</v>
      </c>
      <c r="CW23" s="13">
        <v>5427.21</v>
      </c>
      <c r="CX23" s="13">
        <v>5427.21</v>
      </c>
      <c r="CY23" s="13">
        <v>5424.86</v>
      </c>
      <c r="CZ23" s="13">
        <v>5424.86</v>
      </c>
      <c r="DA23" s="13">
        <v>5425.71</v>
      </c>
      <c r="DB23" s="13">
        <v>5428.86</v>
      </c>
      <c r="DC23" s="13">
        <v>5431.93</v>
      </c>
      <c r="DD23" s="13">
        <v>5431.93</v>
      </c>
      <c r="DE23" s="13">
        <v>5431.93</v>
      </c>
      <c r="DF23" s="13">
        <v>5439.07</v>
      </c>
      <c r="DG23" s="13">
        <v>5438.29</v>
      </c>
      <c r="DH23" s="13">
        <v>5435.17</v>
      </c>
      <c r="DI23" s="13">
        <v>5436.62</v>
      </c>
      <c r="DJ23" s="13">
        <v>5437.38</v>
      </c>
      <c r="DK23" s="13">
        <v>5440.77</v>
      </c>
    </row>
    <row r="24" spans="1:115" ht="15.75" x14ac:dyDescent="0.25">
      <c r="A24" s="14" t="s">
        <v>12</v>
      </c>
      <c r="B24" s="12" t="s">
        <v>9</v>
      </c>
      <c r="C24" s="13">
        <v>5355.45</v>
      </c>
      <c r="D24" s="13">
        <v>5330</v>
      </c>
      <c r="E24" s="13">
        <v>5353</v>
      </c>
      <c r="F24" s="13">
        <v>5348</v>
      </c>
      <c r="G24" s="13">
        <v>5368.41</v>
      </c>
      <c r="H24" s="13">
        <v>5369.82</v>
      </c>
      <c r="I24" s="13">
        <v>5369.12</v>
      </c>
      <c r="J24" s="13">
        <v>5366.5</v>
      </c>
      <c r="K24" s="13">
        <v>5365.67</v>
      </c>
      <c r="L24" s="13">
        <v>5366.5</v>
      </c>
      <c r="M24" s="13">
        <v>5367.71</v>
      </c>
      <c r="N24" s="13">
        <v>5369.82</v>
      </c>
      <c r="O24" s="13">
        <v>5363.47</v>
      </c>
      <c r="P24" s="13">
        <v>5364.18</v>
      </c>
      <c r="Q24" s="13">
        <v>5367.71</v>
      </c>
      <c r="R24" s="13">
        <v>5367</v>
      </c>
      <c r="S24" s="13">
        <v>5358.83</v>
      </c>
      <c r="T24" s="13">
        <v>5346.57</v>
      </c>
      <c r="U24" s="13">
        <v>5367.91</v>
      </c>
      <c r="V24" s="13">
        <v>5356.91</v>
      </c>
      <c r="W24" s="13">
        <v>5328.91</v>
      </c>
      <c r="X24" s="13">
        <v>5325.42</v>
      </c>
      <c r="Y24" s="13">
        <v>5340.08</v>
      </c>
      <c r="Z24" s="13">
        <v>5331.78</v>
      </c>
      <c r="AA24" s="13">
        <v>5341.95</v>
      </c>
      <c r="AB24" s="13">
        <v>5342.91</v>
      </c>
      <c r="AC24" s="13">
        <v>5342.91</v>
      </c>
      <c r="AD24" s="13">
        <v>5332.41</v>
      </c>
      <c r="AE24" s="13">
        <v>5331.91</v>
      </c>
      <c r="AF24" s="13">
        <v>5336.14</v>
      </c>
      <c r="AG24" s="13">
        <v>5337.18</v>
      </c>
      <c r="AH24" s="13">
        <v>5349.5</v>
      </c>
      <c r="AI24" s="13">
        <v>5360.95</v>
      </c>
      <c r="AJ24" s="13">
        <v>5383.86</v>
      </c>
      <c r="AK24" s="13">
        <v>5386.3</v>
      </c>
      <c r="AL24" s="13">
        <v>5376.92</v>
      </c>
      <c r="AM24" s="13">
        <v>5380.83</v>
      </c>
      <c r="AN24" s="13">
        <v>5390.48</v>
      </c>
      <c r="AO24" s="13">
        <v>5378.33</v>
      </c>
      <c r="AP24" s="13">
        <v>5382.86</v>
      </c>
      <c r="AQ24" s="13">
        <v>5396.19</v>
      </c>
      <c r="AR24" s="13">
        <v>5399.3</v>
      </c>
      <c r="AS24" s="13">
        <v>5400.17</v>
      </c>
      <c r="AT24" s="13">
        <v>5404.96</v>
      </c>
      <c r="AU24" s="13">
        <v>5402.17</v>
      </c>
      <c r="AV24" s="13">
        <v>5402.17</v>
      </c>
      <c r="AW24" s="13">
        <v>5390.91</v>
      </c>
      <c r="AX24" s="13">
        <v>5389.83</v>
      </c>
      <c r="AY24" s="13">
        <v>5375.75</v>
      </c>
      <c r="AZ24" s="13">
        <v>5382.25</v>
      </c>
      <c r="BA24" s="13">
        <v>5384.08</v>
      </c>
      <c r="BB24" s="13">
        <v>5381.33</v>
      </c>
      <c r="BC24" s="13">
        <v>5379.5</v>
      </c>
      <c r="BD24" s="13">
        <v>5377.67</v>
      </c>
      <c r="BE24" s="13">
        <v>5377.67</v>
      </c>
      <c r="BF24" s="13">
        <v>5383.08</v>
      </c>
      <c r="BG24" s="13">
        <v>5381.42</v>
      </c>
      <c r="BH24" s="13">
        <v>5377.75</v>
      </c>
      <c r="BI24" s="13">
        <v>5380.42</v>
      </c>
      <c r="BJ24" s="13">
        <v>5382.25</v>
      </c>
      <c r="BK24" s="13">
        <v>5393.25</v>
      </c>
      <c r="BL24" s="13">
        <v>5390.5</v>
      </c>
      <c r="BM24" s="13">
        <v>5380.42</v>
      </c>
      <c r="BN24" s="13">
        <v>5384.08</v>
      </c>
      <c r="BO24" s="13">
        <v>5385</v>
      </c>
      <c r="BP24" s="13">
        <v>5385</v>
      </c>
      <c r="BQ24" s="13">
        <v>5384.08</v>
      </c>
      <c r="BR24" s="13">
        <v>5380.42</v>
      </c>
      <c r="BS24" s="13">
        <v>5377.67</v>
      </c>
      <c r="BT24" s="13">
        <v>5380.42</v>
      </c>
      <c r="BU24" s="13">
        <v>5378.58</v>
      </c>
      <c r="BV24" s="13">
        <v>5368.5</v>
      </c>
      <c r="BW24" s="13">
        <v>5376.75</v>
      </c>
      <c r="BX24" s="13">
        <v>5378.58</v>
      </c>
      <c r="BY24" s="13">
        <v>5378.58</v>
      </c>
      <c r="BZ24" s="13">
        <v>5395.08</v>
      </c>
      <c r="CA24" s="13">
        <v>5405.17</v>
      </c>
      <c r="CB24" s="13">
        <v>5407.92</v>
      </c>
      <c r="CC24" s="13">
        <v>5360</v>
      </c>
      <c r="CD24" s="13">
        <v>5431.9</v>
      </c>
      <c r="CE24" s="13">
        <v>5409.9</v>
      </c>
      <c r="CF24" s="13">
        <v>5410</v>
      </c>
      <c r="CG24" s="13">
        <v>5410.25</v>
      </c>
      <c r="CH24" s="13">
        <v>5410.24</v>
      </c>
      <c r="CI24" s="13">
        <v>5410.06</v>
      </c>
      <c r="CJ24" s="13">
        <v>5406</v>
      </c>
      <c r="CK24" s="13">
        <v>5410</v>
      </c>
      <c r="CL24" s="13">
        <v>5411</v>
      </c>
      <c r="CM24" s="13">
        <v>5411</v>
      </c>
      <c r="CN24" s="13">
        <v>5410.06</v>
      </c>
      <c r="CO24" s="13">
        <v>5408.96</v>
      </c>
      <c r="CP24" s="13">
        <v>5409.98</v>
      </c>
      <c r="CQ24" s="13">
        <v>5408.98</v>
      </c>
      <c r="CR24" s="13">
        <v>5408.96</v>
      </c>
      <c r="CS24" s="13">
        <v>5409.98</v>
      </c>
      <c r="CT24" s="13">
        <v>5410.02</v>
      </c>
      <c r="CU24" s="13">
        <v>5409.98</v>
      </c>
      <c r="CV24" s="13">
        <v>5402</v>
      </c>
      <c r="CW24" s="13">
        <v>5401</v>
      </c>
      <c r="CX24" s="13">
        <v>5401</v>
      </c>
      <c r="CY24" s="13">
        <v>5399</v>
      </c>
      <c r="CZ24" s="13">
        <v>0</v>
      </c>
      <c r="DA24" s="13">
        <v>5400</v>
      </c>
      <c r="DB24" s="13">
        <v>0</v>
      </c>
      <c r="DC24" s="13">
        <v>5407</v>
      </c>
      <c r="DD24" s="13">
        <v>5411.57</v>
      </c>
      <c r="DE24" s="13">
        <v>5410.57</v>
      </c>
      <c r="DF24" s="13">
        <v>5420.57</v>
      </c>
      <c r="DG24" s="13">
        <v>5419.57</v>
      </c>
      <c r="DH24" s="13">
        <v>5416.57</v>
      </c>
      <c r="DI24" s="13">
        <v>5419.57</v>
      </c>
      <c r="DJ24" s="13">
        <v>5420.57</v>
      </c>
      <c r="DK24" s="13">
        <v>5423.57</v>
      </c>
    </row>
    <row r="25" spans="1:115" ht="15.75" x14ac:dyDescent="0.25">
      <c r="A25" s="14" t="s">
        <v>12</v>
      </c>
      <c r="B25" s="12" t="s">
        <v>7</v>
      </c>
      <c r="C25" s="13">
        <v>5330</v>
      </c>
      <c r="D25" s="13">
        <v>5330</v>
      </c>
      <c r="E25" s="13">
        <v>5330</v>
      </c>
      <c r="F25" s="13">
        <v>5330</v>
      </c>
      <c r="G25" s="13">
        <v>5334.67</v>
      </c>
      <c r="H25" s="13">
        <v>5364.88</v>
      </c>
      <c r="I25" s="13">
        <v>5364.18</v>
      </c>
      <c r="J25" s="13">
        <v>5365.5</v>
      </c>
      <c r="K25" s="13">
        <v>5363.47</v>
      </c>
      <c r="L25" s="13">
        <v>5366</v>
      </c>
      <c r="M25" s="13">
        <v>5364.18</v>
      </c>
      <c r="N25" s="13">
        <v>5366</v>
      </c>
      <c r="O25" s="13">
        <v>5363.35</v>
      </c>
      <c r="P25" s="13">
        <v>5362.76</v>
      </c>
      <c r="Q25" s="13">
        <v>5364.18</v>
      </c>
      <c r="R25" s="13">
        <v>5364.88</v>
      </c>
      <c r="S25" s="13">
        <v>5355.83</v>
      </c>
      <c r="T25" s="13">
        <v>5345.86</v>
      </c>
      <c r="U25" s="13">
        <v>5343.86</v>
      </c>
      <c r="V25" s="13">
        <v>5355.91</v>
      </c>
      <c r="W25" s="13">
        <v>5327.91</v>
      </c>
      <c r="X25" s="13">
        <v>5320</v>
      </c>
      <c r="Y25" s="13">
        <v>5326.33</v>
      </c>
      <c r="Z25" s="13">
        <v>5331.78</v>
      </c>
      <c r="AA25" s="13">
        <v>5329.96</v>
      </c>
      <c r="AB25" s="13">
        <v>5337.19</v>
      </c>
      <c r="AC25" s="13">
        <v>5341.71</v>
      </c>
      <c r="AD25" s="13">
        <v>5332.41</v>
      </c>
      <c r="AE25" s="13">
        <v>5326.33</v>
      </c>
      <c r="AF25" s="13">
        <v>5328.59</v>
      </c>
      <c r="AG25" s="13">
        <v>5330.5</v>
      </c>
      <c r="AH25" s="13">
        <v>5335.18</v>
      </c>
      <c r="AI25" s="13">
        <v>5350.45</v>
      </c>
      <c r="AJ25" s="13">
        <v>5364.77</v>
      </c>
      <c r="AK25" s="13">
        <v>5381</v>
      </c>
      <c r="AL25" s="13">
        <v>5320</v>
      </c>
      <c r="AM25" s="13">
        <v>5380.83</v>
      </c>
      <c r="AN25" s="13">
        <v>5380</v>
      </c>
      <c r="AO25" s="13">
        <v>5375</v>
      </c>
      <c r="AP25" s="13">
        <v>5320</v>
      </c>
      <c r="AQ25" s="13">
        <v>5383.33</v>
      </c>
      <c r="AR25" s="13">
        <v>5388.33</v>
      </c>
      <c r="AS25" s="13">
        <v>5383.43</v>
      </c>
      <c r="AT25" s="13">
        <v>5390.14</v>
      </c>
      <c r="AU25" s="13">
        <v>5394.29</v>
      </c>
      <c r="AV25" s="13">
        <v>5391</v>
      </c>
      <c r="AW25" s="13">
        <v>5386.87</v>
      </c>
      <c r="AX25" s="13">
        <v>5377.29</v>
      </c>
      <c r="AY25" s="13">
        <v>5366.27</v>
      </c>
      <c r="AZ25" s="13">
        <v>5368.8</v>
      </c>
      <c r="BA25" s="13">
        <v>5376.67</v>
      </c>
      <c r="BB25" s="13">
        <v>5379.13</v>
      </c>
      <c r="BC25" s="13">
        <v>5369.47</v>
      </c>
      <c r="BD25" s="13">
        <v>5367.07</v>
      </c>
      <c r="BE25" s="13">
        <v>5369.47</v>
      </c>
      <c r="BF25" s="13">
        <v>5371.73</v>
      </c>
      <c r="BG25" s="13">
        <v>5372.53</v>
      </c>
      <c r="BH25" s="13">
        <v>5370.93</v>
      </c>
      <c r="BI25" s="13">
        <v>5372.53</v>
      </c>
      <c r="BJ25" s="13">
        <v>5374.93</v>
      </c>
      <c r="BK25" s="13">
        <v>5378.13</v>
      </c>
      <c r="BL25" s="13">
        <v>5383.07</v>
      </c>
      <c r="BM25" s="13">
        <v>5376.67</v>
      </c>
      <c r="BN25" s="13">
        <v>5369.47</v>
      </c>
      <c r="BO25" s="13">
        <v>5375.87</v>
      </c>
      <c r="BP25" s="13">
        <v>5375.07</v>
      </c>
      <c r="BQ25" s="13">
        <v>5375.87</v>
      </c>
      <c r="BR25" s="13">
        <v>5371.87</v>
      </c>
      <c r="BS25" s="13">
        <v>5371.07</v>
      </c>
      <c r="BT25" s="13">
        <v>5368.67</v>
      </c>
      <c r="BU25" s="13">
        <v>5373.47</v>
      </c>
      <c r="BV25" s="13">
        <v>5363.07</v>
      </c>
      <c r="BW25" s="13">
        <v>5365.47</v>
      </c>
      <c r="BX25" s="13">
        <v>5367.07</v>
      </c>
      <c r="BY25" s="13">
        <v>5369.47</v>
      </c>
      <c r="BZ25" s="13">
        <v>5375.87</v>
      </c>
      <c r="CA25" s="13">
        <v>5385.47</v>
      </c>
      <c r="CB25" s="13">
        <v>5395.07</v>
      </c>
      <c r="CC25" s="13">
        <v>5320</v>
      </c>
      <c r="CD25" s="13">
        <v>5360</v>
      </c>
      <c r="CE25" s="13">
        <v>5400</v>
      </c>
      <c r="CF25" s="13">
        <v>5410</v>
      </c>
      <c r="CG25" s="13">
        <v>5410</v>
      </c>
      <c r="CH25" s="13">
        <v>5410</v>
      </c>
      <c r="CI25" s="13">
        <v>5410</v>
      </c>
      <c r="CJ25" s="13">
        <v>5406</v>
      </c>
      <c r="CK25" s="13">
        <v>5404</v>
      </c>
      <c r="CL25" s="13">
        <v>5409</v>
      </c>
      <c r="CM25" s="13">
        <v>5404</v>
      </c>
      <c r="CN25" s="13">
        <v>5409.98</v>
      </c>
      <c r="CO25" s="13">
        <v>5405</v>
      </c>
      <c r="CP25" s="13">
        <v>5404</v>
      </c>
      <c r="CQ25" s="13">
        <v>5408</v>
      </c>
      <c r="CR25" s="13">
        <v>5407</v>
      </c>
      <c r="CS25" s="13">
        <v>5400</v>
      </c>
      <c r="CT25" s="13">
        <v>5408.98</v>
      </c>
      <c r="CU25" s="13">
        <v>5407</v>
      </c>
      <c r="CV25" s="13">
        <v>5401</v>
      </c>
      <c r="CW25" s="13">
        <v>5399</v>
      </c>
      <c r="CX25" s="13">
        <v>5397</v>
      </c>
      <c r="CY25" s="13">
        <v>5399</v>
      </c>
      <c r="CZ25" s="13">
        <v>5395</v>
      </c>
      <c r="DA25" s="13">
        <v>5396</v>
      </c>
      <c r="DB25" s="13">
        <v>5401</v>
      </c>
      <c r="DC25" s="13">
        <v>5405</v>
      </c>
      <c r="DD25" s="13">
        <v>5406.57</v>
      </c>
      <c r="DE25" s="13">
        <v>5409.57</v>
      </c>
      <c r="DF25" s="13">
        <v>5409</v>
      </c>
      <c r="DG25" s="13">
        <v>5418</v>
      </c>
      <c r="DH25" s="13">
        <v>5413</v>
      </c>
      <c r="DI25" s="13">
        <v>5417</v>
      </c>
      <c r="DJ25" s="13">
        <v>5418.57</v>
      </c>
      <c r="DK25" s="13">
        <v>5415</v>
      </c>
    </row>
    <row r="26" spans="1:115" ht="15.75" x14ac:dyDescent="0.25">
      <c r="A26" s="11" t="s">
        <v>5</v>
      </c>
      <c r="B26" s="11" t="s">
        <v>11</v>
      </c>
      <c r="C26" s="15">
        <v>0.37847222222222227</v>
      </c>
      <c r="D26" s="15">
        <v>0.38194444444444442</v>
      </c>
      <c r="E26" s="15">
        <v>0.38541666666666669</v>
      </c>
      <c r="F26" s="15">
        <v>0.3888888888888889</v>
      </c>
      <c r="G26" s="15">
        <v>0.3923611111111111</v>
      </c>
      <c r="H26" s="15">
        <v>0.39583333333333331</v>
      </c>
      <c r="I26" s="15">
        <v>0.39930555555555558</v>
      </c>
      <c r="J26" s="15">
        <v>0.40277777777777773</v>
      </c>
      <c r="K26" s="15">
        <v>0.40625</v>
      </c>
      <c r="L26" s="15">
        <v>0.40972222222222227</v>
      </c>
      <c r="M26" s="15">
        <v>0.41319444444444442</v>
      </c>
      <c r="N26" s="15">
        <v>0.41666666666666669</v>
      </c>
      <c r="O26" s="15">
        <v>0.4201388888888889</v>
      </c>
      <c r="P26" s="15">
        <v>0.4236111111111111</v>
      </c>
      <c r="Q26" s="15">
        <v>0.42708333333333331</v>
      </c>
      <c r="R26" s="15">
        <v>0.43055555555555558</v>
      </c>
      <c r="S26" s="15">
        <v>0.43402777777777773</v>
      </c>
      <c r="T26" s="15">
        <v>0.4375</v>
      </c>
      <c r="U26" s="15">
        <v>0.44097222222222227</v>
      </c>
      <c r="V26" s="15">
        <v>0.44444444444444442</v>
      </c>
      <c r="W26" s="15">
        <v>0.44791666666666669</v>
      </c>
      <c r="X26" s="15">
        <v>0.4513888888888889</v>
      </c>
      <c r="Y26" s="15">
        <v>0.4548611111111111</v>
      </c>
      <c r="Z26" s="15">
        <v>0.45833333333333331</v>
      </c>
      <c r="AA26" s="15">
        <v>0.46180555555555558</v>
      </c>
      <c r="AB26" s="15">
        <v>0.46527777777777773</v>
      </c>
      <c r="AC26" s="15">
        <v>0.46875</v>
      </c>
      <c r="AD26" s="15">
        <v>0.47222222222222227</v>
      </c>
      <c r="AE26" s="15">
        <v>0.47569444444444442</v>
      </c>
      <c r="AF26" s="15">
        <v>0.47916666666666669</v>
      </c>
      <c r="AG26" s="15">
        <v>0.4826388888888889</v>
      </c>
      <c r="AH26" s="15">
        <v>0.4861111111111111</v>
      </c>
      <c r="AI26" s="15">
        <v>0.48958333333333331</v>
      </c>
      <c r="AJ26" s="15">
        <v>0.49305555555555558</v>
      </c>
      <c r="AK26" s="15">
        <v>0.49652777777777773</v>
      </c>
      <c r="AL26" s="15">
        <v>0.5</v>
      </c>
      <c r="AM26" s="15">
        <v>0.50347222222222221</v>
      </c>
      <c r="AN26" s="15">
        <v>0.50694444444444442</v>
      </c>
      <c r="AO26" s="15">
        <v>0.51041666666666663</v>
      </c>
      <c r="AP26" s="15">
        <v>0.51388888888888895</v>
      </c>
      <c r="AQ26" s="15">
        <v>0.51736111111111105</v>
      </c>
      <c r="AR26" s="15">
        <v>0.52083333333333337</v>
      </c>
      <c r="AS26" s="15">
        <v>0.52430555555555558</v>
      </c>
      <c r="AT26" s="15">
        <v>0.52777777777777779</v>
      </c>
      <c r="AU26" s="15">
        <v>0.53125</v>
      </c>
      <c r="AV26" s="15">
        <v>0.53472222222222221</v>
      </c>
      <c r="AW26" s="15">
        <v>0.53819444444444442</v>
      </c>
      <c r="AX26" s="15">
        <v>0.54166666666666663</v>
      </c>
      <c r="AY26" s="15">
        <v>0.54513888888888895</v>
      </c>
      <c r="AZ26" s="15">
        <v>0.54861111111111105</v>
      </c>
      <c r="BA26" s="15">
        <v>0.55208333333333337</v>
      </c>
      <c r="BB26" s="15">
        <v>0.55555555555555558</v>
      </c>
      <c r="BC26" s="15">
        <v>0.55902777777777779</v>
      </c>
      <c r="BD26" s="15">
        <v>0.5625</v>
      </c>
      <c r="BE26" s="15">
        <v>0.56597222222222221</v>
      </c>
      <c r="BF26" s="15">
        <v>0.56944444444444442</v>
      </c>
      <c r="BG26" s="15">
        <v>0.57291666666666663</v>
      </c>
      <c r="BH26" s="15">
        <v>0.57638888888888895</v>
      </c>
      <c r="BI26" s="15">
        <v>0.57986111111111105</v>
      </c>
      <c r="BJ26" s="15">
        <v>0.58333333333333337</v>
      </c>
      <c r="BK26" s="15">
        <v>0.58680555555555558</v>
      </c>
      <c r="BL26" s="15">
        <v>0.59027777777777779</v>
      </c>
      <c r="BM26" s="15">
        <v>0.59375</v>
      </c>
      <c r="BN26" s="15">
        <v>0.59722222222222221</v>
      </c>
      <c r="BO26" s="15">
        <v>0.60069444444444442</v>
      </c>
      <c r="BP26" s="15">
        <v>0.60416666666666663</v>
      </c>
      <c r="BQ26" s="15">
        <v>0.60763888888888895</v>
      </c>
      <c r="BR26" s="15">
        <v>0.61111111111111105</v>
      </c>
      <c r="BS26" s="15">
        <v>0.61458333333333337</v>
      </c>
      <c r="BT26" s="15">
        <v>0.61805555555555558</v>
      </c>
      <c r="BU26" s="15">
        <v>0.62152777777777779</v>
      </c>
      <c r="BV26" s="15">
        <v>0.625</v>
      </c>
      <c r="BW26" s="15">
        <v>0.62847222222222221</v>
      </c>
      <c r="BX26" s="15">
        <v>0.63194444444444442</v>
      </c>
      <c r="BY26" s="15">
        <v>0.63541666666666663</v>
      </c>
      <c r="BZ26" s="15">
        <v>0.63888888888888895</v>
      </c>
      <c r="CA26" s="15">
        <v>0.64236111111111105</v>
      </c>
      <c r="CB26" s="15">
        <v>0.64583333333333337</v>
      </c>
      <c r="CC26" s="15">
        <v>0.64930555555555558</v>
      </c>
      <c r="CD26" s="15">
        <v>0.65277777777777779</v>
      </c>
      <c r="CE26" s="15">
        <v>0.65625</v>
      </c>
      <c r="CF26" s="15">
        <v>0.65972222222222221</v>
      </c>
      <c r="CG26" s="15">
        <v>0.66319444444444442</v>
      </c>
      <c r="CH26" s="15">
        <v>0.66666666666666663</v>
      </c>
      <c r="CI26" s="15">
        <v>0.67013888888888884</v>
      </c>
      <c r="CJ26" s="15">
        <v>0.67361111111111116</v>
      </c>
      <c r="CK26" s="15">
        <v>0.67708333333333337</v>
      </c>
      <c r="CL26" s="15">
        <v>0.68055555555555547</v>
      </c>
      <c r="CM26" s="15">
        <v>0.68402777777777779</v>
      </c>
      <c r="CN26" s="15">
        <v>0.6875</v>
      </c>
      <c r="CO26" s="15">
        <v>0.69097222222222221</v>
      </c>
      <c r="CP26" s="15">
        <v>0.69444444444444453</v>
      </c>
      <c r="CQ26" s="15">
        <v>0.69791666666666663</v>
      </c>
      <c r="CR26" s="15">
        <v>0.70138888888888884</v>
      </c>
      <c r="CS26" s="15">
        <v>0.70486111111111116</v>
      </c>
      <c r="CT26" s="15">
        <v>0.70833333333333337</v>
      </c>
      <c r="CU26" s="15">
        <v>0.71180555555555547</v>
      </c>
      <c r="CV26" s="15">
        <v>0.71527777777777779</v>
      </c>
      <c r="CW26" s="15">
        <v>0.71875</v>
      </c>
      <c r="CX26" s="15">
        <v>0.72222222222222221</v>
      </c>
      <c r="CY26" s="15">
        <v>0.72569444444444453</v>
      </c>
      <c r="CZ26" s="15">
        <v>0.72916666666666663</v>
      </c>
      <c r="DA26" s="15">
        <v>0.73263888888888884</v>
      </c>
      <c r="DB26" s="15">
        <v>0.73611111111111116</v>
      </c>
      <c r="DC26" s="15">
        <v>0.73958333333333337</v>
      </c>
      <c r="DD26" s="15">
        <v>0.74305555555555547</v>
      </c>
      <c r="DE26" s="15">
        <v>0.74652777777777779</v>
      </c>
      <c r="DF26" s="15">
        <v>0.75</v>
      </c>
      <c r="DG26" s="15">
        <v>0.75347222222222221</v>
      </c>
      <c r="DH26" s="15">
        <v>0.75694444444444453</v>
      </c>
      <c r="DI26" s="15">
        <v>0.76041666666666663</v>
      </c>
      <c r="DJ26" s="15">
        <v>0.76388888888888884</v>
      </c>
      <c r="DK26" s="15">
        <v>0.76736111111111116</v>
      </c>
    </row>
    <row r="27" spans="1:115" ht="15.75" x14ac:dyDescent="0.25">
      <c r="A27" s="14">
        <v>44207</v>
      </c>
      <c r="B27" s="12" t="s">
        <v>6</v>
      </c>
      <c r="C27" s="13">
        <v>5497.65</v>
      </c>
      <c r="D27" s="13">
        <v>5500</v>
      </c>
      <c r="E27" s="13">
        <v>5500</v>
      </c>
      <c r="F27" s="13">
        <v>5505</v>
      </c>
      <c r="G27" s="13">
        <v>5504</v>
      </c>
      <c r="H27" s="13">
        <v>5509</v>
      </c>
      <c r="I27" s="13">
        <v>5500</v>
      </c>
      <c r="J27" s="13">
        <v>5501.17</v>
      </c>
      <c r="K27" s="13">
        <v>5496</v>
      </c>
      <c r="L27" s="13">
        <v>5499</v>
      </c>
      <c r="M27" s="13">
        <v>5498</v>
      </c>
      <c r="N27" s="13">
        <v>5498.33</v>
      </c>
      <c r="O27" s="13">
        <v>5504.85</v>
      </c>
      <c r="P27" s="13">
        <v>5504.85</v>
      </c>
      <c r="Q27" s="13">
        <v>5500.5</v>
      </c>
      <c r="R27" s="13">
        <v>5500.5</v>
      </c>
      <c r="S27" s="13">
        <v>5501.93</v>
      </c>
      <c r="T27" s="13">
        <v>5514.17</v>
      </c>
      <c r="U27" s="13">
        <v>5519.17</v>
      </c>
      <c r="V27" s="13">
        <v>5515.17</v>
      </c>
      <c r="W27" s="13">
        <v>5512.17</v>
      </c>
      <c r="X27" s="13">
        <v>5510.17</v>
      </c>
      <c r="Y27" s="13">
        <v>5518.17</v>
      </c>
      <c r="Z27" s="13">
        <v>5518</v>
      </c>
      <c r="AA27" s="13">
        <v>5510</v>
      </c>
      <c r="AB27" s="13">
        <v>5504.23</v>
      </c>
      <c r="AC27" s="13">
        <v>5515.17</v>
      </c>
      <c r="AD27" s="13">
        <v>5522.17</v>
      </c>
      <c r="AE27" s="13">
        <v>5519.17</v>
      </c>
      <c r="AF27" s="13">
        <v>5520</v>
      </c>
      <c r="AG27" s="13">
        <v>5514.17</v>
      </c>
      <c r="AH27" s="13">
        <v>5505.17</v>
      </c>
      <c r="AI27" s="13">
        <v>5505</v>
      </c>
      <c r="AJ27" s="13">
        <v>5508.17</v>
      </c>
      <c r="AK27" s="13">
        <v>5512.17</v>
      </c>
      <c r="AL27" s="13">
        <v>5509.17</v>
      </c>
      <c r="AM27" s="13">
        <v>5508</v>
      </c>
      <c r="AN27" s="13">
        <v>5514.17</v>
      </c>
      <c r="AO27" s="13">
        <v>5518.2</v>
      </c>
      <c r="AP27" s="13">
        <v>5519.2</v>
      </c>
      <c r="AQ27" s="13">
        <v>5521.2</v>
      </c>
      <c r="AR27" s="13">
        <v>5513.2</v>
      </c>
      <c r="AS27" s="13">
        <v>5514.2</v>
      </c>
      <c r="AT27" s="13">
        <v>5520.2</v>
      </c>
      <c r="AU27" s="13">
        <v>5513.2</v>
      </c>
      <c r="AV27" s="13">
        <v>5522.2</v>
      </c>
      <c r="AW27" s="13">
        <v>5522.2</v>
      </c>
      <c r="AX27" s="13">
        <v>5518</v>
      </c>
      <c r="AY27" s="13">
        <v>5523.2</v>
      </c>
      <c r="AZ27" s="13">
        <v>5522</v>
      </c>
      <c r="BA27" s="13">
        <v>5527</v>
      </c>
      <c r="BB27" s="13">
        <v>5527.2</v>
      </c>
      <c r="BC27" s="13">
        <v>5527</v>
      </c>
      <c r="BD27" s="13">
        <v>5529.6</v>
      </c>
      <c r="BE27" s="13">
        <v>5538.64</v>
      </c>
      <c r="BF27" s="13">
        <v>5538.73</v>
      </c>
      <c r="BG27" s="13">
        <v>5536.18</v>
      </c>
      <c r="BH27" s="13">
        <v>5533.33</v>
      </c>
      <c r="BI27" s="13">
        <v>5533.5</v>
      </c>
      <c r="BJ27" s="13">
        <v>5532.33</v>
      </c>
      <c r="BK27" s="13">
        <v>5532.67</v>
      </c>
      <c r="BL27" s="13">
        <v>5531.08</v>
      </c>
      <c r="BM27" s="13">
        <v>5531.5</v>
      </c>
      <c r="BN27" s="13">
        <v>5530.83</v>
      </c>
      <c r="BO27" s="13">
        <v>5531.67</v>
      </c>
      <c r="BP27" s="13">
        <v>5531.67</v>
      </c>
      <c r="BQ27" s="13">
        <v>5532.67</v>
      </c>
      <c r="BR27" s="13">
        <v>5532.68</v>
      </c>
      <c r="BS27" s="13">
        <v>5531.95</v>
      </c>
      <c r="BT27" s="13">
        <v>5536.61</v>
      </c>
      <c r="BU27" s="13">
        <v>5535.7</v>
      </c>
      <c r="BV27" s="13">
        <v>5536.15</v>
      </c>
      <c r="BW27" s="13">
        <v>5536.15</v>
      </c>
      <c r="BX27" s="13">
        <v>5532.96</v>
      </c>
      <c r="BY27" s="13">
        <v>5532.92</v>
      </c>
      <c r="BZ27" s="13">
        <v>5527.32</v>
      </c>
      <c r="CA27" s="13">
        <v>5527.5</v>
      </c>
      <c r="CB27" s="13">
        <v>5527.59</v>
      </c>
      <c r="CC27" s="13">
        <v>5531.41</v>
      </c>
      <c r="CD27" s="13">
        <v>5531.81</v>
      </c>
      <c r="CE27" s="13">
        <v>5531.81</v>
      </c>
      <c r="CF27" s="13">
        <v>5531.81</v>
      </c>
      <c r="CG27" s="13">
        <v>5530.93</v>
      </c>
      <c r="CH27" s="13">
        <v>5530.5</v>
      </c>
      <c r="CI27" s="13">
        <v>5531.81</v>
      </c>
      <c r="CJ27" s="13">
        <v>5524.33</v>
      </c>
      <c r="CK27" s="13">
        <v>5531.81</v>
      </c>
      <c r="CL27" s="13">
        <v>5531.81</v>
      </c>
      <c r="CM27" s="13">
        <v>5531.81</v>
      </c>
      <c r="CN27" s="13">
        <v>5531.81</v>
      </c>
      <c r="CO27" s="13">
        <v>5531.81</v>
      </c>
      <c r="CP27" s="13">
        <v>5531.13</v>
      </c>
      <c r="CQ27" s="13">
        <v>5532.34</v>
      </c>
      <c r="CR27" s="13">
        <v>5532.55</v>
      </c>
      <c r="CS27" s="13">
        <v>5531.93</v>
      </c>
      <c r="CT27" s="13">
        <v>5535</v>
      </c>
      <c r="CU27" s="13">
        <v>5538.07</v>
      </c>
      <c r="CV27" s="13">
        <v>5538.04</v>
      </c>
      <c r="CW27" s="13">
        <v>5538</v>
      </c>
      <c r="CX27" s="13">
        <v>5532.57</v>
      </c>
      <c r="CY27" s="13">
        <v>5535.22</v>
      </c>
      <c r="CZ27" s="13">
        <v>5534.49</v>
      </c>
      <c r="DA27" s="13">
        <v>5535.22</v>
      </c>
      <c r="DB27" s="13">
        <v>5535.22</v>
      </c>
      <c r="DC27" s="13">
        <v>5533.31</v>
      </c>
      <c r="DD27" s="13">
        <v>5537.89</v>
      </c>
      <c r="DE27" s="13">
        <v>5537.78</v>
      </c>
      <c r="DF27" s="13">
        <v>5535.03</v>
      </c>
      <c r="DG27" s="13">
        <v>5538.81</v>
      </c>
      <c r="DH27" s="13">
        <v>5538.5</v>
      </c>
      <c r="DI27" s="13">
        <v>5534.86</v>
      </c>
      <c r="DJ27" s="13">
        <v>5538.19</v>
      </c>
      <c r="DK27" s="13">
        <v>5536.01</v>
      </c>
    </row>
    <row r="28" spans="1:115" ht="15.75" x14ac:dyDescent="0.25">
      <c r="A28" s="14" t="s">
        <v>12</v>
      </c>
      <c r="B28" s="12" t="s">
        <v>10</v>
      </c>
      <c r="C28" s="13">
        <v>5497.65</v>
      </c>
      <c r="D28" s="13">
        <v>5495.25</v>
      </c>
      <c r="E28" s="13">
        <v>5499</v>
      </c>
      <c r="F28" s="13">
        <v>5504</v>
      </c>
      <c r="G28" s="13">
        <v>5504</v>
      </c>
      <c r="H28" s="13">
        <v>5498</v>
      </c>
      <c r="I28" s="13">
        <v>5497.17</v>
      </c>
      <c r="J28" s="13">
        <v>5496.17</v>
      </c>
      <c r="K28" s="13">
        <v>5493.17</v>
      </c>
      <c r="L28" s="13">
        <v>5496</v>
      </c>
      <c r="M28" s="13">
        <v>5498</v>
      </c>
      <c r="N28" s="13">
        <v>5494.69</v>
      </c>
      <c r="O28" s="13">
        <v>5501.15</v>
      </c>
      <c r="P28" s="13">
        <v>5502.79</v>
      </c>
      <c r="Q28" s="13">
        <v>5485.64</v>
      </c>
      <c r="R28" s="13">
        <v>5490.79</v>
      </c>
      <c r="S28" s="13">
        <v>5501.93</v>
      </c>
      <c r="T28" s="13">
        <v>0</v>
      </c>
      <c r="U28" s="13">
        <v>5508.17</v>
      </c>
      <c r="V28" s="13">
        <v>5509.17</v>
      </c>
      <c r="W28" s="13">
        <v>5504.17</v>
      </c>
      <c r="X28" s="13">
        <v>0</v>
      </c>
      <c r="Y28" s="13">
        <v>5517.83</v>
      </c>
      <c r="Z28" s="13">
        <v>5511</v>
      </c>
      <c r="AA28" s="13">
        <v>5499.62</v>
      </c>
      <c r="AB28" s="13">
        <v>5502.38</v>
      </c>
      <c r="AC28" s="13">
        <v>5515.17</v>
      </c>
      <c r="AD28" s="13">
        <v>5520.17</v>
      </c>
      <c r="AE28" s="13">
        <v>5519.17</v>
      </c>
      <c r="AF28" s="13">
        <v>5513.17</v>
      </c>
      <c r="AG28" s="13">
        <v>5500.17</v>
      </c>
      <c r="AH28" s="13">
        <v>5495.17</v>
      </c>
      <c r="AI28" s="13">
        <v>5501.17</v>
      </c>
      <c r="AJ28" s="13">
        <v>5507.17</v>
      </c>
      <c r="AK28" s="13">
        <v>5502.17</v>
      </c>
      <c r="AL28" s="13">
        <v>5503.38</v>
      </c>
      <c r="AM28" s="13">
        <v>5506.15</v>
      </c>
      <c r="AN28" s="13">
        <v>5509.54</v>
      </c>
      <c r="AO28" s="13">
        <v>5513.2</v>
      </c>
      <c r="AP28" s="13">
        <v>0</v>
      </c>
      <c r="AQ28" s="13">
        <v>5514.2</v>
      </c>
      <c r="AR28" s="13">
        <v>5508.2</v>
      </c>
      <c r="AS28" s="13">
        <v>5512.2</v>
      </c>
      <c r="AT28" s="13">
        <v>5512.2</v>
      </c>
      <c r="AU28" s="13">
        <v>5512.2</v>
      </c>
      <c r="AV28" s="13">
        <v>5522.2</v>
      </c>
      <c r="AW28" s="13">
        <v>5514.73</v>
      </c>
      <c r="AX28" s="13">
        <v>5515.64</v>
      </c>
      <c r="AY28" s="13">
        <v>5522</v>
      </c>
      <c r="AZ28" s="13">
        <v>5519.27</v>
      </c>
      <c r="BA28" s="13">
        <v>5524.33</v>
      </c>
      <c r="BB28" s="13">
        <v>5523.2</v>
      </c>
      <c r="BC28" s="13">
        <v>5522.2</v>
      </c>
      <c r="BD28" s="13">
        <v>5529.6</v>
      </c>
      <c r="BE28" s="13">
        <v>5531.1</v>
      </c>
      <c r="BF28" s="13">
        <v>5530.1</v>
      </c>
      <c r="BG28" s="13">
        <v>5512.07</v>
      </c>
      <c r="BH28" s="13">
        <v>5520.37</v>
      </c>
      <c r="BI28" s="13">
        <v>5513.07</v>
      </c>
      <c r="BJ28" s="13">
        <v>5509.4</v>
      </c>
      <c r="BK28" s="13">
        <v>5522.67</v>
      </c>
      <c r="BL28" s="13">
        <v>5508.88</v>
      </c>
      <c r="BM28" s="13">
        <v>5508.08</v>
      </c>
      <c r="BN28" s="13">
        <v>5529.28</v>
      </c>
      <c r="BO28" s="13">
        <v>5508.88</v>
      </c>
      <c r="BP28" s="13">
        <v>5514.28</v>
      </c>
      <c r="BQ28" s="13">
        <v>5523.06</v>
      </c>
      <c r="BR28" s="13">
        <v>5516.68</v>
      </c>
      <c r="BS28" s="13">
        <v>5525.48</v>
      </c>
      <c r="BT28" s="13">
        <v>5524.7</v>
      </c>
      <c r="BU28" s="13">
        <v>5523.12</v>
      </c>
      <c r="BV28" s="13">
        <v>5524.3</v>
      </c>
      <c r="BW28" s="13">
        <v>5523.12</v>
      </c>
      <c r="BX28" s="13">
        <v>5524.61</v>
      </c>
      <c r="BY28" s="13">
        <v>5513.41</v>
      </c>
      <c r="BZ28" s="13">
        <v>5514.18</v>
      </c>
      <c r="CA28" s="13">
        <v>5514.94</v>
      </c>
      <c r="CB28" s="13">
        <v>5516.43</v>
      </c>
      <c r="CC28" s="13">
        <v>5523.09</v>
      </c>
      <c r="CD28" s="13">
        <v>5522.2</v>
      </c>
      <c r="CE28" s="13">
        <v>5522.86</v>
      </c>
      <c r="CF28" s="13">
        <v>5522.57</v>
      </c>
      <c r="CG28" s="13">
        <v>5518.73</v>
      </c>
      <c r="CH28" s="13">
        <v>5530.05</v>
      </c>
      <c r="CI28" s="13">
        <v>5524.12</v>
      </c>
      <c r="CJ28" s="13">
        <v>5513.87</v>
      </c>
      <c r="CK28" s="13">
        <v>5514.28</v>
      </c>
      <c r="CL28" s="13">
        <v>5515.94</v>
      </c>
      <c r="CM28" s="13">
        <v>5518.25</v>
      </c>
      <c r="CN28" s="13">
        <v>5519.08</v>
      </c>
      <c r="CO28" s="13">
        <v>5520.32</v>
      </c>
      <c r="CP28" s="13">
        <v>5526.76</v>
      </c>
      <c r="CQ28" s="13">
        <v>5527.52</v>
      </c>
      <c r="CR28" s="13">
        <v>5527.14</v>
      </c>
      <c r="CS28" s="13">
        <v>5525.62</v>
      </c>
      <c r="CT28" s="13">
        <v>5530.21</v>
      </c>
      <c r="CU28" s="13">
        <v>5532.18</v>
      </c>
      <c r="CV28" s="13">
        <v>5529.32</v>
      </c>
      <c r="CW28" s="13">
        <v>5527.8</v>
      </c>
      <c r="CX28" s="13">
        <v>5526.57</v>
      </c>
      <c r="CY28" s="13">
        <v>5531.41</v>
      </c>
      <c r="CZ28" s="13">
        <v>5530.71</v>
      </c>
      <c r="DA28" s="13">
        <v>5531.06</v>
      </c>
      <c r="DB28" s="13">
        <v>5531.73</v>
      </c>
      <c r="DC28" s="13">
        <v>5531.76</v>
      </c>
      <c r="DD28" s="13">
        <v>5528.62</v>
      </c>
      <c r="DE28" s="13">
        <v>5533.92</v>
      </c>
      <c r="DF28" s="13">
        <v>5532.46</v>
      </c>
      <c r="DG28" s="13">
        <v>5533.58</v>
      </c>
      <c r="DH28" s="13">
        <v>5529.33</v>
      </c>
      <c r="DI28" s="13">
        <v>5530.56</v>
      </c>
      <c r="DJ28" s="13">
        <v>5529.94</v>
      </c>
      <c r="DK28" s="13">
        <v>5530.86</v>
      </c>
    </row>
    <row r="29" spans="1:115" ht="15.75" x14ac:dyDescent="0.25">
      <c r="A29" s="14" t="s">
        <v>12</v>
      </c>
      <c r="B29" s="12" t="s">
        <v>9</v>
      </c>
      <c r="C29" s="13">
        <v>5401.67</v>
      </c>
      <c r="D29" s="13">
        <v>5431.47</v>
      </c>
      <c r="E29" s="13">
        <v>5417.73</v>
      </c>
      <c r="F29" s="13">
        <v>5417.73</v>
      </c>
      <c r="G29" s="13">
        <v>5410.56</v>
      </c>
      <c r="H29" s="13">
        <v>5374.17</v>
      </c>
      <c r="I29" s="13">
        <v>5374.17</v>
      </c>
      <c r="J29" s="13">
        <v>5370.83</v>
      </c>
      <c r="K29" s="13">
        <v>5370.83</v>
      </c>
      <c r="L29" s="13">
        <v>5386.43</v>
      </c>
      <c r="M29" s="13">
        <v>5386.43</v>
      </c>
      <c r="N29" s="13">
        <v>5373.33</v>
      </c>
      <c r="O29" s="13">
        <v>5375</v>
      </c>
      <c r="P29" s="13">
        <v>5375</v>
      </c>
      <c r="Q29" s="13">
        <v>5370.83</v>
      </c>
      <c r="R29" s="13">
        <v>5370.83</v>
      </c>
      <c r="S29" s="13">
        <v>5373.33</v>
      </c>
      <c r="T29" s="13">
        <v>5375.83</v>
      </c>
      <c r="U29" s="13">
        <v>5375.83</v>
      </c>
      <c r="V29" s="13">
        <v>5389.38</v>
      </c>
      <c r="W29" s="13">
        <v>5389.38</v>
      </c>
      <c r="X29" s="13">
        <v>5389.38</v>
      </c>
      <c r="Y29" s="13">
        <v>5389.38</v>
      </c>
      <c r="Z29" s="13">
        <v>5390</v>
      </c>
      <c r="AA29" s="13">
        <v>5375.71</v>
      </c>
      <c r="AB29" s="13">
        <v>5389.38</v>
      </c>
      <c r="AC29" s="13">
        <v>5401.11</v>
      </c>
      <c r="AD29" s="13">
        <v>5403.33</v>
      </c>
      <c r="AE29" s="13">
        <v>5403.33</v>
      </c>
      <c r="AF29" s="13">
        <v>5400</v>
      </c>
      <c r="AG29" s="13">
        <v>5400</v>
      </c>
      <c r="AH29" s="13">
        <v>5396.67</v>
      </c>
      <c r="AI29" s="13">
        <v>5396.67</v>
      </c>
      <c r="AJ29" s="13">
        <v>5398.89</v>
      </c>
      <c r="AK29" s="13">
        <v>5398.89</v>
      </c>
      <c r="AL29" s="13">
        <v>5398.89</v>
      </c>
      <c r="AM29" s="13">
        <v>5398.89</v>
      </c>
      <c r="AN29" s="13">
        <v>5398.89</v>
      </c>
      <c r="AO29" s="13">
        <v>5415.45</v>
      </c>
      <c r="AP29" s="13">
        <v>5415.45</v>
      </c>
      <c r="AQ29" s="13">
        <v>5415.45</v>
      </c>
      <c r="AR29" s="13">
        <v>5415.45</v>
      </c>
      <c r="AS29" s="13">
        <v>5415.45</v>
      </c>
      <c r="AT29" s="13">
        <v>5415.45</v>
      </c>
      <c r="AU29" s="13">
        <v>5415.45</v>
      </c>
      <c r="AV29" s="13">
        <v>5415.45</v>
      </c>
      <c r="AW29" s="13">
        <v>5415.45</v>
      </c>
      <c r="AX29" s="13">
        <v>5415.45</v>
      </c>
      <c r="AY29" s="13">
        <v>5415.45</v>
      </c>
      <c r="AZ29" s="13">
        <v>5422.5</v>
      </c>
      <c r="BA29" s="13">
        <v>5422.5</v>
      </c>
      <c r="BB29" s="13">
        <v>5422.5</v>
      </c>
      <c r="BC29" s="13">
        <v>5422.5</v>
      </c>
      <c r="BD29" s="13">
        <v>5422.5</v>
      </c>
      <c r="BE29" s="13">
        <v>5422.5</v>
      </c>
      <c r="BF29" s="13">
        <v>5422.5</v>
      </c>
      <c r="BG29" s="13">
        <v>5396.67</v>
      </c>
      <c r="BH29" s="13">
        <v>5404</v>
      </c>
      <c r="BI29" s="13">
        <v>5401</v>
      </c>
      <c r="BJ29" s="13">
        <v>5418.14</v>
      </c>
      <c r="BK29" s="13">
        <v>5430</v>
      </c>
      <c r="BL29" s="13">
        <v>5418</v>
      </c>
      <c r="BM29" s="13">
        <v>5418</v>
      </c>
      <c r="BN29" s="13">
        <v>5409.17</v>
      </c>
      <c r="BO29" s="13">
        <v>5433</v>
      </c>
      <c r="BP29" s="13">
        <v>5433</v>
      </c>
      <c r="BQ29" s="13">
        <v>5433</v>
      </c>
      <c r="BR29" s="13">
        <v>5436.5</v>
      </c>
      <c r="BS29" s="13">
        <v>5438.24</v>
      </c>
      <c r="BT29" s="13">
        <v>5436.92</v>
      </c>
      <c r="BU29" s="13">
        <v>5436.92</v>
      </c>
      <c r="BV29" s="13">
        <v>5436.92</v>
      </c>
      <c r="BW29" s="13">
        <v>5436.92</v>
      </c>
      <c r="BX29" s="13">
        <v>5436.92</v>
      </c>
      <c r="BY29" s="13">
        <v>5436.92</v>
      </c>
      <c r="BZ29" s="13">
        <v>5436.92</v>
      </c>
      <c r="CA29" s="13">
        <v>5434.7</v>
      </c>
      <c r="CB29" s="13">
        <v>5436.92</v>
      </c>
      <c r="CC29" s="13">
        <v>5436.92</v>
      </c>
      <c r="CD29" s="13">
        <v>5436.92</v>
      </c>
      <c r="CE29" s="13">
        <v>5436.92</v>
      </c>
      <c r="CF29" s="13">
        <v>5436.92</v>
      </c>
      <c r="CG29" s="13">
        <v>5436.25</v>
      </c>
      <c r="CH29" s="13">
        <v>5433</v>
      </c>
      <c r="CI29" s="13">
        <v>5436.25</v>
      </c>
      <c r="CJ29" s="13">
        <v>5436.25</v>
      </c>
      <c r="CK29" s="13">
        <v>5436.25</v>
      </c>
      <c r="CL29" s="13">
        <v>5436.25</v>
      </c>
      <c r="CM29" s="13">
        <v>5436.25</v>
      </c>
      <c r="CN29" s="13">
        <v>5436.92</v>
      </c>
      <c r="CO29" s="13">
        <v>5436.92</v>
      </c>
      <c r="CP29" s="13">
        <v>5439.04</v>
      </c>
      <c r="CQ29" s="13">
        <v>5439.04</v>
      </c>
      <c r="CR29" s="13">
        <v>5439.04</v>
      </c>
      <c r="CS29" s="13">
        <v>5439.04</v>
      </c>
      <c r="CT29" s="13">
        <v>5439.04</v>
      </c>
      <c r="CU29" s="13">
        <v>5439.04</v>
      </c>
      <c r="CV29" s="13">
        <v>5439.04</v>
      </c>
      <c r="CW29" s="13">
        <v>5442.54</v>
      </c>
      <c r="CX29" s="13">
        <v>5442.54</v>
      </c>
      <c r="CY29" s="13">
        <v>5440.24</v>
      </c>
      <c r="CZ29" s="13">
        <v>5440.24</v>
      </c>
      <c r="DA29" s="13">
        <v>5440.64</v>
      </c>
      <c r="DB29" s="13">
        <v>5440.64</v>
      </c>
      <c r="DC29" s="13">
        <v>5440.64</v>
      </c>
      <c r="DD29" s="13">
        <v>5440.44</v>
      </c>
      <c r="DE29" s="13">
        <v>5441.44</v>
      </c>
      <c r="DF29" s="13">
        <v>5438.52</v>
      </c>
      <c r="DG29" s="13">
        <v>5438.52</v>
      </c>
      <c r="DH29" s="13">
        <v>5438.09</v>
      </c>
      <c r="DI29" s="13">
        <v>5438.09</v>
      </c>
      <c r="DJ29" s="13">
        <v>5438.09</v>
      </c>
      <c r="DK29" s="13">
        <v>5435.73</v>
      </c>
    </row>
    <row r="30" spans="1:115" ht="15.75" x14ac:dyDescent="0.25">
      <c r="A30" s="14" t="s">
        <v>12</v>
      </c>
      <c r="B30" s="12" t="s">
        <v>7</v>
      </c>
      <c r="C30" s="13">
        <v>5353</v>
      </c>
      <c r="D30" s="13">
        <v>5380.33</v>
      </c>
      <c r="E30" s="13">
        <v>5383.57</v>
      </c>
      <c r="F30" s="13">
        <v>5417.73</v>
      </c>
      <c r="G30" s="13">
        <v>5410.56</v>
      </c>
      <c r="H30" s="13">
        <v>5374.17</v>
      </c>
      <c r="I30" s="13">
        <v>5374.17</v>
      </c>
      <c r="J30" s="13">
        <v>5353</v>
      </c>
      <c r="K30" s="13">
        <v>5370.83</v>
      </c>
      <c r="L30" s="13">
        <v>5370.83</v>
      </c>
      <c r="M30" s="13">
        <v>5386.43</v>
      </c>
      <c r="N30" s="13">
        <v>5353</v>
      </c>
      <c r="O30" s="13">
        <v>5353</v>
      </c>
      <c r="P30" s="13">
        <v>5353</v>
      </c>
      <c r="Q30" s="13">
        <v>5353</v>
      </c>
      <c r="R30" s="13">
        <v>5370.83</v>
      </c>
      <c r="S30" s="13">
        <v>5373.33</v>
      </c>
      <c r="T30" s="13">
        <v>5374.17</v>
      </c>
      <c r="U30" s="13">
        <v>5375.83</v>
      </c>
      <c r="V30" s="13">
        <v>5375</v>
      </c>
      <c r="W30" s="13">
        <v>5389.38</v>
      </c>
      <c r="X30" s="13">
        <v>5389.38</v>
      </c>
      <c r="Y30" s="13">
        <v>5389.38</v>
      </c>
      <c r="Z30" s="13">
        <v>5375.71</v>
      </c>
      <c r="AA30" s="13">
        <v>5375.71</v>
      </c>
      <c r="AB30" s="13">
        <v>5375.71</v>
      </c>
      <c r="AC30" s="13">
        <v>5389.38</v>
      </c>
      <c r="AD30" s="13">
        <v>5375.71</v>
      </c>
      <c r="AE30" s="13">
        <v>5403.33</v>
      </c>
      <c r="AF30" s="13">
        <v>5375.71</v>
      </c>
      <c r="AG30" s="13">
        <v>5400</v>
      </c>
      <c r="AH30" s="13">
        <v>5396.67</v>
      </c>
      <c r="AI30" s="13">
        <v>5396.67</v>
      </c>
      <c r="AJ30" s="13">
        <v>5396.67</v>
      </c>
      <c r="AK30" s="13">
        <v>5398.89</v>
      </c>
      <c r="AL30" s="13">
        <v>5398.89</v>
      </c>
      <c r="AM30" s="13">
        <v>5398.89</v>
      </c>
      <c r="AN30" s="13">
        <v>5398.89</v>
      </c>
      <c r="AO30" s="13">
        <v>5375.71</v>
      </c>
      <c r="AP30" s="13">
        <v>5415.45</v>
      </c>
      <c r="AQ30" s="13">
        <v>5415.45</v>
      </c>
      <c r="AR30" s="13">
        <v>5415.45</v>
      </c>
      <c r="AS30" s="13">
        <v>5415.45</v>
      </c>
      <c r="AT30" s="13">
        <v>5415.45</v>
      </c>
      <c r="AU30" s="13">
        <v>5415.45</v>
      </c>
      <c r="AV30" s="13">
        <v>5415.45</v>
      </c>
      <c r="AW30" s="13">
        <v>5415.45</v>
      </c>
      <c r="AX30" s="13">
        <v>5415.45</v>
      </c>
      <c r="AY30" s="13">
        <v>5415.45</v>
      </c>
      <c r="AZ30" s="13">
        <v>5415.45</v>
      </c>
      <c r="BA30" s="13">
        <v>5422.5</v>
      </c>
      <c r="BB30" s="13">
        <v>5422.5</v>
      </c>
      <c r="BC30" s="13">
        <v>5422.5</v>
      </c>
      <c r="BD30" s="13">
        <v>5422.5</v>
      </c>
      <c r="BE30" s="13">
        <v>5422.5</v>
      </c>
      <c r="BF30" s="13">
        <v>5422.5</v>
      </c>
      <c r="BG30" s="13">
        <v>5396.67</v>
      </c>
      <c r="BH30" s="13">
        <v>5396.67</v>
      </c>
      <c r="BI30" s="13">
        <v>5399</v>
      </c>
      <c r="BJ30" s="13">
        <v>5409.17</v>
      </c>
      <c r="BK30" s="13">
        <v>5409.17</v>
      </c>
      <c r="BL30" s="13">
        <v>5409.17</v>
      </c>
      <c r="BM30" s="13">
        <v>5418</v>
      </c>
      <c r="BN30" s="13">
        <v>5409.17</v>
      </c>
      <c r="BO30" s="13">
        <v>5409.17</v>
      </c>
      <c r="BP30" s="13">
        <v>5433</v>
      </c>
      <c r="BQ30" s="13">
        <v>5433</v>
      </c>
      <c r="BR30" s="13">
        <v>5436.5</v>
      </c>
      <c r="BS30" s="13">
        <v>5438.24</v>
      </c>
      <c r="BT30" s="13">
        <v>5433</v>
      </c>
      <c r="BU30" s="13">
        <v>5436.92</v>
      </c>
      <c r="BV30" s="13">
        <v>5436.92</v>
      </c>
      <c r="BW30" s="13">
        <v>5436.92</v>
      </c>
      <c r="BX30" s="13">
        <v>5436.92</v>
      </c>
      <c r="BY30" s="13">
        <v>5436.92</v>
      </c>
      <c r="BZ30" s="13">
        <v>5436.92</v>
      </c>
      <c r="CA30" s="13">
        <v>5433</v>
      </c>
      <c r="CB30" s="13">
        <v>5433</v>
      </c>
      <c r="CC30" s="13">
        <v>5436.92</v>
      </c>
      <c r="CD30" s="13">
        <v>5436.92</v>
      </c>
      <c r="CE30" s="13">
        <v>5436.92</v>
      </c>
      <c r="CF30" s="13">
        <v>5436.92</v>
      </c>
      <c r="CG30" s="13">
        <v>5433</v>
      </c>
      <c r="CH30" s="13">
        <v>5433</v>
      </c>
      <c r="CI30" s="13">
        <v>5433</v>
      </c>
      <c r="CJ30" s="13">
        <v>5436.25</v>
      </c>
      <c r="CK30" s="13">
        <v>5436.25</v>
      </c>
      <c r="CL30" s="13">
        <v>5436.25</v>
      </c>
      <c r="CM30" s="13">
        <v>5436.25</v>
      </c>
      <c r="CN30" s="13">
        <v>5433</v>
      </c>
      <c r="CO30" s="13">
        <v>5436.92</v>
      </c>
      <c r="CP30" s="13">
        <v>5436.92</v>
      </c>
      <c r="CQ30" s="13">
        <v>5439.04</v>
      </c>
      <c r="CR30" s="13">
        <v>5439.04</v>
      </c>
      <c r="CS30" s="13">
        <v>5439.04</v>
      </c>
      <c r="CT30" s="13">
        <v>5439.04</v>
      </c>
      <c r="CU30" s="13">
        <v>5439.04</v>
      </c>
      <c r="CV30" s="13">
        <v>5439.04</v>
      </c>
      <c r="CW30" s="13">
        <v>5439.04</v>
      </c>
      <c r="CX30" s="13">
        <v>5442.54</v>
      </c>
      <c r="CY30" s="13">
        <v>5440.24</v>
      </c>
      <c r="CZ30" s="13">
        <v>5440.24</v>
      </c>
      <c r="DA30" s="13">
        <v>5438.17</v>
      </c>
      <c r="DB30" s="13">
        <v>5440.64</v>
      </c>
      <c r="DC30" s="13">
        <v>5440.64</v>
      </c>
      <c r="DD30" s="13">
        <v>5438.17</v>
      </c>
      <c r="DE30" s="13">
        <v>5439.83</v>
      </c>
      <c r="DF30" s="13">
        <v>5438.52</v>
      </c>
      <c r="DG30" s="13">
        <v>5438.52</v>
      </c>
      <c r="DH30" s="13">
        <v>5435.73</v>
      </c>
      <c r="DI30" s="13">
        <v>5438.09</v>
      </c>
      <c r="DJ30" s="13">
        <v>5438.09</v>
      </c>
      <c r="DK30" s="13">
        <v>5433.62</v>
      </c>
    </row>
    <row r="31" spans="1:115" ht="15.75" x14ac:dyDescent="0.25">
      <c r="A31" s="11" t="s">
        <v>5</v>
      </c>
      <c r="B31" s="11" t="s">
        <v>11</v>
      </c>
      <c r="C31" s="15">
        <v>0.37847222222222227</v>
      </c>
      <c r="D31" s="15">
        <v>0.38194444444444442</v>
      </c>
      <c r="E31" s="15">
        <v>0.38541666666666669</v>
      </c>
      <c r="F31" s="15">
        <v>0.3888888888888889</v>
      </c>
      <c r="G31" s="15">
        <v>0.3923611111111111</v>
      </c>
      <c r="H31" s="15">
        <v>0.39583333333333331</v>
      </c>
      <c r="I31" s="15">
        <v>0.39930555555555558</v>
      </c>
      <c r="J31" s="15">
        <v>0.40277777777777773</v>
      </c>
      <c r="K31" s="15">
        <v>0.40625</v>
      </c>
      <c r="L31" s="15">
        <v>0.40972222222222227</v>
      </c>
      <c r="M31" s="15">
        <v>0.41319444444444442</v>
      </c>
      <c r="N31" s="15">
        <v>0.41666666666666669</v>
      </c>
      <c r="O31" s="15">
        <v>0.4201388888888889</v>
      </c>
      <c r="P31" s="15">
        <v>0.4236111111111111</v>
      </c>
      <c r="Q31" s="15">
        <v>0.42708333333333331</v>
      </c>
      <c r="R31" s="15">
        <v>0.43055555555555558</v>
      </c>
      <c r="S31" s="15">
        <v>0.43402777777777773</v>
      </c>
      <c r="T31" s="15">
        <v>0.4375</v>
      </c>
      <c r="U31" s="15">
        <v>0.44097222222222227</v>
      </c>
      <c r="V31" s="15">
        <v>0.44444444444444442</v>
      </c>
      <c r="W31" s="15">
        <v>0.44791666666666669</v>
      </c>
      <c r="X31" s="15">
        <v>0.4513888888888889</v>
      </c>
      <c r="Y31" s="15">
        <v>0.4548611111111111</v>
      </c>
      <c r="Z31" s="15">
        <v>0.45833333333333331</v>
      </c>
      <c r="AA31" s="15">
        <v>0.46180555555555558</v>
      </c>
      <c r="AB31" s="15">
        <v>0.46527777777777773</v>
      </c>
      <c r="AC31" s="15">
        <v>0.46875</v>
      </c>
      <c r="AD31" s="15">
        <v>0.47222222222222227</v>
      </c>
      <c r="AE31" s="15">
        <v>0.47569444444444442</v>
      </c>
      <c r="AF31" s="15">
        <v>0.47916666666666669</v>
      </c>
      <c r="AG31" s="15">
        <v>0.4826388888888889</v>
      </c>
      <c r="AH31" s="15">
        <v>0.4861111111111111</v>
      </c>
      <c r="AI31" s="15">
        <v>0.48958333333333331</v>
      </c>
      <c r="AJ31" s="15">
        <v>0.49305555555555558</v>
      </c>
      <c r="AK31" s="15">
        <v>0.49652777777777773</v>
      </c>
      <c r="AL31" s="15">
        <v>0.5</v>
      </c>
      <c r="AM31" s="15">
        <v>0.50347222222222221</v>
      </c>
      <c r="AN31" s="15">
        <v>0.50694444444444442</v>
      </c>
      <c r="AO31" s="15">
        <v>0.51041666666666663</v>
      </c>
      <c r="AP31" s="15">
        <v>0.51388888888888895</v>
      </c>
      <c r="AQ31" s="15">
        <v>0.51736111111111105</v>
      </c>
      <c r="AR31" s="15">
        <v>0.52083333333333337</v>
      </c>
      <c r="AS31" s="15">
        <v>0.52430555555555558</v>
      </c>
      <c r="AT31" s="15">
        <v>0.52777777777777779</v>
      </c>
      <c r="AU31" s="15">
        <v>0.53125</v>
      </c>
      <c r="AV31" s="15">
        <v>0.53472222222222221</v>
      </c>
      <c r="AW31" s="15">
        <v>0.53819444444444442</v>
      </c>
      <c r="AX31" s="15">
        <v>0.54166666666666663</v>
      </c>
      <c r="AY31" s="15">
        <v>0.54513888888888895</v>
      </c>
      <c r="AZ31" s="15">
        <v>0.54861111111111105</v>
      </c>
      <c r="BA31" s="15">
        <v>0.55208333333333337</v>
      </c>
      <c r="BB31" s="15">
        <v>0.55555555555555558</v>
      </c>
      <c r="BC31" s="15">
        <v>0.55902777777777779</v>
      </c>
      <c r="BD31" s="15">
        <v>0.5625</v>
      </c>
      <c r="BE31" s="15">
        <v>0.56597222222222221</v>
      </c>
      <c r="BF31" s="15">
        <v>0.56944444444444442</v>
      </c>
      <c r="BG31" s="15">
        <v>0.57291666666666663</v>
      </c>
      <c r="BH31" s="15">
        <v>0.57638888888888895</v>
      </c>
      <c r="BI31" s="15">
        <v>0.57986111111111105</v>
      </c>
      <c r="BJ31" s="15">
        <v>0.58333333333333337</v>
      </c>
      <c r="BK31" s="15">
        <v>0.58680555555555558</v>
      </c>
      <c r="BL31" s="15">
        <v>0.59027777777777779</v>
      </c>
      <c r="BM31" s="15">
        <v>0.59375</v>
      </c>
      <c r="BN31" s="15">
        <v>0.59722222222222221</v>
      </c>
      <c r="BO31" s="15">
        <v>0.60069444444444442</v>
      </c>
      <c r="BP31" s="15">
        <v>0.60416666666666663</v>
      </c>
      <c r="BQ31" s="15">
        <v>0.60763888888888895</v>
      </c>
      <c r="BR31" s="15">
        <v>0.61111111111111105</v>
      </c>
      <c r="BS31" s="15">
        <v>0.61458333333333337</v>
      </c>
      <c r="BT31" s="15">
        <v>0.61805555555555558</v>
      </c>
      <c r="BU31" s="15">
        <v>0.62152777777777779</v>
      </c>
      <c r="BV31" s="15">
        <v>0.625</v>
      </c>
      <c r="BW31" s="15">
        <v>0.62847222222222221</v>
      </c>
      <c r="BX31" s="15">
        <v>0.63194444444444442</v>
      </c>
      <c r="BY31" s="15">
        <v>0.63541666666666663</v>
      </c>
      <c r="BZ31" s="15">
        <v>0.63888888888888895</v>
      </c>
      <c r="CA31" s="15">
        <v>0.64236111111111105</v>
      </c>
      <c r="CB31" s="15">
        <v>0.64583333333333337</v>
      </c>
      <c r="CC31" s="15">
        <v>0.64930555555555558</v>
      </c>
      <c r="CD31" s="15">
        <v>0.65277777777777779</v>
      </c>
      <c r="CE31" s="15">
        <v>0.65625</v>
      </c>
      <c r="CF31" s="15">
        <v>0.65972222222222221</v>
      </c>
      <c r="CG31" s="15">
        <v>0.66319444444444442</v>
      </c>
      <c r="CH31" s="15">
        <v>0.66666666666666663</v>
      </c>
      <c r="CI31" s="15">
        <v>0.67013888888888884</v>
      </c>
      <c r="CJ31" s="15">
        <v>0.67361111111111116</v>
      </c>
      <c r="CK31" s="15">
        <v>0.67708333333333337</v>
      </c>
      <c r="CL31" s="15">
        <v>0.68055555555555547</v>
      </c>
      <c r="CM31" s="15">
        <v>0.68402777777777779</v>
      </c>
      <c r="CN31" s="15">
        <v>0.6875</v>
      </c>
      <c r="CO31" s="15">
        <v>0.69097222222222221</v>
      </c>
      <c r="CP31" s="15">
        <v>0.69444444444444453</v>
      </c>
      <c r="CQ31" s="15">
        <v>0.69791666666666663</v>
      </c>
      <c r="CR31" s="15">
        <v>0.70138888888888884</v>
      </c>
      <c r="CS31" s="15">
        <v>0.70486111111111116</v>
      </c>
      <c r="CT31" s="15">
        <v>0.70833333333333337</v>
      </c>
      <c r="CU31" s="15">
        <v>0.71180555555555547</v>
      </c>
      <c r="CV31" s="15">
        <v>0.71527777777777779</v>
      </c>
      <c r="CW31" s="15">
        <v>0.71875</v>
      </c>
      <c r="CX31" s="15">
        <v>0.72222222222222221</v>
      </c>
      <c r="CY31" s="15">
        <v>0.72569444444444453</v>
      </c>
      <c r="CZ31" s="15">
        <v>0.72916666666666663</v>
      </c>
      <c r="DA31" s="15">
        <v>0.73263888888888884</v>
      </c>
      <c r="DB31" s="15">
        <v>0.73611111111111116</v>
      </c>
      <c r="DC31" s="15">
        <v>0.73958333333333337</v>
      </c>
      <c r="DD31" s="15">
        <v>0.74305555555555547</v>
      </c>
      <c r="DE31" s="15">
        <v>0.74652777777777779</v>
      </c>
      <c r="DF31" s="15">
        <v>0.75</v>
      </c>
      <c r="DG31" s="15">
        <v>0.75347222222222221</v>
      </c>
      <c r="DH31" s="15">
        <v>0.75694444444444453</v>
      </c>
      <c r="DI31" s="15">
        <v>0.76041666666666663</v>
      </c>
      <c r="DJ31" s="15">
        <v>0.76388888888888884</v>
      </c>
      <c r="DK31" s="15">
        <v>0.76736111111111116</v>
      </c>
    </row>
    <row r="32" spans="1:115" ht="15.75" x14ac:dyDescent="0.25">
      <c r="A32" s="14">
        <v>44208</v>
      </c>
      <c r="B32" s="12" t="s">
        <v>6</v>
      </c>
      <c r="C32" s="13">
        <v>5490</v>
      </c>
      <c r="D32" s="13">
        <v>5500</v>
      </c>
      <c r="E32" s="13">
        <v>5508.26</v>
      </c>
      <c r="F32" s="13">
        <v>5511.43</v>
      </c>
      <c r="G32" s="13">
        <v>5512.86</v>
      </c>
      <c r="H32" s="13">
        <v>5499.29</v>
      </c>
      <c r="I32" s="13">
        <v>5500.71</v>
      </c>
      <c r="J32" s="13">
        <v>5506.43</v>
      </c>
      <c r="K32" s="13">
        <v>5507.14</v>
      </c>
      <c r="L32" s="13">
        <v>5507.14</v>
      </c>
      <c r="M32" s="13">
        <v>5506.43</v>
      </c>
      <c r="N32" s="13">
        <v>5502.14</v>
      </c>
      <c r="O32" s="13">
        <v>5504</v>
      </c>
      <c r="P32" s="13">
        <v>5526.86</v>
      </c>
      <c r="Q32" s="13">
        <v>5526.29</v>
      </c>
      <c r="R32" s="13">
        <v>5527.43</v>
      </c>
      <c r="S32" s="13">
        <v>5528.57</v>
      </c>
      <c r="T32" s="13">
        <v>5527.14</v>
      </c>
      <c r="U32" s="13">
        <v>5514</v>
      </c>
      <c r="V32" s="13">
        <v>5511.33</v>
      </c>
      <c r="W32" s="13">
        <v>5507.33</v>
      </c>
      <c r="X32" s="13">
        <v>5505.33</v>
      </c>
      <c r="Y32" s="13">
        <v>5506</v>
      </c>
      <c r="Z32" s="13">
        <v>5506</v>
      </c>
      <c r="AA32" s="13">
        <v>5503.33</v>
      </c>
      <c r="AB32" s="13">
        <v>5508</v>
      </c>
      <c r="AC32" s="13">
        <v>5504.67</v>
      </c>
      <c r="AD32" s="13">
        <v>5503.33</v>
      </c>
      <c r="AE32" s="13">
        <v>5509.33</v>
      </c>
      <c r="AF32" s="13">
        <v>5512.67</v>
      </c>
      <c r="AG32" s="13">
        <v>5514</v>
      </c>
      <c r="AH32" s="13">
        <v>5529.14</v>
      </c>
      <c r="AI32" s="13">
        <v>5513.33</v>
      </c>
      <c r="AJ32" s="13">
        <v>5512</v>
      </c>
      <c r="AK32" s="13">
        <v>5529.14</v>
      </c>
      <c r="AL32" s="13">
        <v>5527.71</v>
      </c>
      <c r="AM32" s="13">
        <v>5499.29</v>
      </c>
      <c r="AN32" s="13">
        <v>5500.71</v>
      </c>
      <c r="AO32" s="13">
        <v>5503.57</v>
      </c>
      <c r="AP32" s="13">
        <v>5500</v>
      </c>
      <c r="AQ32" s="13">
        <v>5495</v>
      </c>
      <c r="AR32" s="13">
        <v>5485</v>
      </c>
      <c r="AS32" s="13">
        <v>5466.13</v>
      </c>
      <c r="AT32" s="13">
        <v>5459.41</v>
      </c>
      <c r="AU32" s="13">
        <v>5505.5</v>
      </c>
      <c r="AV32" s="13">
        <v>5505.5</v>
      </c>
      <c r="AW32" s="13">
        <v>5471.54</v>
      </c>
      <c r="AX32" s="13">
        <v>5523.33</v>
      </c>
      <c r="AY32" s="13">
        <v>5523.33</v>
      </c>
      <c r="AZ32" s="13">
        <v>5523.33</v>
      </c>
      <c r="BA32" s="13">
        <v>5523.33</v>
      </c>
      <c r="BB32" s="13">
        <v>5505</v>
      </c>
      <c r="BC32" s="13">
        <v>5461.27</v>
      </c>
      <c r="BD32" s="13">
        <v>5499.8</v>
      </c>
      <c r="BE32" s="13">
        <v>5504.83</v>
      </c>
      <c r="BF32" s="13">
        <v>5502.25</v>
      </c>
      <c r="BG32" s="13">
        <v>5499.8</v>
      </c>
      <c r="BH32" s="13">
        <v>5499.8</v>
      </c>
      <c r="BI32" s="13">
        <v>5496.4</v>
      </c>
      <c r="BJ32" s="13">
        <v>5496.4</v>
      </c>
      <c r="BK32" s="13">
        <v>5496.4</v>
      </c>
      <c r="BL32" s="13">
        <v>5496.4</v>
      </c>
      <c r="BM32" s="13">
        <v>5445.68</v>
      </c>
      <c r="BN32" s="13">
        <v>5496.4</v>
      </c>
      <c r="BO32" s="13">
        <v>5496.4</v>
      </c>
      <c r="BP32" s="13">
        <v>5484.83</v>
      </c>
      <c r="BQ32" s="13">
        <v>5449.08</v>
      </c>
      <c r="BR32" s="13">
        <v>5483.17</v>
      </c>
      <c r="BS32" s="13">
        <v>5481.67</v>
      </c>
      <c r="BT32" s="13">
        <v>5450.91</v>
      </c>
      <c r="BU32" s="13">
        <v>5481.67</v>
      </c>
      <c r="BV32" s="13">
        <v>5481.67</v>
      </c>
      <c r="BW32" s="13">
        <v>5478.14</v>
      </c>
      <c r="BX32" s="13">
        <v>5478.14</v>
      </c>
      <c r="BY32" s="13">
        <v>5477.71</v>
      </c>
      <c r="BZ32" s="13">
        <v>5477.71</v>
      </c>
      <c r="CA32" s="13">
        <v>5477.71</v>
      </c>
      <c r="CB32" s="13">
        <v>5477.71</v>
      </c>
      <c r="CC32" s="13">
        <v>5477.71</v>
      </c>
      <c r="CD32" s="13">
        <v>5477.71</v>
      </c>
      <c r="CE32" s="13">
        <v>5411.39</v>
      </c>
      <c r="CF32" s="13">
        <v>5477.71</v>
      </c>
      <c r="CG32" s="13">
        <v>5477.71</v>
      </c>
      <c r="CH32" s="13">
        <v>5477.71</v>
      </c>
      <c r="CI32" s="13">
        <v>5477.71</v>
      </c>
      <c r="CJ32" s="13">
        <v>5477.71</v>
      </c>
      <c r="CK32" s="13">
        <v>5477.71</v>
      </c>
      <c r="CL32" s="13">
        <v>5477.71</v>
      </c>
      <c r="CM32" s="13">
        <v>5477.71</v>
      </c>
      <c r="CN32" s="13">
        <v>5380.89</v>
      </c>
      <c r="CO32" s="13">
        <v>5395.11</v>
      </c>
      <c r="CP32" s="13">
        <v>5396.06</v>
      </c>
      <c r="CQ32" s="13">
        <v>5477.71</v>
      </c>
      <c r="CR32" s="13">
        <v>5477.71</v>
      </c>
      <c r="CS32" s="13">
        <v>5477.71</v>
      </c>
      <c r="CT32" s="13">
        <v>5477.71</v>
      </c>
      <c r="CU32" s="13">
        <v>5477.71</v>
      </c>
      <c r="CV32" s="13">
        <v>5477.71</v>
      </c>
      <c r="CW32" s="13">
        <v>5477.71</v>
      </c>
      <c r="CX32" s="13">
        <v>5477.71</v>
      </c>
      <c r="CY32" s="13">
        <v>5477.71</v>
      </c>
      <c r="CZ32" s="13">
        <v>5477.71</v>
      </c>
      <c r="DA32" s="13">
        <v>5477.71</v>
      </c>
      <c r="DB32" s="13">
        <v>5477.71</v>
      </c>
      <c r="DC32" s="13">
        <v>5477.71</v>
      </c>
      <c r="DD32" s="13">
        <v>5477.71</v>
      </c>
      <c r="DE32" s="13">
        <v>5446</v>
      </c>
      <c r="DF32" s="13">
        <v>5445.11</v>
      </c>
      <c r="DG32" s="13">
        <v>5367.56</v>
      </c>
      <c r="DH32" s="13">
        <v>5340.5</v>
      </c>
      <c r="DI32" s="13">
        <v>5338.58</v>
      </c>
      <c r="DJ32" s="13">
        <v>5340.18</v>
      </c>
      <c r="DK32" s="13">
        <v>5375.5</v>
      </c>
    </row>
    <row r="33" spans="1:115" ht="15.75" x14ac:dyDescent="0.25">
      <c r="A33" s="14" t="s">
        <v>12</v>
      </c>
      <c r="B33" s="12" t="s">
        <v>10</v>
      </c>
      <c r="C33" s="13">
        <v>5490</v>
      </c>
      <c r="D33" s="13">
        <v>5500</v>
      </c>
      <c r="E33" s="13">
        <v>5506.08</v>
      </c>
      <c r="F33" s="13">
        <v>5505.17</v>
      </c>
      <c r="G33" s="13">
        <v>5489.5</v>
      </c>
      <c r="H33" s="13">
        <v>5485.92</v>
      </c>
      <c r="I33" s="13">
        <v>5495.87</v>
      </c>
      <c r="J33" s="13">
        <v>5506.43</v>
      </c>
      <c r="K33" s="13">
        <v>5495.92</v>
      </c>
      <c r="L33" s="13">
        <v>5497.83</v>
      </c>
      <c r="M33" s="13">
        <v>5494.17</v>
      </c>
      <c r="N33" s="13">
        <v>5480.42</v>
      </c>
      <c r="O33" s="13">
        <v>5492</v>
      </c>
      <c r="P33" s="13">
        <v>5493.68</v>
      </c>
      <c r="Q33" s="13">
        <v>5494.64</v>
      </c>
      <c r="R33" s="13">
        <v>5495.52</v>
      </c>
      <c r="S33" s="13">
        <v>5498.96</v>
      </c>
      <c r="T33" s="13">
        <v>5492.69</v>
      </c>
      <c r="U33" s="13">
        <v>5502.56</v>
      </c>
      <c r="V33" s="13">
        <v>5505.33</v>
      </c>
      <c r="W33" s="13">
        <v>5496.4</v>
      </c>
      <c r="X33" s="13">
        <v>5490.24</v>
      </c>
      <c r="Y33" s="13">
        <v>5492.88</v>
      </c>
      <c r="Z33" s="13">
        <v>5491.12</v>
      </c>
      <c r="AA33" s="13">
        <v>5492.88</v>
      </c>
      <c r="AB33" s="13">
        <v>5508</v>
      </c>
      <c r="AC33" s="13">
        <v>5491.12</v>
      </c>
      <c r="AD33" s="13">
        <v>5495.52</v>
      </c>
      <c r="AE33" s="13">
        <v>5502.56</v>
      </c>
      <c r="AF33" s="13">
        <v>5509</v>
      </c>
      <c r="AG33" s="13">
        <v>5501.68</v>
      </c>
      <c r="AH33" s="13">
        <v>5502.56</v>
      </c>
      <c r="AI33" s="13">
        <v>5503.44</v>
      </c>
      <c r="AJ33" s="13">
        <v>5502.56</v>
      </c>
      <c r="AK33" s="13">
        <v>5499.04</v>
      </c>
      <c r="AL33" s="13">
        <v>5485.92</v>
      </c>
      <c r="AM33" s="13">
        <v>5489.58</v>
      </c>
      <c r="AN33" s="13">
        <v>5492.33</v>
      </c>
      <c r="AO33" s="13">
        <v>5491.42</v>
      </c>
      <c r="AP33" s="13">
        <v>5485.92</v>
      </c>
      <c r="AQ33" s="13">
        <v>5473.08</v>
      </c>
      <c r="AR33" s="13">
        <v>5464.15</v>
      </c>
      <c r="AS33" s="13">
        <v>5458.59</v>
      </c>
      <c r="AT33" s="13">
        <v>5452.78</v>
      </c>
      <c r="AU33" s="13">
        <v>5458.54</v>
      </c>
      <c r="AV33" s="13">
        <v>5469.36</v>
      </c>
      <c r="AW33" s="13">
        <v>5463.12</v>
      </c>
      <c r="AX33" s="13">
        <v>5458.8</v>
      </c>
      <c r="AY33" s="13">
        <v>5455.28</v>
      </c>
      <c r="AZ33" s="13">
        <v>5456.16</v>
      </c>
      <c r="BA33" s="13">
        <v>5452.64</v>
      </c>
      <c r="BB33" s="13">
        <v>5505</v>
      </c>
      <c r="BC33" s="13">
        <v>5448.28</v>
      </c>
      <c r="BD33" s="13">
        <v>5446.6</v>
      </c>
      <c r="BE33" s="13">
        <v>5439.04</v>
      </c>
      <c r="BF33" s="13">
        <v>5434</v>
      </c>
      <c r="BG33" s="13">
        <v>5439.88</v>
      </c>
      <c r="BH33" s="13">
        <v>5440.35</v>
      </c>
      <c r="BI33" s="13">
        <v>5444.38</v>
      </c>
      <c r="BJ33" s="13">
        <v>5437.12</v>
      </c>
      <c r="BK33" s="13">
        <v>5436.31</v>
      </c>
      <c r="BL33" s="13">
        <v>5440.35</v>
      </c>
      <c r="BM33" s="13">
        <v>5439.54</v>
      </c>
      <c r="BN33" s="13">
        <v>5442.77</v>
      </c>
      <c r="BO33" s="13">
        <v>5440.35</v>
      </c>
      <c r="BP33" s="13">
        <v>5430.62</v>
      </c>
      <c r="BQ33" s="13">
        <v>5432.14</v>
      </c>
      <c r="BR33" s="13">
        <v>5432.14</v>
      </c>
      <c r="BS33" s="13">
        <v>5431</v>
      </c>
      <c r="BT33" s="13">
        <v>5431.54</v>
      </c>
      <c r="BU33" s="13">
        <v>5423.73</v>
      </c>
      <c r="BV33" s="13">
        <v>5421.55</v>
      </c>
      <c r="BW33" s="13">
        <v>5421</v>
      </c>
      <c r="BX33" s="13">
        <v>5418.78</v>
      </c>
      <c r="BY33" s="13">
        <v>5413.91</v>
      </c>
      <c r="BZ33" s="13">
        <v>5411.83</v>
      </c>
      <c r="CA33" s="13">
        <v>5408.35</v>
      </c>
      <c r="CB33" s="13">
        <v>5404.17</v>
      </c>
      <c r="CC33" s="13">
        <v>5404.17</v>
      </c>
      <c r="CD33" s="13">
        <v>5403.48</v>
      </c>
      <c r="CE33" s="13">
        <v>5411.39</v>
      </c>
      <c r="CF33" s="13">
        <v>5398.67</v>
      </c>
      <c r="CG33" s="13">
        <v>5414.94</v>
      </c>
      <c r="CH33" s="13">
        <v>5385.26</v>
      </c>
      <c r="CI33" s="13">
        <v>5393.48</v>
      </c>
      <c r="CJ33" s="13">
        <v>5391.26</v>
      </c>
      <c r="CK33" s="13">
        <v>5389.04</v>
      </c>
      <c r="CL33" s="13">
        <v>5380.89</v>
      </c>
      <c r="CM33" s="13">
        <v>5380.15</v>
      </c>
      <c r="CN33" s="13">
        <v>5380.72</v>
      </c>
      <c r="CO33" s="13">
        <v>5376.31</v>
      </c>
      <c r="CP33" s="13">
        <v>5377</v>
      </c>
      <c r="CQ33" s="13">
        <v>5374.24</v>
      </c>
      <c r="CR33" s="13">
        <v>5376.4</v>
      </c>
      <c r="CS33" s="13">
        <v>5377.12</v>
      </c>
      <c r="CT33" s="13">
        <v>5372.08</v>
      </c>
      <c r="CU33" s="13">
        <v>5371.36</v>
      </c>
      <c r="CV33" s="13">
        <v>5371.36</v>
      </c>
      <c r="CW33" s="13">
        <v>5377.12</v>
      </c>
      <c r="CX33" s="13">
        <v>5380</v>
      </c>
      <c r="CY33" s="13">
        <v>5380</v>
      </c>
      <c r="CZ33" s="13">
        <v>5380.72</v>
      </c>
      <c r="DA33" s="13">
        <v>5449.33</v>
      </c>
      <c r="DB33" s="13">
        <v>5376.44</v>
      </c>
      <c r="DC33" s="13">
        <v>5373.48</v>
      </c>
      <c r="DD33" s="13">
        <v>5373.48</v>
      </c>
      <c r="DE33" s="13">
        <v>5370.97</v>
      </c>
      <c r="DF33" s="13">
        <v>5366.48</v>
      </c>
      <c r="DG33" s="13">
        <v>5340.5</v>
      </c>
      <c r="DH33" s="13">
        <v>5336.75</v>
      </c>
      <c r="DI33" s="13">
        <v>5338.58</v>
      </c>
      <c r="DJ33" s="13">
        <v>5339.27</v>
      </c>
      <c r="DK33" s="13">
        <v>5339.27</v>
      </c>
    </row>
    <row r="34" spans="1:115" ht="15.75" x14ac:dyDescent="0.25">
      <c r="A34" s="14" t="s">
        <v>12</v>
      </c>
      <c r="B34" s="12" t="s">
        <v>9</v>
      </c>
      <c r="C34" s="13">
        <v>5460.38</v>
      </c>
      <c r="D34" s="13">
        <v>5467.56</v>
      </c>
      <c r="E34" s="13">
        <v>5469.1</v>
      </c>
      <c r="F34" s="13">
        <v>5468.59</v>
      </c>
      <c r="G34" s="13">
        <v>5459.1</v>
      </c>
      <c r="H34" s="13">
        <v>5458.33</v>
      </c>
      <c r="I34" s="13">
        <v>5459.87</v>
      </c>
      <c r="J34" s="13">
        <v>5464.49</v>
      </c>
      <c r="K34" s="13">
        <v>5463.97</v>
      </c>
      <c r="L34" s="13">
        <v>5465</v>
      </c>
      <c r="M34" s="13">
        <v>5446.05</v>
      </c>
      <c r="N34" s="13">
        <v>5453.92</v>
      </c>
      <c r="O34" s="13">
        <v>5443.61</v>
      </c>
      <c r="P34" s="13">
        <v>5460.66</v>
      </c>
      <c r="Q34" s="13">
        <v>5461.18</v>
      </c>
      <c r="R34" s="13">
        <v>5461.18</v>
      </c>
      <c r="S34" s="13">
        <v>5464.69</v>
      </c>
      <c r="T34" s="13">
        <v>5463.26</v>
      </c>
      <c r="U34" s="13">
        <v>5467.07</v>
      </c>
      <c r="V34" s="13">
        <v>5461.83</v>
      </c>
      <c r="W34" s="13">
        <v>5463.26</v>
      </c>
      <c r="X34" s="13">
        <v>5459.08</v>
      </c>
      <c r="Y34" s="13">
        <v>5460.13</v>
      </c>
      <c r="Z34" s="13">
        <v>5458.55</v>
      </c>
      <c r="AA34" s="13">
        <v>5459.61</v>
      </c>
      <c r="AB34" s="13">
        <v>5462.76</v>
      </c>
      <c r="AC34" s="13">
        <v>5459.33</v>
      </c>
      <c r="AD34" s="13">
        <v>5462.33</v>
      </c>
      <c r="AE34" s="13">
        <v>5465.83</v>
      </c>
      <c r="AF34" s="13">
        <v>5466.33</v>
      </c>
      <c r="AG34" s="13">
        <v>5465.33</v>
      </c>
      <c r="AH34" s="13">
        <v>5465.83</v>
      </c>
      <c r="AI34" s="13">
        <v>5466.83</v>
      </c>
      <c r="AJ34" s="13">
        <v>5465.83</v>
      </c>
      <c r="AK34" s="13">
        <v>5463.83</v>
      </c>
      <c r="AL34" s="13">
        <v>5461.38</v>
      </c>
      <c r="AM34" s="13">
        <v>5465.13</v>
      </c>
      <c r="AN34" s="13">
        <v>5467.18</v>
      </c>
      <c r="AO34" s="13">
        <v>5466.59</v>
      </c>
      <c r="AP34" s="13">
        <v>5463.06</v>
      </c>
      <c r="AQ34" s="13">
        <v>5451.43</v>
      </c>
      <c r="AR34" s="13">
        <v>5443.46</v>
      </c>
      <c r="AS34" s="13">
        <v>5439.44</v>
      </c>
      <c r="AT34" s="13">
        <v>5437.73</v>
      </c>
      <c r="AU34" s="13">
        <v>5437.73</v>
      </c>
      <c r="AV34" s="13">
        <v>5448.64</v>
      </c>
      <c r="AW34" s="13">
        <v>5442.27</v>
      </c>
      <c r="AX34" s="13">
        <v>5430</v>
      </c>
      <c r="AY34" s="13">
        <v>5435.71</v>
      </c>
      <c r="AZ34" s="13">
        <v>5420</v>
      </c>
      <c r="BA34" s="13">
        <v>5430.45</v>
      </c>
      <c r="BB34" s="13">
        <v>5428.46</v>
      </c>
      <c r="BC34" s="13">
        <v>5425.4</v>
      </c>
      <c r="BD34" s="13">
        <v>5423.4</v>
      </c>
      <c r="BE34" s="13">
        <v>5416.2</v>
      </c>
      <c r="BF34" s="13">
        <v>5409.35</v>
      </c>
      <c r="BG34" s="13">
        <v>5414.57</v>
      </c>
      <c r="BH34" s="13">
        <v>5414.57</v>
      </c>
      <c r="BI34" s="13">
        <v>5418.91</v>
      </c>
      <c r="BJ34" s="13">
        <v>5411.96</v>
      </c>
      <c r="BK34" s="13">
        <v>5410.22</v>
      </c>
      <c r="BL34" s="13">
        <v>5413.7</v>
      </c>
      <c r="BM34" s="13">
        <v>5414.57</v>
      </c>
      <c r="BN34" s="13">
        <v>5416.3</v>
      </c>
      <c r="BO34" s="13">
        <v>5414.57</v>
      </c>
      <c r="BP34" s="13">
        <v>5404.13</v>
      </c>
      <c r="BQ34" s="13">
        <v>5401.09</v>
      </c>
      <c r="BR34" s="13">
        <v>5401.07</v>
      </c>
      <c r="BS34" s="13">
        <v>5400.26</v>
      </c>
      <c r="BT34" s="13">
        <v>5402.96</v>
      </c>
      <c r="BU34" s="13">
        <v>5391</v>
      </c>
      <c r="BV34" s="13">
        <v>5387</v>
      </c>
      <c r="BW34" s="13">
        <v>5385</v>
      </c>
      <c r="BX34" s="13">
        <v>5381</v>
      </c>
      <c r="BY34" s="13">
        <v>5374</v>
      </c>
      <c r="BZ34" s="13">
        <v>5371</v>
      </c>
      <c r="CA34" s="13">
        <v>5366</v>
      </c>
      <c r="CB34" s="13">
        <v>5349</v>
      </c>
      <c r="CC34" s="13">
        <v>5352.6</v>
      </c>
      <c r="CD34" s="13">
        <v>5351.8</v>
      </c>
      <c r="CE34" s="13">
        <v>5344.64</v>
      </c>
      <c r="CF34" s="13">
        <v>5347.76</v>
      </c>
      <c r="CG34" s="13">
        <v>5344.6</v>
      </c>
      <c r="CH34" s="13">
        <v>5336.79</v>
      </c>
      <c r="CI34" s="13">
        <v>5344.43</v>
      </c>
      <c r="CJ34" s="13">
        <v>5343.47</v>
      </c>
      <c r="CK34" s="13">
        <v>5342.36</v>
      </c>
      <c r="CL34" s="13">
        <v>5334.86</v>
      </c>
      <c r="CM34" s="13">
        <v>5334.71</v>
      </c>
      <c r="CN34" s="13">
        <v>5332.56</v>
      </c>
      <c r="CO34" s="13">
        <v>5328.81</v>
      </c>
      <c r="CP34" s="13">
        <v>5329.5</v>
      </c>
      <c r="CQ34" s="13">
        <v>5321.07</v>
      </c>
      <c r="CR34" s="13">
        <v>5322.48</v>
      </c>
      <c r="CS34" s="13">
        <v>5322.85</v>
      </c>
      <c r="CT34" s="13">
        <v>5343.97</v>
      </c>
      <c r="CU34" s="13">
        <v>5343.5</v>
      </c>
      <c r="CV34" s="13">
        <v>5336.95</v>
      </c>
      <c r="CW34" s="13">
        <v>5319.68</v>
      </c>
      <c r="CX34" s="13">
        <v>5324.28</v>
      </c>
      <c r="CY34" s="13">
        <v>5324.28</v>
      </c>
      <c r="CZ34" s="13">
        <v>5324.28</v>
      </c>
      <c r="DA34" s="13">
        <v>5316.94</v>
      </c>
      <c r="DB34" s="13">
        <v>5324.31</v>
      </c>
      <c r="DC34" s="13">
        <v>5321.81</v>
      </c>
      <c r="DD34" s="13">
        <v>5322.64</v>
      </c>
      <c r="DE34" s="13">
        <v>5322.08</v>
      </c>
      <c r="DF34" s="13">
        <v>5319.31</v>
      </c>
      <c r="DG34" s="13">
        <v>5320.42</v>
      </c>
      <c r="DH34" s="13">
        <v>5318.19</v>
      </c>
      <c r="DI34" s="13">
        <v>5318.75</v>
      </c>
      <c r="DJ34" s="13">
        <v>5319.92</v>
      </c>
      <c r="DK34" s="13">
        <v>5319.36</v>
      </c>
    </row>
    <row r="35" spans="1:115" ht="15.75" x14ac:dyDescent="0.25">
      <c r="A35" s="14" t="s">
        <v>12</v>
      </c>
      <c r="B35" s="12" t="s">
        <v>7</v>
      </c>
      <c r="C35" s="13">
        <v>5453.57</v>
      </c>
      <c r="D35" s="13">
        <v>5446.05</v>
      </c>
      <c r="E35" s="13">
        <v>5446.05</v>
      </c>
      <c r="F35" s="13">
        <v>5446.05</v>
      </c>
      <c r="G35" s="13">
        <v>5444.47</v>
      </c>
      <c r="H35" s="13">
        <v>5444.47</v>
      </c>
      <c r="I35" s="13">
        <v>5446.05</v>
      </c>
      <c r="J35" s="13">
        <v>5446.05</v>
      </c>
      <c r="K35" s="13">
        <v>5446.05</v>
      </c>
      <c r="L35" s="13">
        <v>5446.05</v>
      </c>
      <c r="M35" s="13">
        <v>5446.05</v>
      </c>
      <c r="N35" s="13">
        <v>5446.05</v>
      </c>
      <c r="O35" s="13">
        <v>5443.61</v>
      </c>
      <c r="P35" s="13">
        <v>5443.61</v>
      </c>
      <c r="Q35" s="13">
        <v>5443.61</v>
      </c>
      <c r="R35" s="13">
        <v>5443.61</v>
      </c>
      <c r="S35" s="13">
        <v>5449.86</v>
      </c>
      <c r="T35" s="13">
        <v>5449.86</v>
      </c>
      <c r="U35" s="13">
        <v>5449.86</v>
      </c>
      <c r="V35" s="13">
        <v>5449.86</v>
      </c>
      <c r="W35" s="13">
        <v>5458.34</v>
      </c>
      <c r="X35" s="13">
        <v>5459.08</v>
      </c>
      <c r="Y35" s="13">
        <v>5443.61</v>
      </c>
      <c r="Z35" s="13">
        <v>5443.61</v>
      </c>
      <c r="AA35" s="13">
        <v>5443.61</v>
      </c>
      <c r="AB35" s="13">
        <v>5443.61</v>
      </c>
      <c r="AC35" s="13">
        <v>5443.61</v>
      </c>
      <c r="AD35" s="13">
        <v>5446.65</v>
      </c>
      <c r="AE35" s="13">
        <v>5461.83</v>
      </c>
      <c r="AF35" s="13">
        <v>5446.65</v>
      </c>
      <c r="AG35" s="13">
        <v>5446.65</v>
      </c>
      <c r="AH35" s="13">
        <v>5446.65</v>
      </c>
      <c r="AI35" s="13">
        <v>5446.65</v>
      </c>
      <c r="AJ35" s="13">
        <v>5446.65</v>
      </c>
      <c r="AK35" s="13">
        <v>5446.65</v>
      </c>
      <c r="AL35" s="13">
        <v>5446.65</v>
      </c>
      <c r="AM35" s="13">
        <v>5450.33</v>
      </c>
      <c r="AN35" s="13">
        <v>5453.14</v>
      </c>
      <c r="AO35" s="13">
        <v>5463.08</v>
      </c>
      <c r="AP35" s="13">
        <v>5453.14</v>
      </c>
      <c r="AQ35" s="13">
        <v>5451.43</v>
      </c>
      <c r="AR35" s="13">
        <v>5441.15</v>
      </c>
      <c r="AS35" s="13">
        <v>5436.67</v>
      </c>
      <c r="AT35" s="13">
        <v>5430</v>
      </c>
      <c r="AU35" s="13">
        <v>5434.09</v>
      </c>
      <c r="AV35" s="13">
        <v>5435</v>
      </c>
      <c r="AW35" s="13">
        <v>5435</v>
      </c>
      <c r="AX35" s="13">
        <v>5430</v>
      </c>
      <c r="AY35" s="13">
        <v>5430</v>
      </c>
      <c r="AZ35" s="13">
        <v>5420</v>
      </c>
      <c r="BA35" s="13">
        <v>5420</v>
      </c>
      <c r="BB35" s="13">
        <v>5428.46</v>
      </c>
      <c r="BC35" s="13">
        <v>5423.13</v>
      </c>
      <c r="BD35" s="13">
        <v>5420</v>
      </c>
      <c r="BE35" s="13">
        <v>5415.71</v>
      </c>
      <c r="BF35" s="13">
        <v>5404</v>
      </c>
      <c r="BG35" s="13">
        <v>5404</v>
      </c>
      <c r="BH35" s="13">
        <v>5404</v>
      </c>
      <c r="BI35" s="13">
        <v>5404</v>
      </c>
      <c r="BJ35" s="13">
        <v>5404</v>
      </c>
      <c r="BK35" s="13">
        <v>5404</v>
      </c>
      <c r="BL35" s="13">
        <v>5404</v>
      </c>
      <c r="BM35" s="13">
        <v>5404</v>
      </c>
      <c r="BN35" s="13">
        <v>5404</v>
      </c>
      <c r="BO35" s="13">
        <v>5404</v>
      </c>
      <c r="BP35" s="13">
        <v>5403.26</v>
      </c>
      <c r="BQ35" s="13">
        <v>5401.09</v>
      </c>
      <c r="BR35" s="13">
        <v>5400.22</v>
      </c>
      <c r="BS35" s="13">
        <v>5399.35</v>
      </c>
      <c r="BT35" s="13">
        <v>5400.22</v>
      </c>
      <c r="BU35" s="13">
        <v>5391</v>
      </c>
      <c r="BV35" s="13">
        <v>5386</v>
      </c>
      <c r="BW35" s="13">
        <v>5382</v>
      </c>
      <c r="BX35" s="13">
        <v>5381</v>
      </c>
      <c r="BY35" s="13">
        <v>5374</v>
      </c>
      <c r="BZ35" s="13">
        <v>5362</v>
      </c>
      <c r="CA35" s="13">
        <v>5364</v>
      </c>
      <c r="CB35" s="13">
        <v>5333</v>
      </c>
      <c r="CC35" s="13">
        <v>5333</v>
      </c>
      <c r="CD35" s="13">
        <v>5345.73</v>
      </c>
      <c r="CE35" s="13">
        <v>5344.64</v>
      </c>
      <c r="CF35" s="13">
        <v>5333</v>
      </c>
      <c r="CG35" s="13">
        <v>5334.17</v>
      </c>
      <c r="CH35" s="13">
        <v>5333</v>
      </c>
      <c r="CI35" s="13">
        <v>5338.25</v>
      </c>
      <c r="CJ35" s="13">
        <v>5333</v>
      </c>
      <c r="CK35" s="13">
        <v>5334.06</v>
      </c>
      <c r="CL35" s="13">
        <v>5333</v>
      </c>
      <c r="CM35" s="13">
        <v>5333</v>
      </c>
      <c r="CN35" s="13">
        <v>5330.81</v>
      </c>
      <c r="CO35" s="13">
        <v>5327.45</v>
      </c>
      <c r="CP35" s="13">
        <v>5325.75</v>
      </c>
      <c r="CQ35" s="13">
        <v>5315</v>
      </c>
      <c r="CR35" s="13">
        <v>5316.82</v>
      </c>
      <c r="CS35" s="13">
        <v>5316.82</v>
      </c>
      <c r="CT35" s="13">
        <v>5169.45</v>
      </c>
      <c r="CU35" s="13">
        <v>5343.5</v>
      </c>
      <c r="CV35" s="13">
        <v>5169.45</v>
      </c>
      <c r="CW35" s="13">
        <v>5316.56</v>
      </c>
      <c r="CX35" s="13">
        <v>5316.56</v>
      </c>
      <c r="CY35" s="13">
        <v>5316.56</v>
      </c>
      <c r="CZ35" s="13">
        <v>5316.56</v>
      </c>
      <c r="DA35" s="13">
        <v>5316.56</v>
      </c>
      <c r="DB35" s="13">
        <v>5316.94</v>
      </c>
      <c r="DC35" s="13">
        <v>5320.96</v>
      </c>
      <c r="DD35" s="13">
        <v>5316.56</v>
      </c>
      <c r="DE35" s="13">
        <v>5320.97</v>
      </c>
      <c r="DF35" s="13">
        <v>5317.19</v>
      </c>
      <c r="DG35" s="13">
        <v>5317.19</v>
      </c>
      <c r="DH35" s="13">
        <v>5317.19</v>
      </c>
      <c r="DI35" s="13">
        <v>5317.08</v>
      </c>
      <c r="DJ35" s="13">
        <v>5317.31</v>
      </c>
      <c r="DK35" s="13">
        <v>5317.31</v>
      </c>
    </row>
    <row r="36" spans="1:115" ht="15.75" x14ac:dyDescent="0.25">
      <c r="A36" s="11" t="s">
        <v>5</v>
      </c>
      <c r="B36" s="11" t="s">
        <v>11</v>
      </c>
      <c r="C36" s="15">
        <v>0.37847222222222227</v>
      </c>
      <c r="D36" s="15">
        <v>0.38194444444444442</v>
      </c>
      <c r="E36" s="15">
        <v>0.38541666666666669</v>
      </c>
      <c r="F36" s="15">
        <v>0.3888888888888889</v>
      </c>
      <c r="G36" s="15">
        <v>0.3923611111111111</v>
      </c>
      <c r="H36" s="15">
        <v>0.39583333333333331</v>
      </c>
      <c r="I36" s="15">
        <v>0.39930555555555558</v>
      </c>
      <c r="J36" s="15">
        <v>0.40277777777777773</v>
      </c>
      <c r="K36" s="15">
        <v>0.40625</v>
      </c>
      <c r="L36" s="15">
        <v>0.40972222222222227</v>
      </c>
      <c r="M36" s="15">
        <v>0.41319444444444442</v>
      </c>
      <c r="N36" s="15">
        <v>0.41666666666666669</v>
      </c>
      <c r="O36" s="15">
        <v>0.4201388888888889</v>
      </c>
      <c r="P36" s="15">
        <v>0.4236111111111111</v>
      </c>
      <c r="Q36" s="15">
        <v>0.42708333333333331</v>
      </c>
      <c r="R36" s="15">
        <v>0.43055555555555558</v>
      </c>
      <c r="S36" s="15">
        <v>0.43402777777777773</v>
      </c>
      <c r="T36" s="15">
        <v>0.4375</v>
      </c>
      <c r="U36" s="15">
        <v>0.44097222222222227</v>
      </c>
      <c r="V36" s="15">
        <v>0.44444444444444442</v>
      </c>
      <c r="W36" s="15">
        <v>0.44791666666666669</v>
      </c>
      <c r="X36" s="15">
        <v>0.4513888888888889</v>
      </c>
      <c r="Y36" s="15">
        <v>0.4548611111111111</v>
      </c>
      <c r="Z36" s="15">
        <v>0.45833333333333331</v>
      </c>
      <c r="AA36" s="15">
        <v>0.46180555555555558</v>
      </c>
      <c r="AB36" s="15">
        <v>0.46527777777777773</v>
      </c>
      <c r="AC36" s="15">
        <v>0.46875</v>
      </c>
      <c r="AD36" s="15">
        <v>0.47222222222222227</v>
      </c>
      <c r="AE36" s="15">
        <v>0.47569444444444442</v>
      </c>
      <c r="AF36" s="15">
        <v>0.47916666666666669</v>
      </c>
      <c r="AG36" s="15">
        <v>0.4826388888888889</v>
      </c>
      <c r="AH36" s="15">
        <v>0.4861111111111111</v>
      </c>
      <c r="AI36" s="15">
        <v>0.48958333333333331</v>
      </c>
      <c r="AJ36" s="15">
        <v>0.49305555555555558</v>
      </c>
      <c r="AK36" s="15">
        <v>0.49652777777777773</v>
      </c>
      <c r="AL36" s="15">
        <v>0.5</v>
      </c>
      <c r="AM36" s="15">
        <v>0.50347222222222221</v>
      </c>
      <c r="AN36" s="15">
        <v>0.50694444444444442</v>
      </c>
      <c r="AO36" s="15">
        <v>0.51041666666666663</v>
      </c>
      <c r="AP36" s="15">
        <v>0.51388888888888895</v>
      </c>
      <c r="AQ36" s="15">
        <v>0.51736111111111105</v>
      </c>
      <c r="AR36" s="15">
        <v>0.52083333333333337</v>
      </c>
      <c r="AS36" s="15">
        <v>0.52430555555555558</v>
      </c>
      <c r="AT36" s="15">
        <v>0.52777777777777779</v>
      </c>
      <c r="AU36" s="15">
        <v>0.53125</v>
      </c>
      <c r="AV36" s="15">
        <v>0.53472222222222221</v>
      </c>
      <c r="AW36" s="15">
        <v>0.53819444444444442</v>
      </c>
      <c r="AX36" s="15">
        <v>0.54166666666666663</v>
      </c>
      <c r="AY36" s="15">
        <v>0.54513888888888895</v>
      </c>
      <c r="AZ36" s="15">
        <v>0.54861111111111105</v>
      </c>
      <c r="BA36" s="15">
        <v>0.55208333333333337</v>
      </c>
      <c r="BB36" s="15">
        <v>0.55555555555555558</v>
      </c>
      <c r="BC36" s="15">
        <v>0.55902777777777779</v>
      </c>
      <c r="BD36" s="15">
        <v>0.5625</v>
      </c>
      <c r="BE36" s="15">
        <v>0.56597222222222221</v>
      </c>
      <c r="BF36" s="15">
        <v>0.56944444444444442</v>
      </c>
      <c r="BG36" s="15">
        <v>0.57291666666666663</v>
      </c>
      <c r="BH36" s="15">
        <v>0.57638888888888895</v>
      </c>
      <c r="BI36" s="15">
        <v>0.57986111111111105</v>
      </c>
      <c r="BJ36" s="15">
        <v>0.58333333333333337</v>
      </c>
      <c r="BK36" s="15">
        <v>0.58680555555555558</v>
      </c>
      <c r="BL36" s="15">
        <v>0.59027777777777779</v>
      </c>
      <c r="BM36" s="15">
        <v>0.59375</v>
      </c>
      <c r="BN36" s="15">
        <v>0.59722222222222221</v>
      </c>
      <c r="BO36" s="15">
        <v>0.60069444444444442</v>
      </c>
      <c r="BP36" s="15">
        <v>0.60416666666666663</v>
      </c>
      <c r="BQ36" s="15">
        <v>0.60763888888888895</v>
      </c>
      <c r="BR36" s="15">
        <v>0.61111111111111105</v>
      </c>
      <c r="BS36" s="15">
        <v>0.61458333333333337</v>
      </c>
      <c r="BT36" s="15">
        <v>0.61805555555555558</v>
      </c>
      <c r="BU36" s="15">
        <v>0.62152777777777779</v>
      </c>
      <c r="BV36" s="15">
        <v>0.625</v>
      </c>
      <c r="BW36" s="15">
        <v>0.62847222222222221</v>
      </c>
      <c r="BX36" s="15">
        <v>0.63194444444444442</v>
      </c>
      <c r="BY36" s="15">
        <v>0.63541666666666663</v>
      </c>
      <c r="BZ36" s="15">
        <v>0.63888888888888895</v>
      </c>
      <c r="CA36" s="15">
        <v>0.64236111111111105</v>
      </c>
      <c r="CB36" s="15">
        <v>0.64583333333333337</v>
      </c>
      <c r="CC36" s="15">
        <v>0.64930555555555558</v>
      </c>
      <c r="CD36" s="15">
        <v>0.65277777777777779</v>
      </c>
      <c r="CE36" s="15">
        <v>0.65625</v>
      </c>
      <c r="CF36" s="15">
        <v>0.65972222222222221</v>
      </c>
      <c r="CG36" s="15">
        <v>0.66319444444444442</v>
      </c>
      <c r="CH36" s="15">
        <v>0.66666666666666663</v>
      </c>
      <c r="CI36" s="15">
        <v>0.67013888888888884</v>
      </c>
      <c r="CJ36" s="15">
        <v>0.67361111111111116</v>
      </c>
      <c r="CK36" s="15">
        <v>0.67708333333333337</v>
      </c>
      <c r="CL36" s="15">
        <v>0.68055555555555547</v>
      </c>
      <c r="CM36" s="15">
        <v>0.68402777777777779</v>
      </c>
      <c r="CN36" s="15">
        <v>0.6875</v>
      </c>
      <c r="CO36" s="15">
        <v>0.69097222222222221</v>
      </c>
      <c r="CP36" s="15">
        <v>0.69444444444444453</v>
      </c>
      <c r="CQ36" s="15">
        <v>0.69791666666666663</v>
      </c>
      <c r="CR36" s="15">
        <v>0.70138888888888884</v>
      </c>
      <c r="CS36" s="15">
        <v>0.70486111111111116</v>
      </c>
      <c r="CT36" s="15">
        <v>0.70833333333333337</v>
      </c>
      <c r="CU36" s="15">
        <v>0.71180555555555547</v>
      </c>
      <c r="CV36" s="15">
        <v>0.71527777777777779</v>
      </c>
      <c r="CW36" s="15">
        <v>0.71875</v>
      </c>
      <c r="CX36" s="15">
        <v>0.72222222222222221</v>
      </c>
      <c r="CY36" s="15">
        <v>0.72569444444444453</v>
      </c>
      <c r="CZ36" s="15">
        <v>0.72916666666666663</v>
      </c>
      <c r="DA36" s="15">
        <v>0.73263888888888884</v>
      </c>
      <c r="DB36" s="15">
        <v>0.73611111111111116</v>
      </c>
      <c r="DC36" s="15">
        <v>0.73958333333333337</v>
      </c>
      <c r="DD36" s="15">
        <v>0.74305555555555547</v>
      </c>
      <c r="DE36" s="15">
        <v>0.74652777777777779</v>
      </c>
      <c r="DF36" s="15">
        <v>0.75</v>
      </c>
      <c r="DG36" s="15">
        <v>0.75347222222222221</v>
      </c>
      <c r="DH36" s="15">
        <v>0.75694444444444453</v>
      </c>
      <c r="DI36" s="15">
        <v>0.76041666666666663</v>
      </c>
      <c r="DJ36" s="15">
        <v>0.76388888888888884</v>
      </c>
      <c r="DK36" s="15">
        <v>0.76736111111111116</v>
      </c>
    </row>
    <row r="37" spans="1:115" ht="15.75" x14ac:dyDescent="0.25">
      <c r="A37" s="14">
        <v>44209</v>
      </c>
      <c r="B37" s="12" t="s">
        <v>6</v>
      </c>
      <c r="C37" s="13">
        <v>5380</v>
      </c>
      <c r="D37" s="13">
        <v>5353</v>
      </c>
      <c r="E37" s="13">
        <v>5360</v>
      </c>
      <c r="F37" s="13">
        <v>5362</v>
      </c>
      <c r="G37" s="13">
        <v>5356</v>
      </c>
      <c r="H37" s="13">
        <v>5354</v>
      </c>
      <c r="I37" s="13">
        <v>5360</v>
      </c>
      <c r="J37" s="13">
        <v>5360</v>
      </c>
      <c r="K37" s="13">
        <v>5350</v>
      </c>
      <c r="L37" s="13">
        <v>5341</v>
      </c>
      <c r="M37" s="13">
        <v>5336</v>
      </c>
      <c r="N37" s="13">
        <v>5335</v>
      </c>
      <c r="O37" s="13">
        <v>5376</v>
      </c>
      <c r="P37" s="13">
        <v>5393.85</v>
      </c>
      <c r="Q37" s="13">
        <v>5393.85</v>
      </c>
      <c r="R37" s="13">
        <v>5393.85</v>
      </c>
      <c r="S37" s="13">
        <v>5393.85</v>
      </c>
      <c r="T37" s="13">
        <v>5393.85</v>
      </c>
      <c r="U37" s="13">
        <v>5376.36</v>
      </c>
      <c r="V37" s="13">
        <v>5393.85</v>
      </c>
      <c r="W37" s="13">
        <v>5393.85</v>
      </c>
      <c r="X37" s="13">
        <v>5397.14</v>
      </c>
      <c r="Y37" s="13">
        <v>5343.21</v>
      </c>
      <c r="Z37" s="13">
        <v>5343.21</v>
      </c>
      <c r="AA37" s="13">
        <v>5342.41</v>
      </c>
      <c r="AB37" s="13">
        <v>5332.91</v>
      </c>
      <c r="AC37" s="13">
        <v>5329.58</v>
      </c>
      <c r="AD37" s="13">
        <v>5349.42</v>
      </c>
      <c r="AE37" s="13">
        <v>5381.95</v>
      </c>
      <c r="AF37" s="13">
        <v>5381.95</v>
      </c>
      <c r="AG37" s="13">
        <v>5375.95</v>
      </c>
      <c r="AH37" s="13">
        <v>5376.59</v>
      </c>
      <c r="AI37" s="13">
        <v>5379.02</v>
      </c>
      <c r="AJ37" s="13">
        <v>5397.14</v>
      </c>
      <c r="AK37" s="13">
        <v>5389.04</v>
      </c>
      <c r="AL37" s="13">
        <v>5386.18</v>
      </c>
      <c r="AM37" s="13">
        <v>5388.73</v>
      </c>
      <c r="AN37" s="13">
        <v>5391.88</v>
      </c>
      <c r="AO37" s="13">
        <v>5391.88</v>
      </c>
      <c r="AP37" s="13">
        <v>5364.92</v>
      </c>
      <c r="AQ37" s="13">
        <v>5363.58</v>
      </c>
      <c r="AR37" s="13">
        <v>5387.58</v>
      </c>
      <c r="AS37" s="13">
        <v>5387.58</v>
      </c>
      <c r="AT37" s="13">
        <v>5387.58</v>
      </c>
      <c r="AU37" s="13">
        <v>5387.58</v>
      </c>
      <c r="AV37" s="13">
        <v>5387.58</v>
      </c>
      <c r="AW37" s="13">
        <v>5386.61</v>
      </c>
      <c r="AX37" s="13">
        <v>5383.59</v>
      </c>
      <c r="AY37" s="13">
        <v>5383.52</v>
      </c>
      <c r="AZ37" s="13">
        <v>5359.75</v>
      </c>
      <c r="BA37" s="13">
        <v>5375.85</v>
      </c>
      <c r="BB37" s="13">
        <v>5376.91</v>
      </c>
      <c r="BC37" s="13">
        <v>5360.8</v>
      </c>
      <c r="BD37" s="13">
        <v>5376.91</v>
      </c>
      <c r="BE37" s="13">
        <v>5376.91</v>
      </c>
      <c r="BF37" s="13">
        <v>5361.02</v>
      </c>
      <c r="BG37" s="13">
        <v>5376.91</v>
      </c>
      <c r="BH37" s="13">
        <v>5372.19</v>
      </c>
      <c r="BI37" s="13">
        <v>5372.75</v>
      </c>
      <c r="BJ37" s="13">
        <v>5357.15</v>
      </c>
      <c r="BK37" s="13">
        <v>5359.6</v>
      </c>
      <c r="BL37" s="13">
        <v>5372.73</v>
      </c>
      <c r="BM37" s="13">
        <v>5372.78</v>
      </c>
      <c r="BN37" s="13">
        <v>5374.53</v>
      </c>
      <c r="BO37" s="13">
        <v>5367.49</v>
      </c>
      <c r="BP37" s="13">
        <v>5359.16</v>
      </c>
      <c r="BQ37" s="13">
        <v>5367.2</v>
      </c>
      <c r="BR37" s="13">
        <v>5381.58</v>
      </c>
      <c r="BS37" s="13">
        <v>5366.85</v>
      </c>
      <c r="BT37" s="13">
        <v>5381.39</v>
      </c>
      <c r="BU37" s="13">
        <v>5359.69</v>
      </c>
      <c r="BV37" s="13">
        <v>5380.55</v>
      </c>
      <c r="BW37" s="13">
        <v>5378.88</v>
      </c>
      <c r="BX37" s="13">
        <v>5378.69</v>
      </c>
      <c r="BY37" s="13">
        <v>5383.2</v>
      </c>
      <c r="BZ37" s="13">
        <v>5367.2</v>
      </c>
      <c r="CA37" s="13">
        <v>5365.98</v>
      </c>
      <c r="CB37" s="13">
        <v>5365.15</v>
      </c>
      <c r="CC37" s="13">
        <v>5385.34</v>
      </c>
      <c r="CD37" s="13">
        <v>5365.73</v>
      </c>
      <c r="CE37" s="13">
        <v>5381.39</v>
      </c>
      <c r="CF37" s="13">
        <v>5366.61</v>
      </c>
      <c r="CG37" s="13">
        <v>5365.73</v>
      </c>
      <c r="CH37" s="13">
        <v>5364.27</v>
      </c>
      <c r="CI37" s="13">
        <v>5380.55</v>
      </c>
      <c r="CJ37" s="13">
        <v>5362.76</v>
      </c>
      <c r="CK37" s="13">
        <v>5353.78</v>
      </c>
      <c r="CL37" s="13">
        <v>5383</v>
      </c>
      <c r="CM37" s="13">
        <v>5378.69</v>
      </c>
      <c r="CN37" s="13">
        <v>5363.05</v>
      </c>
      <c r="CO37" s="13">
        <v>5361.62</v>
      </c>
      <c r="CP37" s="13">
        <v>5356.3</v>
      </c>
      <c r="CQ37" s="13">
        <v>5352.15</v>
      </c>
      <c r="CR37" s="13">
        <v>5358.26</v>
      </c>
      <c r="CS37" s="13">
        <v>5358.78</v>
      </c>
      <c r="CT37" s="13">
        <v>5360</v>
      </c>
      <c r="CU37" s="13">
        <v>5358.1</v>
      </c>
      <c r="CV37" s="13">
        <v>5357.67</v>
      </c>
      <c r="CW37" s="13">
        <v>5360.64</v>
      </c>
      <c r="CX37" s="13">
        <v>5359.22</v>
      </c>
      <c r="CY37" s="13">
        <v>5355.71</v>
      </c>
      <c r="CZ37" s="13">
        <v>5360.42</v>
      </c>
      <c r="DA37" s="13">
        <v>5357</v>
      </c>
      <c r="DB37" s="13"/>
      <c r="DC37" s="13"/>
      <c r="DD37" s="13">
        <v>5365.44</v>
      </c>
      <c r="DE37" s="13">
        <v>5359.69</v>
      </c>
      <c r="DF37" s="13">
        <v>5381.19</v>
      </c>
      <c r="DG37" s="13">
        <v>5380.94</v>
      </c>
      <c r="DH37" s="13">
        <v>5381.13</v>
      </c>
      <c r="DI37" s="13">
        <v>5381</v>
      </c>
      <c r="DJ37" s="13">
        <v>5356.76</v>
      </c>
      <c r="DK37" s="13">
        <v>5365.98</v>
      </c>
    </row>
    <row r="38" spans="1:115" ht="15.75" x14ac:dyDescent="0.25">
      <c r="A38" s="14" t="s">
        <v>12</v>
      </c>
      <c r="B38" s="12" t="s">
        <v>10</v>
      </c>
      <c r="C38" s="13">
        <v>5356</v>
      </c>
      <c r="D38" s="13">
        <v>5339</v>
      </c>
      <c r="E38" s="13">
        <v>5359</v>
      </c>
      <c r="F38" s="13">
        <v>5358</v>
      </c>
      <c r="G38" s="13">
        <v>5344</v>
      </c>
      <c r="H38" s="13">
        <v>5354</v>
      </c>
      <c r="I38" s="13">
        <v>5357</v>
      </c>
      <c r="J38" s="13">
        <v>5347</v>
      </c>
      <c r="K38" s="13">
        <v>5340</v>
      </c>
      <c r="L38" s="13">
        <v>5334</v>
      </c>
      <c r="M38" s="13">
        <v>5330</v>
      </c>
      <c r="N38" s="13">
        <v>5334</v>
      </c>
      <c r="O38" s="13">
        <v>5368.57</v>
      </c>
      <c r="P38" s="13">
        <v>5393.85</v>
      </c>
      <c r="Q38" s="13">
        <v>5369.57</v>
      </c>
      <c r="R38" s="13">
        <v>5373.57</v>
      </c>
      <c r="S38" s="13">
        <v>5372.85</v>
      </c>
      <c r="T38" s="13">
        <v>5373.57</v>
      </c>
      <c r="U38" s="13">
        <v>5367.07</v>
      </c>
      <c r="V38" s="13">
        <v>5363.57</v>
      </c>
      <c r="W38" s="13">
        <v>5393.64</v>
      </c>
      <c r="X38" s="13">
        <v>5332.63</v>
      </c>
      <c r="Y38" s="13">
        <v>5343.21</v>
      </c>
      <c r="Z38" s="13">
        <v>5342.41</v>
      </c>
      <c r="AA38" s="13">
        <v>5328</v>
      </c>
      <c r="AB38" s="13">
        <v>5326.42</v>
      </c>
      <c r="AC38" s="13">
        <v>5328.27</v>
      </c>
      <c r="AD38" s="13">
        <v>5340.39</v>
      </c>
      <c r="AE38" s="13">
        <v>5360.35</v>
      </c>
      <c r="AF38" s="13">
        <v>5361.22</v>
      </c>
      <c r="AG38" s="13">
        <v>5366.38</v>
      </c>
      <c r="AH38" s="13">
        <v>5367.21</v>
      </c>
      <c r="AI38" s="13">
        <v>5379.02</v>
      </c>
      <c r="AJ38" s="13">
        <v>5372.93</v>
      </c>
      <c r="AK38" s="13">
        <v>5369.81</v>
      </c>
      <c r="AL38" s="13">
        <v>5372.56</v>
      </c>
      <c r="AM38" s="13">
        <v>5370.93</v>
      </c>
      <c r="AN38" s="13">
        <v>5361.37</v>
      </c>
      <c r="AO38" s="13">
        <v>5356.11</v>
      </c>
      <c r="AP38" s="13">
        <v>5352.72</v>
      </c>
      <c r="AQ38" s="13">
        <v>5354.63</v>
      </c>
      <c r="AR38" s="13">
        <v>5358.59</v>
      </c>
      <c r="AS38" s="13">
        <v>5358.31</v>
      </c>
      <c r="AT38" s="13">
        <v>5358.31</v>
      </c>
      <c r="AU38" s="13">
        <v>5366.56</v>
      </c>
      <c r="AV38" s="13">
        <v>5361.26</v>
      </c>
      <c r="AW38" s="13">
        <v>5358.62</v>
      </c>
      <c r="AX38" s="13">
        <v>5380.57</v>
      </c>
      <c r="AY38" s="13">
        <v>5349.98</v>
      </c>
      <c r="AZ38" s="13">
        <v>5349.43</v>
      </c>
      <c r="BA38" s="13">
        <v>5348.69</v>
      </c>
      <c r="BB38" s="13">
        <v>5376.91</v>
      </c>
      <c r="BC38" s="13">
        <v>5351.94</v>
      </c>
      <c r="BD38" s="13">
        <v>5351.2</v>
      </c>
      <c r="BE38" s="13">
        <v>5351.2</v>
      </c>
      <c r="BF38" s="13">
        <v>5348.98</v>
      </c>
      <c r="BG38" s="13">
        <v>5344.98</v>
      </c>
      <c r="BH38" s="13">
        <v>5343.8</v>
      </c>
      <c r="BI38" s="13">
        <v>5346.95</v>
      </c>
      <c r="BJ38" s="13">
        <v>5348.3</v>
      </c>
      <c r="BK38" s="13">
        <v>5352.82</v>
      </c>
      <c r="BL38" s="13">
        <v>5353.18</v>
      </c>
      <c r="BM38" s="13">
        <v>5355.7</v>
      </c>
      <c r="BN38" s="13">
        <v>5361.98</v>
      </c>
      <c r="BO38" s="13">
        <v>5359.16</v>
      </c>
      <c r="BP38" s="13">
        <v>5356.57</v>
      </c>
      <c r="BQ38" s="13">
        <v>5358.49</v>
      </c>
      <c r="BR38" s="13">
        <v>5358.45</v>
      </c>
      <c r="BS38" s="13">
        <v>5356.14</v>
      </c>
      <c r="BT38" s="13">
        <v>5359.16</v>
      </c>
      <c r="BU38" s="13">
        <v>5353.12</v>
      </c>
      <c r="BV38" s="13">
        <v>5353.77</v>
      </c>
      <c r="BW38" s="13">
        <v>5352.08</v>
      </c>
      <c r="BX38" s="13">
        <v>5356.08</v>
      </c>
      <c r="BY38" s="13">
        <v>5358.73</v>
      </c>
      <c r="BZ38" s="13">
        <v>5357.86</v>
      </c>
      <c r="CA38" s="13">
        <v>5354.84</v>
      </c>
      <c r="CB38" s="13">
        <v>5355.9</v>
      </c>
      <c r="CC38" s="13">
        <v>5357.43</v>
      </c>
      <c r="CD38" s="13">
        <v>5356.57</v>
      </c>
      <c r="CE38" s="13">
        <v>5357.86</v>
      </c>
      <c r="CF38" s="13">
        <v>5358.73</v>
      </c>
      <c r="CG38" s="13">
        <v>5355.27</v>
      </c>
      <c r="CH38" s="13">
        <v>5352.02</v>
      </c>
      <c r="CI38" s="13">
        <v>5363.05</v>
      </c>
      <c r="CJ38" s="13">
        <v>5351.16</v>
      </c>
      <c r="CK38" s="13">
        <v>5350.88</v>
      </c>
      <c r="CL38" s="13">
        <v>5349.85</v>
      </c>
      <c r="CM38" s="13">
        <v>5353.85</v>
      </c>
      <c r="CN38" s="13">
        <v>5352.15</v>
      </c>
      <c r="CO38" s="13">
        <v>5347.14</v>
      </c>
      <c r="CP38" s="13">
        <v>5347.68</v>
      </c>
      <c r="CQ38" s="13">
        <v>5352.15</v>
      </c>
      <c r="CR38" s="13">
        <v>5353.85</v>
      </c>
      <c r="CS38" s="13">
        <v>5354.27</v>
      </c>
      <c r="CT38" s="13">
        <v>5358.49</v>
      </c>
      <c r="CU38" s="13">
        <v>5354.93</v>
      </c>
      <c r="CV38" s="13">
        <v>5353.47</v>
      </c>
      <c r="CW38" s="13">
        <v>5352.82</v>
      </c>
      <c r="CX38" s="13">
        <v>5353.98</v>
      </c>
      <c r="CY38" s="13">
        <v>5351.33</v>
      </c>
      <c r="CZ38" s="13">
        <v>5360.42</v>
      </c>
      <c r="DA38" s="13">
        <v>5352.75</v>
      </c>
      <c r="DB38" s="13"/>
      <c r="DC38" s="13"/>
      <c r="DD38" s="13">
        <v>5357</v>
      </c>
      <c r="DE38" s="13">
        <v>5357.86</v>
      </c>
      <c r="DF38" s="13">
        <v>5356.57</v>
      </c>
      <c r="DG38" s="13">
        <v>5356.76</v>
      </c>
      <c r="DH38" s="13">
        <v>5356.76</v>
      </c>
      <c r="DI38" s="13">
        <v>5356.33</v>
      </c>
      <c r="DJ38" s="13">
        <v>5356.76</v>
      </c>
      <c r="DK38" s="13">
        <v>5355.04</v>
      </c>
    </row>
    <row r="39" spans="1:115" ht="15.75" x14ac:dyDescent="0.25">
      <c r="A39" s="14" t="s">
        <v>12</v>
      </c>
      <c r="B39" s="12" t="s">
        <v>9</v>
      </c>
      <c r="C39" s="13">
        <v>5342</v>
      </c>
      <c r="D39" s="13">
        <v>5325.48</v>
      </c>
      <c r="E39" s="13">
        <v>5344.52</v>
      </c>
      <c r="F39" s="13">
        <v>5343.57</v>
      </c>
      <c r="G39" s="13">
        <v>5330.24</v>
      </c>
      <c r="H39" s="13">
        <v>5338.81</v>
      </c>
      <c r="I39" s="13">
        <v>5341.67</v>
      </c>
      <c r="J39" s="13">
        <v>5334.05</v>
      </c>
      <c r="K39" s="13">
        <v>5326.43</v>
      </c>
      <c r="L39" s="13">
        <v>5320.71</v>
      </c>
      <c r="M39" s="13">
        <v>5308.33</v>
      </c>
      <c r="N39" s="13">
        <v>5320.68</v>
      </c>
      <c r="O39" s="13">
        <v>5318.46</v>
      </c>
      <c r="P39" s="13">
        <v>5321.59</v>
      </c>
      <c r="Q39" s="13">
        <v>5327.05</v>
      </c>
      <c r="R39" s="13">
        <v>5336.14</v>
      </c>
      <c r="S39" s="13">
        <v>5330.68</v>
      </c>
      <c r="T39" s="13">
        <v>5334.32</v>
      </c>
      <c r="U39" s="13">
        <v>5323.41</v>
      </c>
      <c r="V39" s="13">
        <v>5316.14</v>
      </c>
      <c r="W39" s="13">
        <v>5304.62</v>
      </c>
      <c r="X39" s="13">
        <v>5303.46</v>
      </c>
      <c r="Y39" s="13">
        <v>5260.83</v>
      </c>
      <c r="Z39" s="13">
        <v>5258.5</v>
      </c>
      <c r="AA39" s="13">
        <v>5279.04</v>
      </c>
      <c r="AB39" s="13">
        <v>5274.21</v>
      </c>
      <c r="AC39" s="13">
        <v>5277.35</v>
      </c>
      <c r="AD39" s="13">
        <v>5289.21</v>
      </c>
      <c r="AE39" s="13">
        <v>5304.59</v>
      </c>
      <c r="AF39" s="13">
        <v>5313.81</v>
      </c>
      <c r="AG39" s="13">
        <v>5329.05</v>
      </c>
      <c r="AH39" s="13">
        <v>5329.55</v>
      </c>
      <c r="AI39" s="13">
        <v>5343.27</v>
      </c>
      <c r="AJ39" s="13">
        <v>5331.9</v>
      </c>
      <c r="AK39" s="13">
        <v>5328.1</v>
      </c>
      <c r="AL39" s="13">
        <v>5332.86</v>
      </c>
      <c r="AM39" s="13">
        <v>5329.05</v>
      </c>
      <c r="AN39" s="13">
        <v>5309.05</v>
      </c>
      <c r="AO39" s="13">
        <v>5299.05</v>
      </c>
      <c r="AP39" s="13">
        <v>5290.95</v>
      </c>
      <c r="AQ39" s="13">
        <v>5277.92</v>
      </c>
      <c r="AR39" s="13">
        <v>5299.48</v>
      </c>
      <c r="AS39" s="13">
        <v>5303.83</v>
      </c>
      <c r="AT39" s="13">
        <v>5302.96</v>
      </c>
      <c r="AU39" s="13">
        <v>5324.74</v>
      </c>
      <c r="AV39" s="13">
        <v>5311.36</v>
      </c>
      <c r="AW39" s="13">
        <v>5312.41</v>
      </c>
      <c r="AX39" s="13">
        <v>5292.27</v>
      </c>
      <c r="AY39" s="13">
        <v>5295</v>
      </c>
      <c r="AZ39" s="13">
        <v>5293.33</v>
      </c>
      <c r="BA39" s="13">
        <v>5293</v>
      </c>
      <c r="BB39" s="13">
        <v>5296.29</v>
      </c>
      <c r="BC39" s="13">
        <v>5299</v>
      </c>
      <c r="BD39" s="13">
        <v>5296</v>
      </c>
      <c r="BE39" s="13">
        <v>5297</v>
      </c>
      <c r="BF39" s="13">
        <v>5291</v>
      </c>
      <c r="BG39" s="13">
        <v>5286</v>
      </c>
      <c r="BH39" s="13">
        <v>5282</v>
      </c>
      <c r="BI39" s="13">
        <v>5290</v>
      </c>
      <c r="BJ39" s="13">
        <v>5293</v>
      </c>
      <c r="BK39" s="13">
        <v>5301</v>
      </c>
      <c r="BL39" s="13">
        <v>5307</v>
      </c>
      <c r="BM39" s="13">
        <v>5315</v>
      </c>
      <c r="BN39" s="13">
        <v>5323</v>
      </c>
      <c r="BO39" s="13">
        <v>5314</v>
      </c>
      <c r="BP39" s="13">
        <v>5308</v>
      </c>
      <c r="BQ39" s="13">
        <v>5312.84</v>
      </c>
      <c r="BR39" s="13">
        <v>5311.89</v>
      </c>
      <c r="BS39" s="13">
        <v>5307.16</v>
      </c>
      <c r="BT39" s="13">
        <v>5313.79</v>
      </c>
      <c r="BU39" s="13">
        <v>5299</v>
      </c>
      <c r="BV39" s="13">
        <v>5303</v>
      </c>
      <c r="BW39" s="13">
        <v>5299.44</v>
      </c>
      <c r="BX39" s="13">
        <v>5308</v>
      </c>
      <c r="BY39" s="13">
        <v>5313</v>
      </c>
      <c r="BZ39" s="13">
        <v>5311</v>
      </c>
      <c r="CA39" s="13">
        <v>5305</v>
      </c>
      <c r="CB39" s="13">
        <v>5306</v>
      </c>
      <c r="CC39" s="13">
        <v>5309.47</v>
      </c>
      <c r="CD39" s="13">
        <v>5307.58</v>
      </c>
      <c r="CE39" s="13">
        <v>5311.37</v>
      </c>
      <c r="CF39" s="13">
        <v>5311.37</v>
      </c>
      <c r="CG39" s="13">
        <v>5303.79</v>
      </c>
      <c r="CH39" s="13">
        <v>5297.16</v>
      </c>
      <c r="CI39" s="13">
        <v>5298.11</v>
      </c>
      <c r="CJ39" s="13">
        <v>5295</v>
      </c>
      <c r="CK39" s="13">
        <v>5296</v>
      </c>
      <c r="CL39" s="13">
        <v>5294</v>
      </c>
      <c r="CM39" s="13">
        <v>5303</v>
      </c>
      <c r="CN39" s="13">
        <v>5299</v>
      </c>
      <c r="CO39" s="13">
        <v>5295</v>
      </c>
      <c r="CP39" s="13">
        <v>5297</v>
      </c>
      <c r="CQ39" s="13">
        <v>5300</v>
      </c>
      <c r="CR39" s="13">
        <v>5303</v>
      </c>
      <c r="CS39" s="13">
        <v>5304</v>
      </c>
      <c r="CT39" s="13">
        <v>5312</v>
      </c>
      <c r="CU39" s="13">
        <v>5310</v>
      </c>
      <c r="CV39" s="13">
        <v>5308</v>
      </c>
      <c r="CW39" s="13">
        <v>5307</v>
      </c>
      <c r="CX39" s="13">
        <v>5302</v>
      </c>
      <c r="CY39" s="13">
        <v>5303</v>
      </c>
      <c r="CZ39" s="13">
        <v>5306</v>
      </c>
      <c r="DA39" s="13">
        <v>5306</v>
      </c>
      <c r="DB39" s="13"/>
      <c r="DC39" s="13"/>
      <c r="DD39" s="13">
        <v>5310</v>
      </c>
      <c r="DE39" s="13">
        <v>5312</v>
      </c>
      <c r="DF39" s="13">
        <v>5307</v>
      </c>
      <c r="DG39" s="13">
        <v>5310</v>
      </c>
      <c r="DH39" s="13">
        <v>5308</v>
      </c>
      <c r="DI39" s="13">
        <v>5307</v>
      </c>
      <c r="DJ39" s="13">
        <v>5308</v>
      </c>
      <c r="DK39" s="13">
        <v>5307</v>
      </c>
    </row>
    <row r="40" spans="1:115" ht="15.75" x14ac:dyDescent="0.25">
      <c r="A40" s="14" t="s">
        <v>12</v>
      </c>
      <c r="B40" s="12" t="s">
        <v>7</v>
      </c>
      <c r="C40" s="13">
        <v>5344</v>
      </c>
      <c r="D40" s="13">
        <v>5315</v>
      </c>
      <c r="E40" s="13">
        <v>5322.62</v>
      </c>
      <c r="F40" s="13">
        <v>5333.1</v>
      </c>
      <c r="G40" s="13">
        <v>5329.29</v>
      </c>
      <c r="H40" s="13">
        <v>5325</v>
      </c>
      <c r="I40" s="13">
        <v>5335.91</v>
      </c>
      <c r="J40" s="13">
        <v>5330.45</v>
      </c>
      <c r="K40" s="13">
        <v>5325.91</v>
      </c>
      <c r="L40" s="13">
        <v>5315</v>
      </c>
      <c r="M40" s="13">
        <v>5305</v>
      </c>
      <c r="N40" s="13">
        <v>5310.83</v>
      </c>
      <c r="O40" s="13">
        <v>5298.33</v>
      </c>
      <c r="P40" s="13">
        <v>5287.5</v>
      </c>
      <c r="Q40" s="13">
        <v>5287.5</v>
      </c>
      <c r="R40" s="13">
        <v>5287.5</v>
      </c>
      <c r="S40" s="13">
        <v>5287.5</v>
      </c>
      <c r="T40" s="13">
        <v>5287.5</v>
      </c>
      <c r="U40" s="13">
        <v>5287.5</v>
      </c>
      <c r="V40" s="13">
        <v>5287.5</v>
      </c>
      <c r="W40" s="13">
        <v>5304.62</v>
      </c>
      <c r="X40" s="13">
        <v>5299.62</v>
      </c>
      <c r="Y40" s="13">
        <v>5260.83</v>
      </c>
      <c r="Z40" s="13">
        <v>5251</v>
      </c>
      <c r="AA40" s="13">
        <v>5258.5</v>
      </c>
      <c r="AB40" s="13">
        <v>5257</v>
      </c>
      <c r="AC40" s="13">
        <v>5266.73</v>
      </c>
      <c r="AD40" s="13">
        <v>5266.5</v>
      </c>
      <c r="AE40" s="13">
        <v>5257</v>
      </c>
      <c r="AF40" s="13">
        <v>5302.73</v>
      </c>
      <c r="AG40" s="13">
        <v>5300.83</v>
      </c>
      <c r="AH40" s="13">
        <v>5216.3999999999996</v>
      </c>
      <c r="AI40" s="13">
        <v>5293.85</v>
      </c>
      <c r="AJ40" s="13">
        <v>5303.33</v>
      </c>
      <c r="AK40" s="13">
        <v>5304.17</v>
      </c>
      <c r="AL40" s="13">
        <v>5305.83</v>
      </c>
      <c r="AM40" s="13">
        <v>5307.5</v>
      </c>
      <c r="AN40" s="13">
        <v>5288.33</v>
      </c>
      <c r="AO40" s="13">
        <v>5150</v>
      </c>
      <c r="AP40" s="13">
        <v>5277.5</v>
      </c>
      <c r="AQ40" s="13">
        <v>5267.92</v>
      </c>
      <c r="AR40" s="13">
        <v>5221.5</v>
      </c>
      <c r="AS40" s="13">
        <v>5238.2</v>
      </c>
      <c r="AT40" s="13">
        <v>5238.2</v>
      </c>
      <c r="AU40" s="13">
        <v>5238.2</v>
      </c>
      <c r="AV40" s="13">
        <v>5295.6</v>
      </c>
      <c r="AW40" s="13">
        <v>5308.15</v>
      </c>
      <c r="AX40" s="13">
        <v>5292.27</v>
      </c>
      <c r="AY40" s="13">
        <v>5283</v>
      </c>
      <c r="AZ40" s="13">
        <v>5292</v>
      </c>
      <c r="BA40" s="13">
        <v>5291</v>
      </c>
      <c r="BB40" s="13">
        <v>5292</v>
      </c>
      <c r="BC40" s="13">
        <v>5294</v>
      </c>
      <c r="BD40" s="13">
        <v>5296</v>
      </c>
      <c r="BE40" s="13">
        <v>5293</v>
      </c>
      <c r="BF40" s="13">
        <v>5290</v>
      </c>
      <c r="BG40" s="13">
        <v>5284</v>
      </c>
      <c r="BH40" s="13">
        <v>5278</v>
      </c>
      <c r="BI40" s="13">
        <v>5280</v>
      </c>
      <c r="BJ40" s="13">
        <v>5284</v>
      </c>
      <c r="BK40" s="13">
        <v>5294</v>
      </c>
      <c r="BL40" s="13">
        <v>5299</v>
      </c>
      <c r="BM40" s="13">
        <v>5301</v>
      </c>
      <c r="BN40" s="13">
        <v>5312</v>
      </c>
      <c r="BO40" s="13">
        <v>5314</v>
      </c>
      <c r="BP40" s="13">
        <v>5303</v>
      </c>
      <c r="BQ40" s="13">
        <v>5307</v>
      </c>
      <c r="BR40" s="13">
        <v>5306.21</v>
      </c>
      <c r="BS40" s="13">
        <v>5307.16</v>
      </c>
      <c r="BT40" s="13">
        <v>5310</v>
      </c>
      <c r="BU40" s="13">
        <v>5299</v>
      </c>
      <c r="BV40" s="13">
        <v>5299</v>
      </c>
      <c r="BW40" s="13">
        <v>5292</v>
      </c>
      <c r="BX40" s="13">
        <v>5296</v>
      </c>
      <c r="BY40" s="13">
        <v>5308</v>
      </c>
      <c r="BZ40" s="13">
        <v>5311</v>
      </c>
      <c r="CA40" s="13">
        <v>5301</v>
      </c>
      <c r="CB40" s="13">
        <v>5305</v>
      </c>
      <c r="CC40" s="13">
        <v>5304</v>
      </c>
      <c r="CD40" s="13">
        <v>5306.67</v>
      </c>
      <c r="CE40" s="13">
        <v>5306.63</v>
      </c>
      <c r="CF40" s="13">
        <v>5308.8</v>
      </c>
      <c r="CG40" s="13">
        <v>5303.33</v>
      </c>
      <c r="CH40" s="13">
        <v>5296.21</v>
      </c>
      <c r="CI40" s="13">
        <v>5298.11</v>
      </c>
      <c r="CJ40" s="13">
        <v>5293</v>
      </c>
      <c r="CK40" s="13">
        <v>5296</v>
      </c>
      <c r="CL40" s="13">
        <v>5289</v>
      </c>
      <c r="CM40" s="13">
        <v>5294</v>
      </c>
      <c r="CN40" s="13">
        <v>5299</v>
      </c>
      <c r="CO40" s="13">
        <v>5295</v>
      </c>
      <c r="CP40" s="13">
        <v>5293</v>
      </c>
      <c r="CQ40" s="13">
        <v>5296</v>
      </c>
      <c r="CR40" s="13">
        <v>5297</v>
      </c>
      <c r="CS40" s="13">
        <v>5301</v>
      </c>
      <c r="CT40" s="13">
        <v>5304</v>
      </c>
      <c r="CU40" s="13">
        <v>5307</v>
      </c>
      <c r="CV40" s="13">
        <v>5308</v>
      </c>
      <c r="CW40" s="13">
        <v>5304</v>
      </c>
      <c r="CX40" s="13">
        <v>5302</v>
      </c>
      <c r="CY40" s="13">
        <v>5302</v>
      </c>
      <c r="CZ40" s="13">
        <v>5304.44</v>
      </c>
      <c r="DA40" s="13">
        <v>5306</v>
      </c>
      <c r="DB40" s="13"/>
      <c r="DC40" s="13"/>
      <c r="DD40" s="13">
        <v>5305.56</v>
      </c>
      <c r="DE40" s="13">
        <v>5311</v>
      </c>
      <c r="DF40" s="13">
        <v>5307</v>
      </c>
      <c r="DG40" s="13">
        <v>5305</v>
      </c>
      <c r="DH40" s="13">
        <v>5308</v>
      </c>
      <c r="DI40" s="13">
        <v>5307</v>
      </c>
      <c r="DJ40" s="13">
        <v>5308</v>
      </c>
      <c r="DK40" s="13">
        <v>5305</v>
      </c>
    </row>
    <row r="41" spans="1:115" ht="15.75" x14ac:dyDescent="0.25">
      <c r="A41" s="11" t="s">
        <v>5</v>
      </c>
      <c r="B41" s="11" t="s">
        <v>11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</row>
    <row r="42" spans="1:115" ht="15.75" x14ac:dyDescent="0.25">
      <c r="A42" s="14">
        <v>44210</v>
      </c>
      <c r="B42" s="12" t="s">
        <v>6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</row>
    <row r="43" spans="1:115" ht="15.75" x14ac:dyDescent="0.25">
      <c r="A43" s="14" t="s">
        <v>12</v>
      </c>
      <c r="B43" s="12" t="s">
        <v>10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</row>
    <row r="44" spans="1:115" ht="15.75" x14ac:dyDescent="0.25">
      <c r="A44" s="14" t="s">
        <v>12</v>
      </c>
      <c r="B44" s="12" t="s">
        <v>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</row>
    <row r="45" spans="1:115" ht="15.75" x14ac:dyDescent="0.25">
      <c r="A45" s="14" t="s">
        <v>12</v>
      </c>
      <c r="B45" s="12" t="s">
        <v>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</row>
    <row r="46" spans="1:115" ht="15.75" x14ac:dyDescent="0.25">
      <c r="A46" s="11" t="s">
        <v>5</v>
      </c>
      <c r="B46" s="11" t="s">
        <v>11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</row>
    <row r="47" spans="1:115" ht="15.75" x14ac:dyDescent="0.25">
      <c r="A47" s="14">
        <v>44211</v>
      </c>
      <c r="B47" s="12" t="s">
        <v>6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</row>
    <row r="48" spans="1:115" ht="15.75" x14ac:dyDescent="0.25">
      <c r="A48" s="14" t="s">
        <v>12</v>
      </c>
      <c r="B48" s="12" t="s">
        <v>10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</row>
    <row r="49" spans="1:115" ht="15.75" x14ac:dyDescent="0.25">
      <c r="A49" s="14" t="s">
        <v>12</v>
      </c>
      <c r="B49" s="12" t="s">
        <v>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</row>
    <row r="50" spans="1:115" ht="15.75" x14ac:dyDescent="0.25">
      <c r="A50" s="14" t="s">
        <v>12</v>
      </c>
      <c r="B50" s="12" t="s">
        <v>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</row>
    <row r="51" spans="1:115" ht="15.75" x14ac:dyDescent="0.25">
      <c r="A51" s="11" t="s">
        <v>5</v>
      </c>
      <c r="B51" s="11" t="s">
        <v>11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</row>
    <row r="52" spans="1:115" ht="15.75" x14ac:dyDescent="0.25">
      <c r="A52" s="14">
        <v>44214</v>
      </c>
      <c r="B52" s="12" t="s">
        <v>6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</row>
    <row r="53" spans="1:115" ht="15.75" x14ac:dyDescent="0.25">
      <c r="A53" s="14" t="s">
        <v>12</v>
      </c>
      <c r="B53" s="12" t="s">
        <v>10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</row>
    <row r="54" spans="1:115" ht="15.75" x14ac:dyDescent="0.25">
      <c r="A54" s="14" t="s">
        <v>12</v>
      </c>
      <c r="B54" s="12" t="s">
        <v>9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</row>
    <row r="55" spans="1:115" ht="15.75" x14ac:dyDescent="0.25">
      <c r="A55" s="14" t="s">
        <v>12</v>
      </c>
      <c r="B55" s="12" t="s">
        <v>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</row>
    <row r="56" spans="1:115" ht="15.75" x14ac:dyDescent="0.25">
      <c r="A56" s="11" t="s">
        <v>5</v>
      </c>
      <c r="B56" s="11" t="s">
        <v>11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</row>
    <row r="57" spans="1:115" ht="15.75" x14ac:dyDescent="0.25">
      <c r="A57" s="14">
        <v>44215</v>
      </c>
      <c r="B57" s="12" t="s">
        <v>6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</row>
    <row r="58" spans="1:115" ht="15.75" x14ac:dyDescent="0.25">
      <c r="A58" s="14" t="s">
        <v>12</v>
      </c>
      <c r="B58" s="12" t="s">
        <v>10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</row>
    <row r="59" spans="1:115" ht="15.75" x14ac:dyDescent="0.25">
      <c r="A59" s="14" t="s">
        <v>12</v>
      </c>
      <c r="B59" s="12" t="s">
        <v>9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</row>
    <row r="60" spans="1:115" ht="15.75" x14ac:dyDescent="0.25">
      <c r="A60" s="14" t="s">
        <v>12</v>
      </c>
      <c r="B60" s="12" t="s">
        <v>7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</row>
    <row r="61" spans="1:115" ht="15.75" x14ac:dyDescent="0.25">
      <c r="A61" s="11" t="s">
        <v>5</v>
      </c>
      <c r="B61" s="11" t="s">
        <v>11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</row>
    <row r="62" spans="1:115" ht="15.75" x14ac:dyDescent="0.25">
      <c r="A62" s="14">
        <v>44216</v>
      </c>
      <c r="B62" s="12" t="s">
        <v>6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</row>
    <row r="63" spans="1:115" ht="15.75" x14ac:dyDescent="0.25">
      <c r="A63" s="14" t="s">
        <v>12</v>
      </c>
      <c r="B63" s="12" t="s">
        <v>10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</row>
    <row r="64" spans="1:115" ht="15.75" x14ac:dyDescent="0.25">
      <c r="A64" s="14" t="s">
        <v>12</v>
      </c>
      <c r="B64" s="12" t="s">
        <v>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</row>
    <row r="65" spans="1:115" ht="15.75" x14ac:dyDescent="0.25">
      <c r="A65" s="14" t="s">
        <v>12</v>
      </c>
      <c r="B65" s="12" t="s">
        <v>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</row>
    <row r="66" spans="1:115" ht="15.75" x14ac:dyDescent="0.25">
      <c r="A66" s="11" t="s">
        <v>5</v>
      </c>
      <c r="B66" s="11" t="s">
        <v>11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</row>
    <row r="67" spans="1:115" ht="15.75" x14ac:dyDescent="0.25">
      <c r="A67" s="14">
        <v>44217</v>
      </c>
      <c r="B67" s="12" t="s">
        <v>6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</row>
    <row r="68" spans="1:115" ht="15.75" x14ac:dyDescent="0.25">
      <c r="A68" s="14" t="s">
        <v>12</v>
      </c>
      <c r="B68" s="12" t="s">
        <v>10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</row>
    <row r="69" spans="1:115" ht="15.75" x14ac:dyDescent="0.25">
      <c r="A69" s="14" t="s">
        <v>12</v>
      </c>
      <c r="B69" s="12" t="s">
        <v>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</row>
    <row r="70" spans="1:115" ht="15.75" x14ac:dyDescent="0.25">
      <c r="A70" s="14" t="s">
        <v>12</v>
      </c>
      <c r="B70" s="12" t="s">
        <v>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</row>
    <row r="71" spans="1:115" ht="15.75" x14ac:dyDescent="0.25">
      <c r="A71" s="11" t="s">
        <v>5</v>
      </c>
      <c r="B71" s="11" t="s">
        <v>11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</row>
    <row r="72" spans="1:115" ht="15.75" x14ac:dyDescent="0.25">
      <c r="A72" s="14">
        <v>44218</v>
      </c>
      <c r="B72" s="12" t="s">
        <v>6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</row>
    <row r="73" spans="1:115" ht="15.75" x14ac:dyDescent="0.25">
      <c r="A73" s="14" t="s">
        <v>12</v>
      </c>
      <c r="B73" s="12" t="s">
        <v>10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</row>
    <row r="74" spans="1:115" ht="15.75" x14ac:dyDescent="0.25">
      <c r="A74" s="14" t="s">
        <v>12</v>
      </c>
      <c r="B74" s="12" t="s">
        <v>9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</row>
    <row r="75" spans="1:115" ht="15.75" x14ac:dyDescent="0.25">
      <c r="A75" s="14" t="s">
        <v>12</v>
      </c>
      <c r="B75" s="12" t="s">
        <v>7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</row>
    <row r="76" spans="1:115" ht="15.75" x14ac:dyDescent="0.25">
      <c r="A76" s="11" t="s">
        <v>5</v>
      </c>
      <c r="B76" s="11" t="s">
        <v>11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</row>
    <row r="77" spans="1:115" ht="15.75" x14ac:dyDescent="0.25">
      <c r="A77" s="14">
        <v>44222</v>
      </c>
      <c r="B77" s="12" t="s">
        <v>6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</row>
    <row r="78" spans="1:115" ht="15.75" x14ac:dyDescent="0.25">
      <c r="A78" s="14" t="s">
        <v>12</v>
      </c>
      <c r="B78" s="12" t="s">
        <v>10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</row>
    <row r="79" spans="1:115" ht="15.75" x14ac:dyDescent="0.25">
      <c r="A79" s="14" t="s">
        <v>12</v>
      </c>
      <c r="B79" s="12" t="s">
        <v>9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</row>
    <row r="80" spans="1:115" ht="15.75" x14ac:dyDescent="0.25">
      <c r="A80" s="14" t="s">
        <v>12</v>
      </c>
      <c r="B80" s="12" t="s">
        <v>7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</row>
    <row r="81" spans="1:115" ht="15.75" x14ac:dyDescent="0.25">
      <c r="A81" s="11" t="s">
        <v>5</v>
      </c>
      <c r="B81" s="11" t="s">
        <v>11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</row>
    <row r="82" spans="1:115" ht="15.75" x14ac:dyDescent="0.25">
      <c r="A82" s="14">
        <v>44223</v>
      </c>
      <c r="B82" s="12" t="s">
        <v>6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</row>
    <row r="83" spans="1:115" ht="15.75" x14ac:dyDescent="0.25">
      <c r="A83" s="14" t="s">
        <v>12</v>
      </c>
      <c r="B83" s="12" t="s">
        <v>10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</row>
    <row r="84" spans="1:115" ht="15.75" x14ac:dyDescent="0.25">
      <c r="A84" s="14" t="s">
        <v>12</v>
      </c>
      <c r="B84" s="12" t="s">
        <v>9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</row>
    <row r="85" spans="1:115" ht="15.75" x14ac:dyDescent="0.25">
      <c r="A85" s="14" t="s">
        <v>12</v>
      </c>
      <c r="B85" s="12" t="s">
        <v>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</row>
    <row r="86" spans="1:115" ht="15.75" x14ac:dyDescent="0.25">
      <c r="A86" s="11" t="s">
        <v>5</v>
      </c>
      <c r="B86" s="11" t="s">
        <v>11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</row>
    <row r="87" spans="1:115" ht="15.75" x14ac:dyDescent="0.25">
      <c r="A87" s="14">
        <v>44224</v>
      </c>
      <c r="B87" s="12" t="s">
        <v>6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</row>
    <row r="88" spans="1:115" ht="15.75" x14ac:dyDescent="0.25">
      <c r="A88" s="14" t="s">
        <v>12</v>
      </c>
      <c r="B88" s="12" t="s">
        <v>10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</row>
    <row r="89" spans="1:115" ht="15.75" x14ac:dyDescent="0.25">
      <c r="A89" s="14" t="s">
        <v>12</v>
      </c>
      <c r="B89" s="12" t="s">
        <v>9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</row>
    <row r="90" spans="1:115" ht="15.75" x14ac:dyDescent="0.25">
      <c r="A90" s="14" t="s">
        <v>12</v>
      </c>
      <c r="B90" s="12" t="s">
        <v>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</row>
    <row r="91" spans="1:115" ht="15.75" x14ac:dyDescent="0.25">
      <c r="A91" s="11" t="s">
        <v>5</v>
      </c>
      <c r="B91" s="11" t="s">
        <v>11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</row>
    <row r="92" spans="1:115" ht="15.75" x14ac:dyDescent="0.25">
      <c r="A92" s="14">
        <v>44225</v>
      </c>
      <c r="B92" s="12" t="s">
        <v>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</row>
    <row r="93" spans="1:115" ht="15.75" x14ac:dyDescent="0.25">
      <c r="A93" s="14" t="s">
        <v>12</v>
      </c>
      <c r="B93" s="12" t="s">
        <v>10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</row>
    <row r="94" spans="1:115" ht="15.75" x14ac:dyDescent="0.25">
      <c r="A94" s="14" t="s">
        <v>12</v>
      </c>
      <c r="B94" s="12" t="s">
        <v>9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</row>
    <row r="95" spans="1:115" ht="15.75" x14ac:dyDescent="0.25">
      <c r="A95" s="14" t="s">
        <v>12</v>
      </c>
      <c r="B95" s="12" t="s">
        <v>7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CD54-4356-4C37-A886-519979C54866}">
  <dimension ref="A1:DH100"/>
  <sheetViews>
    <sheetView topLeftCell="A7" workbookViewId="0">
      <selection activeCell="E24" sqref="E24"/>
    </sheetView>
  </sheetViews>
  <sheetFormatPr defaultRowHeight="15" x14ac:dyDescent="0.25"/>
  <cols>
    <col min="1" max="1" width="9.85546875" bestFit="1" customWidth="1"/>
  </cols>
  <sheetData>
    <row r="1" spans="1:111" ht="15.75" x14ac:dyDescent="0.25">
      <c r="A1" s="11" t="s">
        <v>5</v>
      </c>
      <c r="B1" s="11" t="s">
        <v>11</v>
      </c>
      <c r="C1" s="15">
        <v>0.37847222222222227</v>
      </c>
      <c r="D1" s="15">
        <v>0.38194444444444442</v>
      </c>
      <c r="E1" s="15">
        <v>0.38541666666666669</v>
      </c>
      <c r="F1" s="15">
        <v>0.3888888888888889</v>
      </c>
      <c r="G1" s="15">
        <v>0.3923611111111111</v>
      </c>
      <c r="H1" s="15">
        <v>0.39583333333333331</v>
      </c>
      <c r="I1" s="15">
        <v>0.39930555555555558</v>
      </c>
      <c r="J1" s="15">
        <v>0.40277777777777773</v>
      </c>
      <c r="K1" s="15">
        <v>0.40625</v>
      </c>
      <c r="L1" s="15">
        <v>0.40972222222222227</v>
      </c>
      <c r="M1" s="15">
        <v>0.41319444444444442</v>
      </c>
      <c r="N1" s="15">
        <v>0.41666666666666669</v>
      </c>
      <c r="O1" s="15">
        <v>0.4201388888888889</v>
      </c>
      <c r="P1" s="15">
        <v>0.4236111111111111</v>
      </c>
      <c r="Q1" s="15">
        <v>0.42708333333333331</v>
      </c>
      <c r="R1" s="15">
        <v>0.43055555555555558</v>
      </c>
      <c r="S1" s="15">
        <v>0.43402777777777773</v>
      </c>
      <c r="T1" s="15">
        <v>0.4375</v>
      </c>
      <c r="U1" s="15">
        <v>0.44097222222222227</v>
      </c>
      <c r="V1" s="15">
        <v>0.44444444444444442</v>
      </c>
      <c r="W1" s="15">
        <v>0.44791666666666669</v>
      </c>
      <c r="X1" s="15">
        <v>0.4513888888888889</v>
      </c>
      <c r="Y1" s="15">
        <v>0.4548611111111111</v>
      </c>
      <c r="Z1" s="15">
        <v>0.45833333333333331</v>
      </c>
      <c r="AA1" s="15">
        <v>0.46180555555555558</v>
      </c>
      <c r="AB1" s="15">
        <v>0.46527777777777773</v>
      </c>
      <c r="AC1" s="15">
        <v>0.46875</v>
      </c>
      <c r="AD1" s="15">
        <v>0.47222222222222227</v>
      </c>
      <c r="AE1" s="15">
        <v>0.47569444444444442</v>
      </c>
      <c r="AF1" s="15">
        <v>0.47916666666666669</v>
      </c>
      <c r="AG1" s="15">
        <v>0.4826388888888889</v>
      </c>
      <c r="AH1" s="15">
        <v>0.4861111111111111</v>
      </c>
      <c r="AI1" s="15">
        <v>0.48958333333333331</v>
      </c>
      <c r="AJ1" s="15">
        <v>0.49305555555555558</v>
      </c>
      <c r="AK1" s="15">
        <v>0.49652777777777773</v>
      </c>
      <c r="AL1" s="15">
        <v>0.5</v>
      </c>
      <c r="AM1" s="15">
        <v>0.50347222222222221</v>
      </c>
      <c r="AN1" s="15">
        <v>0.50694444444444442</v>
      </c>
      <c r="AO1" s="15">
        <v>0.51041666666666663</v>
      </c>
      <c r="AP1" s="15">
        <v>0.51388888888888895</v>
      </c>
      <c r="AQ1" s="15">
        <v>0.51736111111111105</v>
      </c>
      <c r="AR1" s="15">
        <v>0.52083333333333337</v>
      </c>
      <c r="AS1" s="15">
        <v>0.52430555555555558</v>
      </c>
      <c r="AT1" s="15">
        <v>0.52777777777777779</v>
      </c>
      <c r="AU1" s="15">
        <v>0.53125</v>
      </c>
      <c r="AV1" s="15">
        <v>0.53472222222222221</v>
      </c>
      <c r="AW1" s="15">
        <v>0.53819444444444442</v>
      </c>
      <c r="AX1" s="15">
        <v>0.54166666666666663</v>
      </c>
      <c r="AY1" s="15">
        <v>0.54513888888888895</v>
      </c>
      <c r="AZ1" s="15">
        <v>0.54861111111111105</v>
      </c>
      <c r="BA1" s="15">
        <v>0.55208333333333337</v>
      </c>
      <c r="BB1" s="15">
        <v>0.55555555555555558</v>
      </c>
      <c r="BC1" s="15">
        <v>0.55902777777777779</v>
      </c>
      <c r="BD1" s="15">
        <v>0.5625</v>
      </c>
      <c r="BE1" s="15">
        <v>0.56597222222222221</v>
      </c>
      <c r="BF1" s="15">
        <v>0.56944444444444442</v>
      </c>
      <c r="BG1" s="15">
        <v>0.57291666666666663</v>
      </c>
      <c r="BH1" s="15">
        <v>0.57638888888888895</v>
      </c>
      <c r="BI1" s="15">
        <v>0.57986111111111105</v>
      </c>
      <c r="BJ1" s="15">
        <v>0.58333333333333337</v>
      </c>
      <c r="BK1" s="15">
        <v>0.58680555555555558</v>
      </c>
      <c r="BL1" s="15">
        <v>0.59027777777777779</v>
      </c>
      <c r="BM1" s="15">
        <v>0.59375</v>
      </c>
      <c r="BN1" s="15">
        <v>0.59722222222222221</v>
      </c>
      <c r="BO1" s="15">
        <v>0.60069444444444442</v>
      </c>
      <c r="BP1" s="15">
        <v>0.60416666666666663</v>
      </c>
      <c r="BQ1" s="15">
        <v>0.60763888888888895</v>
      </c>
      <c r="BR1" s="15">
        <v>0.61111111111111105</v>
      </c>
      <c r="BS1" s="15">
        <v>0.61458333333333337</v>
      </c>
      <c r="BT1" s="15">
        <v>0.61805555555555558</v>
      </c>
      <c r="BU1" s="15">
        <v>0.62152777777777779</v>
      </c>
      <c r="BV1" s="15">
        <v>0.625</v>
      </c>
      <c r="BW1" s="15">
        <v>0.62847222222222221</v>
      </c>
      <c r="BX1" s="15">
        <v>0.63194444444444442</v>
      </c>
      <c r="BY1" s="15">
        <v>0.63541666666666663</v>
      </c>
      <c r="BZ1" s="15">
        <v>0.63888888888888895</v>
      </c>
      <c r="CA1" s="15">
        <v>0.64236111111111105</v>
      </c>
      <c r="CB1" s="15">
        <v>0.64583333333333337</v>
      </c>
      <c r="CC1" s="15">
        <v>0.64930555555555558</v>
      </c>
      <c r="CD1" s="15">
        <v>0.65277777777777779</v>
      </c>
      <c r="CE1" s="15">
        <v>0.65625</v>
      </c>
      <c r="CF1" s="15">
        <v>0.65972222222222221</v>
      </c>
      <c r="CG1" s="15">
        <v>0.66319444444444442</v>
      </c>
      <c r="CH1" s="15">
        <v>0.66666666666666663</v>
      </c>
      <c r="CI1" s="15">
        <v>0.67013888888888884</v>
      </c>
      <c r="CJ1" s="15">
        <v>0.67361111111111116</v>
      </c>
      <c r="CK1" s="15">
        <v>0.67708333333333337</v>
      </c>
      <c r="CL1" s="15">
        <v>0.68055555555555547</v>
      </c>
      <c r="CM1" s="15">
        <v>0.68402777777777779</v>
      </c>
      <c r="CN1" s="15">
        <v>0.6875</v>
      </c>
      <c r="CO1" s="15">
        <v>0.69097222222222221</v>
      </c>
      <c r="CP1" s="15">
        <v>0.69444444444444453</v>
      </c>
      <c r="CQ1" s="15">
        <v>0.69791666666666663</v>
      </c>
      <c r="CR1" s="15">
        <v>0.70138888888888884</v>
      </c>
      <c r="CS1" s="15">
        <v>0.70486111111111116</v>
      </c>
      <c r="CT1" s="15">
        <v>0.70833333333333337</v>
      </c>
      <c r="CU1" s="15">
        <v>0.71180555555555547</v>
      </c>
      <c r="CV1" s="15">
        <v>0.71527777777777779</v>
      </c>
      <c r="CW1" s="15">
        <v>0.71875</v>
      </c>
      <c r="CX1" s="15">
        <v>0.72222222222222221</v>
      </c>
      <c r="CY1" s="15">
        <v>0.72569444444444453</v>
      </c>
      <c r="CZ1" s="15">
        <v>0.72916666666666663</v>
      </c>
      <c r="DA1" s="15">
        <v>0.73263888888888884</v>
      </c>
      <c r="DB1" s="15">
        <v>0.73611111111111116</v>
      </c>
      <c r="DC1" s="15">
        <v>0.73958333333333337</v>
      </c>
      <c r="DD1" s="15">
        <v>0.74305555555555547</v>
      </c>
      <c r="DE1" s="15">
        <v>0.74652777777777779</v>
      </c>
      <c r="DF1" s="15"/>
      <c r="DG1" s="15"/>
    </row>
    <row r="2" spans="1:111" ht="15.75" x14ac:dyDescent="0.25">
      <c r="A2" s="14">
        <v>44287</v>
      </c>
      <c r="B2" s="12" t="s">
        <v>6</v>
      </c>
      <c r="C2" s="13">
        <v>5660</v>
      </c>
      <c r="D2" s="13">
        <v>5654</v>
      </c>
      <c r="E2" s="13">
        <v>5661.5</v>
      </c>
      <c r="F2" s="13">
        <v>5681</v>
      </c>
      <c r="G2" s="13">
        <v>5686</v>
      </c>
      <c r="H2" s="13">
        <v>5687</v>
      </c>
      <c r="I2" s="13">
        <v>5684</v>
      </c>
      <c r="J2" s="13">
        <v>5689</v>
      </c>
      <c r="K2" s="13">
        <v>5702</v>
      </c>
      <c r="L2" s="13">
        <v>5708</v>
      </c>
      <c r="M2" s="13">
        <v>5712</v>
      </c>
      <c r="N2" s="13">
        <v>5703</v>
      </c>
      <c r="O2" s="13">
        <v>5706</v>
      </c>
      <c r="P2" s="13">
        <v>5700</v>
      </c>
      <c r="Q2" s="13">
        <v>5697</v>
      </c>
      <c r="R2" s="13">
        <v>5699</v>
      </c>
      <c r="S2" s="13">
        <v>5706</v>
      </c>
      <c r="T2" s="13">
        <v>5700</v>
      </c>
      <c r="U2" s="13">
        <v>5699</v>
      </c>
      <c r="V2" s="13">
        <v>5708</v>
      </c>
      <c r="W2" s="13">
        <v>5718</v>
      </c>
      <c r="X2" s="13">
        <v>5723</v>
      </c>
      <c r="Y2" s="13">
        <v>5730</v>
      </c>
      <c r="Z2" s="13">
        <v>5737</v>
      </c>
      <c r="AA2" s="13">
        <v>5728</v>
      </c>
      <c r="AB2" s="13">
        <v>5726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5714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5714</v>
      </c>
      <c r="AW2" s="13">
        <v>5712</v>
      </c>
      <c r="AX2" s="13">
        <v>5719</v>
      </c>
      <c r="AY2" s="13">
        <v>5720</v>
      </c>
      <c r="AZ2" s="13">
        <v>5723</v>
      </c>
      <c r="BA2" s="13">
        <v>5724</v>
      </c>
      <c r="BB2" s="13">
        <v>5721</v>
      </c>
      <c r="BC2" s="13">
        <v>5726</v>
      </c>
      <c r="BD2" s="13">
        <v>5725</v>
      </c>
      <c r="BE2" s="13">
        <v>5725</v>
      </c>
      <c r="BF2" s="13">
        <v>5724</v>
      </c>
      <c r="BG2" s="13">
        <v>5725</v>
      </c>
      <c r="BH2" s="13">
        <v>5731</v>
      </c>
      <c r="BI2" s="13">
        <v>5733</v>
      </c>
      <c r="BJ2" s="13">
        <v>5729.48</v>
      </c>
      <c r="BK2" s="13">
        <v>5734</v>
      </c>
      <c r="BL2" s="13">
        <v>5732</v>
      </c>
      <c r="BM2" s="13">
        <v>5733</v>
      </c>
      <c r="BN2" s="13">
        <v>5736</v>
      </c>
      <c r="BO2" s="13">
        <v>5745</v>
      </c>
      <c r="BP2" s="13">
        <v>5744</v>
      </c>
      <c r="BQ2" s="13">
        <v>5742</v>
      </c>
      <c r="BR2" s="13">
        <v>5734</v>
      </c>
      <c r="BS2" s="13">
        <v>5734</v>
      </c>
      <c r="BT2" s="13">
        <v>5733</v>
      </c>
      <c r="BU2" s="13">
        <v>5733</v>
      </c>
      <c r="BV2" s="13">
        <v>5731</v>
      </c>
      <c r="BW2" s="13">
        <v>5732</v>
      </c>
      <c r="BX2" s="13">
        <v>5728</v>
      </c>
      <c r="BY2" s="13">
        <v>5727</v>
      </c>
      <c r="BZ2" s="13">
        <v>5728</v>
      </c>
      <c r="CA2" s="13">
        <v>5726</v>
      </c>
      <c r="CB2" s="13">
        <v>5728</v>
      </c>
      <c r="CC2" s="13">
        <v>5731</v>
      </c>
      <c r="CD2" s="13">
        <v>5733</v>
      </c>
      <c r="CE2" s="13">
        <v>5736</v>
      </c>
      <c r="CF2" s="13">
        <v>5737</v>
      </c>
      <c r="CG2" s="13">
        <v>5736</v>
      </c>
      <c r="CH2" s="13">
        <v>5739</v>
      </c>
      <c r="CI2" s="13">
        <v>5738</v>
      </c>
      <c r="CJ2" s="13">
        <v>5737</v>
      </c>
      <c r="CK2" s="13">
        <v>5736</v>
      </c>
      <c r="CL2" s="13">
        <v>5738</v>
      </c>
      <c r="CM2" s="13">
        <v>5737</v>
      </c>
      <c r="CN2" s="13">
        <v>5738</v>
      </c>
      <c r="CO2" s="13">
        <v>5740</v>
      </c>
      <c r="CP2" s="13">
        <v>5738</v>
      </c>
      <c r="CQ2" s="13">
        <v>5742</v>
      </c>
      <c r="CR2" s="13">
        <v>5741</v>
      </c>
      <c r="CS2" s="13">
        <v>5741</v>
      </c>
      <c r="CT2" s="13">
        <v>5743</v>
      </c>
      <c r="CU2" s="13">
        <v>5744</v>
      </c>
      <c r="CV2" s="13">
        <v>5741</v>
      </c>
      <c r="CW2" s="13">
        <v>5741</v>
      </c>
      <c r="CX2" s="13">
        <v>5742</v>
      </c>
      <c r="CY2" s="13">
        <v>5753</v>
      </c>
      <c r="CZ2" s="13">
        <v>5752</v>
      </c>
      <c r="DA2" s="13">
        <v>5754</v>
      </c>
      <c r="DB2" s="13">
        <v>5757</v>
      </c>
      <c r="DC2" s="13">
        <v>5755</v>
      </c>
      <c r="DD2" s="13">
        <v>5753</v>
      </c>
      <c r="DE2" s="13">
        <v>5746</v>
      </c>
      <c r="DF2" s="13"/>
      <c r="DG2" s="13"/>
    </row>
    <row r="3" spans="1:111" ht="15.75" x14ac:dyDescent="0.25">
      <c r="A3" s="14" t="s">
        <v>12</v>
      </c>
      <c r="B3" s="12" t="s">
        <v>10</v>
      </c>
      <c r="C3" s="13">
        <v>5642.27</v>
      </c>
      <c r="D3" s="13">
        <v>5653.5</v>
      </c>
      <c r="E3" s="13">
        <v>5661</v>
      </c>
      <c r="F3" s="13">
        <v>5681</v>
      </c>
      <c r="G3" s="13">
        <v>5680</v>
      </c>
      <c r="H3" s="13">
        <v>5680</v>
      </c>
      <c r="I3" s="13">
        <v>5680</v>
      </c>
      <c r="J3" s="13">
        <v>5689</v>
      </c>
      <c r="K3" s="13">
        <v>5702</v>
      </c>
      <c r="L3" s="13">
        <v>5707</v>
      </c>
      <c r="M3" s="13">
        <v>5705</v>
      </c>
      <c r="N3" s="13">
        <v>5701</v>
      </c>
      <c r="O3" s="13">
        <v>5699</v>
      </c>
      <c r="P3" s="13">
        <v>5696</v>
      </c>
      <c r="Q3" s="13">
        <v>5697</v>
      </c>
      <c r="R3" s="13">
        <v>5698</v>
      </c>
      <c r="S3" s="13">
        <v>5698</v>
      </c>
      <c r="T3" s="13">
        <v>5698</v>
      </c>
      <c r="U3" s="13">
        <v>5699</v>
      </c>
      <c r="V3" s="13">
        <v>5706</v>
      </c>
      <c r="W3" s="13">
        <v>5716</v>
      </c>
      <c r="X3" s="13">
        <v>0</v>
      </c>
      <c r="Y3" s="13">
        <v>5730</v>
      </c>
      <c r="Z3" s="13">
        <v>5728</v>
      </c>
      <c r="AA3" s="13">
        <v>5723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5709</v>
      </c>
      <c r="AW3" s="13">
        <v>5708</v>
      </c>
      <c r="AX3" s="13">
        <v>5718</v>
      </c>
      <c r="AY3" s="13">
        <v>5717</v>
      </c>
      <c r="AZ3" s="13">
        <v>5722</v>
      </c>
      <c r="BA3" s="13">
        <v>5720</v>
      </c>
      <c r="BB3" s="13">
        <v>5720</v>
      </c>
      <c r="BC3" s="13">
        <v>5724</v>
      </c>
      <c r="BD3" s="13">
        <v>5722</v>
      </c>
      <c r="BE3" s="13">
        <v>5723</v>
      </c>
      <c r="BF3" s="13">
        <v>5718</v>
      </c>
      <c r="BG3" s="13">
        <v>5725</v>
      </c>
      <c r="BH3" s="13">
        <v>5731</v>
      </c>
      <c r="BI3" s="13">
        <v>5729</v>
      </c>
      <c r="BJ3" s="13">
        <v>5727</v>
      </c>
      <c r="BK3" s="13">
        <v>5732</v>
      </c>
      <c r="BL3" s="13">
        <v>5729</v>
      </c>
      <c r="BM3" s="13">
        <v>5731</v>
      </c>
      <c r="BN3" s="13">
        <v>5735</v>
      </c>
      <c r="BO3" s="13">
        <v>5743</v>
      </c>
      <c r="BP3" s="13">
        <v>5741</v>
      </c>
      <c r="BQ3" s="13">
        <v>5732</v>
      </c>
      <c r="BR3" s="13">
        <v>5734</v>
      </c>
      <c r="BS3" s="13">
        <v>5729</v>
      </c>
      <c r="BT3" s="13">
        <v>5733</v>
      </c>
      <c r="BU3" s="13">
        <v>5729</v>
      </c>
      <c r="BV3" s="13">
        <v>5729</v>
      </c>
      <c r="BW3" s="13">
        <v>5729</v>
      </c>
      <c r="BX3" s="13">
        <v>5726</v>
      </c>
      <c r="BY3" s="13">
        <v>5726</v>
      </c>
      <c r="BZ3" s="13">
        <v>5728</v>
      </c>
      <c r="CA3" s="13">
        <v>5723</v>
      </c>
      <c r="CB3" s="13">
        <v>5727</v>
      </c>
      <c r="CC3" s="13">
        <v>5731</v>
      </c>
      <c r="CD3" s="13">
        <v>5733</v>
      </c>
      <c r="CE3" s="13">
        <v>5736</v>
      </c>
      <c r="CF3" s="13">
        <v>5736</v>
      </c>
      <c r="CG3" s="13">
        <v>5735</v>
      </c>
      <c r="CH3" s="13">
        <v>5737</v>
      </c>
      <c r="CI3" s="13">
        <v>5734</v>
      </c>
      <c r="CJ3" s="13">
        <v>5735</v>
      </c>
      <c r="CK3" s="13">
        <v>5734</v>
      </c>
      <c r="CL3" s="13">
        <v>5737</v>
      </c>
      <c r="CM3" s="13">
        <v>5737</v>
      </c>
      <c r="CN3" s="13">
        <v>5736</v>
      </c>
      <c r="CO3" s="13">
        <v>5740</v>
      </c>
      <c r="CP3" s="13">
        <v>5738</v>
      </c>
      <c r="CQ3" s="13">
        <v>5741</v>
      </c>
      <c r="CR3" s="13">
        <v>5741</v>
      </c>
      <c r="CS3" s="13">
        <v>5736</v>
      </c>
      <c r="CT3" s="13">
        <v>5743</v>
      </c>
      <c r="CU3" s="13">
        <v>5743</v>
      </c>
      <c r="CV3" s="13">
        <v>5741</v>
      </c>
      <c r="CW3" s="13">
        <v>5738</v>
      </c>
      <c r="CX3" s="13">
        <v>5742</v>
      </c>
      <c r="CY3" s="13">
        <v>5751</v>
      </c>
      <c r="CZ3" s="13">
        <v>5750</v>
      </c>
      <c r="DA3" s="13">
        <v>5753</v>
      </c>
      <c r="DB3" s="13">
        <v>5753</v>
      </c>
      <c r="DC3" s="13">
        <v>5753</v>
      </c>
      <c r="DD3" s="13">
        <v>5747</v>
      </c>
      <c r="DE3" s="13">
        <v>5742</v>
      </c>
      <c r="DF3" s="13"/>
      <c r="DG3" s="13"/>
    </row>
    <row r="4" spans="1:111" ht="15.75" x14ac:dyDescent="0.25">
      <c r="A4" s="14" t="s">
        <v>12</v>
      </c>
      <c r="B4" s="12" t="s">
        <v>9</v>
      </c>
      <c r="C4" s="13">
        <v>5622</v>
      </c>
      <c r="D4" s="13">
        <v>5634.5</v>
      </c>
      <c r="E4" s="13">
        <v>5641</v>
      </c>
      <c r="F4" s="13">
        <v>5664</v>
      </c>
      <c r="G4" s="13">
        <v>5661</v>
      </c>
      <c r="H4" s="13">
        <v>5661</v>
      </c>
      <c r="I4" s="13">
        <v>5661</v>
      </c>
      <c r="J4" s="13">
        <v>5670</v>
      </c>
      <c r="K4" s="13">
        <v>5682</v>
      </c>
      <c r="L4" s="13">
        <v>5688</v>
      </c>
      <c r="M4" s="13">
        <v>5685</v>
      </c>
      <c r="N4" s="13">
        <v>5682</v>
      </c>
      <c r="O4" s="13">
        <v>5680</v>
      </c>
      <c r="P4" s="13">
        <v>5677</v>
      </c>
      <c r="Q4" s="13">
        <v>5678</v>
      </c>
      <c r="R4" s="13">
        <v>5679</v>
      </c>
      <c r="S4" s="13">
        <v>5679</v>
      </c>
      <c r="T4" s="13">
        <v>5679</v>
      </c>
      <c r="U4" s="13">
        <v>5680</v>
      </c>
      <c r="V4" s="13">
        <v>5686</v>
      </c>
      <c r="W4" s="13">
        <v>5698</v>
      </c>
      <c r="X4" s="13">
        <v>5704</v>
      </c>
      <c r="Y4" s="13">
        <v>5708</v>
      </c>
      <c r="Z4" s="13">
        <v>5704.55</v>
      </c>
      <c r="AA4" s="13">
        <v>5703.25</v>
      </c>
      <c r="AB4" s="13">
        <v>5670</v>
      </c>
      <c r="AC4" s="13">
        <v>5670</v>
      </c>
      <c r="AD4" s="13">
        <v>5670</v>
      </c>
      <c r="AE4" s="13">
        <v>5670</v>
      </c>
      <c r="AF4" s="13">
        <v>5670</v>
      </c>
      <c r="AG4" s="13">
        <v>5670</v>
      </c>
      <c r="AH4" s="13">
        <v>5670</v>
      </c>
      <c r="AI4" s="13">
        <v>5670</v>
      </c>
      <c r="AJ4" s="13">
        <v>5670</v>
      </c>
      <c r="AK4" s="13">
        <v>5670</v>
      </c>
      <c r="AL4" s="13">
        <v>5670</v>
      </c>
      <c r="AM4" s="13">
        <v>5670</v>
      </c>
      <c r="AN4" s="13">
        <v>5670</v>
      </c>
      <c r="AO4" s="13">
        <v>5670</v>
      </c>
      <c r="AP4" s="13">
        <v>5670</v>
      </c>
      <c r="AQ4" s="13">
        <v>5670</v>
      </c>
      <c r="AR4" s="13">
        <v>5670</v>
      </c>
      <c r="AS4" s="13">
        <v>5670</v>
      </c>
      <c r="AT4" s="13">
        <v>5670</v>
      </c>
      <c r="AU4" s="13">
        <v>5670</v>
      </c>
      <c r="AV4" s="13">
        <v>5688.1</v>
      </c>
      <c r="AW4" s="13">
        <v>5687.14</v>
      </c>
      <c r="AX4" s="13">
        <v>5697.62</v>
      </c>
      <c r="AY4" s="13">
        <v>5695.71</v>
      </c>
      <c r="AZ4" s="13">
        <v>5701.43</v>
      </c>
      <c r="BA4" s="13">
        <v>5699.52</v>
      </c>
      <c r="BB4" s="13">
        <v>5699.52</v>
      </c>
      <c r="BC4" s="13">
        <v>5702.73</v>
      </c>
      <c r="BD4" s="13">
        <v>5700.48</v>
      </c>
      <c r="BE4" s="13">
        <v>5701.43</v>
      </c>
      <c r="BF4" s="13">
        <v>5697.62</v>
      </c>
      <c r="BG4" s="13">
        <v>5703.33</v>
      </c>
      <c r="BH4" s="13">
        <v>5711.9</v>
      </c>
      <c r="BI4" s="13">
        <v>5707.14</v>
      </c>
      <c r="BJ4" s="13">
        <v>5705.24</v>
      </c>
      <c r="BK4" s="13">
        <v>5710</v>
      </c>
      <c r="BL4" s="13">
        <v>5708.1</v>
      </c>
      <c r="BM4" s="13">
        <v>5710</v>
      </c>
      <c r="BN4" s="13">
        <v>5712.86</v>
      </c>
      <c r="BO4" s="13">
        <v>5721.43</v>
      </c>
      <c r="BP4" s="13">
        <v>5718.57</v>
      </c>
      <c r="BQ4" s="13">
        <v>5710.95</v>
      </c>
      <c r="BR4" s="13">
        <v>5712.86</v>
      </c>
      <c r="BS4" s="13">
        <v>5708.1</v>
      </c>
      <c r="BT4" s="13">
        <v>5710.95</v>
      </c>
      <c r="BU4" s="13">
        <v>5708.1</v>
      </c>
      <c r="BV4" s="13">
        <v>5705.45</v>
      </c>
      <c r="BW4" s="13">
        <v>5708.1</v>
      </c>
      <c r="BX4" s="13">
        <v>5705.24</v>
      </c>
      <c r="BY4" s="13">
        <v>5705.24</v>
      </c>
      <c r="BZ4" s="13">
        <v>5706.19</v>
      </c>
      <c r="CA4" s="13">
        <v>5701.43</v>
      </c>
      <c r="CB4" s="13">
        <v>5705.24</v>
      </c>
      <c r="CC4" s="13">
        <v>5709.05</v>
      </c>
      <c r="CD4" s="13">
        <v>5711.9</v>
      </c>
      <c r="CE4" s="13">
        <v>5713.81</v>
      </c>
      <c r="CF4" s="13">
        <v>5713.81</v>
      </c>
      <c r="CG4" s="13">
        <v>5713.81</v>
      </c>
      <c r="CH4" s="13">
        <v>5715.71</v>
      </c>
      <c r="CI4" s="13">
        <v>5712.86</v>
      </c>
      <c r="CJ4" s="13">
        <v>5713.81</v>
      </c>
      <c r="CK4" s="13">
        <v>5712.86</v>
      </c>
      <c r="CL4" s="13">
        <v>5716.67</v>
      </c>
      <c r="CM4" s="13">
        <v>5713.64</v>
      </c>
      <c r="CN4" s="13">
        <v>5714.76</v>
      </c>
      <c r="CO4" s="13">
        <v>5717.62</v>
      </c>
      <c r="CP4" s="13">
        <v>5716.67</v>
      </c>
      <c r="CQ4" s="13">
        <v>5719.52</v>
      </c>
      <c r="CR4" s="13">
        <v>5718.57</v>
      </c>
      <c r="CS4" s="13">
        <v>5713.81</v>
      </c>
      <c r="CT4" s="13">
        <v>5721.43</v>
      </c>
      <c r="CU4" s="13">
        <v>5719.09</v>
      </c>
      <c r="CV4" s="13">
        <v>5719.52</v>
      </c>
      <c r="CW4" s="13">
        <v>5716.67</v>
      </c>
      <c r="CX4" s="13">
        <v>5720.48</v>
      </c>
      <c r="CY4" s="13">
        <v>5728.68</v>
      </c>
      <c r="CZ4" s="13">
        <v>5727.77</v>
      </c>
      <c r="DA4" s="13">
        <v>5730.5</v>
      </c>
      <c r="DB4" s="13">
        <v>5729.59</v>
      </c>
      <c r="DC4" s="13">
        <v>5729.59</v>
      </c>
      <c r="DD4" s="13">
        <v>5724.14</v>
      </c>
      <c r="DE4" s="13">
        <v>5719.59</v>
      </c>
      <c r="DF4" s="13"/>
      <c r="DG4" s="13"/>
    </row>
    <row r="5" spans="1:111" ht="15.75" x14ac:dyDescent="0.25">
      <c r="A5" s="14" t="s">
        <v>12</v>
      </c>
      <c r="B5" s="12" t="s">
        <v>7</v>
      </c>
      <c r="C5" s="13">
        <v>5620</v>
      </c>
      <c r="D5" s="13">
        <v>5618.5</v>
      </c>
      <c r="E5" s="13">
        <v>5635.5</v>
      </c>
      <c r="F5" s="13">
        <v>5652</v>
      </c>
      <c r="G5" s="13">
        <v>5658</v>
      </c>
      <c r="H5" s="13">
        <v>5660</v>
      </c>
      <c r="I5" s="13">
        <v>5657</v>
      </c>
      <c r="J5" s="13">
        <v>5661</v>
      </c>
      <c r="K5" s="13">
        <v>5669</v>
      </c>
      <c r="L5" s="13">
        <v>5682</v>
      </c>
      <c r="M5" s="13">
        <v>5684</v>
      </c>
      <c r="N5" s="13">
        <v>5675</v>
      </c>
      <c r="O5" s="13">
        <v>5677</v>
      </c>
      <c r="P5" s="13">
        <v>5677</v>
      </c>
      <c r="Q5" s="13">
        <v>5673</v>
      </c>
      <c r="R5" s="13">
        <v>5673</v>
      </c>
      <c r="S5" s="13">
        <v>5677</v>
      </c>
      <c r="T5" s="13">
        <v>5677</v>
      </c>
      <c r="U5" s="13">
        <v>5673</v>
      </c>
      <c r="V5" s="13">
        <v>5680</v>
      </c>
      <c r="W5" s="13">
        <v>5682</v>
      </c>
      <c r="X5" s="13">
        <v>5697</v>
      </c>
      <c r="Y5" s="13">
        <v>5701.82</v>
      </c>
      <c r="Z5" s="13">
        <v>5704.2</v>
      </c>
      <c r="AA5" s="13">
        <v>5699.45</v>
      </c>
      <c r="AB5" s="13">
        <v>5670</v>
      </c>
      <c r="AC5" s="13">
        <v>5667</v>
      </c>
      <c r="AD5" s="13">
        <v>5670</v>
      </c>
      <c r="AE5" s="13">
        <v>5670</v>
      </c>
      <c r="AF5" s="13">
        <v>5670</v>
      </c>
      <c r="AG5" s="13">
        <v>5670</v>
      </c>
      <c r="AH5" s="13">
        <v>5670</v>
      </c>
      <c r="AI5" s="13">
        <v>5670</v>
      </c>
      <c r="AJ5" s="13">
        <v>5670</v>
      </c>
      <c r="AK5" s="13">
        <v>5670</v>
      </c>
      <c r="AL5" s="13">
        <v>5670</v>
      </c>
      <c r="AM5" s="13">
        <v>5670</v>
      </c>
      <c r="AN5" s="13">
        <v>5670</v>
      </c>
      <c r="AO5" s="13">
        <v>5670</v>
      </c>
      <c r="AP5" s="13">
        <v>5670</v>
      </c>
      <c r="AQ5" s="13">
        <v>5670</v>
      </c>
      <c r="AR5" s="13">
        <v>5670</v>
      </c>
      <c r="AS5" s="13">
        <v>5670</v>
      </c>
      <c r="AT5" s="13">
        <v>5670</v>
      </c>
      <c r="AU5" s="13">
        <v>5670</v>
      </c>
      <c r="AV5" s="13">
        <v>5670</v>
      </c>
      <c r="AW5" s="13">
        <v>5687.14</v>
      </c>
      <c r="AX5" s="13">
        <v>5690.95</v>
      </c>
      <c r="AY5" s="13">
        <v>5693.64</v>
      </c>
      <c r="AZ5" s="13">
        <v>5694.55</v>
      </c>
      <c r="BA5" s="13">
        <v>5698.18</v>
      </c>
      <c r="BB5" s="13">
        <v>5696.36</v>
      </c>
      <c r="BC5" s="13">
        <v>5698.57</v>
      </c>
      <c r="BD5" s="13">
        <v>5699.09</v>
      </c>
      <c r="BE5" s="13">
        <v>5700.48</v>
      </c>
      <c r="BF5" s="13">
        <v>5696.67</v>
      </c>
      <c r="BG5" s="13">
        <v>5696.36</v>
      </c>
      <c r="BH5" s="13">
        <v>5703.33</v>
      </c>
      <c r="BI5" s="13">
        <v>5704.55</v>
      </c>
      <c r="BJ5" s="13">
        <v>5704.55</v>
      </c>
      <c r="BK5" s="13">
        <v>5705.24</v>
      </c>
      <c r="BL5" s="13">
        <v>5705.45</v>
      </c>
      <c r="BM5" s="13">
        <v>5708.1</v>
      </c>
      <c r="BN5" s="13">
        <v>5708.18</v>
      </c>
      <c r="BO5" s="13">
        <v>5712.86</v>
      </c>
      <c r="BP5" s="13">
        <v>5718.18</v>
      </c>
      <c r="BQ5" s="13">
        <v>5708.18</v>
      </c>
      <c r="BR5" s="13">
        <v>5706.19</v>
      </c>
      <c r="BS5" s="13">
        <v>5706.36</v>
      </c>
      <c r="BT5" s="13">
        <v>5706.36</v>
      </c>
      <c r="BU5" s="13">
        <v>5708.1</v>
      </c>
      <c r="BV5" s="13">
        <v>5704.55</v>
      </c>
      <c r="BW5" s="13">
        <v>5703.64</v>
      </c>
      <c r="BX5" s="13">
        <v>5702.73</v>
      </c>
      <c r="BY5" s="13">
        <v>5703.33</v>
      </c>
      <c r="BZ5" s="13">
        <v>5704.29</v>
      </c>
      <c r="CA5" s="13">
        <v>5700</v>
      </c>
      <c r="CB5" s="13">
        <v>5703.33</v>
      </c>
      <c r="CC5" s="13">
        <v>5312</v>
      </c>
      <c r="CD5" s="13">
        <v>5708.18</v>
      </c>
      <c r="CE5" s="13">
        <v>5710</v>
      </c>
      <c r="CF5" s="13">
        <v>5710.91</v>
      </c>
      <c r="CG5" s="13">
        <v>5710.91</v>
      </c>
      <c r="CH5" s="13">
        <v>5713.81</v>
      </c>
      <c r="CI5" s="13">
        <v>5710.95</v>
      </c>
      <c r="CJ5" s="13">
        <v>5712.86</v>
      </c>
      <c r="CK5" s="13">
        <v>5712.73</v>
      </c>
      <c r="CL5" s="13">
        <v>5710</v>
      </c>
      <c r="CM5" s="13">
        <v>5713.64</v>
      </c>
      <c r="CN5" s="13">
        <v>5714.76</v>
      </c>
      <c r="CO5" s="13">
        <v>5714.76</v>
      </c>
      <c r="CP5" s="13">
        <v>5714.76</v>
      </c>
      <c r="CQ5" s="13">
        <v>5716.36</v>
      </c>
      <c r="CR5" s="13">
        <v>5716.67</v>
      </c>
      <c r="CS5" s="13">
        <v>5711.9</v>
      </c>
      <c r="CT5" s="13">
        <v>5713.81</v>
      </c>
      <c r="CU5" s="13">
        <v>5719.09</v>
      </c>
      <c r="CV5" s="13">
        <v>5717.62</v>
      </c>
      <c r="CW5" s="13">
        <v>5713.81</v>
      </c>
      <c r="CX5" s="13">
        <v>5717.27</v>
      </c>
      <c r="CY5" s="13">
        <v>5720.48</v>
      </c>
      <c r="CZ5" s="13">
        <v>5695.5</v>
      </c>
      <c r="DA5" s="13">
        <v>5726.75</v>
      </c>
      <c r="DB5" s="13">
        <v>5695.5</v>
      </c>
      <c r="DC5" s="13">
        <v>5726.86</v>
      </c>
      <c r="DD5" s="13">
        <v>5695.5</v>
      </c>
      <c r="DE5" s="13">
        <v>5718.68</v>
      </c>
      <c r="DF5" s="13"/>
      <c r="DG5" s="13"/>
    </row>
    <row r="6" spans="1:111" ht="15.75" x14ac:dyDescent="0.25">
      <c r="A6" s="11" t="s">
        <v>5</v>
      </c>
      <c r="B6" s="11" t="s">
        <v>11</v>
      </c>
      <c r="C6" s="15">
        <v>0.37847222222222227</v>
      </c>
      <c r="D6" s="15">
        <v>0.38194444444444442</v>
      </c>
      <c r="E6" s="15">
        <v>0.38541666666666669</v>
      </c>
      <c r="F6" s="15">
        <v>0.3888888888888889</v>
      </c>
      <c r="G6" s="15">
        <v>0.3923611111111111</v>
      </c>
      <c r="H6" s="15">
        <v>0.39583333333333331</v>
      </c>
      <c r="I6" s="15">
        <v>0.39930555555555558</v>
      </c>
      <c r="J6" s="15">
        <v>0.40277777777777773</v>
      </c>
      <c r="K6" s="15">
        <v>0.40625</v>
      </c>
      <c r="L6" s="15">
        <v>0.40972222222222227</v>
      </c>
      <c r="M6" s="15">
        <v>0.41319444444444442</v>
      </c>
      <c r="N6" s="15">
        <v>0.41666666666666669</v>
      </c>
      <c r="O6" s="15">
        <v>0.4201388888888889</v>
      </c>
      <c r="P6" s="15">
        <v>0.4236111111111111</v>
      </c>
      <c r="Q6" s="15">
        <v>0.42708333333333331</v>
      </c>
      <c r="R6" s="15">
        <v>0.43055555555555558</v>
      </c>
      <c r="S6" s="15">
        <v>0.43402777777777773</v>
      </c>
      <c r="T6" s="15">
        <v>0.4375</v>
      </c>
      <c r="U6" s="15">
        <v>0.44097222222222227</v>
      </c>
      <c r="V6" s="15">
        <v>0.44444444444444442</v>
      </c>
      <c r="W6" s="15">
        <v>0.44791666666666669</v>
      </c>
      <c r="X6" s="15">
        <v>0.4513888888888889</v>
      </c>
      <c r="Y6" s="15">
        <v>0.4548611111111111</v>
      </c>
      <c r="Z6" s="15">
        <v>0.45833333333333331</v>
      </c>
      <c r="AA6" s="15">
        <v>0.46180555555555558</v>
      </c>
      <c r="AB6" s="15">
        <v>0.46527777777777773</v>
      </c>
      <c r="AC6" s="15">
        <v>0.46875</v>
      </c>
      <c r="AD6" s="15">
        <v>0.47222222222222227</v>
      </c>
      <c r="AE6" s="15">
        <v>0.47569444444444442</v>
      </c>
      <c r="AF6" s="15">
        <v>0.47916666666666669</v>
      </c>
      <c r="AG6" s="15">
        <v>0.4826388888888889</v>
      </c>
      <c r="AH6" s="15">
        <v>0.4861111111111111</v>
      </c>
      <c r="AI6" s="15">
        <v>0.48958333333333331</v>
      </c>
      <c r="AJ6" s="15">
        <v>0.49305555555555558</v>
      </c>
      <c r="AK6" s="15">
        <v>0.49652777777777773</v>
      </c>
      <c r="AL6" s="15">
        <v>0.5</v>
      </c>
      <c r="AM6" s="15">
        <v>0.50347222222222221</v>
      </c>
      <c r="AN6" s="15">
        <v>0.50694444444444442</v>
      </c>
      <c r="AO6" s="15">
        <v>0.51041666666666663</v>
      </c>
      <c r="AP6" s="15">
        <v>0.51388888888888895</v>
      </c>
      <c r="AQ6" s="15">
        <v>0.51736111111111105</v>
      </c>
      <c r="AR6" s="15">
        <v>0.52083333333333337</v>
      </c>
      <c r="AS6" s="15">
        <v>0.52430555555555558</v>
      </c>
      <c r="AT6" s="15">
        <v>0.52777777777777779</v>
      </c>
      <c r="AU6" s="15">
        <v>0.53125</v>
      </c>
      <c r="AV6" s="15">
        <v>0.53472222222222221</v>
      </c>
      <c r="AW6" s="15">
        <v>0.53819444444444442</v>
      </c>
      <c r="AX6" s="15">
        <v>0.54166666666666663</v>
      </c>
      <c r="AY6" s="15">
        <v>0.54513888888888895</v>
      </c>
      <c r="AZ6" s="15">
        <v>0.54861111111111105</v>
      </c>
      <c r="BA6" s="15">
        <v>0.55208333333333337</v>
      </c>
      <c r="BB6" s="15">
        <v>0.55555555555555558</v>
      </c>
      <c r="BC6" s="15">
        <v>0.55902777777777779</v>
      </c>
      <c r="BD6" s="15">
        <v>0.5625</v>
      </c>
      <c r="BE6" s="15">
        <v>0.56597222222222221</v>
      </c>
      <c r="BF6" s="15">
        <v>0.56944444444444442</v>
      </c>
      <c r="BG6" s="15">
        <v>0.57291666666666663</v>
      </c>
      <c r="BH6" s="15">
        <v>0.57638888888888895</v>
      </c>
      <c r="BI6" s="15">
        <v>0.57986111111111105</v>
      </c>
      <c r="BJ6" s="15">
        <v>0.58333333333333337</v>
      </c>
      <c r="BK6" s="15">
        <v>0.58680555555555558</v>
      </c>
      <c r="BL6" s="15">
        <v>0.59027777777777779</v>
      </c>
      <c r="BM6" s="15">
        <v>0.59375</v>
      </c>
      <c r="BN6" s="15">
        <v>0.59722222222222221</v>
      </c>
      <c r="BO6" s="15">
        <v>0.60069444444444442</v>
      </c>
      <c r="BP6" s="15">
        <v>0.60416666666666663</v>
      </c>
      <c r="BQ6" s="15">
        <v>0.60763888888888895</v>
      </c>
      <c r="BR6" s="15">
        <v>0.61111111111111105</v>
      </c>
      <c r="BS6" s="15">
        <v>0.61458333333333337</v>
      </c>
      <c r="BT6" s="15">
        <v>0.61805555555555558</v>
      </c>
      <c r="BU6" s="15">
        <v>0.62152777777777779</v>
      </c>
      <c r="BV6" s="15">
        <v>0.625</v>
      </c>
      <c r="BW6" s="15">
        <v>0.62847222222222221</v>
      </c>
      <c r="BX6" s="15">
        <v>0.63194444444444442</v>
      </c>
      <c r="BY6" s="15">
        <v>0.63541666666666663</v>
      </c>
      <c r="BZ6" s="15">
        <v>0.63888888888888895</v>
      </c>
      <c r="CA6" s="15">
        <v>0.64236111111111105</v>
      </c>
      <c r="CB6" s="15">
        <v>0.64583333333333337</v>
      </c>
      <c r="CC6" s="15">
        <v>0.64930555555555558</v>
      </c>
      <c r="CD6" s="15">
        <v>0.65277777777777779</v>
      </c>
      <c r="CE6" s="15">
        <v>0.65625</v>
      </c>
      <c r="CF6" s="15">
        <v>0.65972222222222221</v>
      </c>
      <c r="CG6" s="15">
        <v>0.66319444444444442</v>
      </c>
      <c r="CH6" s="15">
        <v>0.66666666666666663</v>
      </c>
      <c r="CI6" s="15">
        <v>0.67013888888888884</v>
      </c>
      <c r="CJ6" s="15">
        <v>0.67361111111111116</v>
      </c>
      <c r="CK6" s="15">
        <v>0.67708333333333337</v>
      </c>
      <c r="CL6" s="15">
        <v>0.68055555555555547</v>
      </c>
      <c r="CM6" s="15">
        <v>0.68402777777777779</v>
      </c>
      <c r="CN6" s="15">
        <v>0.6875</v>
      </c>
      <c r="CO6" s="15">
        <v>0.69097222222222221</v>
      </c>
      <c r="CP6" s="15">
        <v>0.69444444444444453</v>
      </c>
      <c r="CQ6" s="15">
        <v>0.69791666666666663</v>
      </c>
      <c r="CR6" s="15">
        <v>0.70138888888888884</v>
      </c>
      <c r="CS6" s="15">
        <v>0.70486111111111116</v>
      </c>
      <c r="CT6" s="15">
        <v>0.70833333333333337</v>
      </c>
      <c r="CU6" s="15">
        <v>0.71180555555555547</v>
      </c>
      <c r="CV6" s="15">
        <v>0.71527777777777779</v>
      </c>
      <c r="CW6" s="15">
        <v>0.71875</v>
      </c>
      <c r="CX6" s="15">
        <v>0.72222222222222221</v>
      </c>
      <c r="CY6" s="15">
        <v>0.72569444444444453</v>
      </c>
      <c r="CZ6" s="15">
        <v>0.72916666666666663</v>
      </c>
      <c r="DA6" s="15">
        <v>0.73263888888888884</v>
      </c>
      <c r="DB6" s="15">
        <v>0.73611111111111116</v>
      </c>
      <c r="DC6" s="15">
        <v>0.73958333333333337</v>
      </c>
      <c r="DD6" s="15">
        <v>0.74305555555555547</v>
      </c>
      <c r="DE6" s="15">
        <v>0.74652777777777779</v>
      </c>
      <c r="DF6" s="15"/>
      <c r="DG6" s="15"/>
    </row>
    <row r="7" spans="1:111" ht="15.75" x14ac:dyDescent="0.25">
      <c r="A7" s="14">
        <v>44291</v>
      </c>
      <c r="B7" s="12" t="s">
        <v>6</v>
      </c>
      <c r="C7" s="13">
        <v>5705</v>
      </c>
      <c r="D7" s="13">
        <v>5692</v>
      </c>
      <c r="E7" s="13">
        <v>5698</v>
      </c>
      <c r="F7" s="13">
        <v>5701</v>
      </c>
      <c r="G7" s="13">
        <v>5700</v>
      </c>
      <c r="H7" s="13">
        <v>5709</v>
      </c>
      <c r="I7" s="13">
        <v>5705</v>
      </c>
      <c r="J7" s="13">
        <v>5692</v>
      </c>
      <c r="K7" s="13">
        <v>5694</v>
      </c>
      <c r="L7" s="13">
        <v>5699</v>
      </c>
      <c r="M7" s="13">
        <v>5703</v>
      </c>
      <c r="N7" s="13">
        <v>5705</v>
      </c>
      <c r="O7" s="13">
        <v>5706</v>
      </c>
      <c r="P7" s="13">
        <v>5701</v>
      </c>
      <c r="Q7" s="13">
        <v>5699</v>
      </c>
      <c r="R7" s="13">
        <v>5699</v>
      </c>
      <c r="S7" s="13">
        <v>5675</v>
      </c>
      <c r="T7" s="13">
        <v>5675</v>
      </c>
      <c r="U7" s="13">
        <v>5675</v>
      </c>
      <c r="V7" s="13">
        <v>5677.5</v>
      </c>
      <c r="W7" s="13">
        <v>5680.5</v>
      </c>
      <c r="X7" s="13">
        <v>5678.5</v>
      </c>
      <c r="Y7" s="13">
        <v>5672</v>
      </c>
      <c r="Z7" s="13">
        <v>5679</v>
      </c>
      <c r="AA7" s="13">
        <v>5676</v>
      </c>
      <c r="AB7" s="13">
        <v>5676</v>
      </c>
      <c r="AC7" s="13">
        <v>5675</v>
      </c>
      <c r="AD7" s="13">
        <v>5669</v>
      </c>
      <c r="AE7" s="13">
        <v>5676</v>
      </c>
      <c r="AF7" s="13">
        <v>5680</v>
      </c>
      <c r="AG7" s="13">
        <v>5682</v>
      </c>
      <c r="AH7" s="13">
        <v>5677</v>
      </c>
      <c r="AI7" s="13">
        <v>5677</v>
      </c>
      <c r="AJ7" s="13">
        <v>5682</v>
      </c>
      <c r="AK7" s="13">
        <v>5690</v>
      </c>
      <c r="AL7" s="13">
        <v>5689</v>
      </c>
      <c r="AM7" s="13">
        <v>5680</v>
      </c>
      <c r="AN7" s="13">
        <v>5680</v>
      </c>
      <c r="AO7" s="13">
        <v>5678</v>
      </c>
      <c r="AP7" s="13">
        <v>5678</v>
      </c>
      <c r="AQ7" s="13">
        <v>5675</v>
      </c>
      <c r="AR7" s="13">
        <v>5672</v>
      </c>
      <c r="AS7" s="13">
        <v>5673</v>
      </c>
      <c r="AT7" s="13">
        <v>5676</v>
      </c>
      <c r="AU7" s="13">
        <v>5675</v>
      </c>
      <c r="AV7" s="13">
        <v>5680</v>
      </c>
      <c r="AW7" s="13">
        <v>5682</v>
      </c>
      <c r="AX7" s="13">
        <v>5685</v>
      </c>
      <c r="AY7" s="13">
        <v>5685</v>
      </c>
      <c r="AZ7" s="13">
        <v>5681</v>
      </c>
      <c r="BA7" s="13">
        <v>5684</v>
      </c>
      <c r="BB7" s="13">
        <v>5679</v>
      </c>
      <c r="BC7" s="13">
        <v>5678</v>
      </c>
      <c r="BD7" s="13">
        <v>5683</v>
      </c>
      <c r="BE7" s="13">
        <v>5683</v>
      </c>
      <c r="BF7" s="13">
        <v>5682</v>
      </c>
      <c r="BG7" s="13">
        <v>5685</v>
      </c>
      <c r="BH7" s="13">
        <v>5690</v>
      </c>
      <c r="BI7" s="13">
        <v>5688</v>
      </c>
      <c r="BJ7" s="13">
        <v>5692</v>
      </c>
      <c r="BK7" s="13">
        <v>5698</v>
      </c>
      <c r="BL7" s="13">
        <v>5697</v>
      </c>
      <c r="BM7" s="13">
        <v>5698</v>
      </c>
      <c r="BN7" s="13">
        <v>5698</v>
      </c>
      <c r="BO7" s="13">
        <v>5693</v>
      </c>
      <c r="BP7" s="13">
        <v>5689</v>
      </c>
      <c r="BQ7" s="13">
        <v>5690</v>
      </c>
      <c r="BR7" s="13">
        <v>5694</v>
      </c>
      <c r="BS7" s="13">
        <v>5701</v>
      </c>
      <c r="BT7" s="13">
        <v>5701</v>
      </c>
      <c r="BU7" s="13">
        <v>5690</v>
      </c>
      <c r="BV7" s="13">
        <v>5690</v>
      </c>
      <c r="BW7" s="13">
        <v>5693</v>
      </c>
      <c r="BX7" s="13">
        <v>5696</v>
      </c>
      <c r="BY7" s="13">
        <v>5697</v>
      </c>
      <c r="BZ7" s="13">
        <v>5695</v>
      </c>
      <c r="CA7" s="13">
        <v>5696</v>
      </c>
      <c r="CB7" s="13">
        <v>5697</v>
      </c>
      <c r="CC7" s="13">
        <v>5702</v>
      </c>
      <c r="CD7" s="13">
        <v>5704</v>
      </c>
      <c r="CE7" s="13">
        <v>5701</v>
      </c>
      <c r="CF7" s="13">
        <v>5698</v>
      </c>
      <c r="CG7" s="13">
        <v>5692</v>
      </c>
      <c r="CH7" s="13">
        <v>5696</v>
      </c>
      <c r="CI7" s="13">
        <v>5696</v>
      </c>
      <c r="CJ7" s="13">
        <v>5708</v>
      </c>
      <c r="CK7" s="13">
        <v>5707</v>
      </c>
      <c r="CL7" s="13">
        <v>5705</v>
      </c>
      <c r="CM7" s="13">
        <v>5703</v>
      </c>
      <c r="CN7" s="13">
        <v>5702</v>
      </c>
      <c r="CO7" s="13">
        <v>5702</v>
      </c>
      <c r="CP7" s="13">
        <v>5703</v>
      </c>
      <c r="CQ7" s="13">
        <v>5701</v>
      </c>
      <c r="CR7" s="13">
        <v>5701</v>
      </c>
      <c r="CS7" s="13">
        <v>5699</v>
      </c>
      <c r="CT7" s="13">
        <v>5704.76</v>
      </c>
      <c r="CU7" s="13">
        <v>5705</v>
      </c>
      <c r="CV7" s="13">
        <v>5705</v>
      </c>
      <c r="CW7" s="13">
        <v>5706</v>
      </c>
      <c r="CX7" s="13"/>
      <c r="CY7" s="13">
        <v>5702</v>
      </c>
      <c r="CZ7" s="13">
        <v>5701</v>
      </c>
      <c r="DA7" s="13">
        <v>5699</v>
      </c>
      <c r="DB7" s="13">
        <v>5699</v>
      </c>
      <c r="DC7" s="13">
        <v>5699</v>
      </c>
      <c r="DD7" s="13">
        <v>5699</v>
      </c>
      <c r="DE7" s="13">
        <v>5699</v>
      </c>
      <c r="DF7" s="13"/>
      <c r="DG7" s="13"/>
    </row>
    <row r="8" spans="1:111" ht="15.75" x14ac:dyDescent="0.25">
      <c r="A8" s="14" t="s">
        <v>12</v>
      </c>
      <c r="B8" s="12" t="s">
        <v>10</v>
      </c>
      <c r="C8" s="13">
        <v>5696</v>
      </c>
      <c r="D8" s="13">
        <v>5692</v>
      </c>
      <c r="E8" s="13">
        <v>5697</v>
      </c>
      <c r="F8" s="13">
        <v>5696</v>
      </c>
      <c r="G8" s="13">
        <v>5698</v>
      </c>
      <c r="H8" s="13">
        <v>5708</v>
      </c>
      <c r="I8" s="13">
        <v>0</v>
      </c>
      <c r="J8" s="13">
        <v>5682</v>
      </c>
      <c r="K8" s="13">
        <v>5694</v>
      </c>
      <c r="L8" s="13">
        <v>5699</v>
      </c>
      <c r="M8" s="13">
        <v>5700</v>
      </c>
      <c r="N8" s="13">
        <v>5703</v>
      </c>
      <c r="O8" s="13">
        <v>0</v>
      </c>
      <c r="P8" s="13">
        <v>5699</v>
      </c>
      <c r="Q8" s="13">
        <v>5685</v>
      </c>
      <c r="R8" s="13">
        <v>5168.45</v>
      </c>
      <c r="S8" s="13">
        <v>5675</v>
      </c>
      <c r="T8" s="13">
        <v>5675</v>
      </c>
      <c r="U8" s="13">
        <v>5672.5</v>
      </c>
      <c r="V8" s="13">
        <v>5676.5</v>
      </c>
      <c r="W8" s="13">
        <v>5680.5</v>
      </c>
      <c r="X8" s="13">
        <v>5678</v>
      </c>
      <c r="Y8" s="13">
        <v>0</v>
      </c>
      <c r="Z8" s="13">
        <v>5679</v>
      </c>
      <c r="AA8" s="13">
        <v>5673</v>
      </c>
      <c r="AB8" s="13">
        <v>5676</v>
      </c>
      <c r="AC8" s="13">
        <v>5671</v>
      </c>
      <c r="AD8" s="13">
        <v>5666</v>
      </c>
      <c r="AE8" s="13">
        <v>5675</v>
      </c>
      <c r="AF8" s="13">
        <v>5678</v>
      </c>
      <c r="AG8" s="13">
        <v>5677</v>
      </c>
      <c r="AH8" s="13">
        <v>5670</v>
      </c>
      <c r="AI8" s="13">
        <v>5676</v>
      </c>
      <c r="AJ8" s="13">
        <v>5681</v>
      </c>
      <c r="AK8" s="13">
        <v>5689</v>
      </c>
      <c r="AL8" s="13">
        <v>5679</v>
      </c>
      <c r="AM8" s="13">
        <v>5677</v>
      </c>
      <c r="AN8" s="13">
        <v>5680</v>
      </c>
      <c r="AO8" s="13">
        <v>5677</v>
      </c>
      <c r="AP8" s="13">
        <v>5674</v>
      </c>
      <c r="AQ8" s="13">
        <v>5669</v>
      </c>
      <c r="AR8" s="13">
        <v>5672</v>
      </c>
      <c r="AS8" s="13">
        <v>5673</v>
      </c>
      <c r="AT8" s="13">
        <v>5675</v>
      </c>
      <c r="AU8" s="13">
        <v>5674</v>
      </c>
      <c r="AV8" s="13">
        <v>5680</v>
      </c>
      <c r="AW8" s="13">
        <v>5682</v>
      </c>
      <c r="AX8" s="13">
        <v>5685</v>
      </c>
      <c r="AY8" s="13">
        <v>5680</v>
      </c>
      <c r="AZ8" s="13">
        <v>5680</v>
      </c>
      <c r="BA8" s="13">
        <v>5680</v>
      </c>
      <c r="BB8" s="13">
        <v>5678</v>
      </c>
      <c r="BC8" s="13">
        <v>5677</v>
      </c>
      <c r="BD8" s="13">
        <v>5683</v>
      </c>
      <c r="BE8" s="13">
        <v>5679</v>
      </c>
      <c r="BF8" s="13">
        <v>5682</v>
      </c>
      <c r="BG8" s="13">
        <v>5684</v>
      </c>
      <c r="BH8" s="13">
        <v>5686</v>
      </c>
      <c r="BI8" s="13">
        <v>0</v>
      </c>
      <c r="BJ8" s="13">
        <v>5692</v>
      </c>
      <c r="BK8" s="13">
        <v>5696</v>
      </c>
      <c r="BL8" s="13">
        <v>5694</v>
      </c>
      <c r="BM8" s="13">
        <v>5698</v>
      </c>
      <c r="BN8" s="13">
        <v>5692</v>
      </c>
      <c r="BO8" s="13">
        <v>5690</v>
      </c>
      <c r="BP8" s="13">
        <v>5688</v>
      </c>
      <c r="BQ8" s="13">
        <v>5690</v>
      </c>
      <c r="BR8" s="13">
        <v>5694</v>
      </c>
      <c r="BS8" s="13">
        <v>0</v>
      </c>
      <c r="BT8" s="13">
        <v>5690</v>
      </c>
      <c r="BU8" s="13">
        <v>5688</v>
      </c>
      <c r="BV8" s="13">
        <v>5687</v>
      </c>
      <c r="BW8" s="13">
        <v>5692</v>
      </c>
      <c r="BX8" s="13">
        <v>5695</v>
      </c>
      <c r="BY8" s="13">
        <v>5695</v>
      </c>
      <c r="BZ8" s="13">
        <v>5689</v>
      </c>
      <c r="CA8" s="13">
        <v>5696</v>
      </c>
      <c r="CB8" s="13">
        <v>5697</v>
      </c>
      <c r="CC8" s="13">
        <v>5702</v>
      </c>
      <c r="CD8" s="13">
        <v>5701</v>
      </c>
      <c r="CE8" s="13">
        <v>5698</v>
      </c>
      <c r="CF8" s="13">
        <v>5692</v>
      </c>
      <c r="CG8" s="13">
        <v>0</v>
      </c>
      <c r="CH8" s="13">
        <v>5696</v>
      </c>
      <c r="CI8" s="13">
        <v>5694</v>
      </c>
      <c r="CJ8" s="13">
        <v>5707</v>
      </c>
      <c r="CK8" s="13">
        <v>5704</v>
      </c>
      <c r="CL8" s="13">
        <v>5704</v>
      </c>
      <c r="CM8" s="13">
        <v>5701</v>
      </c>
      <c r="CN8" s="13">
        <v>5699</v>
      </c>
      <c r="CO8" s="13">
        <v>5702</v>
      </c>
      <c r="CP8" s="13">
        <v>5700</v>
      </c>
      <c r="CQ8" s="13">
        <v>5701</v>
      </c>
      <c r="CR8" s="13">
        <v>5699</v>
      </c>
      <c r="CS8" s="13">
        <v>5698.9</v>
      </c>
      <c r="CT8" s="13">
        <v>5704</v>
      </c>
      <c r="CU8" s="13">
        <v>5704</v>
      </c>
      <c r="CV8" s="13">
        <v>0</v>
      </c>
      <c r="CW8" s="13">
        <v>5702</v>
      </c>
      <c r="CX8" s="13"/>
      <c r="CY8" s="13">
        <v>5700</v>
      </c>
      <c r="CZ8" s="13">
        <v>5698</v>
      </c>
      <c r="DA8" s="13">
        <v>5699</v>
      </c>
      <c r="DB8" s="13">
        <v>5699</v>
      </c>
      <c r="DC8" s="13">
        <v>5699</v>
      </c>
      <c r="DD8" s="13">
        <v>5699</v>
      </c>
      <c r="DE8" s="13">
        <v>5699</v>
      </c>
      <c r="DF8" s="13"/>
      <c r="DG8" s="13"/>
    </row>
    <row r="9" spans="1:111" ht="15.75" x14ac:dyDescent="0.25">
      <c r="A9" s="14" t="s">
        <v>12</v>
      </c>
      <c r="B9" s="12" t="s">
        <v>9</v>
      </c>
      <c r="C9" s="13">
        <v>5681</v>
      </c>
      <c r="D9" s="13">
        <v>5676.76</v>
      </c>
      <c r="E9" s="13">
        <v>5672</v>
      </c>
      <c r="F9" s="13">
        <v>5679.62</v>
      </c>
      <c r="G9" s="13">
        <v>5681.52</v>
      </c>
      <c r="H9" s="13">
        <v>5691.05</v>
      </c>
      <c r="I9" s="13">
        <v>5675.81</v>
      </c>
      <c r="J9" s="13">
        <v>5667.24</v>
      </c>
      <c r="K9" s="13">
        <v>5677.5</v>
      </c>
      <c r="L9" s="13">
        <v>5681.25</v>
      </c>
      <c r="M9" s="13">
        <v>5682.95</v>
      </c>
      <c r="N9" s="13">
        <v>5685.68</v>
      </c>
      <c r="O9" s="13">
        <v>5680.23</v>
      </c>
      <c r="P9" s="13">
        <v>5682.95</v>
      </c>
      <c r="Q9" s="13">
        <v>5670.42</v>
      </c>
      <c r="R9" s="13">
        <v>5174.26</v>
      </c>
      <c r="S9" s="13">
        <v>0</v>
      </c>
      <c r="T9" s="13">
        <v>5650</v>
      </c>
      <c r="U9" s="13">
        <v>5660.91</v>
      </c>
      <c r="V9" s="13">
        <v>5664.29</v>
      </c>
      <c r="W9" s="13">
        <v>5668.1</v>
      </c>
      <c r="X9" s="13">
        <v>5665.24</v>
      </c>
      <c r="Y9" s="13">
        <v>5658.57</v>
      </c>
      <c r="Z9" s="13">
        <v>5650</v>
      </c>
      <c r="AA9" s="13">
        <v>5660.48</v>
      </c>
      <c r="AB9" s="13">
        <v>5663.33</v>
      </c>
      <c r="AC9" s="13">
        <v>5659.52</v>
      </c>
      <c r="AD9" s="13">
        <v>5653.81</v>
      </c>
      <c r="AE9" s="13">
        <v>5662.38</v>
      </c>
      <c r="AF9" s="13">
        <v>5667.14</v>
      </c>
      <c r="AG9" s="13">
        <v>5664.29</v>
      </c>
      <c r="AH9" s="13">
        <v>5658.57</v>
      </c>
      <c r="AI9" s="13">
        <v>5663.33</v>
      </c>
      <c r="AJ9" s="13">
        <v>5668.1</v>
      </c>
      <c r="AK9" s="13">
        <v>5674.76</v>
      </c>
      <c r="AL9" s="13">
        <v>5665.24</v>
      </c>
      <c r="AM9" s="13">
        <v>5664.29</v>
      </c>
      <c r="AN9" s="13">
        <v>5667.14</v>
      </c>
      <c r="AO9" s="13">
        <v>5664.29</v>
      </c>
      <c r="AP9" s="13">
        <v>5650</v>
      </c>
      <c r="AQ9" s="13">
        <v>5656.67</v>
      </c>
      <c r="AR9" s="13">
        <v>5659.52</v>
      </c>
      <c r="AS9" s="13">
        <v>5659.52</v>
      </c>
      <c r="AT9" s="13">
        <v>5663.33</v>
      </c>
      <c r="AU9" s="13">
        <v>5663.33</v>
      </c>
      <c r="AV9" s="13">
        <v>5670</v>
      </c>
      <c r="AW9" s="13">
        <v>5671</v>
      </c>
      <c r="AX9" s="13">
        <v>5674</v>
      </c>
      <c r="AY9" s="13">
        <v>5668</v>
      </c>
      <c r="AZ9" s="13">
        <v>5669</v>
      </c>
      <c r="BA9" s="13">
        <v>5669</v>
      </c>
      <c r="BB9" s="13">
        <v>5667</v>
      </c>
      <c r="BC9" s="13">
        <v>5666</v>
      </c>
      <c r="BD9" s="13">
        <v>5671</v>
      </c>
      <c r="BE9" s="13">
        <v>5668</v>
      </c>
      <c r="BF9" s="13">
        <v>5671</v>
      </c>
      <c r="BG9" s="13">
        <v>5673</v>
      </c>
      <c r="BH9" s="13">
        <v>5675</v>
      </c>
      <c r="BI9" s="13">
        <v>5674</v>
      </c>
      <c r="BJ9" s="13">
        <v>5680.95</v>
      </c>
      <c r="BK9" s="13">
        <v>5680</v>
      </c>
      <c r="BL9" s="13">
        <v>5682.86</v>
      </c>
      <c r="BM9" s="13">
        <v>5686.67</v>
      </c>
      <c r="BN9" s="13">
        <v>5680.95</v>
      </c>
      <c r="BO9" s="13">
        <v>5680</v>
      </c>
      <c r="BP9" s="13">
        <v>5677</v>
      </c>
      <c r="BQ9" s="13"/>
      <c r="BR9" s="13">
        <v>5683</v>
      </c>
      <c r="BS9" s="13">
        <v>5688</v>
      </c>
      <c r="BT9" s="13">
        <v>5679</v>
      </c>
      <c r="BU9" s="13">
        <v>5677</v>
      </c>
      <c r="BV9" s="13">
        <v>5676</v>
      </c>
      <c r="BW9" s="13">
        <v>5681</v>
      </c>
      <c r="BX9" s="13">
        <v>5684.05</v>
      </c>
      <c r="BY9" s="13">
        <v>5683</v>
      </c>
      <c r="BZ9" s="13">
        <v>5677</v>
      </c>
      <c r="CA9" s="13">
        <v>5684</v>
      </c>
      <c r="CB9" s="13">
        <v>5685</v>
      </c>
      <c r="CC9" s="13">
        <v>5690</v>
      </c>
      <c r="CD9" s="13">
        <v>5690</v>
      </c>
      <c r="CE9" s="13">
        <v>5686</v>
      </c>
      <c r="CF9" s="13">
        <v>5681</v>
      </c>
      <c r="CG9" s="13">
        <v>5680</v>
      </c>
      <c r="CH9" s="13">
        <v>5685</v>
      </c>
      <c r="CI9" s="13">
        <v>5683</v>
      </c>
      <c r="CJ9" s="13">
        <v>5695</v>
      </c>
      <c r="CK9" s="13">
        <v>5692</v>
      </c>
      <c r="CL9" s="13">
        <v>0</v>
      </c>
      <c r="CM9" s="13">
        <v>5689</v>
      </c>
      <c r="CN9" s="13">
        <v>5687</v>
      </c>
      <c r="CO9" s="13">
        <v>5690</v>
      </c>
      <c r="CP9" s="13">
        <v>5688</v>
      </c>
      <c r="CQ9" s="13">
        <v>5689</v>
      </c>
      <c r="CR9" s="13">
        <v>5687</v>
      </c>
      <c r="CS9" s="13">
        <v>5687</v>
      </c>
      <c r="CT9" s="13">
        <v>5693</v>
      </c>
      <c r="CU9" s="13">
        <v>5692</v>
      </c>
      <c r="CV9" s="13">
        <v>5691</v>
      </c>
      <c r="CW9" s="13">
        <v>5690</v>
      </c>
      <c r="CX9" s="13"/>
      <c r="CY9" s="13">
        <v>5689</v>
      </c>
      <c r="CZ9" s="13">
        <v>5685</v>
      </c>
      <c r="DA9" s="13">
        <v>5698</v>
      </c>
      <c r="DB9" s="13">
        <v>5698</v>
      </c>
      <c r="DC9" s="13">
        <v>5698</v>
      </c>
      <c r="DD9" s="13">
        <v>5698</v>
      </c>
      <c r="DE9" s="13">
        <v>5698</v>
      </c>
      <c r="DF9" s="13"/>
      <c r="DG9" s="13"/>
    </row>
    <row r="10" spans="1:111" ht="15.75" x14ac:dyDescent="0.25">
      <c r="A10" s="14" t="s">
        <v>12</v>
      </c>
      <c r="B10" s="12" t="s">
        <v>7</v>
      </c>
      <c r="C10" s="13">
        <v>5620</v>
      </c>
      <c r="D10" s="13">
        <v>5670</v>
      </c>
      <c r="E10" s="13">
        <v>5672</v>
      </c>
      <c r="F10" s="13">
        <v>5672</v>
      </c>
      <c r="G10" s="13">
        <v>5672</v>
      </c>
      <c r="H10" s="13">
        <v>5672</v>
      </c>
      <c r="I10" s="13">
        <v>5672</v>
      </c>
      <c r="J10" s="13">
        <v>5666.29</v>
      </c>
      <c r="K10" s="13">
        <v>5667.5</v>
      </c>
      <c r="L10" s="13">
        <v>5676.59</v>
      </c>
      <c r="M10" s="13">
        <v>5672.5</v>
      </c>
      <c r="N10" s="13">
        <v>5672.5</v>
      </c>
      <c r="O10" s="13">
        <v>5672.5</v>
      </c>
      <c r="P10" s="13">
        <v>5672.5</v>
      </c>
      <c r="Q10" s="13">
        <v>5667.5</v>
      </c>
      <c r="R10" s="13">
        <v>5174.26</v>
      </c>
      <c r="S10" s="13">
        <v>5174.26</v>
      </c>
      <c r="T10" s="13">
        <v>5650</v>
      </c>
      <c r="U10" s="13">
        <v>5650</v>
      </c>
      <c r="V10" s="13">
        <v>5658.57</v>
      </c>
      <c r="W10" s="13">
        <v>5659.52</v>
      </c>
      <c r="X10" s="13">
        <v>5650</v>
      </c>
      <c r="Y10" s="13">
        <v>5656.36</v>
      </c>
      <c r="Z10" s="13">
        <v>5650</v>
      </c>
      <c r="AA10" s="13">
        <v>5650</v>
      </c>
      <c r="AB10" s="13">
        <v>5660.48</v>
      </c>
      <c r="AC10" s="13">
        <v>5659.52</v>
      </c>
      <c r="AD10" s="13">
        <v>5649.05</v>
      </c>
      <c r="AE10" s="13">
        <v>5650</v>
      </c>
      <c r="AF10" s="13">
        <v>5662.38</v>
      </c>
      <c r="AG10" s="13">
        <v>5663.33</v>
      </c>
      <c r="AH10" s="13">
        <v>5650</v>
      </c>
      <c r="AI10" s="13">
        <v>5650</v>
      </c>
      <c r="AJ10" s="13">
        <v>5650</v>
      </c>
      <c r="AK10" s="13">
        <v>5668.1</v>
      </c>
      <c r="AL10" s="13">
        <v>5650</v>
      </c>
      <c r="AM10" s="13">
        <v>5650</v>
      </c>
      <c r="AN10" s="13">
        <v>5664.29</v>
      </c>
      <c r="AO10" s="13">
        <v>5650</v>
      </c>
      <c r="AP10" s="13">
        <v>5650</v>
      </c>
      <c r="AQ10" s="13">
        <v>5650</v>
      </c>
      <c r="AR10" s="13">
        <v>5650</v>
      </c>
      <c r="AS10" s="13">
        <v>5658.57</v>
      </c>
      <c r="AT10" s="13">
        <v>5659.52</v>
      </c>
      <c r="AU10" s="13">
        <v>5650</v>
      </c>
      <c r="AV10" s="13">
        <v>5663.33</v>
      </c>
      <c r="AW10" s="13">
        <v>5670</v>
      </c>
      <c r="AX10" s="13">
        <v>5669</v>
      </c>
      <c r="AY10" s="13">
        <v>5668</v>
      </c>
      <c r="AZ10" s="13">
        <v>5668</v>
      </c>
      <c r="BA10" s="13">
        <v>5669</v>
      </c>
      <c r="BB10" s="13">
        <v>5666</v>
      </c>
      <c r="BC10" s="13">
        <v>5665</v>
      </c>
      <c r="BD10" s="13">
        <v>5664</v>
      </c>
      <c r="BE10" s="13">
        <v>5668</v>
      </c>
      <c r="BF10" s="13">
        <v>5666</v>
      </c>
      <c r="BG10" s="13">
        <v>5671</v>
      </c>
      <c r="BH10" s="13">
        <v>5673</v>
      </c>
      <c r="BI10" s="13">
        <v>5673</v>
      </c>
      <c r="BJ10" s="13">
        <v>5676.19</v>
      </c>
      <c r="BK10" s="13">
        <v>5680</v>
      </c>
      <c r="BL10" s="13">
        <v>5680</v>
      </c>
      <c r="BM10" s="13">
        <v>5680</v>
      </c>
      <c r="BN10" s="13">
        <v>5680</v>
      </c>
      <c r="BO10" s="13">
        <v>5678.1</v>
      </c>
      <c r="BP10" s="13">
        <v>5674</v>
      </c>
      <c r="BQ10" s="13">
        <v>5677</v>
      </c>
      <c r="BR10" s="13">
        <v>5679</v>
      </c>
      <c r="BS10" s="13">
        <v>5685</v>
      </c>
      <c r="BT10" s="13">
        <v>5679</v>
      </c>
      <c r="BU10" s="13">
        <v>5675</v>
      </c>
      <c r="BV10" s="13">
        <v>5675</v>
      </c>
      <c r="BW10" s="13">
        <v>5676</v>
      </c>
      <c r="BX10" s="13">
        <v>5681</v>
      </c>
      <c r="BY10" s="13">
        <v>5682</v>
      </c>
      <c r="BZ10" s="13">
        <v>5677</v>
      </c>
      <c r="CA10" s="13">
        <v>5680</v>
      </c>
      <c r="CB10" s="13">
        <v>5681</v>
      </c>
      <c r="CC10" s="13">
        <v>5685</v>
      </c>
      <c r="CD10" s="13">
        <v>5690</v>
      </c>
      <c r="CE10" s="13">
        <v>5686</v>
      </c>
      <c r="CF10" s="13">
        <v>5681</v>
      </c>
      <c r="CG10" s="13">
        <v>5678</v>
      </c>
      <c r="CH10" s="13">
        <v>5680</v>
      </c>
      <c r="CI10" s="13">
        <v>5681</v>
      </c>
      <c r="CJ10" s="13">
        <v>5681</v>
      </c>
      <c r="CK10" s="13">
        <v>5691</v>
      </c>
      <c r="CL10" s="13">
        <v>5691</v>
      </c>
      <c r="CM10" s="13">
        <v>5687</v>
      </c>
      <c r="CN10" s="13">
        <v>5687</v>
      </c>
      <c r="CO10" s="13">
        <v>5685</v>
      </c>
      <c r="CP10" s="13">
        <v>5687</v>
      </c>
      <c r="CQ10" s="13">
        <v>5688</v>
      </c>
      <c r="CR10" s="13">
        <v>5687</v>
      </c>
      <c r="CS10" s="13">
        <v>5683</v>
      </c>
      <c r="CT10" s="13">
        <v>5688</v>
      </c>
      <c r="CU10" s="13">
        <v>5692</v>
      </c>
      <c r="CV10" s="13">
        <v>5691</v>
      </c>
      <c r="CW10" s="13">
        <v>5690</v>
      </c>
      <c r="CX10" s="13"/>
      <c r="CY10" s="13">
        <v>5689</v>
      </c>
      <c r="CZ10" s="13">
        <v>5683</v>
      </c>
      <c r="DA10" s="13">
        <v>5698</v>
      </c>
      <c r="DB10" s="13">
        <v>5698</v>
      </c>
      <c r="DC10" s="13">
        <v>5698</v>
      </c>
      <c r="DD10" s="13">
        <v>5698</v>
      </c>
      <c r="DE10" s="13">
        <v>5698</v>
      </c>
      <c r="DF10" s="13"/>
      <c r="DG10" s="13"/>
    </row>
    <row r="11" spans="1:111" ht="15.75" x14ac:dyDescent="0.25">
      <c r="A11" s="11" t="s">
        <v>5</v>
      </c>
      <c r="B11" s="11" t="s">
        <v>11</v>
      </c>
      <c r="C11" s="15">
        <v>0.37847222222222227</v>
      </c>
      <c r="D11" s="15">
        <v>0.38194444444444442</v>
      </c>
      <c r="E11" s="15">
        <v>0.38541666666666669</v>
      </c>
      <c r="F11" s="15">
        <v>0.3888888888888889</v>
      </c>
      <c r="G11" s="15">
        <v>0.3923611111111111</v>
      </c>
      <c r="H11" s="15">
        <v>0.39583333333333331</v>
      </c>
      <c r="I11" s="15">
        <v>0.39930555555555558</v>
      </c>
      <c r="J11" s="15">
        <v>0.40277777777777773</v>
      </c>
      <c r="K11" s="15">
        <v>0.40625</v>
      </c>
      <c r="L11" s="15">
        <v>0.40972222222222227</v>
      </c>
      <c r="M11" s="15">
        <v>0.41319444444444442</v>
      </c>
      <c r="N11" s="15">
        <v>0.41666666666666669</v>
      </c>
      <c r="O11" s="15">
        <v>0.4201388888888889</v>
      </c>
      <c r="P11" s="15">
        <v>0.4236111111111111</v>
      </c>
      <c r="Q11" s="15">
        <v>0.42708333333333331</v>
      </c>
      <c r="R11" s="15">
        <v>0.43055555555555558</v>
      </c>
      <c r="S11" s="15">
        <v>0.43402777777777773</v>
      </c>
      <c r="T11" s="15">
        <v>0.4375</v>
      </c>
      <c r="U11" s="15">
        <v>0.44097222222222227</v>
      </c>
      <c r="V11" s="15">
        <v>0.44444444444444442</v>
      </c>
      <c r="W11" s="15">
        <v>0.44791666666666669</v>
      </c>
      <c r="X11" s="15">
        <v>0.4513888888888889</v>
      </c>
      <c r="Y11" s="15">
        <v>0.4548611111111111</v>
      </c>
      <c r="Z11" s="15">
        <v>0.45833333333333331</v>
      </c>
      <c r="AA11" s="15">
        <v>0.46180555555555558</v>
      </c>
      <c r="AB11" s="15">
        <v>0.46527777777777773</v>
      </c>
      <c r="AC11" s="15">
        <v>0.46875</v>
      </c>
      <c r="AD11" s="15">
        <v>0.47222222222222227</v>
      </c>
      <c r="AE11" s="15">
        <v>0.47569444444444442</v>
      </c>
      <c r="AF11" s="15">
        <v>0.47916666666666669</v>
      </c>
      <c r="AG11" s="15">
        <v>0.4826388888888889</v>
      </c>
      <c r="AH11" s="15">
        <v>0.4861111111111111</v>
      </c>
      <c r="AI11" s="15">
        <v>0.48958333333333331</v>
      </c>
      <c r="AJ11" s="15">
        <v>0.49305555555555558</v>
      </c>
      <c r="AK11" s="15">
        <v>0.49652777777777773</v>
      </c>
      <c r="AL11" s="15">
        <v>0.5</v>
      </c>
      <c r="AM11" s="15">
        <v>0.50347222222222221</v>
      </c>
      <c r="AN11" s="15">
        <v>0.50694444444444442</v>
      </c>
      <c r="AO11" s="15">
        <v>0.51041666666666663</v>
      </c>
      <c r="AP11" s="15">
        <v>0.51388888888888895</v>
      </c>
      <c r="AQ11" s="15">
        <v>0.51736111111111105</v>
      </c>
      <c r="AR11" s="15">
        <v>0.52083333333333337</v>
      </c>
      <c r="AS11" s="15">
        <v>0.52430555555555558</v>
      </c>
      <c r="AT11" s="15">
        <v>0.52777777777777779</v>
      </c>
      <c r="AU11" s="15">
        <v>0.53125</v>
      </c>
      <c r="AV11" s="15">
        <v>0.53472222222222221</v>
      </c>
      <c r="AW11" s="15">
        <v>0.53819444444444442</v>
      </c>
      <c r="AX11" s="15">
        <v>0.54166666666666663</v>
      </c>
      <c r="AY11" s="15">
        <v>0.54513888888888895</v>
      </c>
      <c r="AZ11" s="15">
        <v>0.54861111111111105</v>
      </c>
      <c r="BA11" s="15">
        <v>0.55208333333333337</v>
      </c>
      <c r="BB11" s="15">
        <v>0.55555555555555558</v>
      </c>
      <c r="BC11" s="15">
        <v>0.55902777777777779</v>
      </c>
      <c r="BD11" s="15">
        <v>0.5625</v>
      </c>
      <c r="BE11" s="15">
        <v>0.56597222222222221</v>
      </c>
      <c r="BF11" s="15">
        <v>0.56944444444444442</v>
      </c>
      <c r="BG11" s="15">
        <v>0.57291666666666663</v>
      </c>
      <c r="BH11" s="15">
        <v>0.57638888888888895</v>
      </c>
      <c r="BI11" s="15">
        <v>0.57986111111111105</v>
      </c>
      <c r="BJ11" s="15">
        <v>0.58333333333333337</v>
      </c>
      <c r="BK11" s="15">
        <v>0.58680555555555558</v>
      </c>
      <c r="BL11" s="15">
        <v>0.59027777777777779</v>
      </c>
      <c r="BM11" s="15">
        <v>0.59375</v>
      </c>
      <c r="BN11" s="15">
        <v>0.59722222222222221</v>
      </c>
      <c r="BO11" s="15">
        <v>0.60069444444444442</v>
      </c>
      <c r="BP11" s="15">
        <v>0.60416666666666663</v>
      </c>
      <c r="BQ11" s="15">
        <v>0.60763888888888895</v>
      </c>
      <c r="BR11" s="15">
        <v>0.61111111111111105</v>
      </c>
      <c r="BS11" s="15">
        <v>0.61458333333333337</v>
      </c>
      <c r="BT11" s="15">
        <v>0.61805555555555558</v>
      </c>
      <c r="BU11" s="15">
        <v>0.62152777777777779</v>
      </c>
      <c r="BV11" s="15">
        <v>0.625</v>
      </c>
      <c r="BW11" s="15">
        <v>0.62847222222222221</v>
      </c>
      <c r="BX11" s="15">
        <v>0.63194444444444442</v>
      </c>
      <c r="BY11" s="15">
        <v>0.63541666666666663</v>
      </c>
      <c r="BZ11" s="15">
        <v>0.63888888888888895</v>
      </c>
      <c r="CA11" s="15">
        <v>0.64236111111111105</v>
      </c>
      <c r="CB11" s="15">
        <v>0.64583333333333337</v>
      </c>
      <c r="CC11" s="15">
        <v>0.64930555555555558</v>
      </c>
      <c r="CD11" s="15">
        <v>0.65277777777777779</v>
      </c>
      <c r="CE11" s="15">
        <v>0.65625</v>
      </c>
      <c r="CF11" s="15">
        <v>0.65972222222222221</v>
      </c>
      <c r="CG11" s="15">
        <v>0.66319444444444442</v>
      </c>
      <c r="CH11" s="15">
        <v>0.66666666666666663</v>
      </c>
      <c r="CI11" s="15">
        <v>0.67013888888888884</v>
      </c>
      <c r="CJ11" s="15">
        <v>0.67361111111111116</v>
      </c>
      <c r="CK11" s="15">
        <v>0.67708333333333337</v>
      </c>
      <c r="CL11" s="15">
        <v>0.68055555555555547</v>
      </c>
      <c r="CM11" s="15">
        <v>0.68402777777777779</v>
      </c>
      <c r="CN11" s="15">
        <v>0.6875</v>
      </c>
      <c r="CO11" s="15">
        <v>0.69097222222222221</v>
      </c>
      <c r="CP11" s="15">
        <v>0.69444444444444453</v>
      </c>
      <c r="CQ11" s="15">
        <v>0.69791666666666663</v>
      </c>
      <c r="CR11" s="15">
        <v>0.70138888888888884</v>
      </c>
      <c r="CS11" s="15">
        <v>0.70486111111111116</v>
      </c>
      <c r="CT11" s="15">
        <v>0.70833333333333337</v>
      </c>
      <c r="CU11" s="15">
        <v>0.71180555555555547</v>
      </c>
      <c r="CV11" s="15">
        <v>0.71527777777777779</v>
      </c>
      <c r="CW11" s="15">
        <v>0.71875</v>
      </c>
      <c r="CX11" s="15">
        <v>0.72222222222222221</v>
      </c>
      <c r="CY11" s="15">
        <v>0.72569444444444453</v>
      </c>
      <c r="CZ11" s="15">
        <v>0.72916666666666663</v>
      </c>
      <c r="DA11" s="15">
        <v>0.73263888888888884</v>
      </c>
      <c r="DB11" s="15">
        <v>0.73611111111111116</v>
      </c>
      <c r="DC11" s="15">
        <v>0.73958333333333337</v>
      </c>
      <c r="DD11" s="15">
        <v>0.74305555555555547</v>
      </c>
      <c r="DE11" s="15">
        <v>0.74652777777777779</v>
      </c>
      <c r="DF11" s="15"/>
      <c r="DG11" s="15"/>
    </row>
    <row r="12" spans="1:111" ht="15.75" x14ac:dyDescent="0.25">
      <c r="A12" s="14">
        <v>44292</v>
      </c>
      <c r="B12" s="12" t="s">
        <v>6</v>
      </c>
      <c r="C12" s="13">
        <v>5689</v>
      </c>
      <c r="D12" s="13">
        <v>5684.67</v>
      </c>
      <c r="E12" s="13">
        <v>5673</v>
      </c>
      <c r="F12" s="13">
        <v>5674</v>
      </c>
      <c r="G12" s="13">
        <v>5676</v>
      </c>
      <c r="H12" s="13">
        <v>5668</v>
      </c>
      <c r="I12" s="13">
        <v>5672.97</v>
      </c>
      <c r="J12" s="13">
        <v>5680</v>
      </c>
      <c r="K12" s="13">
        <v>5680</v>
      </c>
      <c r="L12" s="13">
        <v>5686</v>
      </c>
      <c r="M12" s="13">
        <v>5683</v>
      </c>
      <c r="N12" s="13">
        <v>5679</v>
      </c>
      <c r="O12" s="13">
        <v>5675.31</v>
      </c>
      <c r="P12" s="13">
        <v>5677</v>
      </c>
      <c r="Q12" s="13">
        <v>5680</v>
      </c>
      <c r="R12" s="13">
        <v>5678.19</v>
      </c>
      <c r="S12" s="13">
        <v>5673.67</v>
      </c>
      <c r="T12" s="13">
        <v>5672.76</v>
      </c>
      <c r="U12" s="13">
        <v>5674.57</v>
      </c>
      <c r="V12" s="13">
        <v>5670.95</v>
      </c>
      <c r="W12" s="13">
        <v>5669.67</v>
      </c>
      <c r="X12" s="13">
        <v>5669.67</v>
      </c>
      <c r="Y12" s="13">
        <v>5670.95</v>
      </c>
      <c r="Z12" s="13">
        <v>5668.24</v>
      </c>
      <c r="AA12" s="13">
        <v>5668.24</v>
      </c>
      <c r="AB12" s="13">
        <v>5669.14</v>
      </c>
      <c r="AC12" s="13">
        <v>5664.8</v>
      </c>
      <c r="AD12" s="13">
        <v>5680</v>
      </c>
      <c r="AE12" s="13">
        <v>5651.67</v>
      </c>
      <c r="AF12" s="13">
        <v>5652.5</v>
      </c>
      <c r="AG12" s="13">
        <v>5651.43</v>
      </c>
      <c r="AH12" s="13">
        <v>5647.5</v>
      </c>
      <c r="AI12" s="13">
        <v>5648.33</v>
      </c>
      <c r="AJ12" s="13">
        <v>5650</v>
      </c>
      <c r="AK12" s="13">
        <v>5648.33</v>
      </c>
      <c r="AL12" s="13">
        <v>5644.17</v>
      </c>
      <c r="AM12" s="13">
        <v>5648.33</v>
      </c>
      <c r="AN12" s="13">
        <v>5643.23</v>
      </c>
      <c r="AO12" s="13">
        <v>5645.83</v>
      </c>
      <c r="AP12" s="13">
        <v>5640</v>
      </c>
      <c r="AQ12" s="13">
        <v>5644.17</v>
      </c>
      <c r="AR12" s="13">
        <v>5647.27</v>
      </c>
      <c r="AS12" s="13">
        <v>5646.92</v>
      </c>
      <c r="AT12" s="13">
        <v>5647.69</v>
      </c>
      <c r="AU12" s="13">
        <v>5648.46</v>
      </c>
      <c r="AV12" s="13">
        <v>5647.69</v>
      </c>
      <c r="AW12" s="13">
        <v>5646.15</v>
      </c>
      <c r="AX12" s="13">
        <v>5642.73</v>
      </c>
      <c r="AY12" s="13">
        <v>5646.15</v>
      </c>
      <c r="AZ12" s="13">
        <v>5635.83</v>
      </c>
      <c r="BA12" s="13">
        <v>5633.64</v>
      </c>
      <c r="BB12" s="13">
        <v>5640</v>
      </c>
      <c r="BC12" s="13">
        <v>5637.5</v>
      </c>
      <c r="BD12" s="13">
        <v>5630.83</v>
      </c>
      <c r="BE12" s="13">
        <v>5633.33</v>
      </c>
      <c r="BF12" s="13">
        <v>5631.82</v>
      </c>
      <c r="BG12" s="13">
        <v>5634.17</v>
      </c>
      <c r="BH12" s="13">
        <v>5634.55</v>
      </c>
      <c r="BI12" s="13">
        <v>5633.33</v>
      </c>
      <c r="BJ12" s="13">
        <v>5640</v>
      </c>
      <c r="BK12" s="13">
        <v>5641.67</v>
      </c>
      <c r="BL12" s="13">
        <v>5647.5</v>
      </c>
      <c r="BM12" s="13">
        <v>5649.17</v>
      </c>
      <c r="BN12" s="13">
        <v>5644.17</v>
      </c>
      <c r="BO12" s="13">
        <v>5648.33</v>
      </c>
      <c r="BP12" s="13">
        <v>5652.5</v>
      </c>
      <c r="BQ12" s="13">
        <v>5653.64</v>
      </c>
      <c r="BR12" s="13">
        <v>5648.33</v>
      </c>
      <c r="BS12" s="13">
        <v>5642.5</v>
      </c>
      <c r="BT12" s="13">
        <v>5639.05</v>
      </c>
      <c r="BU12" s="13">
        <v>5646.15</v>
      </c>
      <c r="BV12" s="13">
        <v>5638.33</v>
      </c>
      <c r="BW12" s="13">
        <v>5633.33</v>
      </c>
      <c r="BX12" s="13">
        <v>5680</v>
      </c>
      <c r="BY12" s="13">
        <v>5630.83</v>
      </c>
      <c r="BZ12" s="13">
        <v>5623.18</v>
      </c>
      <c r="CA12" s="13">
        <v>5621.36</v>
      </c>
      <c r="CB12" s="13">
        <v>5622.27</v>
      </c>
      <c r="CC12" s="13">
        <v>5630.77</v>
      </c>
      <c r="CD12" s="13">
        <v>5630.77</v>
      </c>
      <c r="CE12" s="13">
        <v>5625.91</v>
      </c>
      <c r="CF12" s="13">
        <v>5629.17</v>
      </c>
      <c r="CG12" s="13">
        <v>5630.83</v>
      </c>
      <c r="CH12" s="13">
        <v>5632.5</v>
      </c>
      <c r="CI12" s="13">
        <v>5628.64</v>
      </c>
      <c r="CJ12" s="13">
        <v>5636.15</v>
      </c>
      <c r="CK12" s="13">
        <v>5632.27</v>
      </c>
      <c r="CL12" s="13">
        <v>5631.67</v>
      </c>
      <c r="CM12" s="13">
        <v>5629.55</v>
      </c>
      <c r="CN12" s="13">
        <v>5628.64</v>
      </c>
      <c r="CO12" s="13">
        <v>5626.82</v>
      </c>
      <c r="CP12" s="13">
        <v>5621.43</v>
      </c>
      <c r="CQ12" s="13">
        <v>5625.91</v>
      </c>
      <c r="CR12" s="13">
        <v>5630.83</v>
      </c>
      <c r="CS12" s="13">
        <v>5633.18</v>
      </c>
      <c r="CT12" s="13">
        <v>5633.18</v>
      </c>
      <c r="CU12" s="13">
        <v>5631.67</v>
      </c>
      <c r="CV12" s="13">
        <v>5627.5</v>
      </c>
      <c r="CW12" s="13">
        <v>5626.67</v>
      </c>
      <c r="CX12" s="13">
        <v>5626.54</v>
      </c>
      <c r="CY12" s="13">
        <v>5626.54</v>
      </c>
      <c r="CZ12" s="13">
        <v>5622.27</v>
      </c>
      <c r="DA12" s="13">
        <v>5625.83</v>
      </c>
      <c r="DB12" s="13">
        <v>5618.57</v>
      </c>
      <c r="DC12" s="13">
        <v>5622.5</v>
      </c>
      <c r="DD12" s="13">
        <v>5621.67</v>
      </c>
      <c r="DE12" s="13">
        <v>5622.5</v>
      </c>
      <c r="DF12" s="13"/>
      <c r="DG12" s="13"/>
    </row>
    <row r="13" spans="1:111" ht="15.75" x14ac:dyDescent="0.25">
      <c r="A13" s="14" t="s">
        <v>12</v>
      </c>
      <c r="B13" s="12" t="s">
        <v>10</v>
      </c>
      <c r="C13" s="13">
        <v>5680.45</v>
      </c>
      <c r="D13" s="13">
        <v>5672.5</v>
      </c>
      <c r="E13" s="13">
        <v>5667</v>
      </c>
      <c r="F13" s="13">
        <v>5672</v>
      </c>
      <c r="G13" s="13">
        <v>5663.78</v>
      </c>
      <c r="H13" s="13">
        <v>5668</v>
      </c>
      <c r="I13" s="13">
        <v>5671.97</v>
      </c>
      <c r="J13" s="13">
        <v>5672.31</v>
      </c>
      <c r="K13" s="13">
        <v>5679</v>
      </c>
      <c r="L13" s="13">
        <v>5681</v>
      </c>
      <c r="M13" s="13">
        <v>5679.66</v>
      </c>
      <c r="N13" s="13">
        <v>5671.97</v>
      </c>
      <c r="O13" s="13">
        <v>5674.31</v>
      </c>
      <c r="P13" s="13">
        <v>5676</v>
      </c>
      <c r="Q13" s="13">
        <v>5676.38</v>
      </c>
      <c r="R13" s="13">
        <v>5672.23</v>
      </c>
      <c r="S13" s="13">
        <v>5669.03</v>
      </c>
      <c r="T13" s="13">
        <v>5667.73</v>
      </c>
      <c r="U13" s="13">
        <v>5669.67</v>
      </c>
      <c r="V13" s="13">
        <v>5665.8</v>
      </c>
      <c r="W13" s="13">
        <v>5666.13</v>
      </c>
      <c r="X13" s="13">
        <v>5669.33</v>
      </c>
      <c r="Y13" s="13">
        <v>5669.14</v>
      </c>
      <c r="Z13" s="13">
        <v>5661.93</v>
      </c>
      <c r="AA13" s="13">
        <v>5666.43</v>
      </c>
      <c r="AB13" s="13">
        <v>5666.43</v>
      </c>
      <c r="AC13" s="13">
        <v>5651.3</v>
      </c>
      <c r="AD13" s="13">
        <v>5650</v>
      </c>
      <c r="AE13" s="13">
        <v>5642.9</v>
      </c>
      <c r="AF13" s="13">
        <v>5649.03</v>
      </c>
      <c r="AG13" s="13">
        <v>5643.87</v>
      </c>
      <c r="AH13" s="13">
        <v>5646.13</v>
      </c>
      <c r="AI13" s="13">
        <v>5643.55</v>
      </c>
      <c r="AJ13" s="13">
        <v>5646.13</v>
      </c>
      <c r="AK13" s="13">
        <v>5639.05</v>
      </c>
      <c r="AL13" s="13">
        <v>5644.17</v>
      </c>
      <c r="AM13" s="13">
        <v>5642.26</v>
      </c>
      <c r="AN13" s="13">
        <v>5642.26</v>
      </c>
      <c r="AO13" s="13">
        <v>5640.32</v>
      </c>
      <c r="AP13" s="13">
        <v>5638.1</v>
      </c>
      <c r="AQ13" s="13">
        <v>5641.29</v>
      </c>
      <c r="AR13" s="13">
        <v>5638.39</v>
      </c>
      <c r="AS13" s="13">
        <v>5642.73</v>
      </c>
      <c r="AT13" s="13">
        <v>5639.35</v>
      </c>
      <c r="AU13" s="13">
        <v>5642.73</v>
      </c>
      <c r="AV13" s="13">
        <v>5642.27</v>
      </c>
      <c r="AW13" s="13">
        <v>5641.82</v>
      </c>
      <c r="AX13" s="13">
        <v>5640</v>
      </c>
      <c r="AY13" s="13">
        <v>5628.06</v>
      </c>
      <c r="AZ13" s="13">
        <v>5627.74</v>
      </c>
      <c r="BA13" s="13">
        <v>5632.38</v>
      </c>
      <c r="BB13" s="13">
        <v>5631.43</v>
      </c>
      <c r="BC13" s="13">
        <v>5623.87</v>
      </c>
      <c r="BD13" s="13">
        <v>5623.55</v>
      </c>
      <c r="BE13" s="13">
        <v>5627.74</v>
      </c>
      <c r="BF13" s="13">
        <v>5627.62</v>
      </c>
      <c r="BG13" s="13">
        <v>5627.62</v>
      </c>
      <c r="BH13" s="13">
        <v>5630.97</v>
      </c>
      <c r="BI13" s="13">
        <v>5632.58</v>
      </c>
      <c r="BJ13" s="13">
        <v>5634.84</v>
      </c>
      <c r="BK13" s="13">
        <v>5638.39</v>
      </c>
      <c r="BL13" s="13">
        <v>5647.5</v>
      </c>
      <c r="BM13" s="13">
        <v>5643.23</v>
      </c>
      <c r="BN13" s="13">
        <v>5640.95</v>
      </c>
      <c r="BO13" s="13">
        <v>5645.81</v>
      </c>
      <c r="BP13" s="13">
        <v>5650.48</v>
      </c>
      <c r="BQ13" s="13">
        <v>5643.23</v>
      </c>
      <c r="BR13" s="13">
        <v>5639.05</v>
      </c>
      <c r="BS13" s="13">
        <v>5638.57</v>
      </c>
      <c r="BT13" s="13">
        <v>5637.14</v>
      </c>
      <c r="BU13" s="13">
        <v>5636.19</v>
      </c>
      <c r="BV13" s="13">
        <v>5632.58</v>
      </c>
      <c r="BW13" s="13">
        <v>5605.81</v>
      </c>
      <c r="BX13" s="13">
        <v>5618.57</v>
      </c>
      <c r="BY13" s="13">
        <v>5619.68</v>
      </c>
      <c r="BZ13" s="13">
        <v>5620.48</v>
      </c>
      <c r="CA13" s="13">
        <v>5616.45</v>
      </c>
      <c r="CB13" s="13">
        <v>5619.52</v>
      </c>
      <c r="CC13" s="13">
        <v>5623.18</v>
      </c>
      <c r="CD13" s="13">
        <v>5621.43</v>
      </c>
      <c r="CE13" s="13">
        <v>5621.43</v>
      </c>
      <c r="CF13" s="13">
        <v>5625.91</v>
      </c>
      <c r="CG13" s="13">
        <v>5622.38</v>
      </c>
      <c r="CH13" s="13">
        <v>5628.64</v>
      </c>
      <c r="CI13" s="13">
        <v>5626.82</v>
      </c>
      <c r="CJ13" s="13">
        <v>5628.1</v>
      </c>
      <c r="CK13" s="13">
        <v>5627.14</v>
      </c>
      <c r="CL13" s="13">
        <v>5629.55</v>
      </c>
      <c r="CM13" s="13">
        <v>5624.19</v>
      </c>
      <c r="CN13" s="13">
        <v>5623.87</v>
      </c>
      <c r="CO13" s="13">
        <v>5623.18</v>
      </c>
      <c r="CP13" s="13">
        <v>5621.43</v>
      </c>
      <c r="CQ13" s="13">
        <v>5625.91</v>
      </c>
      <c r="CR13" s="13">
        <v>5622.38</v>
      </c>
      <c r="CS13" s="13">
        <v>5630</v>
      </c>
      <c r="CT13" s="13">
        <v>5626.13</v>
      </c>
      <c r="CU13" s="13">
        <v>5622.38</v>
      </c>
      <c r="CV13" s="13">
        <v>5620.32</v>
      </c>
      <c r="CW13" s="13">
        <v>5619.32</v>
      </c>
      <c r="CX13" s="13">
        <v>5619.32</v>
      </c>
      <c r="CY13" s="13">
        <v>5619.32</v>
      </c>
      <c r="CZ13" s="13">
        <v>5619.32</v>
      </c>
      <c r="DA13" s="13">
        <v>5616.67</v>
      </c>
      <c r="DB13" s="13">
        <v>5616.67</v>
      </c>
      <c r="DC13" s="13">
        <v>5614.76</v>
      </c>
      <c r="DD13" s="13">
        <v>5616.67</v>
      </c>
      <c r="DE13" s="13">
        <v>5615.71</v>
      </c>
      <c r="DF13" s="13"/>
      <c r="DG13" s="13"/>
    </row>
    <row r="14" spans="1:111" ht="15.75" x14ac:dyDescent="0.25">
      <c r="A14" s="14" t="s">
        <v>12</v>
      </c>
      <c r="B14" s="12" t="s">
        <v>9</v>
      </c>
      <c r="C14" s="13">
        <v>5662.27</v>
      </c>
      <c r="D14" s="13">
        <v>5654</v>
      </c>
      <c r="E14" s="13">
        <v>5649.5</v>
      </c>
      <c r="F14" s="13">
        <v>5655</v>
      </c>
      <c r="G14" s="13">
        <v>5645.55</v>
      </c>
      <c r="H14" s="13">
        <v>5651.26</v>
      </c>
      <c r="I14" s="13">
        <v>5655.11</v>
      </c>
      <c r="J14" s="13">
        <v>5655.11</v>
      </c>
      <c r="K14" s="13">
        <v>5661</v>
      </c>
      <c r="L14" s="13">
        <v>5663.37</v>
      </c>
      <c r="M14" s="13">
        <v>5660.89</v>
      </c>
      <c r="N14" s="13">
        <v>5655.11</v>
      </c>
      <c r="O14" s="13">
        <v>5656.85</v>
      </c>
      <c r="P14" s="13">
        <v>5656.85</v>
      </c>
      <c r="Q14" s="13">
        <v>5659.05</v>
      </c>
      <c r="R14" s="13">
        <v>5655.11</v>
      </c>
      <c r="S14" s="13">
        <v>5652.21</v>
      </c>
      <c r="T14" s="13">
        <v>5649.68</v>
      </c>
      <c r="U14" s="13">
        <v>5652.57</v>
      </c>
      <c r="V14" s="13">
        <v>5648.71</v>
      </c>
      <c r="W14" s="13">
        <v>5648</v>
      </c>
      <c r="X14" s="13">
        <v>5651.61</v>
      </c>
      <c r="Y14" s="13">
        <v>5649.32</v>
      </c>
      <c r="Z14" s="13">
        <v>5644.22</v>
      </c>
      <c r="AA14" s="13">
        <v>5648.36</v>
      </c>
      <c r="AB14" s="13">
        <v>5647.14</v>
      </c>
      <c r="AC14" s="13">
        <v>5636.07</v>
      </c>
      <c r="AD14" s="13">
        <v>5633</v>
      </c>
      <c r="AE14" s="13">
        <v>5628</v>
      </c>
      <c r="AF14" s="13">
        <v>5633.42</v>
      </c>
      <c r="AG14" s="13">
        <v>5628.86</v>
      </c>
      <c r="AH14" s="13">
        <v>5631</v>
      </c>
      <c r="AI14" s="13">
        <v>5629.81</v>
      </c>
      <c r="AJ14" s="13">
        <v>5631.71</v>
      </c>
      <c r="AK14" s="13">
        <v>5626</v>
      </c>
      <c r="AL14" s="13">
        <v>5626</v>
      </c>
      <c r="AM14" s="13">
        <v>5628.86</v>
      </c>
      <c r="AN14" s="13">
        <v>5627.9</v>
      </c>
      <c r="AO14" s="13">
        <v>5626</v>
      </c>
      <c r="AP14" s="13">
        <v>5624.1</v>
      </c>
      <c r="AQ14" s="13">
        <v>5627.95</v>
      </c>
      <c r="AR14" s="13">
        <v>5625.14</v>
      </c>
      <c r="AS14" s="13">
        <v>5626.05</v>
      </c>
      <c r="AT14" s="13">
        <v>5625.14</v>
      </c>
      <c r="AU14" s="13">
        <v>5626.05</v>
      </c>
      <c r="AV14" s="13">
        <v>5625.14</v>
      </c>
      <c r="AW14" s="13">
        <v>5626.05</v>
      </c>
      <c r="AX14" s="13">
        <v>5626.05</v>
      </c>
      <c r="AY14" s="13">
        <v>5614.03</v>
      </c>
      <c r="AZ14" s="13">
        <v>5613</v>
      </c>
      <c r="BA14" s="13">
        <v>5618.1</v>
      </c>
      <c r="BB14" s="13">
        <v>5617</v>
      </c>
      <c r="BC14" s="13">
        <v>5610.15</v>
      </c>
      <c r="BD14" s="13">
        <v>5609.1</v>
      </c>
      <c r="BE14" s="13">
        <v>5613.29</v>
      </c>
      <c r="BF14" s="13">
        <v>5613.19</v>
      </c>
      <c r="BG14" s="13">
        <v>5612.38</v>
      </c>
      <c r="BH14" s="13">
        <v>5617.19</v>
      </c>
      <c r="BI14" s="13">
        <v>5618.29</v>
      </c>
      <c r="BJ14" s="13">
        <v>5621.29</v>
      </c>
      <c r="BK14" s="13">
        <v>5624.29</v>
      </c>
      <c r="BL14" s="13">
        <v>5631.19</v>
      </c>
      <c r="BM14" s="13">
        <v>5629.29</v>
      </c>
      <c r="BN14" s="13">
        <v>5627.29</v>
      </c>
      <c r="BO14" s="13">
        <v>5632.19</v>
      </c>
      <c r="BP14" s="13">
        <v>5637.29</v>
      </c>
      <c r="BQ14" s="13">
        <v>5629</v>
      </c>
      <c r="BR14" s="13">
        <v>5625.19</v>
      </c>
      <c r="BS14" s="13">
        <v>5624.19</v>
      </c>
      <c r="BT14" s="13">
        <v>5622.38</v>
      </c>
      <c r="BU14" s="13">
        <v>5621.38</v>
      </c>
      <c r="BV14" s="13">
        <v>5618.38</v>
      </c>
      <c r="BW14" s="13">
        <v>5603</v>
      </c>
      <c r="BX14" s="13">
        <v>5606.9</v>
      </c>
      <c r="BY14" s="13">
        <v>0</v>
      </c>
      <c r="BZ14" s="13">
        <v>5608.91</v>
      </c>
      <c r="CA14" s="13">
        <v>5604.91</v>
      </c>
      <c r="CB14" s="13">
        <v>5607.09</v>
      </c>
      <c r="CC14" s="13">
        <v>5608.09</v>
      </c>
      <c r="CD14" s="13">
        <v>5608.91</v>
      </c>
      <c r="CE14" s="13">
        <v>5609.91</v>
      </c>
      <c r="CF14" s="13">
        <v>5610.35</v>
      </c>
      <c r="CG14" s="13">
        <v>5610.73</v>
      </c>
      <c r="CH14" s="13">
        <v>5613.61</v>
      </c>
      <c r="CI14" s="13">
        <v>5612.17</v>
      </c>
      <c r="CJ14" s="13">
        <v>5616.64</v>
      </c>
      <c r="CK14" s="13">
        <v>5614.04</v>
      </c>
      <c r="CL14" s="13">
        <v>5614.48</v>
      </c>
      <c r="CM14" s="13">
        <v>5613.09</v>
      </c>
      <c r="CN14" s="13">
        <v>5612.17</v>
      </c>
      <c r="CO14" s="13">
        <v>5608.09</v>
      </c>
      <c r="CP14" s="13">
        <v>5609</v>
      </c>
      <c r="CQ14" s="13">
        <v>5610.83</v>
      </c>
      <c r="CR14" s="13">
        <v>5609.96</v>
      </c>
      <c r="CS14" s="13">
        <v>5617.22</v>
      </c>
      <c r="CT14" s="13">
        <v>5614.48</v>
      </c>
      <c r="CU14" s="13">
        <v>5609.48</v>
      </c>
      <c r="CV14" s="13">
        <v>5609.13</v>
      </c>
      <c r="CW14" s="13">
        <v>5607.47</v>
      </c>
      <c r="CX14" s="13">
        <v>5607.65</v>
      </c>
      <c r="CY14" s="13">
        <v>5607.22</v>
      </c>
      <c r="CZ14" s="13">
        <v>5607.35</v>
      </c>
      <c r="DA14" s="13">
        <v>5605.73</v>
      </c>
      <c r="DB14" s="13">
        <v>5604.82</v>
      </c>
      <c r="DC14" s="13">
        <v>5602.55</v>
      </c>
      <c r="DD14" s="13">
        <v>5603.91</v>
      </c>
      <c r="DE14" s="13">
        <v>5603.45</v>
      </c>
      <c r="DF14" s="13"/>
      <c r="DG14" s="13"/>
    </row>
    <row r="15" spans="1:111" ht="15.75" x14ac:dyDescent="0.25">
      <c r="A15" s="14" t="s">
        <v>12</v>
      </c>
      <c r="B15" s="12" t="s">
        <v>7</v>
      </c>
      <c r="C15" s="13">
        <v>5660.45</v>
      </c>
      <c r="D15" s="13">
        <v>5654</v>
      </c>
      <c r="E15" s="13">
        <v>5647</v>
      </c>
      <c r="F15" s="13">
        <v>5648</v>
      </c>
      <c r="G15" s="13">
        <v>5645.55</v>
      </c>
      <c r="H15" s="13">
        <v>5641.27</v>
      </c>
      <c r="I15" s="13">
        <v>5650.18</v>
      </c>
      <c r="J15" s="13">
        <v>5653</v>
      </c>
      <c r="K15" s="13">
        <v>5654.74</v>
      </c>
      <c r="L15" s="13">
        <v>5662</v>
      </c>
      <c r="M15" s="13">
        <v>5658.96</v>
      </c>
      <c r="N15" s="13">
        <v>5654.61</v>
      </c>
      <c r="O15" s="13">
        <v>5652.72</v>
      </c>
      <c r="P15" s="13">
        <v>5651.25</v>
      </c>
      <c r="Q15" s="13">
        <v>5653.45</v>
      </c>
      <c r="R15" s="13">
        <v>5653.79</v>
      </c>
      <c r="S15" s="13">
        <v>5652.21</v>
      </c>
      <c r="T15" s="13">
        <v>5648.36</v>
      </c>
      <c r="U15" s="13">
        <v>5648.89</v>
      </c>
      <c r="V15" s="13">
        <v>5646.79</v>
      </c>
      <c r="W15" s="13">
        <v>5647.75</v>
      </c>
      <c r="X15" s="13">
        <v>5645.17</v>
      </c>
      <c r="Y15" s="13">
        <v>5648.89</v>
      </c>
      <c r="Z15" s="13">
        <v>5644.22</v>
      </c>
      <c r="AA15" s="13">
        <v>5644.22</v>
      </c>
      <c r="AB15" s="13">
        <v>5646.08</v>
      </c>
      <c r="AC15" s="13">
        <v>5632.31</v>
      </c>
      <c r="AD15" s="13">
        <v>5631.5</v>
      </c>
      <c r="AE15" s="13">
        <v>5628</v>
      </c>
      <c r="AF15" s="13">
        <v>5626</v>
      </c>
      <c r="AG15" s="13">
        <v>5628.86</v>
      </c>
      <c r="AH15" s="13">
        <v>5627.9</v>
      </c>
      <c r="AI15" s="13">
        <v>5627.9</v>
      </c>
      <c r="AJ15" s="13">
        <v>5628.86</v>
      </c>
      <c r="AK15" s="13">
        <v>5626</v>
      </c>
      <c r="AL15" s="13">
        <v>5620.29</v>
      </c>
      <c r="AM15" s="13">
        <v>5626</v>
      </c>
      <c r="AN15" s="13">
        <v>5626</v>
      </c>
      <c r="AO15" s="13">
        <v>5625.05</v>
      </c>
      <c r="AP15" s="13">
        <v>5619.33</v>
      </c>
      <c r="AQ15" s="13">
        <v>5623.14</v>
      </c>
      <c r="AR15" s="13">
        <v>5625.14</v>
      </c>
      <c r="AS15" s="13">
        <v>5624.24</v>
      </c>
      <c r="AT15" s="13">
        <v>5624.24</v>
      </c>
      <c r="AU15" s="13">
        <v>5624.24</v>
      </c>
      <c r="AV15" s="13">
        <v>5625.14</v>
      </c>
      <c r="AW15" s="13">
        <v>5623.33</v>
      </c>
      <c r="AX15" s="13">
        <v>5626.05</v>
      </c>
      <c r="AY15" s="13">
        <v>5614.03</v>
      </c>
      <c r="AZ15" s="13">
        <v>5612</v>
      </c>
      <c r="BA15" s="13">
        <v>5613</v>
      </c>
      <c r="BB15" s="13">
        <v>5614.38</v>
      </c>
      <c r="BC15" s="13">
        <v>5608.25</v>
      </c>
      <c r="BD15" s="13">
        <v>5607.15</v>
      </c>
      <c r="BE15" s="13">
        <v>5608.15</v>
      </c>
      <c r="BF15" s="13">
        <v>5612</v>
      </c>
      <c r="BG15" s="13">
        <v>5612</v>
      </c>
      <c r="BH15" s="13">
        <v>5612.38</v>
      </c>
      <c r="BI15" s="13">
        <v>5617</v>
      </c>
      <c r="BJ15" s="13">
        <v>5619</v>
      </c>
      <c r="BK15" s="13">
        <v>5622.29</v>
      </c>
      <c r="BL15" s="13">
        <v>5627</v>
      </c>
      <c r="BM15" s="13">
        <v>5629.29</v>
      </c>
      <c r="BN15" s="13">
        <v>5624.29</v>
      </c>
      <c r="BO15" s="13">
        <v>5627.19</v>
      </c>
      <c r="BP15" s="13">
        <v>5631</v>
      </c>
      <c r="BQ15" s="13">
        <v>5627.29</v>
      </c>
      <c r="BR15" s="13">
        <v>5625.19</v>
      </c>
      <c r="BS15" s="13">
        <v>5622.38</v>
      </c>
      <c r="BT15" s="13">
        <v>5617.29</v>
      </c>
      <c r="BU15" s="13">
        <v>5621</v>
      </c>
      <c r="BV15" s="13">
        <v>5618</v>
      </c>
      <c r="BW15" s="13">
        <v>5592.77</v>
      </c>
      <c r="BX15" s="13">
        <v>5599</v>
      </c>
      <c r="BY15" s="13">
        <v>5608.43</v>
      </c>
      <c r="BZ15" s="13">
        <v>5605.74</v>
      </c>
      <c r="CA15" s="13">
        <v>5604.91</v>
      </c>
      <c r="CB15" s="13">
        <v>5604.43</v>
      </c>
      <c r="CC15" s="13">
        <v>5606.18</v>
      </c>
      <c r="CD15" s="13">
        <v>5607.17</v>
      </c>
      <c r="CE15" s="13">
        <v>5608.45</v>
      </c>
      <c r="CF15" s="13">
        <v>5609.67</v>
      </c>
      <c r="CG15" s="13">
        <v>5610.73</v>
      </c>
      <c r="CH15" s="13">
        <v>5611.64</v>
      </c>
      <c r="CI15" s="13">
        <v>5611.13</v>
      </c>
      <c r="CJ15" s="13">
        <v>5609.36</v>
      </c>
      <c r="CK15" s="13">
        <v>5611.87</v>
      </c>
      <c r="CL15" s="13">
        <v>5612.17</v>
      </c>
      <c r="CM15" s="13">
        <v>5611.13</v>
      </c>
      <c r="CN15" s="13">
        <v>5612.17</v>
      </c>
      <c r="CO15" s="13">
        <v>5608</v>
      </c>
      <c r="CP15" s="13">
        <v>5603.96</v>
      </c>
      <c r="CQ15" s="13">
        <v>5609</v>
      </c>
      <c r="CR15" s="13">
        <v>5609.73</v>
      </c>
      <c r="CS15" s="13">
        <v>5610.83</v>
      </c>
      <c r="CT15" s="13">
        <v>5612.7</v>
      </c>
      <c r="CU15" s="13">
        <v>5609.43</v>
      </c>
      <c r="CV15" s="13">
        <v>5608</v>
      </c>
      <c r="CW15" s="13">
        <v>5604.67</v>
      </c>
      <c r="CX15" s="13">
        <v>5606.35</v>
      </c>
      <c r="CY15" s="13">
        <v>5606.13</v>
      </c>
      <c r="CZ15" s="13">
        <v>5606.75</v>
      </c>
      <c r="DA15" s="13">
        <v>5604.36</v>
      </c>
      <c r="DB15" s="13">
        <v>5603.91</v>
      </c>
      <c r="DC15" s="13">
        <v>5602.55</v>
      </c>
      <c r="DD15" s="13">
        <v>5599.82</v>
      </c>
      <c r="DE15" s="13">
        <v>5599.82</v>
      </c>
      <c r="DF15" s="13"/>
      <c r="DG15" s="13"/>
    </row>
    <row r="16" spans="1:111" ht="15.75" x14ac:dyDescent="0.25">
      <c r="A16" s="11" t="s">
        <v>5</v>
      </c>
      <c r="B16" s="11" t="s">
        <v>11</v>
      </c>
      <c r="C16" s="15">
        <v>0.37847222222222227</v>
      </c>
      <c r="D16" s="15">
        <v>0.38194444444444442</v>
      </c>
      <c r="E16" s="15">
        <v>0.38541666666666669</v>
      </c>
      <c r="F16" s="15">
        <v>0.3888888888888889</v>
      </c>
      <c r="G16" s="15">
        <v>0.3923611111111111</v>
      </c>
      <c r="H16" s="15">
        <v>0.39583333333333331</v>
      </c>
      <c r="I16" s="15">
        <v>0.39930555555555558</v>
      </c>
      <c r="J16" s="15">
        <v>0.40277777777777773</v>
      </c>
      <c r="K16" s="15">
        <v>0.40625</v>
      </c>
      <c r="L16" s="15">
        <v>0.40972222222222227</v>
      </c>
      <c r="M16" s="15">
        <v>0.41319444444444442</v>
      </c>
      <c r="N16" s="15">
        <v>0.41666666666666669</v>
      </c>
      <c r="O16" s="15">
        <v>0.4201388888888889</v>
      </c>
      <c r="P16" s="15">
        <v>0.4236111111111111</v>
      </c>
      <c r="Q16" s="15">
        <v>0.42708333333333331</v>
      </c>
      <c r="R16" s="15">
        <v>0.43055555555555558</v>
      </c>
      <c r="S16" s="15">
        <v>0.43402777777777773</v>
      </c>
      <c r="T16" s="15">
        <v>0.4375</v>
      </c>
      <c r="U16" s="15">
        <v>0.44097222222222227</v>
      </c>
      <c r="V16" s="15">
        <v>0.44444444444444442</v>
      </c>
      <c r="W16" s="15">
        <v>0.44791666666666669</v>
      </c>
      <c r="X16" s="15">
        <v>0.4513888888888889</v>
      </c>
      <c r="Y16" s="15">
        <v>0.4548611111111111</v>
      </c>
      <c r="Z16" s="15">
        <v>0.45833333333333331</v>
      </c>
      <c r="AA16" s="15">
        <v>0.46180555555555558</v>
      </c>
      <c r="AB16" s="15">
        <v>0.46527777777777773</v>
      </c>
      <c r="AC16" s="15">
        <v>0.46875</v>
      </c>
      <c r="AD16" s="15">
        <v>0.47222222222222227</v>
      </c>
      <c r="AE16" s="15">
        <v>0.47569444444444442</v>
      </c>
      <c r="AF16" s="15">
        <v>0.47916666666666669</v>
      </c>
      <c r="AG16" s="15">
        <v>0.4826388888888889</v>
      </c>
      <c r="AH16" s="15">
        <v>0.4861111111111111</v>
      </c>
      <c r="AI16" s="15">
        <v>0.48958333333333331</v>
      </c>
      <c r="AJ16" s="15">
        <v>0.49305555555555558</v>
      </c>
      <c r="AK16" s="15">
        <v>0.49652777777777773</v>
      </c>
      <c r="AL16" s="15">
        <v>0.5</v>
      </c>
      <c r="AM16" s="15">
        <v>0.5</v>
      </c>
      <c r="AN16" s="15">
        <v>0.50694444444444442</v>
      </c>
      <c r="AO16" s="15">
        <v>0.51041666666666663</v>
      </c>
      <c r="AP16" s="15">
        <v>0.51388888888888895</v>
      </c>
      <c r="AQ16" s="15">
        <v>0.51736111111111105</v>
      </c>
      <c r="AR16" s="15">
        <v>0.52083333333333337</v>
      </c>
      <c r="AS16" s="15">
        <v>0.52430555555555558</v>
      </c>
      <c r="AT16" s="15">
        <v>0.52777777777777779</v>
      </c>
      <c r="AU16" s="15">
        <v>0.53125</v>
      </c>
      <c r="AV16" s="15">
        <v>0.53472222222222221</v>
      </c>
      <c r="AW16" s="15">
        <v>0.53819444444444442</v>
      </c>
      <c r="AX16" s="15">
        <v>0.54166666666666663</v>
      </c>
      <c r="AY16" s="15">
        <v>0.54513888888888895</v>
      </c>
      <c r="AZ16" s="15">
        <v>0.54861111111111105</v>
      </c>
      <c r="BA16" s="15">
        <v>0.55208333333333337</v>
      </c>
      <c r="BB16" s="15">
        <v>0.55555555555555558</v>
      </c>
      <c r="BC16" s="15">
        <v>0.55902777777777779</v>
      </c>
      <c r="BD16" s="15">
        <v>0.5625</v>
      </c>
      <c r="BE16" s="15">
        <v>0.56597222222222221</v>
      </c>
      <c r="BF16" s="15">
        <v>0.56944444444444442</v>
      </c>
      <c r="BG16" s="15">
        <v>0.57291666666666663</v>
      </c>
      <c r="BH16" s="15">
        <v>0.57638888888888895</v>
      </c>
      <c r="BI16" s="15">
        <v>0.57986111111111105</v>
      </c>
      <c r="BJ16" s="15">
        <v>0.58333333333333337</v>
      </c>
      <c r="BK16" s="15">
        <v>0.58680555555555558</v>
      </c>
      <c r="BL16" s="15">
        <v>0.59027777777777779</v>
      </c>
      <c r="BM16" s="15">
        <v>0.59375</v>
      </c>
      <c r="BN16" s="15">
        <v>0.59722222222222221</v>
      </c>
      <c r="BO16" s="15">
        <v>0.60069444444444442</v>
      </c>
      <c r="BP16" s="15">
        <v>0.60416666666666663</v>
      </c>
      <c r="BQ16" s="15">
        <v>0.60763888888888895</v>
      </c>
      <c r="BR16" s="15">
        <v>0.61111111111111105</v>
      </c>
      <c r="BS16" s="15">
        <v>0.61458333333333337</v>
      </c>
      <c r="BT16" s="15">
        <v>0.61805555555555558</v>
      </c>
      <c r="BU16" s="15">
        <v>0.62152777777777779</v>
      </c>
      <c r="BV16" s="15">
        <v>0.625</v>
      </c>
      <c r="BW16" s="15">
        <v>0.62847222222222221</v>
      </c>
      <c r="BX16" s="15">
        <v>0.63194444444444442</v>
      </c>
      <c r="BY16" s="15">
        <v>0.63541666666666663</v>
      </c>
      <c r="BZ16" s="15">
        <v>0.63888888888888895</v>
      </c>
      <c r="CA16" s="15">
        <v>0.64236111111111105</v>
      </c>
      <c r="CB16" s="15">
        <v>0.64583333333333337</v>
      </c>
      <c r="CC16" s="15">
        <v>0.64930555555555558</v>
      </c>
      <c r="CD16" s="15">
        <v>0.65277777777777779</v>
      </c>
      <c r="CE16" s="15">
        <v>0.65625</v>
      </c>
      <c r="CF16" s="15">
        <v>0.65972222222222221</v>
      </c>
      <c r="CG16" s="15">
        <v>0.66319444444444442</v>
      </c>
      <c r="CH16" s="15">
        <v>0.66666666666666663</v>
      </c>
      <c r="CI16" s="15">
        <v>0.67013888888888884</v>
      </c>
      <c r="CJ16" s="15">
        <v>0.67361111111111116</v>
      </c>
      <c r="CK16" s="15">
        <v>0.67708333333333337</v>
      </c>
      <c r="CL16" s="15">
        <v>0.68055555555555547</v>
      </c>
      <c r="CM16" s="15">
        <v>0.68402777777777779</v>
      </c>
      <c r="CN16" s="15">
        <v>0.6875</v>
      </c>
      <c r="CO16" s="15">
        <v>0.69097222222222221</v>
      </c>
      <c r="CP16" s="15">
        <v>0.69444444444444453</v>
      </c>
      <c r="CQ16" s="15">
        <v>0.69791666666666663</v>
      </c>
      <c r="CR16" s="15">
        <v>0.70138888888888884</v>
      </c>
      <c r="CS16" s="15">
        <v>0.70486111111111116</v>
      </c>
      <c r="CT16" s="15">
        <v>0.70833333333333337</v>
      </c>
      <c r="CU16" s="15">
        <v>0.71180555555555547</v>
      </c>
      <c r="CV16" s="15">
        <v>0.71527777777777779</v>
      </c>
      <c r="CW16" s="15">
        <v>0.71875</v>
      </c>
      <c r="CX16" s="15">
        <v>0.72222222222222221</v>
      </c>
      <c r="CY16" s="15">
        <v>0.72569444444444453</v>
      </c>
      <c r="CZ16" s="15">
        <v>0.72916666666666663</v>
      </c>
      <c r="DA16" s="15">
        <v>0.73263888888888884</v>
      </c>
      <c r="DB16" s="15">
        <v>0.73611111111111116</v>
      </c>
      <c r="DC16" s="15">
        <v>0.73958333333333337</v>
      </c>
      <c r="DD16" s="15">
        <v>0.74305555555555547</v>
      </c>
      <c r="DE16" s="15">
        <v>0.74652777777777779</v>
      </c>
      <c r="DF16" s="15"/>
      <c r="DG16" s="15"/>
    </row>
    <row r="17" spans="1:111" ht="15.75" x14ac:dyDescent="0.25">
      <c r="A17" s="14">
        <v>44293</v>
      </c>
      <c r="B17" s="12" t="s">
        <v>6</v>
      </c>
      <c r="C17" s="13">
        <v>5630</v>
      </c>
      <c r="D17" s="13">
        <v>5625.57</v>
      </c>
      <c r="E17" s="13">
        <v>5619.23</v>
      </c>
      <c r="F17" s="13">
        <v>5628.74</v>
      </c>
      <c r="G17" s="13">
        <v>5620.24</v>
      </c>
      <c r="H17" s="13">
        <v>5613.88</v>
      </c>
      <c r="I17" s="13">
        <v>5602.96</v>
      </c>
      <c r="J17" s="13">
        <v>5602.13</v>
      </c>
      <c r="K17" s="13">
        <v>5608.59</v>
      </c>
      <c r="L17" s="13">
        <v>5614.8</v>
      </c>
      <c r="M17" s="13">
        <v>5624.79</v>
      </c>
      <c r="N17" s="13">
        <v>5627.17</v>
      </c>
      <c r="O17" s="13">
        <v>5623.21</v>
      </c>
      <c r="P17" s="13">
        <v>5618.68</v>
      </c>
      <c r="Q17" s="13">
        <v>5610.53</v>
      </c>
      <c r="R17" s="13">
        <v>5610.75</v>
      </c>
      <c r="S17" s="13">
        <v>5614.58</v>
      </c>
      <c r="T17" s="13">
        <v>5608</v>
      </c>
      <c r="U17" s="13">
        <v>5605</v>
      </c>
      <c r="V17" s="13">
        <v>5602.13</v>
      </c>
      <c r="W17" s="13">
        <v>5611.41</v>
      </c>
      <c r="X17" s="13">
        <v>5620.24</v>
      </c>
      <c r="Y17" s="13">
        <v>5615.25</v>
      </c>
      <c r="Z17" s="13">
        <v>5609.26</v>
      </c>
      <c r="AA17" s="13">
        <v>5610.75</v>
      </c>
      <c r="AB17" s="13">
        <v>5606.25</v>
      </c>
      <c r="AC17" s="13">
        <v>5606.25</v>
      </c>
      <c r="AD17" s="13">
        <v>5607</v>
      </c>
      <c r="AE17" s="13">
        <v>5599.5</v>
      </c>
      <c r="AF17" s="13">
        <v>5593.17</v>
      </c>
      <c r="AG17" s="13">
        <v>5607.14</v>
      </c>
      <c r="AH17" s="13">
        <v>5612.5</v>
      </c>
      <c r="AI17" s="13">
        <v>5611.36</v>
      </c>
      <c r="AJ17" s="13">
        <v>5611.36</v>
      </c>
      <c r="AK17" s="13">
        <v>5611.36</v>
      </c>
      <c r="AL17" s="13">
        <v>5611.36</v>
      </c>
      <c r="AM17" s="13">
        <v>5587.92</v>
      </c>
      <c r="AN17" s="13">
        <v>5611.36</v>
      </c>
      <c r="AO17" s="13">
        <v>5611.36</v>
      </c>
      <c r="AP17" s="13">
        <v>5600.94</v>
      </c>
      <c r="AQ17" s="13">
        <v>5611.36</v>
      </c>
      <c r="AR17" s="13">
        <v>5611.36</v>
      </c>
      <c r="AS17" s="13">
        <v>5610.19</v>
      </c>
      <c r="AT17" s="13">
        <v>5626</v>
      </c>
      <c r="AU17" s="13">
        <v>5644.21</v>
      </c>
      <c r="AV17" s="13">
        <v>5639.23</v>
      </c>
      <c r="AW17" s="13">
        <v>5633.89</v>
      </c>
      <c r="AX17" s="13">
        <v>5639.23</v>
      </c>
      <c r="AY17" s="13">
        <v>5638.46</v>
      </c>
      <c r="AZ17" s="13">
        <v>5641</v>
      </c>
      <c r="BA17" s="13">
        <v>5641</v>
      </c>
      <c r="BB17" s="13">
        <v>5648.06</v>
      </c>
      <c r="BC17" s="13">
        <v>5656.5</v>
      </c>
      <c r="BD17" s="13">
        <v>5653.67</v>
      </c>
      <c r="BE17" s="13">
        <v>5653.75</v>
      </c>
      <c r="BF17" s="13">
        <v>5652.73</v>
      </c>
      <c r="BG17" s="13">
        <v>5653.64</v>
      </c>
      <c r="BH17" s="13">
        <v>5647.27</v>
      </c>
      <c r="BI17" s="13">
        <v>5642.81</v>
      </c>
      <c r="BJ17" s="13">
        <v>5640.63</v>
      </c>
      <c r="BK17" s="13">
        <v>5637</v>
      </c>
      <c r="BL17" s="13">
        <v>5641.67</v>
      </c>
      <c r="BM17" s="13">
        <v>5640</v>
      </c>
      <c r="BN17" s="13">
        <v>5635.75</v>
      </c>
      <c r="BO17" s="13">
        <v>5635.58</v>
      </c>
      <c r="BP17" s="13">
        <v>5632</v>
      </c>
      <c r="BQ17" s="13">
        <v>5638</v>
      </c>
      <c r="BR17" s="13">
        <v>5631</v>
      </c>
      <c r="BS17" s="13">
        <v>5624.9</v>
      </c>
      <c r="BT17" s="13">
        <v>5627.23</v>
      </c>
      <c r="BU17" s="13">
        <v>5625.86</v>
      </c>
      <c r="BV17" s="13">
        <v>5622.75</v>
      </c>
      <c r="BW17" s="13">
        <v>5626.5</v>
      </c>
      <c r="BX17" s="13">
        <v>5625.75</v>
      </c>
      <c r="BY17" s="13">
        <v>5633.25</v>
      </c>
      <c r="BZ17" s="13">
        <v>5637.48</v>
      </c>
      <c r="CA17" s="13">
        <v>5637.84</v>
      </c>
      <c r="CB17" s="13">
        <v>5638.86</v>
      </c>
      <c r="CC17" s="13">
        <v>5641.9</v>
      </c>
      <c r="CD17" s="13">
        <v>5645</v>
      </c>
      <c r="CE17" s="13">
        <v>5649.81</v>
      </c>
      <c r="CF17" s="13">
        <v>5663.81</v>
      </c>
      <c r="CG17" s="13">
        <v>5661.81</v>
      </c>
      <c r="CH17" s="13">
        <v>5662.86</v>
      </c>
      <c r="CI17" s="13">
        <v>5661</v>
      </c>
      <c r="CJ17" s="13">
        <v>5663</v>
      </c>
      <c r="CK17" s="13">
        <v>5663</v>
      </c>
      <c r="CL17" s="13">
        <v>5669.9</v>
      </c>
      <c r="CM17" s="13">
        <v>5675.14</v>
      </c>
      <c r="CN17" s="13">
        <v>5675.8</v>
      </c>
      <c r="CO17" s="13">
        <v>5676.22</v>
      </c>
      <c r="CP17" s="13">
        <v>5677.57</v>
      </c>
      <c r="CQ17" s="13">
        <v>5673.9</v>
      </c>
      <c r="CR17" s="13">
        <v>5669.27</v>
      </c>
      <c r="CS17" s="13">
        <v>5668.54</v>
      </c>
      <c r="CT17" s="13">
        <v>5671.22</v>
      </c>
      <c r="CU17" s="13">
        <v>5669.76</v>
      </c>
      <c r="CV17" s="13">
        <v>5667.32</v>
      </c>
      <c r="CW17" s="13">
        <v>5668.29</v>
      </c>
      <c r="CX17" s="13">
        <v>5669.02</v>
      </c>
      <c r="CY17" s="13">
        <v>5667.32</v>
      </c>
      <c r="CZ17" s="13">
        <v>5665.37</v>
      </c>
      <c r="DA17" s="13">
        <v>5662.5</v>
      </c>
      <c r="DB17" s="13">
        <v>5661.95</v>
      </c>
      <c r="DC17" s="13">
        <v>5659.02</v>
      </c>
      <c r="DD17" s="13">
        <v>5660</v>
      </c>
      <c r="DE17" s="13">
        <v>5659.41</v>
      </c>
      <c r="DF17" s="13"/>
      <c r="DG17" s="13"/>
    </row>
    <row r="18" spans="1:111" ht="15.75" x14ac:dyDescent="0.25">
      <c r="A18" s="14" t="s">
        <v>12</v>
      </c>
      <c r="B18" s="12" t="s">
        <v>10</v>
      </c>
      <c r="C18" s="13">
        <v>5623.18</v>
      </c>
      <c r="D18" s="13">
        <v>5609.39</v>
      </c>
      <c r="E18" s="13">
        <v>5614.96</v>
      </c>
      <c r="F18" s="13">
        <v>5619.72</v>
      </c>
      <c r="G18" s="13">
        <v>5613.53</v>
      </c>
      <c r="H18" s="13">
        <v>5598.97</v>
      </c>
      <c r="I18" s="13">
        <v>5600.74</v>
      </c>
      <c r="J18" s="13">
        <v>5600.33</v>
      </c>
      <c r="K18" s="13">
        <v>5606.65</v>
      </c>
      <c r="L18" s="13">
        <v>5614.66</v>
      </c>
      <c r="M18" s="13">
        <v>5624.79</v>
      </c>
      <c r="N18" s="13">
        <v>5620.33</v>
      </c>
      <c r="O18" s="13">
        <v>5620</v>
      </c>
      <c r="P18" s="13">
        <v>5607.73</v>
      </c>
      <c r="Q18" s="13">
        <v>5605.13</v>
      </c>
      <c r="R18" s="13">
        <v>5607.53</v>
      </c>
      <c r="S18" s="13">
        <v>5608.83</v>
      </c>
      <c r="T18" s="13">
        <v>5602.25</v>
      </c>
      <c r="U18" s="13">
        <v>5595.09</v>
      </c>
      <c r="V18" s="13">
        <v>5602.13</v>
      </c>
      <c r="W18" s="13">
        <v>5610.03</v>
      </c>
      <c r="X18" s="13">
        <v>5612.79</v>
      </c>
      <c r="Y18" s="13">
        <v>5609.56</v>
      </c>
      <c r="Z18" s="13">
        <v>5605.47</v>
      </c>
      <c r="AA18" s="13">
        <v>5601.17</v>
      </c>
      <c r="AB18" s="13">
        <v>5603.08</v>
      </c>
      <c r="AC18" s="13">
        <v>5595.97</v>
      </c>
      <c r="AD18" s="13">
        <v>5597.91</v>
      </c>
      <c r="AE18" s="13">
        <v>5589.18</v>
      </c>
      <c r="AF18" s="13">
        <v>5586.26</v>
      </c>
      <c r="AG18" s="13">
        <v>5585.96</v>
      </c>
      <c r="AH18" s="13">
        <v>5587.5</v>
      </c>
      <c r="AI18" s="13">
        <v>5580.69</v>
      </c>
      <c r="AJ18" s="13">
        <v>5583.75</v>
      </c>
      <c r="AK18" s="13">
        <v>5594.06</v>
      </c>
      <c r="AL18" s="13">
        <v>5588.27</v>
      </c>
      <c r="AM18" s="13">
        <v>5587.92</v>
      </c>
      <c r="AN18" s="13">
        <v>5595.69</v>
      </c>
      <c r="AO18" s="13">
        <v>5596.94</v>
      </c>
      <c r="AP18" s="13">
        <v>5600.69</v>
      </c>
      <c r="AQ18" s="13">
        <v>5603.65</v>
      </c>
      <c r="AR18" s="13">
        <v>5603.19</v>
      </c>
      <c r="AS18" s="13">
        <v>5609.44</v>
      </c>
      <c r="AT18" s="13">
        <v>5619.85</v>
      </c>
      <c r="AU18" s="13">
        <v>5640</v>
      </c>
      <c r="AV18" s="13">
        <v>5629.12</v>
      </c>
      <c r="AW18" s="13">
        <v>5632.22</v>
      </c>
      <c r="AX18" s="13">
        <v>5636.15</v>
      </c>
      <c r="AY18" s="13">
        <v>5633.67</v>
      </c>
      <c r="AZ18" s="13">
        <v>5641</v>
      </c>
      <c r="BA18" s="13">
        <v>5637</v>
      </c>
      <c r="BB18" s="13">
        <v>5646.77</v>
      </c>
      <c r="BC18" s="13">
        <v>5655</v>
      </c>
      <c r="BD18" s="13">
        <v>5650.31</v>
      </c>
      <c r="BE18" s="13">
        <v>5652.73</v>
      </c>
      <c r="BF18" s="13">
        <v>5648.44</v>
      </c>
      <c r="BG18" s="13">
        <v>5648.44</v>
      </c>
      <c r="BH18" s="13">
        <v>5639.38</v>
      </c>
      <c r="BI18" s="13">
        <v>5641.88</v>
      </c>
      <c r="BJ18" s="13">
        <v>5636.33</v>
      </c>
      <c r="BK18" s="13">
        <v>5636.33</v>
      </c>
      <c r="BL18" s="13">
        <v>5641.67</v>
      </c>
      <c r="BM18" s="13">
        <v>5634.9</v>
      </c>
      <c r="BN18" s="13">
        <v>5635.75</v>
      </c>
      <c r="BO18" s="13">
        <v>5632.86</v>
      </c>
      <c r="BP18" s="13">
        <v>5630.86</v>
      </c>
      <c r="BQ18" s="13">
        <v>5632.87</v>
      </c>
      <c r="BR18" s="13">
        <v>5628.19</v>
      </c>
      <c r="BS18" s="13">
        <v>5624.9</v>
      </c>
      <c r="BT18" s="13">
        <v>5625</v>
      </c>
      <c r="BU18" s="13">
        <v>5622.81</v>
      </c>
      <c r="BV18" s="13">
        <v>5622.48</v>
      </c>
      <c r="BW18" s="13">
        <v>5621.1</v>
      </c>
      <c r="BX18" s="13">
        <v>5625.19</v>
      </c>
      <c r="BY18" s="13">
        <v>5630.65</v>
      </c>
      <c r="BZ18" s="13">
        <v>5633.84</v>
      </c>
      <c r="CA18" s="13">
        <v>5633.26</v>
      </c>
      <c r="CB18" s="13">
        <v>5638.86</v>
      </c>
      <c r="CC18" s="13">
        <v>5640</v>
      </c>
      <c r="CD18" s="13">
        <v>5640.86</v>
      </c>
      <c r="CE18" s="13">
        <v>5648.81</v>
      </c>
      <c r="CF18" s="13">
        <v>5662.86</v>
      </c>
      <c r="CG18" s="13">
        <v>5658.86</v>
      </c>
      <c r="CH18" s="13">
        <v>5659.81</v>
      </c>
      <c r="CI18" s="13">
        <v>5657</v>
      </c>
      <c r="CJ18" s="13">
        <v>5660</v>
      </c>
      <c r="CK18" s="13">
        <v>5661</v>
      </c>
      <c r="CL18" s="13">
        <v>5665.71</v>
      </c>
      <c r="CM18" s="13">
        <v>5667.22</v>
      </c>
      <c r="CN18" s="13">
        <v>5675.56</v>
      </c>
      <c r="CO18" s="13">
        <v>5676.22</v>
      </c>
      <c r="CP18" s="13">
        <v>5670.98</v>
      </c>
      <c r="CQ18" s="13">
        <v>5664.31</v>
      </c>
      <c r="CR18" s="13">
        <v>5667.25</v>
      </c>
      <c r="CS18" s="13">
        <v>5666.86</v>
      </c>
      <c r="CT18" s="13">
        <v>5670.39</v>
      </c>
      <c r="CU18" s="13">
        <v>5666.08</v>
      </c>
      <c r="CV18" s="13">
        <v>5665.69</v>
      </c>
      <c r="CW18" s="13">
        <v>5666.08</v>
      </c>
      <c r="CX18" s="13">
        <v>5666.08</v>
      </c>
      <c r="CY18" s="13">
        <v>5663.92</v>
      </c>
      <c r="CZ18" s="13">
        <v>5657.84</v>
      </c>
      <c r="DA18" s="13">
        <v>5659.51</v>
      </c>
      <c r="DB18" s="13">
        <v>5657.84</v>
      </c>
      <c r="DC18" s="13">
        <v>5654.51</v>
      </c>
      <c r="DD18" s="13">
        <v>5652.55</v>
      </c>
      <c r="DE18" s="13">
        <v>5652.55</v>
      </c>
      <c r="DF18" s="13"/>
      <c r="DG18" s="13"/>
    </row>
    <row r="19" spans="1:111" ht="15.75" x14ac:dyDescent="0.25">
      <c r="A19" s="14" t="s">
        <v>12</v>
      </c>
      <c r="B19" s="12" t="s">
        <v>9</v>
      </c>
      <c r="C19" s="13">
        <v>5612.13</v>
      </c>
      <c r="D19" s="13">
        <v>5597.36</v>
      </c>
      <c r="E19" s="13">
        <v>5602.19</v>
      </c>
      <c r="F19" s="13">
        <v>5606.04</v>
      </c>
      <c r="G19" s="13">
        <v>5601.16</v>
      </c>
      <c r="H19" s="13">
        <v>5587.36</v>
      </c>
      <c r="I19" s="13">
        <v>5588.28</v>
      </c>
      <c r="J19" s="13">
        <v>5587.48</v>
      </c>
      <c r="K19" s="13">
        <v>5593.92</v>
      </c>
      <c r="L19" s="13">
        <v>5601.96</v>
      </c>
      <c r="M19" s="13">
        <v>5610.48</v>
      </c>
      <c r="N19" s="13">
        <v>5606.8</v>
      </c>
      <c r="O19" s="13">
        <v>5605.76</v>
      </c>
      <c r="P19" s="13">
        <v>5593.8</v>
      </c>
      <c r="Q19" s="13">
        <v>5592.88</v>
      </c>
      <c r="R19" s="13">
        <v>5594.84</v>
      </c>
      <c r="S19" s="13">
        <v>5596.56</v>
      </c>
      <c r="T19" s="13">
        <v>5587.6</v>
      </c>
      <c r="U19" s="13">
        <v>5582.48</v>
      </c>
      <c r="V19" s="13">
        <v>5588.8</v>
      </c>
      <c r="W19" s="13">
        <v>5597.2</v>
      </c>
      <c r="X19" s="13">
        <v>5599.04</v>
      </c>
      <c r="Y19" s="13">
        <v>5596.16</v>
      </c>
      <c r="Z19" s="13">
        <v>5590.52</v>
      </c>
      <c r="AA19" s="13">
        <v>5588</v>
      </c>
      <c r="AB19" s="13">
        <v>5589.84</v>
      </c>
      <c r="AC19" s="13">
        <v>5583.28</v>
      </c>
      <c r="AD19" s="13">
        <v>5585.12</v>
      </c>
      <c r="AE19" s="13">
        <v>5576.04</v>
      </c>
      <c r="AF19" s="13">
        <v>5570.52</v>
      </c>
      <c r="AG19" s="13">
        <v>5568.18</v>
      </c>
      <c r="AH19" s="13">
        <v>5569</v>
      </c>
      <c r="AI19" s="13">
        <v>5564</v>
      </c>
      <c r="AJ19" s="13">
        <v>5566.11</v>
      </c>
      <c r="AK19" s="13">
        <v>5571.67</v>
      </c>
      <c r="AL19" s="13">
        <v>5569.17</v>
      </c>
      <c r="AM19" s="13">
        <v>5570</v>
      </c>
      <c r="AN19" s="13">
        <v>5579.17</v>
      </c>
      <c r="AO19" s="13">
        <v>5579.93</v>
      </c>
      <c r="AP19" s="13">
        <v>5583.33</v>
      </c>
      <c r="AQ19" s="13">
        <v>5586.67</v>
      </c>
      <c r="AR19" s="13">
        <v>5586.67</v>
      </c>
      <c r="AS19" s="13">
        <v>5593.6</v>
      </c>
      <c r="AT19" s="13">
        <v>5601.6</v>
      </c>
      <c r="AU19" s="13">
        <v>5618.93</v>
      </c>
      <c r="AV19" s="13">
        <v>5608</v>
      </c>
      <c r="AW19" s="13">
        <v>5608.44</v>
      </c>
      <c r="AX19" s="13">
        <v>5611.25</v>
      </c>
      <c r="AY19" s="13">
        <v>5608.91</v>
      </c>
      <c r="AZ19" s="13">
        <v>5618.38</v>
      </c>
      <c r="BA19" s="13">
        <v>5616.13</v>
      </c>
      <c r="BB19" s="13">
        <v>5619.82</v>
      </c>
      <c r="BC19" s="13">
        <v>5620.56</v>
      </c>
      <c r="BD19" s="13">
        <v>5620.5</v>
      </c>
      <c r="BE19" s="13">
        <v>5625.4</v>
      </c>
      <c r="BF19" s="13">
        <v>5618.25</v>
      </c>
      <c r="BG19" s="13">
        <v>5619</v>
      </c>
      <c r="BH19" s="13">
        <v>5611.88</v>
      </c>
      <c r="BI19" s="13">
        <v>5592.86</v>
      </c>
      <c r="BJ19" s="13">
        <v>5609.67</v>
      </c>
      <c r="BK19" s="13">
        <v>5609.67</v>
      </c>
      <c r="BL19" s="13">
        <v>5613</v>
      </c>
      <c r="BM19" s="13">
        <v>5608.33</v>
      </c>
      <c r="BN19" s="13">
        <v>5608.67</v>
      </c>
      <c r="BO19" s="13">
        <v>5600</v>
      </c>
      <c r="BP19" s="13">
        <v>5606.6</v>
      </c>
      <c r="BQ19" s="13">
        <v>5606.6</v>
      </c>
      <c r="BR19" s="13">
        <v>5603</v>
      </c>
      <c r="BS19" s="13">
        <v>5601.7</v>
      </c>
      <c r="BT19" s="13">
        <v>5598.14</v>
      </c>
      <c r="BU19" s="13">
        <v>5607.33</v>
      </c>
      <c r="BV19" s="13">
        <v>5599.65</v>
      </c>
      <c r="BW19" s="13">
        <v>5597</v>
      </c>
      <c r="BX19" s="13">
        <v>5603.31</v>
      </c>
      <c r="BY19" s="13">
        <v>5611.15</v>
      </c>
      <c r="BZ19" s="13">
        <v>5610.27</v>
      </c>
      <c r="CA19" s="13">
        <v>5617.04</v>
      </c>
      <c r="CB19" s="13">
        <v>5621.74</v>
      </c>
      <c r="CC19" s="13">
        <v>5622.85</v>
      </c>
      <c r="CD19" s="13">
        <v>5623.35</v>
      </c>
      <c r="CE19" s="13">
        <v>5630.42</v>
      </c>
      <c r="CF19" s="13">
        <v>5644.08</v>
      </c>
      <c r="CG19" s="13">
        <v>5639.54</v>
      </c>
      <c r="CH19" s="13">
        <v>5640.54</v>
      </c>
      <c r="CI19" s="13">
        <v>5637.88</v>
      </c>
      <c r="CJ19" s="13">
        <v>5640.65</v>
      </c>
      <c r="CK19" s="13">
        <v>5639.18</v>
      </c>
      <c r="CL19" s="13">
        <v>5636.78</v>
      </c>
      <c r="CM19" s="13">
        <v>5641.13</v>
      </c>
      <c r="CN19" s="13">
        <v>5647.63</v>
      </c>
      <c r="CO19" s="13">
        <v>5648.25</v>
      </c>
      <c r="CP19" s="13">
        <v>5643.38</v>
      </c>
      <c r="CQ19" s="13">
        <v>5634.63</v>
      </c>
      <c r="CR19" s="13">
        <v>5640.13</v>
      </c>
      <c r="CS19" s="13">
        <v>5638.69</v>
      </c>
      <c r="CT19" s="13">
        <v>5643.38</v>
      </c>
      <c r="CU19" s="13">
        <v>5637.06</v>
      </c>
      <c r="CV19" s="13">
        <v>5637.5</v>
      </c>
      <c r="CW19" s="13">
        <v>5637.06</v>
      </c>
      <c r="CX19" s="13">
        <v>5637.06</v>
      </c>
      <c r="CY19" s="13">
        <v>5634.44</v>
      </c>
      <c r="CZ19" s="13">
        <v>5625.69</v>
      </c>
      <c r="DA19" s="13">
        <v>5625.5</v>
      </c>
      <c r="DB19" s="13">
        <v>5625.69</v>
      </c>
      <c r="DC19" s="13">
        <v>5622.25</v>
      </c>
      <c r="DD19" s="13">
        <v>5618.19</v>
      </c>
      <c r="DE19" s="13">
        <v>5618.47</v>
      </c>
      <c r="DF19" s="13"/>
      <c r="DG19" s="13"/>
    </row>
    <row r="20" spans="1:111" ht="15.75" x14ac:dyDescent="0.25">
      <c r="A20" s="14" t="s">
        <v>12</v>
      </c>
      <c r="B20" s="12" t="s">
        <v>7</v>
      </c>
      <c r="C20" s="13">
        <v>5599.17</v>
      </c>
      <c r="D20" s="13">
        <v>5595.76</v>
      </c>
      <c r="E20" s="13">
        <v>5599.88</v>
      </c>
      <c r="F20" s="13">
        <v>5602.35</v>
      </c>
      <c r="G20" s="13">
        <v>5600.36</v>
      </c>
      <c r="H20" s="13">
        <v>5584.72</v>
      </c>
      <c r="I20" s="13">
        <v>5585.64</v>
      </c>
      <c r="J20" s="13">
        <v>5585.64</v>
      </c>
      <c r="K20" s="13">
        <v>5587.48</v>
      </c>
      <c r="L20" s="13">
        <v>5595.64</v>
      </c>
      <c r="M20" s="13">
        <v>5593.8</v>
      </c>
      <c r="N20" s="13">
        <v>5603.88</v>
      </c>
      <c r="O20" s="13">
        <v>5603.12</v>
      </c>
      <c r="P20" s="13">
        <v>5593</v>
      </c>
      <c r="Q20" s="13">
        <v>5589.32</v>
      </c>
      <c r="R20" s="13">
        <v>5591.16</v>
      </c>
      <c r="S20" s="13">
        <v>5593</v>
      </c>
      <c r="T20" s="13">
        <v>5587.6</v>
      </c>
      <c r="U20" s="13">
        <v>5579.72</v>
      </c>
      <c r="V20" s="13">
        <v>5579.41</v>
      </c>
      <c r="W20" s="13">
        <v>5586.16</v>
      </c>
      <c r="X20" s="13">
        <v>5595.36</v>
      </c>
      <c r="Y20" s="13">
        <v>5592</v>
      </c>
      <c r="Z20" s="13">
        <v>5588.92</v>
      </c>
      <c r="AA20" s="13">
        <v>5588</v>
      </c>
      <c r="AB20" s="13">
        <v>5585.12</v>
      </c>
      <c r="AC20" s="13">
        <v>5583.28</v>
      </c>
      <c r="AD20" s="13">
        <v>5584.32</v>
      </c>
      <c r="AE20" s="13">
        <v>5576.04</v>
      </c>
      <c r="AF20" s="13">
        <v>5570.52</v>
      </c>
      <c r="AG20" s="13">
        <v>5561.82</v>
      </c>
      <c r="AH20" s="13">
        <v>5567</v>
      </c>
      <c r="AI20" s="13">
        <v>5562</v>
      </c>
      <c r="AJ20" s="13">
        <v>5564</v>
      </c>
      <c r="AK20" s="13">
        <v>5565</v>
      </c>
      <c r="AL20" s="13">
        <v>5568.89</v>
      </c>
      <c r="AM20" s="13">
        <v>5570</v>
      </c>
      <c r="AN20" s="13">
        <v>5574.44</v>
      </c>
      <c r="AO20" s="13">
        <v>5575</v>
      </c>
      <c r="AP20" s="13">
        <v>5575</v>
      </c>
      <c r="AQ20" s="13">
        <v>5577.78</v>
      </c>
      <c r="AR20" s="13">
        <v>5580</v>
      </c>
      <c r="AS20" s="13">
        <v>5580.56</v>
      </c>
      <c r="AT20" s="13">
        <v>5588.57</v>
      </c>
      <c r="AU20" s="13">
        <v>5597.42</v>
      </c>
      <c r="AV20" s="13">
        <v>5602.14</v>
      </c>
      <c r="AW20" s="13">
        <v>5606.38</v>
      </c>
      <c r="AX20" s="13">
        <v>5607.73</v>
      </c>
      <c r="AY20" s="13">
        <v>5608.81</v>
      </c>
      <c r="AZ20" s="13">
        <v>5612.06</v>
      </c>
      <c r="BA20" s="13">
        <v>5611.36</v>
      </c>
      <c r="BB20" s="13">
        <v>5616.13</v>
      </c>
      <c r="BC20" s="13">
        <v>5582.5</v>
      </c>
      <c r="BD20" s="13">
        <v>5596.71</v>
      </c>
      <c r="BE20" s="13">
        <v>5596.71</v>
      </c>
      <c r="BF20" s="13">
        <v>5596.29</v>
      </c>
      <c r="BG20" s="13">
        <v>5618.25</v>
      </c>
      <c r="BH20" s="13">
        <v>5592.43</v>
      </c>
      <c r="BI20" s="13">
        <v>5592.86</v>
      </c>
      <c r="BJ20" s="13">
        <v>5592.38</v>
      </c>
      <c r="BK20" s="13">
        <v>5602</v>
      </c>
      <c r="BL20" s="13">
        <v>5601.5</v>
      </c>
      <c r="BM20" s="13">
        <v>5604</v>
      </c>
      <c r="BN20" s="13">
        <v>5592.38</v>
      </c>
      <c r="BO20" s="13">
        <v>5587.5</v>
      </c>
      <c r="BP20" s="13">
        <v>5602.57</v>
      </c>
      <c r="BQ20" s="13">
        <v>5601.71</v>
      </c>
      <c r="BR20" s="13">
        <v>5603</v>
      </c>
      <c r="BS20" s="13">
        <v>5598.8</v>
      </c>
      <c r="BT20" s="13">
        <v>5598.14</v>
      </c>
      <c r="BU20" s="13">
        <v>5598.14</v>
      </c>
      <c r="BV20" s="13">
        <v>5598.7</v>
      </c>
      <c r="BW20" s="13">
        <v>5593.58</v>
      </c>
      <c r="BX20" s="13">
        <v>5599.77</v>
      </c>
      <c r="BY20" s="13">
        <v>5605.96</v>
      </c>
      <c r="BZ20" s="13">
        <v>5609.5</v>
      </c>
      <c r="CA20" s="13">
        <v>5610.27</v>
      </c>
      <c r="CB20" s="13">
        <v>5613.94</v>
      </c>
      <c r="CC20" s="13">
        <v>5603.83</v>
      </c>
      <c r="CD20" s="13">
        <v>5602.83</v>
      </c>
      <c r="CE20" s="13">
        <v>5618.38</v>
      </c>
      <c r="CF20" s="13">
        <v>5605.83</v>
      </c>
      <c r="CG20" s="13">
        <v>5612.33</v>
      </c>
      <c r="CH20" s="13">
        <v>5639.27</v>
      </c>
      <c r="CI20" s="13">
        <v>5576.67</v>
      </c>
      <c r="CJ20" s="13">
        <v>5612.33</v>
      </c>
      <c r="CK20" s="13">
        <v>5632.44</v>
      </c>
      <c r="CL20" s="13">
        <v>5608.5</v>
      </c>
      <c r="CM20" s="13">
        <v>5637.33</v>
      </c>
      <c r="CN20" s="13">
        <v>5604.78</v>
      </c>
      <c r="CO20" s="13">
        <v>5629.38</v>
      </c>
      <c r="CP20" s="13">
        <v>5630.67</v>
      </c>
      <c r="CQ20" s="13">
        <v>5634.63</v>
      </c>
      <c r="CR20" s="13">
        <v>5622</v>
      </c>
      <c r="CS20" s="13">
        <v>5622</v>
      </c>
      <c r="CT20" s="13">
        <v>5603.78</v>
      </c>
      <c r="CU20" s="13">
        <v>5612.27</v>
      </c>
      <c r="CV20" s="13">
        <v>5625.33</v>
      </c>
      <c r="CW20" s="13">
        <v>5601.11</v>
      </c>
      <c r="CX20" s="13">
        <v>5626.67</v>
      </c>
      <c r="CY20" s="13">
        <v>5601.44</v>
      </c>
      <c r="CZ20" s="13">
        <v>5620</v>
      </c>
      <c r="DA20" s="13">
        <v>5621.44</v>
      </c>
      <c r="DB20" s="13">
        <v>5624.06</v>
      </c>
      <c r="DC20" s="13">
        <v>5594.78</v>
      </c>
      <c r="DD20" s="13">
        <v>5618.19</v>
      </c>
      <c r="DE20" s="13">
        <v>5604</v>
      </c>
      <c r="DF20" s="13"/>
      <c r="DG20" s="13"/>
    </row>
    <row r="21" spans="1:111" ht="15.75" x14ac:dyDescent="0.25">
      <c r="A21" s="11" t="s">
        <v>5</v>
      </c>
      <c r="B21" s="11" t="s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</row>
    <row r="22" spans="1:111" ht="15.75" x14ac:dyDescent="0.25">
      <c r="A22" s="14">
        <v>44294</v>
      </c>
      <c r="B22" s="12" t="s">
        <v>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</row>
    <row r="23" spans="1:111" ht="15.75" x14ac:dyDescent="0.25">
      <c r="A23" s="14" t="s">
        <v>12</v>
      </c>
      <c r="B23" s="12" t="s">
        <v>10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</row>
    <row r="24" spans="1:111" ht="15.75" x14ac:dyDescent="0.25">
      <c r="A24" s="14" t="s">
        <v>12</v>
      </c>
      <c r="B24" s="12" t="s">
        <v>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</row>
    <row r="25" spans="1:111" ht="15.75" x14ac:dyDescent="0.25">
      <c r="A25" s="14" t="s">
        <v>12</v>
      </c>
      <c r="B25" s="12" t="s">
        <v>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</row>
    <row r="26" spans="1:111" ht="15.75" x14ac:dyDescent="0.25">
      <c r="A26" s="11" t="s">
        <v>5</v>
      </c>
      <c r="B26" s="11" t="s">
        <v>11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</row>
    <row r="27" spans="1:111" ht="15.75" x14ac:dyDescent="0.25">
      <c r="A27" s="14">
        <v>44295</v>
      </c>
      <c r="B27" s="12" t="s">
        <v>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</row>
    <row r="28" spans="1:111" ht="15.75" x14ac:dyDescent="0.25">
      <c r="A28" s="14" t="s">
        <v>12</v>
      </c>
      <c r="B28" s="12" t="s">
        <v>10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</row>
    <row r="29" spans="1:111" ht="15.75" x14ac:dyDescent="0.25">
      <c r="A29" s="14" t="s">
        <v>12</v>
      </c>
      <c r="B29" s="12" t="s">
        <v>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</row>
    <row r="30" spans="1:111" ht="15.75" x14ac:dyDescent="0.25">
      <c r="A30" s="14" t="s">
        <v>12</v>
      </c>
      <c r="B30" s="12" t="s">
        <v>7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</row>
    <row r="31" spans="1:111" ht="15.75" x14ac:dyDescent="0.25">
      <c r="A31" s="11" t="s">
        <v>5</v>
      </c>
      <c r="B31" s="11" t="s">
        <v>11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</row>
    <row r="32" spans="1:111" ht="15.75" x14ac:dyDescent="0.25">
      <c r="A32" s="14">
        <v>44298</v>
      </c>
      <c r="B32" s="12" t="s">
        <v>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</row>
    <row r="33" spans="1:111" ht="15.75" x14ac:dyDescent="0.25">
      <c r="A33" s="14" t="s">
        <v>12</v>
      </c>
      <c r="B33" s="12" t="s">
        <v>10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</row>
    <row r="34" spans="1:111" ht="15.75" x14ac:dyDescent="0.25">
      <c r="A34" s="14" t="s">
        <v>12</v>
      </c>
      <c r="B34" s="12" t="s">
        <v>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</row>
    <row r="35" spans="1:111" ht="15.75" x14ac:dyDescent="0.25">
      <c r="A35" s="14" t="s">
        <v>12</v>
      </c>
      <c r="B35" s="12" t="s">
        <v>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</row>
    <row r="36" spans="1:111" ht="15.75" x14ac:dyDescent="0.25">
      <c r="A36" s="11" t="s">
        <v>5</v>
      </c>
      <c r="B36" s="11" t="s">
        <v>11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</row>
    <row r="37" spans="1:111" ht="15.75" x14ac:dyDescent="0.25">
      <c r="A37" s="14">
        <v>44299</v>
      </c>
      <c r="B37" s="12" t="s">
        <v>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</row>
    <row r="38" spans="1:111" ht="15.75" x14ac:dyDescent="0.25">
      <c r="A38" s="14" t="s">
        <v>12</v>
      </c>
      <c r="B38" s="12" t="s">
        <v>10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</row>
    <row r="39" spans="1:111" ht="15.75" x14ac:dyDescent="0.25">
      <c r="A39" s="14" t="s">
        <v>12</v>
      </c>
      <c r="B39" s="12" t="s">
        <v>9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</row>
    <row r="40" spans="1:111" ht="15.75" x14ac:dyDescent="0.25">
      <c r="A40" s="14" t="s">
        <v>12</v>
      </c>
      <c r="B40" s="12" t="s">
        <v>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</row>
    <row r="41" spans="1:111" ht="15.75" x14ac:dyDescent="0.25">
      <c r="A41" s="11" t="s">
        <v>5</v>
      </c>
      <c r="B41" s="11" t="s">
        <v>11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</row>
    <row r="42" spans="1:111" ht="15.75" x14ac:dyDescent="0.25">
      <c r="A42" s="14">
        <v>44300</v>
      </c>
      <c r="B42" s="12" t="s">
        <v>6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</row>
    <row r="43" spans="1:111" ht="15.75" x14ac:dyDescent="0.25">
      <c r="A43" s="14" t="s">
        <v>12</v>
      </c>
      <c r="B43" s="12" t="s">
        <v>10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</row>
    <row r="44" spans="1:111" ht="15.75" x14ac:dyDescent="0.25">
      <c r="A44" s="14" t="s">
        <v>12</v>
      </c>
      <c r="B44" s="12" t="s">
        <v>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</row>
    <row r="45" spans="1:111" ht="15.75" x14ac:dyDescent="0.25">
      <c r="A45" s="14" t="s">
        <v>12</v>
      </c>
      <c r="B45" s="12" t="s">
        <v>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</row>
    <row r="46" spans="1:111" ht="15.75" x14ac:dyDescent="0.25">
      <c r="A46" s="11" t="s">
        <v>5</v>
      </c>
      <c r="B46" s="11" t="s">
        <v>11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</row>
    <row r="47" spans="1:111" ht="15.75" x14ac:dyDescent="0.25">
      <c r="A47" s="14">
        <v>44301</v>
      </c>
      <c r="B47" s="12" t="s">
        <v>6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</row>
    <row r="48" spans="1:111" ht="15.75" x14ac:dyDescent="0.25">
      <c r="A48" s="14" t="s">
        <v>12</v>
      </c>
      <c r="B48" s="12" t="s">
        <v>10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</row>
    <row r="49" spans="1:111" ht="15.75" x14ac:dyDescent="0.25">
      <c r="A49" s="14" t="s">
        <v>12</v>
      </c>
      <c r="B49" s="12" t="s">
        <v>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</row>
    <row r="50" spans="1:111" ht="15.75" x14ac:dyDescent="0.25">
      <c r="A50" s="14" t="s">
        <v>12</v>
      </c>
      <c r="B50" s="12" t="s">
        <v>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</row>
    <row r="51" spans="1:111" ht="15.75" x14ac:dyDescent="0.25">
      <c r="A51" s="11" t="s">
        <v>5</v>
      </c>
      <c r="B51" s="11" t="s">
        <v>11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</row>
    <row r="52" spans="1:111" ht="15.75" x14ac:dyDescent="0.25">
      <c r="A52" s="14">
        <v>44302</v>
      </c>
      <c r="B52" s="12" t="s">
        <v>6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</row>
    <row r="53" spans="1:111" ht="15.75" x14ac:dyDescent="0.25">
      <c r="A53" s="14" t="s">
        <v>12</v>
      </c>
      <c r="B53" s="12" t="s">
        <v>10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</row>
    <row r="54" spans="1:111" ht="15.75" x14ac:dyDescent="0.25">
      <c r="A54" s="14" t="s">
        <v>12</v>
      </c>
      <c r="B54" s="12" t="s">
        <v>9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</row>
    <row r="55" spans="1:111" ht="15.75" x14ac:dyDescent="0.25">
      <c r="A55" s="14" t="s">
        <v>12</v>
      </c>
      <c r="B55" s="12" t="s">
        <v>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</row>
    <row r="56" spans="1:111" ht="15.75" x14ac:dyDescent="0.25">
      <c r="A56" s="11" t="s">
        <v>5</v>
      </c>
      <c r="B56" s="11" t="s">
        <v>11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</row>
    <row r="57" spans="1:111" ht="15.75" x14ac:dyDescent="0.25">
      <c r="A57" s="14">
        <v>44305</v>
      </c>
      <c r="B57" s="12" t="s">
        <v>6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</row>
    <row r="58" spans="1:111" ht="15.75" x14ac:dyDescent="0.25">
      <c r="A58" s="14" t="s">
        <v>12</v>
      </c>
      <c r="B58" s="12" t="s">
        <v>10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</row>
    <row r="59" spans="1:111" ht="15.75" x14ac:dyDescent="0.25">
      <c r="A59" s="14" t="s">
        <v>12</v>
      </c>
      <c r="B59" s="12" t="s">
        <v>9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</row>
    <row r="60" spans="1:111" ht="15.75" x14ac:dyDescent="0.25">
      <c r="A60" s="14" t="s">
        <v>12</v>
      </c>
      <c r="B60" s="12" t="s">
        <v>7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</row>
    <row r="61" spans="1:111" ht="15.75" x14ac:dyDescent="0.25">
      <c r="A61" s="11" t="s">
        <v>5</v>
      </c>
      <c r="B61" s="11" t="s">
        <v>11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</row>
    <row r="62" spans="1:111" ht="15.75" x14ac:dyDescent="0.25">
      <c r="A62" s="14">
        <v>44306</v>
      </c>
      <c r="B62" s="12" t="s">
        <v>6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</row>
    <row r="63" spans="1:111" ht="15.75" x14ac:dyDescent="0.25">
      <c r="A63" s="14" t="s">
        <v>12</v>
      </c>
      <c r="B63" s="12" t="s">
        <v>10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</row>
    <row r="64" spans="1:111" ht="15.75" x14ac:dyDescent="0.25">
      <c r="A64" s="14" t="s">
        <v>12</v>
      </c>
      <c r="B64" s="12" t="s">
        <v>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</row>
    <row r="65" spans="1:112" ht="15.75" x14ac:dyDescent="0.25">
      <c r="A65" s="14" t="s">
        <v>12</v>
      </c>
      <c r="B65" s="12" t="s">
        <v>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</row>
    <row r="66" spans="1:112" ht="15.75" x14ac:dyDescent="0.25">
      <c r="A66" s="11" t="s">
        <v>5</v>
      </c>
      <c r="B66" s="11" t="s">
        <v>11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</row>
    <row r="67" spans="1:112" ht="15.75" x14ac:dyDescent="0.25">
      <c r="A67" s="14">
        <v>44308</v>
      </c>
      <c r="B67" s="12" t="s">
        <v>6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</row>
    <row r="68" spans="1:112" ht="15.75" x14ac:dyDescent="0.25">
      <c r="A68" s="14" t="s">
        <v>12</v>
      </c>
      <c r="B68" s="12" t="s">
        <v>10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</row>
    <row r="69" spans="1:112" ht="15.75" x14ac:dyDescent="0.25">
      <c r="A69" s="14" t="s">
        <v>12</v>
      </c>
      <c r="B69" s="12" t="s">
        <v>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</row>
    <row r="70" spans="1:112" ht="15.75" x14ac:dyDescent="0.25">
      <c r="A70" s="14" t="s">
        <v>12</v>
      </c>
      <c r="B70" s="12" t="s">
        <v>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</row>
    <row r="71" spans="1:112" ht="15.75" x14ac:dyDescent="0.25">
      <c r="A71" s="11" t="s">
        <v>5</v>
      </c>
      <c r="B71" s="11" t="s">
        <v>11</v>
      </c>
      <c r="C71" s="15">
        <v>0.375</v>
      </c>
      <c r="D71" s="15">
        <v>0.37847222222222227</v>
      </c>
      <c r="E71" s="15">
        <v>0.38194444444444442</v>
      </c>
      <c r="F71" s="15">
        <v>0.38541666666666669</v>
      </c>
      <c r="G71" s="15">
        <v>0.3888888888888889</v>
      </c>
      <c r="H71" s="15">
        <v>0.3923611111111111</v>
      </c>
      <c r="I71" s="15">
        <v>0.39583333333333331</v>
      </c>
      <c r="J71" s="15">
        <v>0.39930555555555558</v>
      </c>
      <c r="K71" s="15">
        <v>0.40277777777777773</v>
      </c>
      <c r="L71" s="15">
        <v>0.40625</v>
      </c>
      <c r="M71" s="15">
        <v>0.40972222222222227</v>
      </c>
      <c r="N71" s="15">
        <v>0.41319444444444442</v>
      </c>
      <c r="O71" s="15">
        <v>0.41666666666666669</v>
      </c>
      <c r="P71" s="15">
        <v>0.4201388888888889</v>
      </c>
      <c r="Q71" s="15">
        <v>0.4236111111111111</v>
      </c>
      <c r="R71" s="15">
        <v>0.42708333333333331</v>
      </c>
      <c r="S71" s="15">
        <v>0.43055555555555558</v>
      </c>
      <c r="T71" s="15">
        <v>0.43402777777777773</v>
      </c>
      <c r="U71" s="15">
        <v>0.4375</v>
      </c>
      <c r="V71" s="15">
        <v>0.44097222222222227</v>
      </c>
      <c r="W71" s="15">
        <v>0.44444444444444442</v>
      </c>
      <c r="X71" s="15">
        <v>0.44791666666666669</v>
      </c>
      <c r="Y71" s="15">
        <v>0.4513888888888889</v>
      </c>
      <c r="Z71" s="15">
        <v>0.4548611111111111</v>
      </c>
      <c r="AA71" s="15">
        <v>0.45833333333333331</v>
      </c>
      <c r="AB71" s="15">
        <v>0.46180555555555558</v>
      </c>
      <c r="AC71" s="15">
        <v>0.46527777777777773</v>
      </c>
      <c r="AD71" s="15">
        <v>0.46875</v>
      </c>
      <c r="AE71" s="15">
        <v>0.47222222222222227</v>
      </c>
      <c r="AF71" s="15">
        <v>0.47569444444444442</v>
      </c>
      <c r="AG71" s="15">
        <v>0.47916666666666669</v>
      </c>
      <c r="AH71" s="15">
        <v>0.4826388888888889</v>
      </c>
      <c r="AI71" s="15">
        <v>0.4861111111111111</v>
      </c>
      <c r="AJ71" s="15">
        <v>0.48958333333333331</v>
      </c>
      <c r="AK71" s="15">
        <v>0.49305555555555558</v>
      </c>
      <c r="AL71" s="15">
        <v>0.49652777777777773</v>
      </c>
      <c r="AM71" s="15">
        <v>0.5</v>
      </c>
      <c r="AN71" s="15">
        <v>0.50347222222222221</v>
      </c>
      <c r="AO71" s="15">
        <v>0.50694444444444442</v>
      </c>
      <c r="AP71" s="15">
        <v>0.51041666666666663</v>
      </c>
      <c r="AQ71" s="15">
        <v>0.51388888888888895</v>
      </c>
      <c r="AR71" s="15">
        <v>0.51736111111111105</v>
      </c>
      <c r="AS71" s="15">
        <v>0.52083333333333337</v>
      </c>
      <c r="AT71" s="15">
        <v>0.52430555555555558</v>
      </c>
      <c r="AU71" s="15">
        <v>0.52777777777777779</v>
      </c>
      <c r="AV71" s="15">
        <v>0.53125</v>
      </c>
      <c r="AW71" s="15">
        <v>0.53472222222222221</v>
      </c>
      <c r="AX71" s="15">
        <v>0.53819444444444442</v>
      </c>
      <c r="AY71" s="15">
        <v>0.54166666666666663</v>
      </c>
      <c r="AZ71" s="15">
        <v>0.54513888888888895</v>
      </c>
      <c r="BA71" s="15">
        <v>0.54861111111111105</v>
      </c>
      <c r="BB71" s="15">
        <v>0.55208333333333337</v>
      </c>
      <c r="BC71" s="15">
        <v>0.55555555555555558</v>
      </c>
      <c r="BD71" s="15">
        <v>0.55902777777777779</v>
      </c>
      <c r="BE71" s="15">
        <v>0.5625</v>
      </c>
      <c r="BF71" s="15">
        <v>0.56597222222222221</v>
      </c>
      <c r="BG71" s="15">
        <v>0.56944444444444442</v>
      </c>
      <c r="BH71" s="15">
        <v>0.57291666666666663</v>
      </c>
      <c r="BI71" s="15">
        <v>0.57638888888888895</v>
      </c>
      <c r="BJ71" s="15">
        <v>0.57986111111111105</v>
      </c>
      <c r="BK71" s="15">
        <v>0.58333333333333337</v>
      </c>
      <c r="BL71" s="15">
        <v>0.58680555555555558</v>
      </c>
      <c r="BM71" s="15">
        <v>0.59027777777777779</v>
      </c>
      <c r="BN71" s="15">
        <v>0.59375</v>
      </c>
      <c r="BO71" s="15">
        <v>0.59722222222222221</v>
      </c>
      <c r="BP71" s="15">
        <v>0.60069444444444442</v>
      </c>
      <c r="BQ71" s="15">
        <v>0.60416666666666663</v>
      </c>
      <c r="BR71" s="15">
        <v>0.60763888888888895</v>
      </c>
      <c r="BS71" s="15">
        <v>0.61111111111111105</v>
      </c>
      <c r="BT71" s="15">
        <v>0.61458333333333337</v>
      </c>
      <c r="BU71" s="15">
        <v>0.61805555555555558</v>
      </c>
      <c r="BV71" s="15">
        <v>0.62152777777777779</v>
      </c>
      <c r="BW71" s="15">
        <v>0.625</v>
      </c>
      <c r="BX71" s="15">
        <v>0.62847222222222221</v>
      </c>
      <c r="BY71" s="15">
        <v>0.63194444444444442</v>
      </c>
      <c r="BZ71" s="15">
        <v>0.63541666666666663</v>
      </c>
      <c r="CA71" s="15">
        <v>0.63888888888888895</v>
      </c>
      <c r="CB71" s="15">
        <v>0.64236111111111105</v>
      </c>
      <c r="CC71" s="15">
        <v>0.64583333333333337</v>
      </c>
      <c r="CD71" s="15">
        <v>0.64930555555555558</v>
      </c>
      <c r="CE71" s="15">
        <v>0.65277777777777779</v>
      </c>
      <c r="CF71" s="15">
        <v>0.65625</v>
      </c>
      <c r="CG71" s="15">
        <v>0.65972222222222221</v>
      </c>
      <c r="CH71" s="15">
        <v>0.66319444444444442</v>
      </c>
      <c r="CI71" s="15">
        <v>0.66666666666666663</v>
      </c>
      <c r="CJ71" s="15">
        <v>0.67013888888888884</v>
      </c>
      <c r="CK71" s="15">
        <v>0.67361111111111116</v>
      </c>
      <c r="CL71" s="15">
        <v>0.67708333333333337</v>
      </c>
      <c r="CM71" s="15">
        <v>0.68055555555555547</v>
      </c>
      <c r="CN71" s="15">
        <v>0.68402777777777779</v>
      </c>
      <c r="CO71" s="15">
        <v>0.6875</v>
      </c>
      <c r="CP71" s="15">
        <v>0.69097222222222221</v>
      </c>
      <c r="CQ71" s="15">
        <v>0.69444444444444453</v>
      </c>
      <c r="CR71" s="15">
        <v>0.69791666666666663</v>
      </c>
      <c r="CS71" s="15">
        <v>0.70138888888888884</v>
      </c>
      <c r="CT71" s="15">
        <v>0.70486111111111116</v>
      </c>
      <c r="CU71" s="15">
        <v>0.70833333333333337</v>
      </c>
      <c r="CV71" s="15">
        <v>0.71180555555555547</v>
      </c>
      <c r="CW71" s="15">
        <v>0.71527777777777779</v>
      </c>
      <c r="CX71" s="15">
        <v>0.71875</v>
      </c>
      <c r="CY71" s="15">
        <v>0.72222222222222221</v>
      </c>
      <c r="CZ71" s="15">
        <v>0.71875</v>
      </c>
      <c r="DA71" s="15">
        <v>0.72569444444444453</v>
      </c>
      <c r="DB71" s="15">
        <v>0.72916666666666663</v>
      </c>
      <c r="DC71" s="15">
        <v>0.73263888888888884</v>
      </c>
      <c r="DD71" s="15">
        <v>0.73611111111111116</v>
      </c>
      <c r="DE71" s="15">
        <v>0.73958333333333337</v>
      </c>
      <c r="DF71" s="15">
        <v>0.74305555555555547</v>
      </c>
      <c r="DG71" s="15">
        <v>0.74652777777777779</v>
      </c>
      <c r="DH71" s="15">
        <v>0.75</v>
      </c>
    </row>
    <row r="72" spans="1:112" ht="15.75" x14ac:dyDescent="0.25">
      <c r="A72" s="14">
        <v>44309</v>
      </c>
      <c r="B72" s="12" t="s">
        <v>6</v>
      </c>
      <c r="C72" s="13">
        <v>5520</v>
      </c>
      <c r="D72" s="13">
        <v>5505</v>
      </c>
      <c r="E72" s="13">
        <v>5505</v>
      </c>
      <c r="F72" s="13">
        <v>5495.25</v>
      </c>
      <c r="G72" s="13">
        <v>5513.21</v>
      </c>
      <c r="H72" s="13">
        <v>5498.76</v>
      </c>
      <c r="I72" s="13">
        <v>5498.97</v>
      </c>
      <c r="J72" s="13">
        <v>5498.99</v>
      </c>
      <c r="K72" s="13">
        <v>5499.51</v>
      </c>
      <c r="L72" s="13">
        <v>5500.49</v>
      </c>
      <c r="M72" s="13">
        <v>5498.72</v>
      </c>
      <c r="N72" s="13">
        <v>5496.99</v>
      </c>
      <c r="O72" s="13">
        <v>5496.25</v>
      </c>
      <c r="P72" s="13">
        <v>5498.92</v>
      </c>
      <c r="Q72" s="13">
        <v>5499.8</v>
      </c>
      <c r="R72" s="13">
        <v>5503.14</v>
      </c>
      <c r="S72" s="13">
        <v>5504.06</v>
      </c>
      <c r="T72" s="13">
        <v>5504.65</v>
      </c>
      <c r="U72" s="13">
        <v>5505.6</v>
      </c>
      <c r="V72" s="13">
        <v>5505.29</v>
      </c>
      <c r="W72" s="13">
        <v>5503.76</v>
      </c>
      <c r="X72" s="13">
        <v>5503.72</v>
      </c>
      <c r="Y72" s="13">
        <v>5504.16</v>
      </c>
      <c r="Z72" s="13">
        <v>5504.9</v>
      </c>
      <c r="AA72" s="13">
        <v>5505.97</v>
      </c>
      <c r="AB72" s="13">
        <v>5512.63</v>
      </c>
      <c r="AC72" s="13">
        <v>5512.4</v>
      </c>
      <c r="AD72" s="13">
        <v>5512.44</v>
      </c>
      <c r="AE72" s="13">
        <v>5514.59</v>
      </c>
      <c r="AF72" s="13">
        <v>5515.75</v>
      </c>
      <c r="AG72" s="13">
        <v>5515.95</v>
      </c>
      <c r="AH72" s="13">
        <v>5514.63</v>
      </c>
      <c r="AI72" s="13">
        <v>5514.21</v>
      </c>
      <c r="AJ72" s="13">
        <v>5514.85</v>
      </c>
      <c r="AK72" s="13">
        <v>5515.3</v>
      </c>
      <c r="AL72" s="13">
        <v>5517.66</v>
      </c>
      <c r="AM72" s="13">
        <v>5517.67</v>
      </c>
      <c r="AN72" s="13">
        <v>5518.1</v>
      </c>
      <c r="AO72" s="13">
        <v>5517.61</v>
      </c>
      <c r="AP72" s="13">
        <v>5518.34</v>
      </c>
      <c r="AQ72" s="13">
        <v>5522.49</v>
      </c>
      <c r="AR72" s="13">
        <v>5522.17</v>
      </c>
      <c r="AS72" s="13">
        <v>5526.39</v>
      </c>
      <c r="AT72" s="13">
        <v>5537.36</v>
      </c>
      <c r="AU72" s="13">
        <v>5539.96</v>
      </c>
      <c r="AV72" s="13">
        <v>5537.37</v>
      </c>
      <c r="AW72" s="13">
        <v>5535.15</v>
      </c>
      <c r="AX72" s="13">
        <v>5528.49</v>
      </c>
      <c r="AY72" s="13">
        <v>5525.35</v>
      </c>
      <c r="AZ72" s="13">
        <v>5527.32</v>
      </c>
      <c r="BA72" s="13">
        <v>5528.59</v>
      </c>
      <c r="BB72" s="13">
        <v>5530.18</v>
      </c>
      <c r="BC72" s="13">
        <v>5529.27</v>
      </c>
      <c r="BD72" s="13">
        <v>5529.68</v>
      </c>
      <c r="BE72" s="13">
        <v>5529.91</v>
      </c>
      <c r="BF72" s="13">
        <v>5528.36</v>
      </c>
      <c r="BG72" s="13">
        <v>5529.2</v>
      </c>
      <c r="BH72" s="13">
        <v>5528.25</v>
      </c>
      <c r="BI72" s="13">
        <v>5528.19</v>
      </c>
      <c r="BJ72" s="13">
        <v>5527.43</v>
      </c>
      <c r="BK72" s="13">
        <v>5526.89</v>
      </c>
      <c r="BL72" s="13">
        <v>5524.83</v>
      </c>
      <c r="BM72" s="13">
        <v>5520.38</v>
      </c>
      <c r="BN72" s="13">
        <v>5520.63</v>
      </c>
      <c r="BO72" s="13">
        <v>5519.29</v>
      </c>
      <c r="BP72" s="13">
        <v>5520</v>
      </c>
      <c r="BQ72" s="13">
        <v>5519.51</v>
      </c>
      <c r="BR72" s="13">
        <v>5528.26</v>
      </c>
      <c r="BS72" s="13">
        <v>5715.06</v>
      </c>
      <c r="BT72" s="13">
        <v>5521.69</v>
      </c>
      <c r="BU72" s="13">
        <v>5524.63</v>
      </c>
      <c r="BV72" s="13">
        <v>5524.08</v>
      </c>
      <c r="BW72" s="13">
        <v>5527.09</v>
      </c>
      <c r="BX72" s="13">
        <v>5525.58</v>
      </c>
      <c r="BY72" s="13">
        <v>5526.48</v>
      </c>
      <c r="BZ72" s="13">
        <v>5524.98</v>
      </c>
      <c r="CA72" s="13">
        <v>5523.8</v>
      </c>
      <c r="CB72" s="13">
        <v>5525.58</v>
      </c>
      <c r="CC72" s="13">
        <v>5524.34</v>
      </c>
      <c r="CD72" s="13">
        <v>5526.3</v>
      </c>
      <c r="CE72" s="13">
        <v>5524.34</v>
      </c>
      <c r="CF72" s="13">
        <v>5524.77</v>
      </c>
      <c r="CG72" s="13">
        <v>5525.58</v>
      </c>
      <c r="CH72" s="13">
        <v>5525.21</v>
      </c>
      <c r="CI72" s="13">
        <v>5522.11</v>
      </c>
      <c r="CJ72" s="13">
        <v>5523.47</v>
      </c>
      <c r="CK72" s="13">
        <v>5523.04</v>
      </c>
      <c r="CL72" s="13">
        <v>5523.85</v>
      </c>
      <c r="CM72" s="13">
        <v>5522.6</v>
      </c>
      <c r="CN72" s="13">
        <v>5523.85</v>
      </c>
      <c r="CO72" s="13">
        <v>5524.28</v>
      </c>
      <c r="CP72" s="13">
        <v>5523.65</v>
      </c>
      <c r="CQ72" s="13">
        <v>5524.28</v>
      </c>
      <c r="CR72" s="13">
        <v>5524.72</v>
      </c>
      <c r="CS72" s="13">
        <v>5527.35</v>
      </c>
      <c r="CT72" s="13">
        <v>5525.21</v>
      </c>
      <c r="CU72" s="13">
        <v>5525.23</v>
      </c>
      <c r="CV72" s="13">
        <v>5521.25</v>
      </c>
      <c r="CW72" s="13">
        <v>5521.7</v>
      </c>
      <c r="CX72" s="13">
        <v>5521.16</v>
      </c>
      <c r="CY72" s="13">
        <v>5518.2</v>
      </c>
      <c r="CZ72" s="13">
        <v>5514.65</v>
      </c>
      <c r="DA72" s="13">
        <v>5517.76</v>
      </c>
      <c r="DB72" s="13">
        <v>5515.85</v>
      </c>
      <c r="DC72" s="13">
        <v>5514.7</v>
      </c>
      <c r="DD72" s="13">
        <v>5525.19</v>
      </c>
      <c r="DE72" s="13">
        <v>5524.61</v>
      </c>
      <c r="DF72" s="13">
        <v>5516.86</v>
      </c>
      <c r="DG72" s="13">
        <v>5524.13</v>
      </c>
      <c r="DH72" s="13">
        <v>5526.93</v>
      </c>
    </row>
    <row r="73" spans="1:112" ht="15.75" x14ac:dyDescent="0.25">
      <c r="A73" s="14" t="s">
        <v>12</v>
      </c>
      <c r="B73" s="12" t="s">
        <v>10</v>
      </c>
      <c r="C73" s="13">
        <v>5520</v>
      </c>
      <c r="D73" s="13">
        <v>5477.14</v>
      </c>
      <c r="E73" s="13">
        <v>5455.25</v>
      </c>
      <c r="F73" s="13">
        <v>5494.22</v>
      </c>
      <c r="G73" s="13">
        <v>5495.88</v>
      </c>
      <c r="H73" s="13">
        <v>5493.42</v>
      </c>
      <c r="I73" s="13">
        <v>5493.99</v>
      </c>
      <c r="J73" s="13">
        <v>5495.96</v>
      </c>
      <c r="K73" s="13">
        <v>5494.92</v>
      </c>
      <c r="L73" s="13">
        <v>5493.99</v>
      </c>
      <c r="M73" s="13">
        <v>5496.44</v>
      </c>
      <c r="N73" s="13">
        <v>5494.87</v>
      </c>
      <c r="O73" s="13">
        <v>5495.13</v>
      </c>
      <c r="P73" s="13">
        <v>5498.92</v>
      </c>
      <c r="Q73" s="13">
        <v>5496.52</v>
      </c>
      <c r="R73" s="13">
        <v>5499.49</v>
      </c>
      <c r="S73" s="13">
        <v>5500.76</v>
      </c>
      <c r="T73" s="13">
        <v>5501.67</v>
      </c>
      <c r="U73" s="13">
        <v>5502.12</v>
      </c>
      <c r="V73" s="13">
        <v>5499.05</v>
      </c>
      <c r="W73" s="13">
        <v>5500.33</v>
      </c>
      <c r="X73" s="13">
        <v>5500.32</v>
      </c>
      <c r="Y73" s="13">
        <v>5499.68</v>
      </c>
      <c r="Z73" s="13">
        <v>5501.83</v>
      </c>
      <c r="AA73" s="13">
        <v>5499.73</v>
      </c>
      <c r="AB73" s="13">
        <v>5508.94</v>
      </c>
      <c r="AC73" s="13">
        <v>5510.25</v>
      </c>
      <c r="AD73" s="13">
        <v>5511.97</v>
      </c>
      <c r="AE73" s="13">
        <v>5512.1</v>
      </c>
      <c r="AF73" s="13">
        <v>5511.75</v>
      </c>
      <c r="AG73" s="13">
        <v>5510.01</v>
      </c>
      <c r="AH73" s="13">
        <v>5511.37</v>
      </c>
      <c r="AI73" s="13">
        <v>5512.36</v>
      </c>
      <c r="AJ73" s="13">
        <v>5512.99</v>
      </c>
      <c r="AK73" s="13">
        <v>5512.19</v>
      </c>
      <c r="AL73" s="13">
        <v>5514.44</v>
      </c>
      <c r="AM73" s="13">
        <v>5516.07</v>
      </c>
      <c r="AN73" s="13">
        <v>5514.92</v>
      </c>
      <c r="AO73" s="13">
        <v>5515.25</v>
      </c>
      <c r="AP73" s="13">
        <v>5516.61</v>
      </c>
      <c r="AQ73" s="13">
        <v>5519.6</v>
      </c>
      <c r="AR73" s="13">
        <v>5520.62</v>
      </c>
      <c r="AS73" s="13">
        <v>5526.17</v>
      </c>
      <c r="AT73" s="13">
        <v>5531.29</v>
      </c>
      <c r="AU73" s="13">
        <v>5535.67</v>
      </c>
      <c r="AV73" s="13">
        <v>5535.09</v>
      </c>
      <c r="AW73" s="13">
        <v>5527.98</v>
      </c>
      <c r="AX73" s="13">
        <v>5523.55</v>
      </c>
      <c r="AY73" s="13">
        <v>5524.55</v>
      </c>
      <c r="AZ73" s="13">
        <v>5526.88</v>
      </c>
      <c r="BA73" s="13">
        <v>5524.09</v>
      </c>
      <c r="BB73" s="13">
        <v>5527.91</v>
      </c>
      <c r="BC73" s="13">
        <v>5526.43</v>
      </c>
      <c r="BD73" s="13">
        <v>5526.49</v>
      </c>
      <c r="BE73" s="13">
        <v>5526.84</v>
      </c>
      <c r="BF73" s="13">
        <v>5522.94</v>
      </c>
      <c r="BG73" s="13">
        <v>5525.55</v>
      </c>
      <c r="BH73" s="13">
        <v>5526.94</v>
      </c>
      <c r="BI73" s="13">
        <v>5525.07</v>
      </c>
      <c r="BJ73" s="13">
        <v>5523.83</v>
      </c>
      <c r="BK73" s="13">
        <v>5522.17</v>
      </c>
      <c r="BL73" s="13">
        <v>5522.55</v>
      </c>
      <c r="BM73" s="13">
        <v>5519.08</v>
      </c>
      <c r="BN73" s="13">
        <v>5515.12</v>
      </c>
      <c r="BO73" s="13">
        <v>5514.21</v>
      </c>
      <c r="BP73" s="13">
        <v>5513.81</v>
      </c>
      <c r="BQ73" s="13">
        <v>5511.36</v>
      </c>
      <c r="BR73" s="13">
        <v>5520.25</v>
      </c>
      <c r="BS73" s="13">
        <v>5519.84</v>
      </c>
      <c r="BT73" s="13">
        <v>5520.79</v>
      </c>
      <c r="BU73" s="13">
        <v>5522.41</v>
      </c>
      <c r="BV73" s="13">
        <v>5521.24</v>
      </c>
      <c r="BW73" s="13">
        <v>5523.9</v>
      </c>
      <c r="BX73" s="13">
        <v>5522.93</v>
      </c>
      <c r="BY73" s="13">
        <v>5522.19</v>
      </c>
      <c r="BZ73" s="13">
        <v>5520.29</v>
      </c>
      <c r="CA73" s="13">
        <v>5521.44</v>
      </c>
      <c r="CB73" s="13">
        <v>5519.76</v>
      </c>
      <c r="CC73" s="13">
        <v>5521.21</v>
      </c>
      <c r="CD73" s="13">
        <v>5519.37</v>
      </c>
      <c r="CE73" s="13">
        <v>5521.38</v>
      </c>
      <c r="CF73" s="13">
        <v>5518.59</v>
      </c>
      <c r="CG73" s="13">
        <v>5522.52</v>
      </c>
      <c r="CH73" s="13">
        <v>5517.1</v>
      </c>
      <c r="CI73" s="13">
        <v>5518.81</v>
      </c>
      <c r="CJ73" s="13">
        <v>5518.02</v>
      </c>
      <c r="CK73" s="13">
        <v>5519.9</v>
      </c>
      <c r="CL73" s="13">
        <v>5522.23</v>
      </c>
      <c r="CM73" s="13">
        <v>5519.07</v>
      </c>
      <c r="CN73" s="13">
        <v>5520.24</v>
      </c>
      <c r="CO73" s="13">
        <v>5521</v>
      </c>
      <c r="CP73" s="13">
        <v>5520.92</v>
      </c>
      <c r="CQ73" s="13">
        <v>5519.84</v>
      </c>
      <c r="CR73" s="13">
        <v>5521.55</v>
      </c>
      <c r="CS73" s="13">
        <v>5522.17</v>
      </c>
      <c r="CT73" s="13">
        <v>5521.38</v>
      </c>
      <c r="CU73" s="13">
        <v>5518.19</v>
      </c>
      <c r="CV73" s="13">
        <v>5514.58</v>
      </c>
      <c r="CW73" s="13">
        <v>5518.41</v>
      </c>
      <c r="CX73" s="13">
        <v>5516.92</v>
      </c>
      <c r="CY73" s="13">
        <v>5514.65</v>
      </c>
      <c r="CZ73" s="13">
        <v>5514.65</v>
      </c>
      <c r="DA73" s="13">
        <v>5514.2</v>
      </c>
      <c r="DB73" s="13">
        <v>5514.7</v>
      </c>
      <c r="DC73" s="13">
        <v>5513.2</v>
      </c>
      <c r="DD73" s="13">
        <v>5511.71</v>
      </c>
      <c r="DE73" s="13">
        <v>5511.15</v>
      </c>
      <c r="DF73" s="13">
        <v>5509.95</v>
      </c>
      <c r="DG73" s="13">
        <v>5508.34</v>
      </c>
      <c r="DH73" s="13">
        <v>5509.32</v>
      </c>
    </row>
    <row r="74" spans="1:112" ht="15.75" x14ac:dyDescent="0.25">
      <c r="A74" s="14" t="s">
        <v>12</v>
      </c>
      <c r="B74" s="12" t="s">
        <v>9</v>
      </c>
      <c r="C74" s="13">
        <v>5440</v>
      </c>
      <c r="D74" s="13">
        <v>5440.4</v>
      </c>
      <c r="E74" s="13">
        <v>5439.64</v>
      </c>
      <c r="F74" s="13">
        <v>5438.76</v>
      </c>
      <c r="G74" s="13">
        <v>5445.38</v>
      </c>
      <c r="H74" s="13">
        <v>5439.9</v>
      </c>
      <c r="I74" s="13">
        <v>5443.76</v>
      </c>
      <c r="J74" s="13">
        <v>5441.67</v>
      </c>
      <c r="K74" s="13">
        <v>5439.42</v>
      </c>
      <c r="L74" s="13">
        <v>5442.08</v>
      </c>
      <c r="M74" s="13">
        <v>5447.46</v>
      </c>
      <c r="N74" s="13">
        <v>5445.75</v>
      </c>
      <c r="O74" s="13">
        <v>5444.13</v>
      </c>
      <c r="P74" s="13">
        <v>5445.04</v>
      </c>
      <c r="Q74" s="13">
        <v>5447.5</v>
      </c>
      <c r="R74" s="13">
        <v>5447.46</v>
      </c>
      <c r="S74" s="13">
        <v>5451.08</v>
      </c>
      <c r="T74" s="13">
        <v>5452.58</v>
      </c>
      <c r="U74" s="13">
        <v>5452.58</v>
      </c>
      <c r="V74" s="13">
        <v>5447</v>
      </c>
      <c r="W74" s="13">
        <v>5449.67</v>
      </c>
      <c r="X74" s="13">
        <v>5449.21</v>
      </c>
      <c r="Y74" s="13">
        <v>5448.54</v>
      </c>
      <c r="Z74" s="13">
        <v>5447</v>
      </c>
      <c r="AA74" s="13">
        <v>5452.17</v>
      </c>
      <c r="AB74" s="13">
        <v>5464.13</v>
      </c>
      <c r="AC74" s="13">
        <v>5464.7</v>
      </c>
      <c r="AD74" s="13">
        <v>5465.91</v>
      </c>
      <c r="AE74" s="13">
        <v>5466.09</v>
      </c>
      <c r="AF74" s="13">
        <v>5461.22</v>
      </c>
      <c r="AG74" s="13">
        <v>5459.74</v>
      </c>
      <c r="AH74" s="13">
        <v>5461.87</v>
      </c>
      <c r="AI74" s="13">
        <v>5464.13</v>
      </c>
      <c r="AJ74" s="13">
        <v>5465.22</v>
      </c>
      <c r="AK74" s="13">
        <v>5464.57</v>
      </c>
      <c r="AL74" s="13">
        <v>5462.18</v>
      </c>
      <c r="AM74" s="13">
        <v>5466.05</v>
      </c>
      <c r="AN74" s="13">
        <v>5472.05</v>
      </c>
      <c r="AO74" s="13">
        <v>5467.71</v>
      </c>
      <c r="AP74" s="13">
        <v>5475.43</v>
      </c>
      <c r="AQ74" s="13">
        <v>5478.9</v>
      </c>
      <c r="AR74" s="13">
        <v>5479.43</v>
      </c>
      <c r="AS74" s="13">
        <v>5479.48</v>
      </c>
      <c r="AT74" s="13">
        <v>5488.9</v>
      </c>
      <c r="AU74" s="13">
        <v>5492.76</v>
      </c>
      <c r="AV74" s="13">
        <v>5480.13</v>
      </c>
      <c r="AW74" s="13">
        <v>5486.9</v>
      </c>
      <c r="AX74" s="13">
        <v>5468.82</v>
      </c>
      <c r="AY74" s="13">
        <v>5477.95</v>
      </c>
      <c r="AZ74" s="13">
        <v>5481.59</v>
      </c>
      <c r="BA74" s="13">
        <v>5481.7</v>
      </c>
      <c r="BB74" s="13">
        <v>5485.79</v>
      </c>
      <c r="BC74" s="13">
        <v>5481.25</v>
      </c>
      <c r="BD74" s="13">
        <v>5484.89</v>
      </c>
      <c r="BE74" s="13">
        <v>5485.36</v>
      </c>
      <c r="BF74" s="13">
        <v>5481.32</v>
      </c>
      <c r="BG74" s="13">
        <v>5484.21</v>
      </c>
      <c r="BH74" s="13">
        <v>5483.39</v>
      </c>
      <c r="BI74" s="13">
        <v>5484.32</v>
      </c>
      <c r="BJ74" s="13">
        <v>5482.82</v>
      </c>
      <c r="BK74" s="13">
        <v>5481.89</v>
      </c>
      <c r="BL74" s="13">
        <v>5478.29</v>
      </c>
      <c r="BM74" s="13">
        <v>5470.64</v>
      </c>
      <c r="BN74" s="13">
        <v>5471.11</v>
      </c>
      <c r="BO74" s="13">
        <v>5470.75</v>
      </c>
      <c r="BP74" s="13">
        <v>5470.46</v>
      </c>
      <c r="BQ74" s="13">
        <v>5467.63</v>
      </c>
      <c r="BR74" s="13">
        <v>5472.93</v>
      </c>
      <c r="BS74" s="13">
        <v>5474</v>
      </c>
      <c r="BT74" s="13">
        <v>5473.78</v>
      </c>
      <c r="BU74" s="13">
        <v>5475.44</v>
      </c>
      <c r="BV74" s="13">
        <v>5477.11</v>
      </c>
      <c r="BW74" s="13">
        <v>5478</v>
      </c>
      <c r="BX74" s="13">
        <v>5479.66</v>
      </c>
      <c r="BY74" s="13">
        <v>5479.14</v>
      </c>
      <c r="BZ74" s="13">
        <v>5476.5</v>
      </c>
      <c r="CA74" s="13">
        <v>5478.79</v>
      </c>
      <c r="CB74" s="13">
        <v>5476.04</v>
      </c>
      <c r="CC74" s="13">
        <v>5477.11</v>
      </c>
      <c r="CD74" s="13">
        <v>5476.11</v>
      </c>
      <c r="CE74" s="13">
        <v>5477</v>
      </c>
      <c r="CF74" s="13">
        <v>5475.64</v>
      </c>
      <c r="CG74" s="13">
        <v>5478.14</v>
      </c>
      <c r="CH74" s="13">
        <v>5473.54</v>
      </c>
      <c r="CI74" s="13">
        <v>5474.64</v>
      </c>
      <c r="CJ74" s="13">
        <v>5474.54</v>
      </c>
      <c r="CK74" s="13">
        <v>5475.93</v>
      </c>
      <c r="CL74" s="13">
        <v>5474.14</v>
      </c>
      <c r="CM74" s="13">
        <v>5475.14</v>
      </c>
      <c r="CN74" s="13">
        <v>5475.93</v>
      </c>
      <c r="CO74" s="13">
        <v>5475.61</v>
      </c>
      <c r="CP74" s="13">
        <v>5476.64</v>
      </c>
      <c r="CQ74" s="13">
        <v>5475.64</v>
      </c>
      <c r="CR74" s="13">
        <v>5476.89</v>
      </c>
      <c r="CS74" s="13">
        <v>5477.54</v>
      </c>
      <c r="CT74" s="13">
        <v>5477.04</v>
      </c>
      <c r="CU74" s="13">
        <v>5476</v>
      </c>
      <c r="CV74" s="13">
        <v>5470.93</v>
      </c>
      <c r="CW74" s="13">
        <v>5475.96</v>
      </c>
      <c r="CX74" s="13">
        <v>5474.12</v>
      </c>
      <c r="CY74" s="13">
        <v>5472.38</v>
      </c>
      <c r="CZ74" s="13">
        <v>5472.27</v>
      </c>
      <c r="DA74" s="13">
        <v>5469.04</v>
      </c>
      <c r="DB74" s="13">
        <v>5467.64</v>
      </c>
      <c r="DC74" s="13">
        <v>5466.76</v>
      </c>
      <c r="DD74" s="13">
        <v>5467.08</v>
      </c>
      <c r="DE74" s="13">
        <v>5468.56</v>
      </c>
      <c r="DF74" s="13">
        <v>5467.88</v>
      </c>
      <c r="DG74" s="13">
        <v>5462.24</v>
      </c>
      <c r="DH74" s="13">
        <v>5459</v>
      </c>
    </row>
    <row r="75" spans="1:112" ht="15.75" x14ac:dyDescent="0.25">
      <c r="A75" s="14" t="s">
        <v>12</v>
      </c>
      <c r="B75" s="12" t="s">
        <v>7</v>
      </c>
      <c r="C75" s="13">
        <v>5440</v>
      </c>
      <c r="D75" s="13">
        <v>5430</v>
      </c>
      <c r="E75" s="13">
        <v>5435.07</v>
      </c>
      <c r="F75" s="13">
        <v>5433.29</v>
      </c>
      <c r="G75" s="13">
        <v>5428.85</v>
      </c>
      <c r="H75" s="13">
        <v>5429.82</v>
      </c>
      <c r="I75" s="13">
        <v>5429.82</v>
      </c>
      <c r="J75" s="13">
        <v>5437.53</v>
      </c>
      <c r="K75" s="13">
        <v>5434.2</v>
      </c>
      <c r="L75" s="13">
        <v>5428</v>
      </c>
      <c r="M75" s="13">
        <v>5429.5</v>
      </c>
      <c r="N75" s="13">
        <v>5431.88</v>
      </c>
      <c r="O75" s="13">
        <v>5429.5</v>
      </c>
      <c r="P75" s="13">
        <v>5438.6</v>
      </c>
      <c r="Q75" s="13">
        <v>5441.45</v>
      </c>
      <c r="R75" s="13">
        <v>5429.95</v>
      </c>
      <c r="S75" s="13">
        <v>5430.55</v>
      </c>
      <c r="T75" s="13">
        <v>5443.05</v>
      </c>
      <c r="U75" s="13">
        <v>5431.45</v>
      </c>
      <c r="V75" s="13">
        <v>5438.95</v>
      </c>
      <c r="W75" s="13">
        <v>5431.94</v>
      </c>
      <c r="X75" s="13">
        <v>5432.63</v>
      </c>
      <c r="Y75" s="13">
        <v>5442.45</v>
      </c>
      <c r="Z75" s="13">
        <v>5431.15</v>
      </c>
      <c r="AA75" s="13">
        <v>5431.6</v>
      </c>
      <c r="AB75" s="13">
        <v>5450.29</v>
      </c>
      <c r="AC75" s="13">
        <v>5449.11</v>
      </c>
      <c r="AD75" s="13">
        <v>5440.6</v>
      </c>
      <c r="AE75" s="13">
        <v>5454.95</v>
      </c>
      <c r="AF75" s="13">
        <v>5455.43</v>
      </c>
      <c r="AG75" s="13">
        <v>5434.47</v>
      </c>
      <c r="AH75" s="13">
        <v>5434.47</v>
      </c>
      <c r="AI75" s="13">
        <v>5453.68</v>
      </c>
      <c r="AJ75" s="13">
        <v>5454.74</v>
      </c>
      <c r="AK75" s="13">
        <v>5450.63</v>
      </c>
      <c r="AL75" s="13">
        <v>5460.22</v>
      </c>
      <c r="AM75" s="13">
        <v>5446.85</v>
      </c>
      <c r="AN75" s="13">
        <v>5457.59</v>
      </c>
      <c r="AO75" s="13">
        <v>5438.47</v>
      </c>
      <c r="AP75" s="13">
        <v>5446.54</v>
      </c>
      <c r="AQ75" s="13">
        <v>5438.22</v>
      </c>
      <c r="AR75" s="13">
        <v>5471.26</v>
      </c>
      <c r="AS75" s="13">
        <v>5467</v>
      </c>
      <c r="AT75" s="13">
        <v>5457.75</v>
      </c>
      <c r="AU75" s="13">
        <v>5479.88</v>
      </c>
      <c r="AV75" s="13">
        <v>5480.13</v>
      </c>
      <c r="AW75" s="13">
        <v>5472.53</v>
      </c>
      <c r="AX75" s="13">
        <v>5450.54</v>
      </c>
      <c r="AY75" s="13">
        <v>5449.69</v>
      </c>
      <c r="AZ75" s="13">
        <v>5469.35</v>
      </c>
      <c r="BA75" s="13">
        <v>5475.91</v>
      </c>
      <c r="BB75" s="13">
        <v>5456.48</v>
      </c>
      <c r="BC75" s="13">
        <v>5474.67</v>
      </c>
      <c r="BD75" s="13">
        <v>5463.1</v>
      </c>
      <c r="BE75" s="13">
        <v>5475.5</v>
      </c>
      <c r="BF75" s="13">
        <v>5473.88</v>
      </c>
      <c r="BG75" s="13">
        <v>5481.89</v>
      </c>
      <c r="BH75" s="13">
        <v>5447.82</v>
      </c>
      <c r="BI75" s="13">
        <v>5474.21</v>
      </c>
      <c r="BJ75" s="13">
        <v>5473.33</v>
      </c>
      <c r="BK75" s="13">
        <v>5481.89</v>
      </c>
      <c r="BL75" s="13">
        <v>5459.2</v>
      </c>
      <c r="BM75" s="13">
        <v>5441.91</v>
      </c>
      <c r="BN75" s="13">
        <v>5464.22</v>
      </c>
      <c r="BO75" s="13">
        <v>5465.26</v>
      </c>
      <c r="BP75" s="13">
        <v>5452.6</v>
      </c>
      <c r="BQ75" s="13">
        <v>5456.67</v>
      </c>
      <c r="BR75" s="13">
        <v>5464.28</v>
      </c>
      <c r="BS75" s="13">
        <v>5169.45</v>
      </c>
      <c r="BT75" s="13">
        <v>5451.89</v>
      </c>
      <c r="BU75" s="13">
        <v>5439.62</v>
      </c>
      <c r="BV75" s="13">
        <v>5455.5</v>
      </c>
      <c r="BW75" s="13">
        <v>5468.13</v>
      </c>
      <c r="BX75" s="13">
        <v>5473.33</v>
      </c>
      <c r="BY75" s="13">
        <v>5469.92</v>
      </c>
      <c r="BZ75" s="13">
        <v>5468.13</v>
      </c>
      <c r="CA75" s="13">
        <v>5464.75</v>
      </c>
      <c r="CB75" s="13">
        <v>5466.5</v>
      </c>
      <c r="CC75" s="13">
        <v>5466.67</v>
      </c>
      <c r="CD75" s="13">
        <v>5467.17</v>
      </c>
      <c r="CE75" s="13">
        <v>5466.92</v>
      </c>
      <c r="CF75" s="13">
        <v>5466.63</v>
      </c>
      <c r="CG75" s="13">
        <v>5465.67</v>
      </c>
      <c r="CH75" s="13">
        <v>5465.5</v>
      </c>
      <c r="CI75" s="13">
        <v>5465.04</v>
      </c>
      <c r="CJ75" s="13">
        <v>5465.88</v>
      </c>
      <c r="CK75" s="13">
        <v>5466.8</v>
      </c>
      <c r="CL75" s="13">
        <v>5465.54</v>
      </c>
      <c r="CM75" s="13">
        <v>5465.54</v>
      </c>
      <c r="CN75" s="13">
        <v>5466.25</v>
      </c>
      <c r="CO75" s="13">
        <v>5466.63</v>
      </c>
      <c r="CP75" s="13">
        <v>5466.79</v>
      </c>
      <c r="CQ75" s="13">
        <v>5467</v>
      </c>
      <c r="CR75" s="13">
        <v>5465.88</v>
      </c>
      <c r="CS75" s="13">
        <v>5467.42</v>
      </c>
      <c r="CT75" s="13">
        <v>5467.67</v>
      </c>
      <c r="CU75" s="13">
        <v>5470.19</v>
      </c>
      <c r="CV75" s="13">
        <v>5465.31</v>
      </c>
      <c r="CW75" s="13">
        <v>5460.6</v>
      </c>
      <c r="CX75" s="13">
        <v>5452.53</v>
      </c>
      <c r="CY75" s="13">
        <v>5439.62</v>
      </c>
      <c r="CZ75" s="13">
        <v>5472.27</v>
      </c>
      <c r="DA75" s="13">
        <v>5459.82</v>
      </c>
      <c r="DB75" s="13">
        <v>5450.79</v>
      </c>
      <c r="DC75" s="13">
        <v>5450.32</v>
      </c>
      <c r="DD75" s="13">
        <v>5453.39</v>
      </c>
      <c r="DE75" s="13">
        <v>5465.59</v>
      </c>
      <c r="DF75" s="13">
        <v>5462.45</v>
      </c>
      <c r="DG75" s="13">
        <v>5443.8</v>
      </c>
      <c r="DH75" s="13">
        <v>5448.07</v>
      </c>
    </row>
    <row r="76" spans="1:112" ht="15.75" x14ac:dyDescent="0.25">
      <c r="A76" s="11" t="s">
        <v>5</v>
      </c>
      <c r="B76" s="11" t="s">
        <v>11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</row>
    <row r="77" spans="1:112" ht="15.75" x14ac:dyDescent="0.25">
      <c r="A77" s="14">
        <v>44312</v>
      </c>
      <c r="B77" s="12" t="s">
        <v>6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</row>
    <row r="78" spans="1:112" ht="15.75" x14ac:dyDescent="0.25">
      <c r="A78" s="14" t="s">
        <v>12</v>
      </c>
      <c r="B78" s="12" t="s">
        <v>10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</row>
    <row r="79" spans="1:112" ht="15.75" x14ac:dyDescent="0.25">
      <c r="A79" s="14" t="s">
        <v>12</v>
      </c>
      <c r="B79" s="12" t="s">
        <v>9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</row>
    <row r="80" spans="1:112" ht="15.75" x14ac:dyDescent="0.25">
      <c r="A80" s="14" t="s">
        <v>12</v>
      </c>
      <c r="B80" s="12" t="s">
        <v>7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</row>
    <row r="81" spans="1:111" ht="15.75" x14ac:dyDescent="0.25">
      <c r="A81" s="11" t="s">
        <v>5</v>
      </c>
      <c r="B81" s="11" t="s">
        <v>11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</row>
    <row r="82" spans="1:111" ht="15.75" x14ac:dyDescent="0.25">
      <c r="A82" s="14">
        <v>44313</v>
      </c>
      <c r="B82" s="12" t="s">
        <v>6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</row>
    <row r="83" spans="1:111" ht="15.75" x14ac:dyDescent="0.25">
      <c r="A83" s="14" t="s">
        <v>12</v>
      </c>
      <c r="B83" s="12" t="s">
        <v>10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</row>
    <row r="84" spans="1:111" ht="15.75" x14ac:dyDescent="0.25">
      <c r="A84" s="14" t="s">
        <v>12</v>
      </c>
      <c r="B84" s="12" t="s">
        <v>9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</row>
    <row r="85" spans="1:111" ht="15.75" x14ac:dyDescent="0.25">
      <c r="A85" s="14" t="s">
        <v>12</v>
      </c>
      <c r="B85" s="12" t="s">
        <v>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</row>
    <row r="86" spans="1:111" ht="15.75" x14ac:dyDescent="0.25">
      <c r="A86" s="11" t="s">
        <v>5</v>
      </c>
      <c r="B86" s="11" t="s">
        <v>11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</row>
    <row r="87" spans="1:111" ht="15.75" x14ac:dyDescent="0.25">
      <c r="A87" s="14">
        <v>44314</v>
      </c>
      <c r="B87" s="12" t="s">
        <v>6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</row>
    <row r="88" spans="1:111" ht="15.75" x14ac:dyDescent="0.25">
      <c r="A88" s="14" t="s">
        <v>12</v>
      </c>
      <c r="B88" s="12" t="s">
        <v>10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</row>
    <row r="89" spans="1:111" ht="15.75" x14ac:dyDescent="0.25">
      <c r="A89" s="14" t="s">
        <v>12</v>
      </c>
      <c r="B89" s="12" t="s">
        <v>9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</row>
    <row r="90" spans="1:111" ht="15.75" x14ac:dyDescent="0.25">
      <c r="A90" s="14" t="s">
        <v>12</v>
      </c>
      <c r="B90" s="12" t="s">
        <v>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</row>
    <row r="91" spans="1:111" ht="15.75" x14ac:dyDescent="0.25">
      <c r="A91" s="11" t="s">
        <v>5</v>
      </c>
      <c r="B91" s="11" t="s">
        <v>11</v>
      </c>
      <c r="C91" s="15">
        <v>0.375</v>
      </c>
      <c r="D91" s="15">
        <v>0.37847222222222227</v>
      </c>
      <c r="E91" s="15">
        <v>0.38194444444444442</v>
      </c>
      <c r="F91" s="15">
        <v>0.38541666666666669</v>
      </c>
      <c r="G91" s="15">
        <v>0.3888888888888889</v>
      </c>
      <c r="H91" s="15">
        <v>0.3923611111111111</v>
      </c>
      <c r="I91" s="15">
        <v>0.39583333333333331</v>
      </c>
      <c r="J91" s="15">
        <v>0.39930555555555558</v>
      </c>
      <c r="K91" s="15">
        <v>0.40277777777777773</v>
      </c>
      <c r="L91" s="15">
        <v>0.40625</v>
      </c>
      <c r="M91" s="15">
        <v>0.40972222222222227</v>
      </c>
      <c r="N91" s="15">
        <v>0.41319444444444442</v>
      </c>
      <c r="O91" s="15">
        <v>0.41666666666666669</v>
      </c>
      <c r="P91" s="15">
        <v>0.4201388888888889</v>
      </c>
      <c r="Q91" s="15">
        <v>0.4236111111111111</v>
      </c>
      <c r="R91" s="15">
        <v>0.42708333333333331</v>
      </c>
      <c r="S91" s="15">
        <v>0.43055555555555558</v>
      </c>
      <c r="T91" s="15">
        <v>0.43402777777777773</v>
      </c>
      <c r="U91" s="15">
        <v>0.4375</v>
      </c>
      <c r="V91" s="15">
        <v>0.44097222222222227</v>
      </c>
      <c r="W91" s="15">
        <v>0.44444444444444442</v>
      </c>
      <c r="X91" s="15">
        <v>0.44791666666666669</v>
      </c>
      <c r="Y91" s="15">
        <v>0.4513888888888889</v>
      </c>
      <c r="Z91" s="15">
        <v>0.4548611111111111</v>
      </c>
      <c r="AA91" s="15">
        <v>0.45833333333333331</v>
      </c>
      <c r="AB91" s="15">
        <v>0.46180555555555558</v>
      </c>
      <c r="AC91" s="15">
        <v>0.46527777777777773</v>
      </c>
      <c r="AD91" s="15">
        <v>0.46875</v>
      </c>
      <c r="AE91" s="15">
        <v>0.47222222222222227</v>
      </c>
      <c r="AF91" s="15">
        <v>0.47569444444444442</v>
      </c>
      <c r="AG91" s="15">
        <v>0.47916666666666669</v>
      </c>
      <c r="AH91" s="15">
        <v>0.4826388888888889</v>
      </c>
      <c r="AI91" s="15">
        <v>0.4861111111111111</v>
      </c>
      <c r="AJ91" s="15">
        <v>0.48958333333333331</v>
      </c>
      <c r="AK91" s="15">
        <v>0.49305555555555558</v>
      </c>
      <c r="AL91" s="15">
        <v>0.49652777777777773</v>
      </c>
      <c r="AM91" s="15">
        <v>0.5</v>
      </c>
      <c r="AN91" s="15">
        <v>0.50347222222222221</v>
      </c>
      <c r="AO91" s="15">
        <v>0.50694444444444442</v>
      </c>
      <c r="AP91" s="15">
        <v>0.51041666666666663</v>
      </c>
      <c r="AQ91" s="15">
        <v>0.51388888888888895</v>
      </c>
      <c r="AR91" s="15">
        <v>0.51736111111111105</v>
      </c>
      <c r="AS91" s="15">
        <v>0.52083333333333337</v>
      </c>
      <c r="AT91" s="15">
        <v>0.52430555555555558</v>
      </c>
      <c r="AU91" s="15">
        <v>0.52777777777777779</v>
      </c>
      <c r="AV91" s="15">
        <v>0.53125</v>
      </c>
      <c r="AW91" s="15">
        <v>0.53472222222222221</v>
      </c>
      <c r="AX91" s="15">
        <v>0.53819444444444442</v>
      </c>
      <c r="AY91" s="15">
        <v>0.54166666666666663</v>
      </c>
      <c r="AZ91" s="15">
        <v>0.54513888888888895</v>
      </c>
      <c r="BA91" s="15">
        <v>0.54861111111111105</v>
      </c>
      <c r="BB91" s="15">
        <v>0.55208333333333337</v>
      </c>
      <c r="BC91" s="15">
        <v>0.55555555555555558</v>
      </c>
      <c r="BD91" s="15">
        <v>0.55902777777777779</v>
      </c>
      <c r="BE91" s="15">
        <v>0.5625</v>
      </c>
      <c r="BF91" s="15">
        <v>0.56597222222222221</v>
      </c>
      <c r="BG91" s="15">
        <v>0.56944444444444442</v>
      </c>
      <c r="BH91" s="15">
        <v>0.57291666666666663</v>
      </c>
      <c r="BI91" s="15">
        <v>0.57638888888888895</v>
      </c>
      <c r="BJ91" s="15">
        <v>0.57986111111111105</v>
      </c>
      <c r="BK91" s="15">
        <v>0.58333333333333337</v>
      </c>
      <c r="BL91" s="15">
        <v>0.58680555555555558</v>
      </c>
      <c r="BM91" s="15">
        <v>0.59027777777777779</v>
      </c>
      <c r="BN91" s="15">
        <v>0.59375</v>
      </c>
      <c r="BO91" s="15">
        <v>0.59722222222222221</v>
      </c>
      <c r="BP91" s="15">
        <v>0.60069444444444442</v>
      </c>
      <c r="BQ91" s="15">
        <v>0.60416666666666663</v>
      </c>
      <c r="BR91" s="15">
        <v>0.60763888888888895</v>
      </c>
      <c r="BS91" s="15">
        <v>0.61111111111111105</v>
      </c>
      <c r="BT91" s="15">
        <v>0.61458333333333337</v>
      </c>
      <c r="BU91" s="15">
        <v>0.61805555555555558</v>
      </c>
      <c r="BV91" s="15">
        <v>0.62152777777777779</v>
      </c>
      <c r="BW91" s="15">
        <v>0.625</v>
      </c>
      <c r="BX91" s="15">
        <v>0.62847222222222221</v>
      </c>
      <c r="BY91" s="15">
        <v>0.63194444444444442</v>
      </c>
      <c r="BZ91" s="15">
        <v>0.63541666666666663</v>
      </c>
      <c r="CA91" s="15">
        <v>0.63888888888888895</v>
      </c>
      <c r="CB91" s="15">
        <v>0.64236111111111105</v>
      </c>
      <c r="CC91" s="15">
        <v>0.64583333333333337</v>
      </c>
      <c r="CD91" s="15">
        <v>0.64930555555555558</v>
      </c>
      <c r="CE91" s="15">
        <v>0.65277777777777779</v>
      </c>
      <c r="CF91" s="15">
        <v>0.65625</v>
      </c>
      <c r="CG91" s="15">
        <v>0.65972222222222221</v>
      </c>
      <c r="CH91" s="15">
        <v>0.66319444444444442</v>
      </c>
      <c r="CI91" s="15">
        <v>0.66666666666666663</v>
      </c>
      <c r="CJ91" s="15">
        <v>0.67013888888888884</v>
      </c>
      <c r="CK91" s="15">
        <v>0.67361111111111116</v>
      </c>
      <c r="CL91" s="15">
        <v>0.67708333333333337</v>
      </c>
      <c r="CM91" s="15">
        <v>0.68055555555555547</v>
      </c>
      <c r="CN91" s="15">
        <v>0.68402777777777779</v>
      </c>
      <c r="CO91" s="15">
        <v>0.6875</v>
      </c>
      <c r="CP91" s="15">
        <v>0.69097222222222221</v>
      </c>
      <c r="CQ91" s="15">
        <v>0.69444444444444453</v>
      </c>
      <c r="CR91" s="15">
        <v>0.69791666666666663</v>
      </c>
      <c r="CS91" s="15">
        <v>0.70138888888888884</v>
      </c>
      <c r="CT91" s="15">
        <v>0.70486111111111116</v>
      </c>
      <c r="CU91" s="15">
        <v>0.70833333333333337</v>
      </c>
      <c r="CV91" s="15">
        <v>0.71180555555555547</v>
      </c>
      <c r="CW91" s="15"/>
      <c r="CX91" s="15">
        <v>0.71875</v>
      </c>
      <c r="CY91" s="15">
        <v>0.72222222222222221</v>
      </c>
      <c r="CZ91" s="15">
        <v>0.72569444444444453</v>
      </c>
      <c r="DA91" s="15">
        <v>0.72916666666666663</v>
      </c>
      <c r="DB91" s="15">
        <v>0.73263888888888884</v>
      </c>
      <c r="DC91" s="15">
        <v>0.73611111111111116</v>
      </c>
      <c r="DD91" s="15">
        <v>0.73958333333333337</v>
      </c>
      <c r="DE91" s="15">
        <v>0.74305555555555547</v>
      </c>
      <c r="DF91" s="15">
        <v>0.74652777777777779</v>
      </c>
      <c r="DG91" s="15">
        <v>0.75</v>
      </c>
    </row>
    <row r="92" spans="1:111" ht="15.75" x14ac:dyDescent="0.25">
      <c r="A92" s="14">
        <v>44315</v>
      </c>
      <c r="B92" s="12" t="s">
        <v>6</v>
      </c>
      <c r="C92" s="13">
        <v>5391.5</v>
      </c>
      <c r="D92" s="13">
        <v>5389.36</v>
      </c>
      <c r="E92" s="13">
        <v>5388.43</v>
      </c>
      <c r="F92" s="13">
        <v>5383.33</v>
      </c>
      <c r="G92" s="13">
        <v>5377.61</v>
      </c>
      <c r="H92" s="13">
        <v>5379.91</v>
      </c>
      <c r="I92" s="13">
        <v>5382.7</v>
      </c>
      <c r="J92" s="13">
        <v>5377.55</v>
      </c>
      <c r="K92" s="13">
        <v>5374.87</v>
      </c>
      <c r="L92" s="13">
        <v>5374.76</v>
      </c>
      <c r="M92" s="13">
        <v>5372.45</v>
      </c>
      <c r="N92" s="13">
        <v>5370.82</v>
      </c>
      <c r="O92" s="13">
        <v>5371.65</v>
      </c>
      <c r="P92" s="13">
        <v>5372.43</v>
      </c>
      <c r="Q92" s="13">
        <v>5381.53</v>
      </c>
      <c r="R92" s="13">
        <v>5381.39</v>
      </c>
      <c r="S92" s="13">
        <v>5380.53</v>
      </c>
      <c r="T92" s="13">
        <v>5382</v>
      </c>
      <c r="U92" s="13">
        <v>5380.99</v>
      </c>
      <c r="V92" s="13">
        <v>5383.4</v>
      </c>
      <c r="W92" s="13">
        <v>5387.34</v>
      </c>
      <c r="X92" s="13">
        <v>5385.75</v>
      </c>
      <c r="Y92" s="13">
        <v>5379.91</v>
      </c>
      <c r="Z92" s="13">
        <v>5383.96</v>
      </c>
      <c r="AA92" s="13">
        <v>5382.59</v>
      </c>
      <c r="AB92" s="13">
        <v>5384.74</v>
      </c>
      <c r="AC92" s="13">
        <v>5383.59</v>
      </c>
      <c r="AD92" s="13">
        <v>5387.87</v>
      </c>
      <c r="AE92" s="13">
        <v>5384.87</v>
      </c>
      <c r="AF92" s="13">
        <v>5385.06</v>
      </c>
      <c r="AG92" s="13">
        <v>5383.73</v>
      </c>
      <c r="AH92" s="13">
        <v>5385.56</v>
      </c>
      <c r="AI92" s="13">
        <v>5387.26</v>
      </c>
      <c r="AJ92" s="13">
        <v>5387</v>
      </c>
      <c r="AK92" s="13">
        <v>5384.54</v>
      </c>
      <c r="AL92" s="13">
        <v>5384.14</v>
      </c>
      <c r="AM92" s="13">
        <v>5381.24</v>
      </c>
      <c r="AN92" s="13">
        <v>5377.33</v>
      </c>
      <c r="AO92" s="13">
        <v>5376.9</v>
      </c>
      <c r="AP92" s="13">
        <v>5376.32</v>
      </c>
      <c r="AQ92" s="13">
        <v>5382.86</v>
      </c>
      <c r="AR92" s="13">
        <v>5381.62</v>
      </c>
      <c r="AS92" s="13">
        <v>5377.55</v>
      </c>
      <c r="AT92" s="13">
        <v>5375.96</v>
      </c>
      <c r="AU92" s="13">
        <v>5375.86</v>
      </c>
      <c r="AV92" s="13">
        <v>5377.7</v>
      </c>
      <c r="AW92" s="13">
        <v>5377.62</v>
      </c>
      <c r="AX92" s="13">
        <v>5373.09</v>
      </c>
      <c r="AY92" s="13">
        <v>5377.37</v>
      </c>
      <c r="AZ92" s="13">
        <v>5381.89</v>
      </c>
      <c r="BA92" s="13">
        <v>5384.3</v>
      </c>
      <c r="BB92" s="13">
        <v>5384.82</v>
      </c>
      <c r="BC92" s="13">
        <v>5383.68</v>
      </c>
      <c r="BD92" s="13">
        <v>5381.68</v>
      </c>
      <c r="BE92" s="13">
        <v>5383.6</v>
      </c>
      <c r="BF92" s="13">
        <v>5383.92</v>
      </c>
      <c r="BG92" s="13">
        <v>5380.39</v>
      </c>
      <c r="BH92" s="13">
        <v>5380.24</v>
      </c>
      <c r="BI92" s="13">
        <v>5378.22</v>
      </c>
      <c r="BJ92" s="13">
        <v>5376.19</v>
      </c>
      <c r="BK92" s="13">
        <v>5376.06</v>
      </c>
      <c r="BL92" s="13">
        <v>5376.68</v>
      </c>
      <c r="BM92" s="13">
        <v>5376.56</v>
      </c>
      <c r="BN92" s="13">
        <v>5378.76</v>
      </c>
      <c r="BO92" s="13">
        <v>5381.07</v>
      </c>
      <c r="BP92" s="13">
        <v>5380.16</v>
      </c>
      <c r="BQ92" s="13">
        <v>5380.4</v>
      </c>
      <c r="BR92" s="13">
        <v>5382.1</v>
      </c>
      <c r="BS92" s="13">
        <v>5382.14</v>
      </c>
      <c r="BT92" s="13">
        <v>5383.18</v>
      </c>
      <c r="BU92" s="13">
        <v>5383.21</v>
      </c>
      <c r="BV92" s="13">
        <v>5382.19</v>
      </c>
      <c r="BW92" s="13">
        <v>5383.79</v>
      </c>
      <c r="BX92" s="13">
        <v>5384.37</v>
      </c>
      <c r="BY92" s="13">
        <v>5385.07</v>
      </c>
      <c r="BZ92" s="13">
        <v>5383.84</v>
      </c>
      <c r="CA92" s="13">
        <v>5383</v>
      </c>
      <c r="CB92" s="13">
        <v>5378</v>
      </c>
      <c r="CC92" s="13">
        <v>5378.07</v>
      </c>
      <c r="CD92" s="13">
        <v>5377.11</v>
      </c>
      <c r="CE92" s="13">
        <v>5378.48</v>
      </c>
      <c r="CF92" s="13">
        <v>5376.8</v>
      </c>
      <c r="CG92" s="13">
        <v>5373.45</v>
      </c>
      <c r="CH92" s="13">
        <v>5371.66</v>
      </c>
      <c r="CI92" s="13">
        <v>5370.21</v>
      </c>
      <c r="CJ92" s="13">
        <v>5372.38</v>
      </c>
      <c r="CK92" s="13">
        <v>5373.65</v>
      </c>
      <c r="CL92" s="13">
        <v>5372.53</v>
      </c>
      <c r="CM92" s="13">
        <v>5372.16</v>
      </c>
      <c r="CN92" s="13">
        <v>5371.86</v>
      </c>
      <c r="CO92" s="13">
        <v>5371.57</v>
      </c>
      <c r="CP92" s="13">
        <v>5371.2</v>
      </c>
      <c r="CQ92" s="13">
        <v>5370.53</v>
      </c>
      <c r="CR92" s="13">
        <v>5370.56</v>
      </c>
      <c r="CS92" s="13">
        <v>5359.49</v>
      </c>
      <c r="CT92" s="13">
        <v>5358.08</v>
      </c>
      <c r="CU92" s="13">
        <v>5359.18</v>
      </c>
      <c r="CV92" s="13">
        <v>5359.68</v>
      </c>
      <c r="CW92" s="13"/>
      <c r="CX92" s="13">
        <v>5358.76</v>
      </c>
      <c r="CY92" s="13">
        <v>5359.83</v>
      </c>
      <c r="CZ92" s="13">
        <v>5360.64</v>
      </c>
      <c r="DA92" s="13">
        <v>5363.11</v>
      </c>
      <c r="DB92" s="13">
        <v>5364.53</v>
      </c>
      <c r="DC92" s="13">
        <v>5364.31</v>
      </c>
      <c r="DD92" s="13">
        <v>5364.76</v>
      </c>
      <c r="DE92" s="13">
        <v>5363.94</v>
      </c>
      <c r="DF92" s="13">
        <v>5364.98</v>
      </c>
      <c r="DG92" s="13">
        <v>5364.98</v>
      </c>
    </row>
    <row r="93" spans="1:111" ht="15.75" x14ac:dyDescent="0.25">
      <c r="A93" s="14" t="s">
        <v>12</v>
      </c>
      <c r="B93" s="12" t="s">
        <v>10</v>
      </c>
      <c r="C93" s="13">
        <v>5382.33</v>
      </c>
      <c r="D93" s="13">
        <v>5389.36</v>
      </c>
      <c r="E93" s="13">
        <v>5375.85</v>
      </c>
      <c r="F93" s="13">
        <v>5375.1</v>
      </c>
      <c r="G93" s="13">
        <v>5373.5</v>
      </c>
      <c r="H93" s="13">
        <v>5379.69</v>
      </c>
      <c r="I93" s="13">
        <v>5382.51</v>
      </c>
      <c r="J93" s="13">
        <v>5372.61</v>
      </c>
      <c r="K93" s="13">
        <v>5371.77</v>
      </c>
      <c r="L93" s="13">
        <v>0</v>
      </c>
      <c r="M93" s="13">
        <v>5367.12</v>
      </c>
      <c r="N93" s="13">
        <v>5370.82</v>
      </c>
      <c r="O93" s="13">
        <v>5371.01</v>
      </c>
      <c r="P93" s="13">
        <v>5371</v>
      </c>
      <c r="Q93" s="13">
        <v>5380.96</v>
      </c>
      <c r="R93" s="13"/>
      <c r="S93" s="13">
        <v>5378.79</v>
      </c>
      <c r="T93" s="13">
        <v>5379.54</v>
      </c>
      <c r="U93" s="13">
        <v>5380.52</v>
      </c>
      <c r="V93" s="13">
        <v>5382.87</v>
      </c>
      <c r="W93" s="13">
        <v>5386.59</v>
      </c>
      <c r="X93" s="13">
        <v>5379.71</v>
      </c>
      <c r="Y93" s="13">
        <v>5378.64</v>
      </c>
      <c r="Z93" s="13">
        <v>5383.48</v>
      </c>
      <c r="AA93" s="13">
        <v>5381.48</v>
      </c>
      <c r="AB93" s="13">
        <v>5384.61</v>
      </c>
      <c r="AC93" s="13">
        <v>5381.57</v>
      </c>
      <c r="AD93" s="13">
        <v>5383.78</v>
      </c>
      <c r="AE93" s="13">
        <v>5383.96</v>
      </c>
      <c r="AF93" s="13">
        <v>5382.15</v>
      </c>
      <c r="AG93" s="13">
        <v>5381.14</v>
      </c>
      <c r="AH93" s="13">
        <v>5385.56</v>
      </c>
      <c r="AI93" s="13">
        <v>5386.56</v>
      </c>
      <c r="AJ93" s="13">
        <v>5381.34</v>
      </c>
      <c r="AK93" s="13">
        <v>5383.69</v>
      </c>
      <c r="AL93" s="13">
        <v>5381.12</v>
      </c>
      <c r="AM93" s="13">
        <v>5372.72</v>
      </c>
      <c r="AN93" s="13">
        <v>5375.96</v>
      </c>
      <c r="AO93" s="13">
        <v>5372.77</v>
      </c>
      <c r="AP93" s="13">
        <v>5376.32</v>
      </c>
      <c r="AQ93" s="13">
        <v>5380.67</v>
      </c>
      <c r="AR93" s="13">
        <v>5377.48</v>
      </c>
      <c r="AS93" s="13">
        <v>5373.66</v>
      </c>
      <c r="AT93" s="13">
        <v>5373.85</v>
      </c>
      <c r="AU93" s="13">
        <v>5375.64</v>
      </c>
      <c r="AV93" s="13">
        <v>5377.7</v>
      </c>
      <c r="AW93" s="13">
        <v>5371.59</v>
      </c>
      <c r="AX93" s="13">
        <v>5371.92</v>
      </c>
      <c r="AY93" s="13">
        <v>5377.37</v>
      </c>
      <c r="AZ93" s="13">
        <v>5380.62</v>
      </c>
      <c r="BA93" s="13">
        <v>5384.23</v>
      </c>
      <c r="BB93" s="13">
        <v>5382.15</v>
      </c>
      <c r="BC93" s="13">
        <v>5379.91</v>
      </c>
      <c r="BD93" s="13">
        <v>5379.38</v>
      </c>
      <c r="BE93" s="13">
        <v>5383.13</v>
      </c>
      <c r="BF93" s="13">
        <v>5380.29</v>
      </c>
      <c r="BG93" s="13">
        <v>5377.86</v>
      </c>
      <c r="BH93" s="13">
        <v>5378.18</v>
      </c>
      <c r="BI93" s="13">
        <v>5375.34</v>
      </c>
      <c r="BJ93" s="13">
        <v>5374.94</v>
      </c>
      <c r="BK93" s="13">
        <v>5374.41</v>
      </c>
      <c r="BL93" s="13">
        <v>5375.85</v>
      </c>
      <c r="BM93" s="13">
        <v>5375.68</v>
      </c>
      <c r="BN93" s="13">
        <v>5378.38</v>
      </c>
      <c r="BO93" s="13">
        <v>5378.47</v>
      </c>
      <c r="BP93" s="13">
        <v>5378.99</v>
      </c>
      <c r="BQ93" s="13">
        <v>5379.69</v>
      </c>
      <c r="BR93" s="13">
        <v>5381.75</v>
      </c>
      <c r="BS93" s="13">
        <v>5381.49</v>
      </c>
      <c r="BT93" s="13">
        <v>5382.21</v>
      </c>
      <c r="BU93" s="13">
        <v>5382.39</v>
      </c>
      <c r="BV93" s="13">
        <v>5379.95</v>
      </c>
      <c r="BW93" s="13">
        <v>5382.33</v>
      </c>
      <c r="BX93" s="13">
        <v>5383.8</v>
      </c>
      <c r="BY93" s="13">
        <v>5383.13</v>
      </c>
      <c r="BZ93" s="13">
        <v>5382.14</v>
      </c>
      <c r="CA93" s="13">
        <v>5378</v>
      </c>
      <c r="CB93" s="13">
        <v>5375.85</v>
      </c>
      <c r="CC93" s="13">
        <v>5376.62</v>
      </c>
      <c r="CD93" s="13">
        <v>5376.82</v>
      </c>
      <c r="CE93" s="13">
        <v>5377.3</v>
      </c>
      <c r="CF93" s="13">
        <v>5374.53</v>
      </c>
      <c r="CG93" s="13">
        <v>5370.96</v>
      </c>
      <c r="CH93" s="13">
        <v>5369.99</v>
      </c>
      <c r="CI93" s="13">
        <v>5368.92</v>
      </c>
      <c r="CJ93" s="13">
        <v>5370.77</v>
      </c>
      <c r="CK93" s="13">
        <v>5372.6</v>
      </c>
      <c r="CL93" s="13">
        <v>5371.01</v>
      </c>
      <c r="CM93" s="13">
        <v>5371.79</v>
      </c>
      <c r="CN93" s="13">
        <v>5371.25</v>
      </c>
      <c r="CO93" s="13">
        <v>5371.29</v>
      </c>
      <c r="CP93" s="13">
        <v>5369.47</v>
      </c>
      <c r="CQ93" s="13">
        <v>5370.53</v>
      </c>
      <c r="CR93" s="13">
        <v>5357.35</v>
      </c>
      <c r="CS93" s="13">
        <v>5357.19</v>
      </c>
      <c r="CT93" s="13">
        <v>5356.07</v>
      </c>
      <c r="CU93" s="13">
        <v>5358.71</v>
      </c>
      <c r="CV93" s="13">
        <v>5357.64</v>
      </c>
      <c r="CW93" s="13"/>
      <c r="CX93" s="13">
        <v>5358.5</v>
      </c>
      <c r="CY93" s="13">
        <v>5359.34</v>
      </c>
      <c r="CZ93" s="13">
        <v>5359.86</v>
      </c>
      <c r="DA93" s="13">
        <v>5361.95</v>
      </c>
      <c r="DB93" s="13">
        <v>5363.77</v>
      </c>
      <c r="DC93" s="13">
        <v>5364.01</v>
      </c>
      <c r="DD93" s="13">
        <v>5362.97</v>
      </c>
      <c r="DE93" s="13">
        <v>5363.9</v>
      </c>
      <c r="DF93" s="13">
        <v>5364.6</v>
      </c>
      <c r="DG93" s="13">
        <v>5364.98</v>
      </c>
    </row>
    <row r="94" spans="1:111" ht="15.75" x14ac:dyDescent="0.25">
      <c r="A94" s="14" t="s">
        <v>12</v>
      </c>
      <c r="B94" s="12" t="s">
        <v>9</v>
      </c>
      <c r="C94" s="13">
        <v>5358.53</v>
      </c>
      <c r="D94" s="13">
        <v>5378.87</v>
      </c>
      <c r="E94" s="13">
        <v>5367.5</v>
      </c>
      <c r="F94" s="13">
        <v>5367.55</v>
      </c>
      <c r="G94" s="13">
        <v>5365.84</v>
      </c>
      <c r="H94" s="13">
        <v>5370.73</v>
      </c>
      <c r="I94" s="13">
        <v>5362.35</v>
      </c>
      <c r="J94" s="13">
        <v>5364.15</v>
      </c>
      <c r="K94" s="13">
        <v>5364.19</v>
      </c>
      <c r="L94" s="13">
        <v>5361.59</v>
      </c>
      <c r="M94" s="13">
        <v>5359.63</v>
      </c>
      <c r="N94" s="13">
        <v>5363.93</v>
      </c>
      <c r="O94" s="13">
        <v>5362.95</v>
      </c>
      <c r="P94" s="13">
        <v>5363.71</v>
      </c>
      <c r="Q94" s="13">
        <v>5372.77</v>
      </c>
      <c r="R94" s="13">
        <v>5369.32</v>
      </c>
      <c r="S94" s="13">
        <v>5371.25</v>
      </c>
      <c r="T94" s="13">
        <v>5373.63</v>
      </c>
      <c r="U94" s="13">
        <v>5374.52</v>
      </c>
      <c r="V94" s="13">
        <v>5375.1</v>
      </c>
      <c r="W94" s="13">
        <v>5378.37</v>
      </c>
      <c r="X94" s="13">
        <v>5373.87</v>
      </c>
      <c r="Y94" s="13">
        <v>5372.32</v>
      </c>
      <c r="Z94" s="13">
        <v>5376.5</v>
      </c>
      <c r="AA94" s="13">
        <v>5374.34</v>
      </c>
      <c r="AB94" s="13">
        <v>5377.02</v>
      </c>
      <c r="AC94" s="13">
        <v>5374.49</v>
      </c>
      <c r="AD94" s="13">
        <v>5376.17</v>
      </c>
      <c r="AE94" s="13">
        <v>5375.82</v>
      </c>
      <c r="AF94" s="13">
        <v>5373.97</v>
      </c>
      <c r="AG94" s="13">
        <v>5373.11</v>
      </c>
      <c r="AH94" s="13">
        <v>5376.05</v>
      </c>
      <c r="AI94" s="13">
        <v>5376.03</v>
      </c>
      <c r="AJ94" s="13">
        <v>5372.9</v>
      </c>
      <c r="AK94" s="13">
        <v>5374.57</v>
      </c>
      <c r="AL94" s="13">
        <v>5372.7</v>
      </c>
      <c r="AM94" s="13">
        <v>5366.1</v>
      </c>
      <c r="AN94" s="13">
        <v>5368.33</v>
      </c>
      <c r="AO94" s="13">
        <v>5367.12</v>
      </c>
      <c r="AP94" s="13">
        <v>5369.86</v>
      </c>
      <c r="AQ94" s="13">
        <v>5373.28</v>
      </c>
      <c r="AR94" s="13">
        <v>5371.17</v>
      </c>
      <c r="AS94" s="13">
        <v>5368.28</v>
      </c>
      <c r="AT94" s="13">
        <v>5368.15</v>
      </c>
      <c r="AU94" s="13">
        <v>5369.85</v>
      </c>
      <c r="AV94" s="13">
        <v>5371.16</v>
      </c>
      <c r="AW94" s="13">
        <v>5365.79</v>
      </c>
      <c r="AX94" s="13">
        <v>5365.94</v>
      </c>
      <c r="AY94" s="13">
        <v>5370.43</v>
      </c>
      <c r="AZ94" s="13">
        <v>5372.95</v>
      </c>
      <c r="BA94" s="13">
        <v>5375.7</v>
      </c>
      <c r="BB94" s="13">
        <v>5374.76</v>
      </c>
      <c r="BC94" s="13">
        <v>5372.8</v>
      </c>
      <c r="BD94" s="13">
        <v>5372.46</v>
      </c>
      <c r="BE94" s="13">
        <v>5374.85</v>
      </c>
      <c r="BF94" s="13">
        <v>5372.55</v>
      </c>
      <c r="BG94" s="13">
        <v>5370.83</v>
      </c>
      <c r="BH94" s="13">
        <v>5371.02</v>
      </c>
      <c r="BI94" s="13">
        <v>5369.03</v>
      </c>
      <c r="BJ94" s="13">
        <v>5368.6</v>
      </c>
      <c r="BK94" s="13">
        <v>5368.24</v>
      </c>
      <c r="BL94" s="13">
        <v>5369.64</v>
      </c>
      <c r="BM94" s="13">
        <v>5369.42</v>
      </c>
      <c r="BN94" s="13">
        <v>5371.16</v>
      </c>
      <c r="BO94" s="13">
        <v>5371.01</v>
      </c>
      <c r="BP94" s="13">
        <v>5371.95</v>
      </c>
      <c r="BQ94" s="13">
        <v>5372.14</v>
      </c>
      <c r="BR94" s="13">
        <v>5373.75</v>
      </c>
      <c r="BS94" s="13">
        <v>5373.51</v>
      </c>
      <c r="BT94" s="13">
        <v>5374.27</v>
      </c>
      <c r="BU94" s="13">
        <v>5374.46</v>
      </c>
      <c r="BV94" s="13">
        <v>5371.92</v>
      </c>
      <c r="BW94" s="13">
        <v>5374</v>
      </c>
      <c r="BX94" s="13">
        <v>5374.82</v>
      </c>
      <c r="BY94" s="13">
        <v>5374.17</v>
      </c>
      <c r="BZ94" s="13">
        <v>5373.84</v>
      </c>
      <c r="CA94" s="13">
        <v>5370.19</v>
      </c>
      <c r="CB94" s="13">
        <v>5369.09</v>
      </c>
      <c r="CC94" s="13">
        <v>5369.38</v>
      </c>
      <c r="CD94" s="13">
        <v>5369.56</v>
      </c>
      <c r="CE94" s="13">
        <v>5369.89</v>
      </c>
      <c r="CF94" s="13">
        <v>5367.43</v>
      </c>
      <c r="CG94" s="13">
        <v>5363.56</v>
      </c>
      <c r="CH94" s="13">
        <v>5364.24</v>
      </c>
      <c r="CI94" s="13">
        <v>5363.39</v>
      </c>
      <c r="CJ94" s="13">
        <v>5364.86</v>
      </c>
      <c r="CK94" s="13">
        <v>5366.48</v>
      </c>
      <c r="CL94" s="13">
        <v>5365.06</v>
      </c>
      <c r="CM94" s="13">
        <v>5365.76</v>
      </c>
      <c r="CN94" s="13">
        <v>5365.13</v>
      </c>
      <c r="CO94" s="13">
        <v>5365.41</v>
      </c>
      <c r="CP94" s="13">
        <v>5363.97</v>
      </c>
      <c r="CQ94" s="13">
        <v>5364.19</v>
      </c>
      <c r="CR94" s="13">
        <v>5354.96</v>
      </c>
      <c r="CS94" s="13">
        <v>5353.5</v>
      </c>
      <c r="CT94" s="13">
        <v>5353.18</v>
      </c>
      <c r="CU94" s="13">
        <v>5353.96</v>
      </c>
      <c r="CV94" s="13">
        <v>5355.05</v>
      </c>
      <c r="CW94" s="13"/>
      <c r="CX94" s="13">
        <v>5352.17</v>
      </c>
      <c r="CY94" s="13">
        <v>5355.21</v>
      </c>
      <c r="CZ94" s="13">
        <v>5355.13</v>
      </c>
      <c r="DA94" s="13">
        <v>5357.23</v>
      </c>
      <c r="DB94" s="13">
        <v>5358.15</v>
      </c>
      <c r="DC94" s="13">
        <v>5357.92</v>
      </c>
      <c r="DD94" s="13">
        <v>5357.31</v>
      </c>
      <c r="DE94" s="13">
        <v>5358.34</v>
      </c>
      <c r="DF94" s="13">
        <v>5359.4</v>
      </c>
      <c r="DG94" s="13">
        <v>5354.11</v>
      </c>
    </row>
    <row r="95" spans="1:111" ht="15.75" x14ac:dyDescent="0.25">
      <c r="A95" s="14" t="s">
        <v>12</v>
      </c>
      <c r="B95" s="12" t="s">
        <v>7</v>
      </c>
      <c r="C95" s="13">
        <v>5312</v>
      </c>
      <c r="D95" s="13">
        <v>5357.53</v>
      </c>
      <c r="E95" s="13">
        <v>5366.06</v>
      </c>
      <c r="F95" s="13">
        <v>5365.28</v>
      </c>
      <c r="G95" s="13">
        <v>5365.84</v>
      </c>
      <c r="H95" s="13">
        <v>5364.96</v>
      </c>
      <c r="I95" s="13">
        <v>5361.13</v>
      </c>
      <c r="J95" s="13">
        <v>5362.1</v>
      </c>
      <c r="K95" s="13">
        <v>5362.56</v>
      </c>
      <c r="L95" s="13">
        <v>5359.65</v>
      </c>
      <c r="M95" s="13">
        <v>5358.73</v>
      </c>
      <c r="N95" s="13">
        <v>5359.64</v>
      </c>
      <c r="O95" s="13">
        <v>5358.79</v>
      </c>
      <c r="P95" s="13">
        <v>5360.75</v>
      </c>
      <c r="Q95" s="13">
        <v>5364.8</v>
      </c>
      <c r="R95" s="13">
        <v>5368.6</v>
      </c>
      <c r="S95" s="13">
        <v>5369.29</v>
      </c>
      <c r="T95" s="13">
        <v>5370.33</v>
      </c>
      <c r="U95" s="13">
        <v>5371.85</v>
      </c>
      <c r="V95" s="13">
        <v>5374.11</v>
      </c>
      <c r="W95" s="13">
        <v>5374.61</v>
      </c>
      <c r="X95" s="13">
        <v>5373.35</v>
      </c>
      <c r="Y95" s="13">
        <v>5371.54</v>
      </c>
      <c r="Z95" s="13">
        <v>5372.39</v>
      </c>
      <c r="AA95" s="13">
        <v>5371.92</v>
      </c>
      <c r="AB95" s="13">
        <v>5374.4</v>
      </c>
      <c r="AC95" s="13">
        <v>5373.11</v>
      </c>
      <c r="AD95" s="13">
        <v>5375.2</v>
      </c>
      <c r="AE95" s="13">
        <v>5374.3</v>
      </c>
      <c r="AF95" s="13">
        <v>5373.97</v>
      </c>
      <c r="AG95" s="13">
        <v>5373.05</v>
      </c>
      <c r="AH95" s="13">
        <v>5371.27</v>
      </c>
      <c r="AI95" s="13">
        <v>5375.65</v>
      </c>
      <c r="AJ95" s="13">
        <v>5372.29</v>
      </c>
      <c r="AK95" s="13">
        <v>5373.17</v>
      </c>
      <c r="AL95" s="13">
        <v>5372.06</v>
      </c>
      <c r="AM95" s="13">
        <v>5363.95</v>
      </c>
      <c r="AN95" s="13">
        <v>5365.35</v>
      </c>
      <c r="AO95" s="13">
        <v>5367.12</v>
      </c>
      <c r="AP95" s="13">
        <v>5366.61</v>
      </c>
      <c r="AQ95" s="13">
        <v>5370.35</v>
      </c>
      <c r="AR95" s="13">
        <v>5370.1</v>
      </c>
      <c r="AS95" s="13">
        <v>5367.47</v>
      </c>
      <c r="AT95" s="13">
        <v>5367.51</v>
      </c>
      <c r="AU95" s="13">
        <v>5368.13</v>
      </c>
      <c r="AV95" s="13">
        <v>5369.75</v>
      </c>
      <c r="AW95" s="13">
        <v>5365.79</v>
      </c>
      <c r="AX95" s="13">
        <v>5365.86</v>
      </c>
      <c r="AY95" s="13">
        <v>5365.97</v>
      </c>
      <c r="AZ95" s="13">
        <v>5371.06</v>
      </c>
      <c r="BA95" s="13">
        <v>5372.65</v>
      </c>
      <c r="BB95" s="13">
        <v>5374.52</v>
      </c>
      <c r="BC95" s="13">
        <v>5372.64</v>
      </c>
      <c r="BD95" s="13">
        <v>5372.42</v>
      </c>
      <c r="BE95" s="13">
        <v>5372.48</v>
      </c>
      <c r="BF95" s="13">
        <v>5370.38</v>
      </c>
      <c r="BG95" s="13">
        <v>5370.74</v>
      </c>
      <c r="BH95" s="13">
        <v>5370.52</v>
      </c>
      <c r="BI95" s="13">
        <v>5367.46</v>
      </c>
      <c r="BJ95" s="13">
        <v>5367.79</v>
      </c>
      <c r="BK95" s="13">
        <v>5367.87</v>
      </c>
      <c r="BL95" s="13">
        <v>5367.2</v>
      </c>
      <c r="BM95" s="13">
        <v>5368.89</v>
      </c>
      <c r="BN95" s="13">
        <v>5368.92</v>
      </c>
      <c r="BO95" s="13">
        <v>5370.93</v>
      </c>
      <c r="BP95" s="13">
        <v>5371.08</v>
      </c>
      <c r="BQ95" s="13">
        <v>5371.63</v>
      </c>
      <c r="BR95" s="13">
        <v>5371.56</v>
      </c>
      <c r="BS95" s="13">
        <v>5373</v>
      </c>
      <c r="BT95" s="13">
        <v>5373.81</v>
      </c>
      <c r="BU95" s="13">
        <v>5372.66</v>
      </c>
      <c r="BV95" s="13"/>
      <c r="BW95" s="13">
        <v>5371.1</v>
      </c>
      <c r="BX95" s="13">
        <v>5372.58</v>
      </c>
      <c r="BY95" s="13">
        <v>5373.34</v>
      </c>
      <c r="BZ95" s="13">
        <v>5373.8</v>
      </c>
      <c r="CA95" s="13">
        <v>5369.93</v>
      </c>
      <c r="CB95" s="13">
        <v>5368.51</v>
      </c>
      <c r="CC95" s="13">
        <v>5369.08</v>
      </c>
      <c r="CD95" s="13">
        <v>5369.03</v>
      </c>
      <c r="CE95" s="13">
        <v>5369.18</v>
      </c>
      <c r="CF95" s="13">
        <v>5367.43</v>
      </c>
      <c r="CG95" s="13">
        <v>5362.68</v>
      </c>
      <c r="CH95" s="13">
        <v>5362.27</v>
      </c>
      <c r="CI95" s="13">
        <v>5362.82</v>
      </c>
      <c r="CJ95" s="13">
        <v>5363.41</v>
      </c>
      <c r="CK95" s="13">
        <v>5364.89</v>
      </c>
      <c r="CL95" s="13">
        <v>5364.16</v>
      </c>
      <c r="CM95" s="13">
        <v>5365.41</v>
      </c>
      <c r="CN95" s="13">
        <v>5364.99</v>
      </c>
      <c r="CO95" s="13">
        <v>5364.63</v>
      </c>
      <c r="CP95" s="13">
        <v>5363.77</v>
      </c>
      <c r="CQ95" s="13">
        <v>5362.64</v>
      </c>
      <c r="CR95" s="13">
        <v>5351.27</v>
      </c>
      <c r="CS95" s="13">
        <v>5351.73</v>
      </c>
      <c r="CT95" s="13">
        <v>5350.36</v>
      </c>
      <c r="CU95" s="13">
        <v>5351.82</v>
      </c>
      <c r="CV95" s="13">
        <v>5354.15</v>
      </c>
      <c r="CW95" s="13"/>
      <c r="CX95" s="13">
        <v>5352.06</v>
      </c>
      <c r="CY95" s="13">
        <v>5352.38</v>
      </c>
      <c r="CZ95" s="13">
        <v>5354.04</v>
      </c>
      <c r="DA95" s="13">
        <v>5355.14</v>
      </c>
      <c r="DB95" s="13">
        <v>5356.96</v>
      </c>
      <c r="DC95" s="13">
        <v>5357.01</v>
      </c>
      <c r="DD95" s="13">
        <v>5357.31</v>
      </c>
      <c r="DE95" s="13">
        <v>5353.9</v>
      </c>
      <c r="DF95" s="13">
        <v>5357.86</v>
      </c>
      <c r="DG95" s="13">
        <v>5353.53</v>
      </c>
    </row>
    <row r="96" spans="1:111" ht="15.75" x14ac:dyDescent="0.25">
      <c r="A96" s="11" t="s">
        <v>5</v>
      </c>
      <c r="B96" s="11" t="s">
        <v>11</v>
      </c>
      <c r="C96" s="15">
        <v>0.375</v>
      </c>
      <c r="D96" s="15">
        <v>0.37847222222222227</v>
      </c>
      <c r="E96" s="15">
        <v>0.38194444444444442</v>
      </c>
      <c r="F96" s="15">
        <v>0.38541666666666669</v>
      </c>
      <c r="G96" s="15">
        <v>0.3888888888888889</v>
      </c>
      <c r="H96" s="15">
        <v>0.3923611111111111</v>
      </c>
      <c r="I96" s="15">
        <v>0.39583333333333331</v>
      </c>
      <c r="J96" s="15">
        <v>0.39930555555555558</v>
      </c>
      <c r="K96" s="15">
        <v>0.40277777777777773</v>
      </c>
      <c r="L96" s="15">
        <v>0.40625</v>
      </c>
      <c r="M96" s="15">
        <v>0.40972222222222227</v>
      </c>
      <c r="N96" s="15">
        <v>0.41319444444444442</v>
      </c>
      <c r="O96" s="15">
        <v>0.41666666666666669</v>
      </c>
      <c r="P96" s="15">
        <v>0.4201388888888889</v>
      </c>
      <c r="Q96" s="15">
        <v>0.4236111111111111</v>
      </c>
      <c r="R96" s="15">
        <v>0.42708333333333331</v>
      </c>
      <c r="S96" s="15">
        <v>0.43055555555555558</v>
      </c>
      <c r="T96" s="15">
        <v>0.43402777777777773</v>
      </c>
      <c r="U96" s="15">
        <v>0.4375</v>
      </c>
      <c r="V96" s="15">
        <v>0.44097222222222227</v>
      </c>
      <c r="W96" s="15">
        <v>0.44444444444444442</v>
      </c>
      <c r="X96" s="15">
        <v>0.44791666666666669</v>
      </c>
      <c r="Y96" s="15">
        <v>0.4513888888888889</v>
      </c>
      <c r="Z96" s="15">
        <v>0.4548611111111111</v>
      </c>
      <c r="AA96" s="15">
        <v>0.45833333333333331</v>
      </c>
      <c r="AB96" s="15">
        <v>0.46180555555555558</v>
      </c>
      <c r="AC96" s="15">
        <v>0.46527777777777773</v>
      </c>
      <c r="AD96" s="15">
        <v>0.46875</v>
      </c>
      <c r="AE96" s="15">
        <v>0.47222222222222227</v>
      </c>
      <c r="AF96" s="15">
        <v>0.47569444444444442</v>
      </c>
      <c r="AG96" s="15">
        <v>0.47916666666666669</v>
      </c>
      <c r="AH96" s="15">
        <v>0.4826388888888889</v>
      </c>
      <c r="AI96" s="15">
        <v>0.4861111111111111</v>
      </c>
      <c r="AJ96" s="15">
        <v>0.48958333333333331</v>
      </c>
      <c r="AK96" s="15">
        <v>0.49305555555555558</v>
      </c>
      <c r="AL96" s="15">
        <v>0.49652777777777773</v>
      </c>
      <c r="AM96" s="15">
        <v>0.5</v>
      </c>
      <c r="AN96" s="15">
        <v>0.50347222222222221</v>
      </c>
      <c r="AO96" s="15">
        <v>0.50694444444444442</v>
      </c>
      <c r="AP96" s="15">
        <v>0.51041666666666663</v>
      </c>
      <c r="AQ96" s="15">
        <v>0.51388888888888895</v>
      </c>
      <c r="AR96" s="15">
        <v>0.51736111111111105</v>
      </c>
      <c r="AS96" s="15">
        <v>0.52083333333333337</v>
      </c>
      <c r="AT96" s="15">
        <v>0.52430555555555558</v>
      </c>
      <c r="AU96" s="15">
        <v>0.52777777777777779</v>
      </c>
      <c r="AV96" s="15">
        <v>0.53125</v>
      </c>
      <c r="AW96" s="15">
        <v>0.53472222222222221</v>
      </c>
      <c r="AX96" s="15">
        <v>0.53819444444444442</v>
      </c>
      <c r="AY96" s="15">
        <v>0.54166666666666663</v>
      </c>
      <c r="AZ96" s="15">
        <v>0.54513888888888895</v>
      </c>
      <c r="BA96" s="15">
        <v>0.54861111111111105</v>
      </c>
      <c r="BB96" s="15">
        <v>0.55208333333333337</v>
      </c>
      <c r="BC96" s="15">
        <v>0.55555555555555558</v>
      </c>
      <c r="BD96" s="15">
        <v>0.55902777777777779</v>
      </c>
      <c r="BE96" s="15">
        <v>0.5625</v>
      </c>
      <c r="BF96" s="15">
        <v>0.56597222222222221</v>
      </c>
      <c r="BG96" s="15">
        <v>0.56944444444444442</v>
      </c>
      <c r="BH96" s="15">
        <v>0.57291666666666663</v>
      </c>
      <c r="BI96" s="15">
        <v>0.57638888888888895</v>
      </c>
      <c r="BJ96" s="15">
        <v>0.57986111111111105</v>
      </c>
      <c r="BK96" s="15">
        <v>0.58333333333333337</v>
      </c>
      <c r="BL96" s="15">
        <v>0.58680555555555558</v>
      </c>
      <c r="BM96" s="15">
        <v>0.59027777777777779</v>
      </c>
      <c r="BN96" s="15">
        <v>0.59375</v>
      </c>
      <c r="BO96" s="15">
        <v>0.59722222222222221</v>
      </c>
      <c r="BP96" s="15">
        <v>0.60069444444444442</v>
      </c>
      <c r="BQ96" s="15">
        <v>0.60416666666666663</v>
      </c>
      <c r="BR96" s="15">
        <v>0.60763888888888895</v>
      </c>
      <c r="BS96" s="15">
        <v>0.61111111111111105</v>
      </c>
      <c r="BT96" s="15">
        <v>0.61458333333333337</v>
      </c>
      <c r="BU96" s="15">
        <v>0.61805555555555558</v>
      </c>
      <c r="BV96" s="15">
        <v>0.62152777777777779</v>
      </c>
      <c r="BW96" s="15">
        <v>0.625</v>
      </c>
      <c r="BX96" s="15">
        <v>0.62847222222222221</v>
      </c>
      <c r="BY96" s="15">
        <v>0.63194444444444442</v>
      </c>
      <c r="BZ96" s="15">
        <v>0.63541666666666663</v>
      </c>
      <c r="CA96" s="15">
        <v>0.63888888888888895</v>
      </c>
      <c r="CB96" s="15">
        <v>0.64236111111111105</v>
      </c>
      <c r="CC96" s="15">
        <v>0.64583333333333337</v>
      </c>
      <c r="CD96" s="15">
        <v>0.64930555555555558</v>
      </c>
      <c r="CE96" s="15">
        <v>0.65277777777777779</v>
      </c>
      <c r="CF96" s="15">
        <v>0.65625</v>
      </c>
      <c r="CG96" s="15">
        <v>0.65972222222222221</v>
      </c>
      <c r="CH96" s="15">
        <v>0.66319444444444442</v>
      </c>
      <c r="CI96" s="15">
        <v>0.66666666666666663</v>
      </c>
      <c r="CJ96" s="15">
        <v>0.67013888888888884</v>
      </c>
      <c r="CK96" s="15">
        <v>0.67361111111111116</v>
      </c>
      <c r="CL96" s="15">
        <v>0.67708333333333337</v>
      </c>
      <c r="CM96" s="15">
        <v>0.68055555555555547</v>
      </c>
      <c r="CN96" s="15">
        <v>0.68402777777777779</v>
      </c>
      <c r="CO96" s="15">
        <v>0.6875</v>
      </c>
      <c r="CP96" s="15">
        <v>0.69097222222222221</v>
      </c>
      <c r="CQ96" s="15">
        <v>0.69444444444444453</v>
      </c>
      <c r="CR96" s="15">
        <v>0.69791666666666663</v>
      </c>
      <c r="CS96" s="15">
        <v>0.70138888888888884</v>
      </c>
      <c r="CT96" s="15">
        <v>0.70486111111111116</v>
      </c>
      <c r="CU96" s="15">
        <v>0.70833333333333337</v>
      </c>
      <c r="CV96" s="15">
        <v>0.71180555555555547</v>
      </c>
      <c r="CW96" s="15">
        <v>0.71527777777777779</v>
      </c>
      <c r="CX96" s="15">
        <v>0.71875</v>
      </c>
      <c r="CY96" s="15">
        <v>0.72222222222222221</v>
      </c>
      <c r="CZ96" s="15">
        <v>0.72569444444444453</v>
      </c>
      <c r="DA96" s="15">
        <v>0.72916666666666663</v>
      </c>
      <c r="DB96" s="15">
        <v>0.73263888888888884</v>
      </c>
      <c r="DC96" s="15">
        <v>0.73611111111111116</v>
      </c>
      <c r="DD96" s="15">
        <v>0.73958333333333337</v>
      </c>
      <c r="DE96" s="15">
        <v>0.74305555555555547</v>
      </c>
      <c r="DF96" s="15">
        <v>0.74652777777777779</v>
      </c>
      <c r="DG96" s="15">
        <v>0.75</v>
      </c>
    </row>
    <row r="97" spans="1:111" ht="15.75" x14ac:dyDescent="0.25">
      <c r="A97" s="14">
        <v>44316</v>
      </c>
      <c r="B97" s="12" t="s">
        <v>6</v>
      </c>
      <c r="C97" s="13">
        <v>5325.11</v>
      </c>
      <c r="D97" s="13">
        <v>5371.75</v>
      </c>
      <c r="E97" s="13">
        <v>5365</v>
      </c>
      <c r="F97" s="13">
        <v>5359.84</v>
      </c>
      <c r="G97" s="13">
        <v>5360</v>
      </c>
      <c r="H97" s="13">
        <v>5363.82</v>
      </c>
      <c r="I97" s="13">
        <v>5364</v>
      </c>
      <c r="J97" s="13">
        <v>5368</v>
      </c>
      <c r="K97" s="13">
        <v>5370</v>
      </c>
      <c r="L97" s="13">
        <v>5362</v>
      </c>
      <c r="M97" s="13">
        <v>5356.78</v>
      </c>
      <c r="N97" s="13">
        <v>5356</v>
      </c>
      <c r="O97" s="13">
        <v>5363</v>
      </c>
      <c r="P97" s="13">
        <v>5380</v>
      </c>
      <c r="Q97" s="13">
        <v>5385</v>
      </c>
      <c r="R97" s="13">
        <v>5387</v>
      </c>
      <c r="S97" s="13">
        <v>5382.81</v>
      </c>
      <c r="T97" s="13">
        <v>5387.76</v>
      </c>
      <c r="U97" s="13">
        <v>5390</v>
      </c>
      <c r="V97" s="13">
        <v>5394</v>
      </c>
      <c r="W97" s="13">
        <v>5398.57</v>
      </c>
      <c r="X97" s="13">
        <v>5402</v>
      </c>
      <c r="Y97" s="13">
        <v>5408</v>
      </c>
      <c r="Z97" s="13">
        <v>5405</v>
      </c>
      <c r="AA97" s="13">
        <v>5401.74</v>
      </c>
      <c r="AB97" s="13">
        <v>5407</v>
      </c>
      <c r="AC97" s="13">
        <v>5416.77</v>
      </c>
      <c r="AD97" s="13">
        <v>5426</v>
      </c>
      <c r="AE97" s="13">
        <v>5428</v>
      </c>
      <c r="AF97" s="13">
        <v>5426</v>
      </c>
      <c r="AG97" s="13">
        <v>5421</v>
      </c>
      <c r="AH97" s="13">
        <v>5419</v>
      </c>
      <c r="AI97" s="13">
        <v>5418</v>
      </c>
      <c r="AJ97" s="13">
        <v>5418.66</v>
      </c>
      <c r="AK97" s="13">
        <v>5425</v>
      </c>
      <c r="AL97" s="13">
        <v>5434.82</v>
      </c>
      <c r="AM97" s="13">
        <v>5444</v>
      </c>
      <c r="AN97" s="13">
        <v>5448</v>
      </c>
      <c r="AO97" s="13">
        <v>5441.73</v>
      </c>
      <c r="AP97" s="13">
        <v>5447.76</v>
      </c>
      <c r="AQ97" s="13">
        <v>5441</v>
      </c>
      <c r="AR97" s="13">
        <v>5445.8</v>
      </c>
      <c r="AS97" s="13">
        <v>5451</v>
      </c>
      <c r="AT97" s="13">
        <v>5448</v>
      </c>
      <c r="AU97" s="13">
        <v>5437</v>
      </c>
      <c r="AV97" s="13">
        <v>5436.7</v>
      </c>
      <c r="AW97" s="13">
        <v>5435.76</v>
      </c>
      <c r="AX97" s="13">
        <v>5436.86</v>
      </c>
      <c r="AY97" s="13">
        <v>5436.66</v>
      </c>
      <c r="AZ97" s="13">
        <v>5438.8</v>
      </c>
      <c r="BA97" s="13">
        <v>5444</v>
      </c>
      <c r="BB97" s="13">
        <v>5440.71</v>
      </c>
      <c r="BC97" s="13">
        <v>5439</v>
      </c>
      <c r="BD97" s="13">
        <v>5435.81</v>
      </c>
      <c r="BE97" s="13">
        <v>5435.89</v>
      </c>
      <c r="BF97" s="13">
        <v>5441</v>
      </c>
      <c r="BG97" s="13">
        <v>5441.75</v>
      </c>
      <c r="BH97" s="13">
        <v>5439</v>
      </c>
      <c r="BI97" s="13">
        <v>5435.79</v>
      </c>
      <c r="BJ97" s="13">
        <v>5433.55</v>
      </c>
      <c r="BK97" s="13">
        <v>5434</v>
      </c>
      <c r="BL97" s="13">
        <v>5433</v>
      </c>
      <c r="BM97" s="13">
        <v>5435.99</v>
      </c>
      <c r="BN97" s="13">
        <v>5442</v>
      </c>
      <c r="BO97" s="13">
        <v>5441.84</v>
      </c>
      <c r="BP97" s="13">
        <v>5441</v>
      </c>
      <c r="BQ97" s="13">
        <v>5440</v>
      </c>
      <c r="BR97" s="13">
        <v>5441</v>
      </c>
      <c r="BS97" s="13">
        <v>5445</v>
      </c>
      <c r="BT97" s="13">
        <v>5444</v>
      </c>
      <c r="BU97" s="13">
        <v>5443</v>
      </c>
      <c r="BV97" s="13">
        <v>5459.85</v>
      </c>
      <c r="BW97" s="13">
        <v>5455</v>
      </c>
      <c r="BX97" s="13">
        <v>5448</v>
      </c>
      <c r="BY97" s="13">
        <v>5441</v>
      </c>
      <c r="BZ97" s="13">
        <v>5437</v>
      </c>
      <c r="CA97" s="13">
        <v>5430</v>
      </c>
      <c r="CB97" s="13">
        <v>5433.72</v>
      </c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>
        <v>5451.5</v>
      </c>
      <c r="DB97" s="13">
        <v>5451.87</v>
      </c>
      <c r="DC97" s="13">
        <v>5453.54</v>
      </c>
      <c r="DD97" s="13">
        <v>5454.88</v>
      </c>
      <c r="DE97" s="13">
        <v>5455</v>
      </c>
      <c r="DF97" s="13">
        <v>5456.44</v>
      </c>
      <c r="DG97" s="13">
        <v>5459.63</v>
      </c>
    </row>
    <row r="98" spans="1:111" ht="15.75" x14ac:dyDescent="0.25">
      <c r="A98" s="14" t="s">
        <v>12</v>
      </c>
      <c r="B98" s="12" t="s">
        <v>10</v>
      </c>
      <c r="C98" s="13">
        <v>5325.11</v>
      </c>
      <c r="D98" s="13">
        <v>0</v>
      </c>
      <c r="E98" s="13">
        <v>5355.68</v>
      </c>
      <c r="F98" s="13">
        <v>5358.63</v>
      </c>
      <c r="G98" s="13">
        <v>5360</v>
      </c>
      <c r="H98" s="13">
        <v>5363.82</v>
      </c>
      <c r="I98" s="13">
        <v>5361.81</v>
      </c>
      <c r="J98" s="13">
        <v>5367.86</v>
      </c>
      <c r="K98" s="13">
        <v>5366.74</v>
      </c>
      <c r="L98" s="13">
        <v>5361.74</v>
      </c>
      <c r="M98" s="13">
        <v>5355.71</v>
      </c>
      <c r="N98" s="13">
        <v>5351</v>
      </c>
      <c r="O98" s="13">
        <v>5361</v>
      </c>
      <c r="P98" s="13">
        <v>5379</v>
      </c>
      <c r="Q98" s="13">
        <v>5383.8</v>
      </c>
      <c r="R98" s="13">
        <v>5377</v>
      </c>
      <c r="S98" s="13">
        <v>5381</v>
      </c>
      <c r="T98" s="13">
        <v>5377</v>
      </c>
      <c r="U98" s="13">
        <v>5386.57</v>
      </c>
      <c r="V98" s="13">
        <v>5393</v>
      </c>
      <c r="W98" s="13">
        <v>5398</v>
      </c>
      <c r="X98" s="13">
        <v>5402</v>
      </c>
      <c r="Y98" s="13">
        <v>5406</v>
      </c>
      <c r="Z98" s="13">
        <v>5399</v>
      </c>
      <c r="AA98" s="13">
        <v>5397.95</v>
      </c>
      <c r="AB98" s="13">
        <v>5407</v>
      </c>
      <c r="AC98" s="13">
        <v>5412</v>
      </c>
      <c r="AD98" s="13">
        <v>5426</v>
      </c>
      <c r="AE98" s="13">
        <v>5424.93</v>
      </c>
      <c r="AF98" s="13">
        <v>5419.59</v>
      </c>
      <c r="AG98" s="13">
        <v>5418</v>
      </c>
      <c r="AH98" s="13">
        <v>5416.68</v>
      </c>
      <c r="AI98" s="13">
        <v>5416</v>
      </c>
      <c r="AJ98" s="13">
        <v>5415.56</v>
      </c>
      <c r="AK98" s="13">
        <v>5425</v>
      </c>
      <c r="AL98" s="13">
        <v>5431.8</v>
      </c>
      <c r="AM98" s="13">
        <v>5442.89</v>
      </c>
      <c r="AN98" s="13">
        <v>5438</v>
      </c>
      <c r="AO98" s="13">
        <v>5440</v>
      </c>
      <c r="AP98" s="13">
        <v>5440</v>
      </c>
      <c r="AQ98" s="13">
        <v>5434.68</v>
      </c>
      <c r="AR98" s="13">
        <v>5444.74</v>
      </c>
      <c r="AS98" s="13">
        <v>5443.78</v>
      </c>
      <c r="AT98" s="13">
        <v>5435.79</v>
      </c>
      <c r="AU98" s="13">
        <v>5433.91</v>
      </c>
      <c r="AV98" s="13">
        <v>5431.83</v>
      </c>
      <c r="AW98" s="13">
        <v>5435</v>
      </c>
      <c r="AX98" s="13">
        <v>5435.8</v>
      </c>
      <c r="AY98" s="13">
        <v>5432.49</v>
      </c>
      <c r="AZ98" s="13">
        <v>5437.89</v>
      </c>
      <c r="BA98" s="13">
        <v>5441.69</v>
      </c>
      <c r="BB98" s="13">
        <v>5434.94</v>
      </c>
      <c r="BC98" s="13">
        <v>5434</v>
      </c>
      <c r="BD98" s="13">
        <v>5434</v>
      </c>
      <c r="BE98" s="13">
        <v>5435.86</v>
      </c>
      <c r="BF98" s="13">
        <v>5438.72</v>
      </c>
      <c r="BG98" s="13">
        <v>5438.81</v>
      </c>
      <c r="BH98" s="13">
        <v>5435</v>
      </c>
      <c r="BI98" s="13">
        <v>5431.77</v>
      </c>
      <c r="BJ98" s="13">
        <v>5432.65</v>
      </c>
      <c r="BK98" s="13">
        <v>5431.92</v>
      </c>
      <c r="BL98" s="13">
        <v>5430.02</v>
      </c>
      <c r="BM98" s="13">
        <v>5435.99</v>
      </c>
      <c r="BN98" s="13">
        <v>5442</v>
      </c>
      <c r="BO98" s="13">
        <v>5441</v>
      </c>
      <c r="BP98" s="13">
        <v>5440</v>
      </c>
      <c r="BQ98" s="13">
        <v>5439</v>
      </c>
      <c r="BR98" s="13">
        <v>5439</v>
      </c>
      <c r="BS98" s="13">
        <v>5442</v>
      </c>
      <c r="BT98" s="13">
        <v>5440.68</v>
      </c>
      <c r="BU98" s="13">
        <v>5442</v>
      </c>
      <c r="BV98" s="13">
        <v>5456</v>
      </c>
      <c r="BW98" s="13">
        <v>5446.01</v>
      </c>
      <c r="BX98" s="13">
        <v>5441.51</v>
      </c>
      <c r="BY98" s="13">
        <v>5435.72</v>
      </c>
      <c r="BZ98" s="13">
        <v>5430</v>
      </c>
      <c r="CA98" s="13">
        <v>5426.53</v>
      </c>
      <c r="CB98" s="13">
        <v>5431.83</v>
      </c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>
        <v>5450.45</v>
      </c>
      <c r="DB98" s="13">
        <v>5451.01</v>
      </c>
      <c r="DC98" s="13">
        <v>5452</v>
      </c>
      <c r="DD98" s="13">
        <v>5453</v>
      </c>
      <c r="DE98" s="13">
        <v>5449.38</v>
      </c>
      <c r="DF98" s="13">
        <v>5456.44</v>
      </c>
      <c r="DG98" s="13">
        <v>5455.95</v>
      </c>
    </row>
    <row r="99" spans="1:111" ht="15.75" x14ac:dyDescent="0.25">
      <c r="A99" s="14" t="s">
        <v>12</v>
      </c>
      <c r="B99" s="12" t="s">
        <v>9</v>
      </c>
      <c r="C99" s="13">
        <v>5431.82</v>
      </c>
      <c r="D99" s="13">
        <v>5361.34</v>
      </c>
      <c r="E99" s="13">
        <v>5354.09</v>
      </c>
      <c r="F99" s="13">
        <v>5357.46</v>
      </c>
      <c r="G99" s="13">
        <v>5359</v>
      </c>
      <c r="H99" s="13">
        <v>5363</v>
      </c>
      <c r="I99" s="13">
        <v>5360.27</v>
      </c>
      <c r="J99" s="13">
        <v>5366.4</v>
      </c>
      <c r="K99" s="13">
        <v>5365.27</v>
      </c>
      <c r="L99" s="13">
        <v>5361</v>
      </c>
      <c r="M99" s="13">
        <v>5354.33</v>
      </c>
      <c r="N99" s="13">
        <v>5350.33</v>
      </c>
      <c r="O99" s="13">
        <v>5360.3</v>
      </c>
      <c r="P99" s="13">
        <v>5378</v>
      </c>
      <c r="Q99" s="13">
        <v>5382.45</v>
      </c>
      <c r="R99" s="13">
        <v>5375.43</v>
      </c>
      <c r="S99" s="13">
        <v>5380</v>
      </c>
      <c r="T99" s="13">
        <v>5376</v>
      </c>
      <c r="U99" s="13">
        <v>5385.29</v>
      </c>
      <c r="V99" s="13">
        <v>5392</v>
      </c>
      <c r="W99" s="13">
        <v>5397</v>
      </c>
      <c r="X99" s="13">
        <v>5401</v>
      </c>
      <c r="Y99" s="13">
        <v>5405</v>
      </c>
      <c r="Z99" s="13">
        <v>5398</v>
      </c>
      <c r="AA99" s="13">
        <v>5397</v>
      </c>
      <c r="AB99" s="13">
        <v>5405.39</v>
      </c>
      <c r="AC99" s="13">
        <v>5411</v>
      </c>
      <c r="AD99" s="13">
        <v>5425</v>
      </c>
      <c r="AE99" s="13">
        <v>5424</v>
      </c>
      <c r="AF99" s="13">
        <v>5418.19</v>
      </c>
      <c r="AG99" s="13">
        <v>5417</v>
      </c>
      <c r="AH99" s="13">
        <v>5415.42</v>
      </c>
      <c r="AI99" s="13">
        <v>5415.36</v>
      </c>
      <c r="AJ99" s="13">
        <v>5414.27</v>
      </c>
      <c r="AK99" s="13">
        <v>5424.04</v>
      </c>
      <c r="AL99" s="13">
        <v>5431</v>
      </c>
      <c r="AM99" s="13">
        <v>5442</v>
      </c>
      <c r="AN99" s="13">
        <v>5437</v>
      </c>
      <c r="AO99" s="13">
        <v>5440.98</v>
      </c>
      <c r="AP99" s="13">
        <v>5439</v>
      </c>
      <c r="AQ99" s="13">
        <v>5433.09</v>
      </c>
      <c r="AR99" s="13">
        <v>5444</v>
      </c>
      <c r="AS99" s="13">
        <v>5442.29</v>
      </c>
      <c r="AT99" s="13">
        <v>5434.35</v>
      </c>
      <c r="AU99" s="13">
        <v>5432.39</v>
      </c>
      <c r="AV99" s="13">
        <v>5431</v>
      </c>
      <c r="AW99" s="13">
        <v>5434</v>
      </c>
      <c r="AX99" s="13">
        <v>5435</v>
      </c>
      <c r="AY99" s="13">
        <v>5431.15</v>
      </c>
      <c r="AZ99" s="13">
        <v>5436.33</v>
      </c>
      <c r="BA99" s="13">
        <v>5440.29</v>
      </c>
      <c r="BB99" s="13">
        <v>5434</v>
      </c>
      <c r="BC99" s="13">
        <v>5433</v>
      </c>
      <c r="BD99" s="13">
        <v>5433.31</v>
      </c>
      <c r="BE99" s="13">
        <v>5434.47</v>
      </c>
      <c r="BF99" s="13">
        <v>5438</v>
      </c>
      <c r="BG99" s="13">
        <v>5437.3</v>
      </c>
      <c r="BH99" s="13">
        <v>5434</v>
      </c>
      <c r="BI99" s="13">
        <v>5431</v>
      </c>
      <c r="BJ99" s="13">
        <v>5431.37</v>
      </c>
      <c r="BK99" s="13">
        <v>5430.38</v>
      </c>
      <c r="BL99" s="13">
        <v>5429</v>
      </c>
      <c r="BM99" s="13">
        <v>5434.82</v>
      </c>
      <c r="BN99" s="13">
        <v>5441</v>
      </c>
      <c r="BO99" s="13">
        <v>5440.11</v>
      </c>
      <c r="BP99" s="13">
        <v>5439</v>
      </c>
      <c r="BQ99" s="13">
        <v>5438</v>
      </c>
      <c r="BR99" s="13">
        <v>5438</v>
      </c>
      <c r="BS99" s="13">
        <v>5442</v>
      </c>
      <c r="BT99" s="13">
        <v>5439.48</v>
      </c>
      <c r="BU99" s="13">
        <v>5441</v>
      </c>
      <c r="BV99" s="13">
        <v>5455</v>
      </c>
      <c r="BW99" s="13">
        <v>5445</v>
      </c>
      <c r="BX99" s="13">
        <v>5441</v>
      </c>
      <c r="BY99" s="13">
        <v>5434.15</v>
      </c>
      <c r="BZ99" s="13">
        <v>5429</v>
      </c>
      <c r="CA99" s="13">
        <v>5425.27</v>
      </c>
      <c r="CB99" s="13">
        <v>5430.38</v>
      </c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>
        <v>5449</v>
      </c>
      <c r="DB99" s="13">
        <v>5449.99</v>
      </c>
      <c r="DC99" s="13">
        <v>5450.98</v>
      </c>
      <c r="DD99" s="13">
        <v>5451.44</v>
      </c>
      <c r="DE99" s="13">
        <v>5447.18</v>
      </c>
      <c r="DF99" s="13">
        <v>5453.7</v>
      </c>
      <c r="DG99" s="13">
        <v>5448.46</v>
      </c>
    </row>
    <row r="100" spans="1:111" ht="15.75" x14ac:dyDescent="0.25">
      <c r="A100" s="14" t="s">
        <v>12</v>
      </c>
      <c r="B100" s="12" t="s">
        <v>7</v>
      </c>
      <c r="C100" s="13">
        <v>5431.82</v>
      </c>
      <c r="D100" s="13">
        <v>5355.16</v>
      </c>
      <c r="E100" s="13">
        <v>5354</v>
      </c>
      <c r="F100" s="13">
        <v>5352</v>
      </c>
      <c r="G100" s="13">
        <v>5354</v>
      </c>
      <c r="H100" s="13">
        <v>5356</v>
      </c>
      <c r="I100" s="13">
        <v>5358</v>
      </c>
      <c r="J100" s="13">
        <v>5360.37</v>
      </c>
      <c r="K100" s="13">
        <v>5360.31</v>
      </c>
      <c r="L100" s="13">
        <v>5360.11</v>
      </c>
      <c r="M100" s="13">
        <v>5352</v>
      </c>
      <c r="N100" s="13">
        <v>5350.15</v>
      </c>
      <c r="O100" s="13">
        <v>5348</v>
      </c>
      <c r="P100" s="13">
        <v>5359.43</v>
      </c>
      <c r="Q100" s="13">
        <v>5376</v>
      </c>
      <c r="R100" s="13">
        <v>5374</v>
      </c>
      <c r="S100" s="13">
        <v>5374</v>
      </c>
      <c r="T100" s="13">
        <v>5375</v>
      </c>
      <c r="U100" s="13">
        <v>5374</v>
      </c>
      <c r="V100" s="13">
        <v>5387.3</v>
      </c>
      <c r="W100" s="13">
        <v>5389</v>
      </c>
      <c r="X100" s="13">
        <v>5392</v>
      </c>
      <c r="Y100" s="13">
        <v>5400.18</v>
      </c>
      <c r="Z100" s="13">
        <v>5398</v>
      </c>
      <c r="AA100" s="13">
        <v>5396.06</v>
      </c>
      <c r="AB100" s="13">
        <v>5396</v>
      </c>
      <c r="AC100" s="13">
        <v>5406.02</v>
      </c>
      <c r="AD100" s="13">
        <v>5411</v>
      </c>
      <c r="AE100" s="13">
        <v>5422</v>
      </c>
      <c r="AF100" s="13">
        <v>5417</v>
      </c>
      <c r="AG100" s="13">
        <v>5415</v>
      </c>
      <c r="AH100" s="13">
        <v>5413</v>
      </c>
      <c r="AI100" s="13">
        <v>5411</v>
      </c>
      <c r="AJ100" s="13">
        <v>5413.26</v>
      </c>
      <c r="AK100" s="13">
        <v>5415.04</v>
      </c>
      <c r="AL100" s="13">
        <v>5424.29</v>
      </c>
      <c r="AM100" s="13">
        <v>5430</v>
      </c>
      <c r="AN100" s="13">
        <v>5437</v>
      </c>
      <c r="AO100" s="13">
        <v>5432</v>
      </c>
      <c r="AP100" s="13">
        <v>5437</v>
      </c>
      <c r="AQ100" s="13">
        <v>5433.09</v>
      </c>
      <c r="AR100" s="13">
        <v>5433.19</v>
      </c>
      <c r="AS100" s="13">
        <v>5442</v>
      </c>
      <c r="AT100" s="13">
        <v>5434</v>
      </c>
      <c r="AU100" s="13">
        <v>5431</v>
      </c>
      <c r="AV100" s="13">
        <v>5430</v>
      </c>
      <c r="AW100" s="13">
        <v>5429</v>
      </c>
      <c r="AX100" s="13">
        <v>5432</v>
      </c>
      <c r="AY100" s="13">
        <v>5427</v>
      </c>
      <c r="AZ100" s="13">
        <v>5426</v>
      </c>
      <c r="BA100" s="13">
        <v>5434</v>
      </c>
      <c r="BB100" s="13">
        <v>5429</v>
      </c>
      <c r="BC100" s="13">
        <v>5432.24</v>
      </c>
      <c r="BD100" s="13">
        <v>5429.37</v>
      </c>
      <c r="BE100" s="13">
        <v>5432</v>
      </c>
      <c r="BF100" s="13">
        <v>5434.4</v>
      </c>
      <c r="BG100" s="13">
        <v>5436</v>
      </c>
      <c r="BH100" s="13">
        <v>5432</v>
      </c>
      <c r="BI100" s="13">
        <v>5431</v>
      </c>
      <c r="BJ100" s="13">
        <v>5430</v>
      </c>
      <c r="BK100" s="13">
        <v>5430</v>
      </c>
      <c r="BL100" s="13">
        <v>5429</v>
      </c>
      <c r="BM100" s="13">
        <v>5429</v>
      </c>
      <c r="BN100" s="13">
        <v>5434.97</v>
      </c>
      <c r="BO100" s="13">
        <v>5439</v>
      </c>
      <c r="BP100" s="13">
        <v>5437</v>
      </c>
      <c r="BQ100" s="13">
        <v>5437</v>
      </c>
      <c r="BR100" s="13">
        <v>5437.15</v>
      </c>
      <c r="BS100" s="13">
        <v>5439.05</v>
      </c>
      <c r="BT100" s="13">
        <v>5438.42</v>
      </c>
      <c r="BU100" s="13">
        <v>5439.01</v>
      </c>
      <c r="BV100" s="13">
        <v>5441.16</v>
      </c>
      <c r="BW100" s="13">
        <v>5444.12</v>
      </c>
      <c r="BX100" s="13">
        <v>5441</v>
      </c>
      <c r="BY100" s="13">
        <v>5434.13</v>
      </c>
      <c r="BZ100" s="13">
        <v>5427.32</v>
      </c>
      <c r="CA100" s="13">
        <v>5420</v>
      </c>
      <c r="CB100" s="13">
        <v>5421</v>
      </c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>
        <v>5448</v>
      </c>
      <c r="DB100" s="13">
        <v>5447.02</v>
      </c>
      <c r="DC100" s="13">
        <v>5447.02</v>
      </c>
      <c r="DD100" s="13">
        <v>5450</v>
      </c>
      <c r="DE100" s="13">
        <v>5447.18</v>
      </c>
      <c r="DF100" s="13">
        <v>5447.31</v>
      </c>
      <c r="DG100" s="13">
        <v>5448.41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46B7-A2AF-4743-8035-6868F2E72295}">
  <dimension ref="A1:DG105"/>
  <sheetViews>
    <sheetView topLeftCell="A49" workbookViewId="0">
      <selection activeCell="F65" sqref="F65"/>
    </sheetView>
  </sheetViews>
  <sheetFormatPr defaultRowHeight="15" x14ac:dyDescent="0.25"/>
  <cols>
    <col min="1" max="1" width="9.85546875" bestFit="1" customWidth="1"/>
  </cols>
  <sheetData>
    <row r="1" spans="1:110" ht="15.75" x14ac:dyDescent="0.25">
      <c r="A1" s="11" t="s">
        <v>5</v>
      </c>
      <c r="B1" s="11" t="s">
        <v>11</v>
      </c>
      <c r="C1" s="15">
        <v>0.37847222222222227</v>
      </c>
      <c r="D1" s="15">
        <v>0.38194444444444442</v>
      </c>
      <c r="E1" s="15">
        <v>0.38541666666666669</v>
      </c>
      <c r="F1" s="15">
        <v>0.3888888888888889</v>
      </c>
      <c r="G1" s="15">
        <v>0.3923611111111111</v>
      </c>
      <c r="H1" s="15">
        <v>0.39583333333333331</v>
      </c>
      <c r="I1" s="15">
        <v>0.39930555555555558</v>
      </c>
      <c r="J1" s="15">
        <v>0.40277777777777773</v>
      </c>
      <c r="K1" s="15">
        <v>0.40625</v>
      </c>
      <c r="L1" s="15">
        <v>0.40972222222222227</v>
      </c>
      <c r="M1" s="15">
        <v>0.41319444444444442</v>
      </c>
      <c r="N1" s="15">
        <v>0.41666666666666669</v>
      </c>
      <c r="O1" s="15">
        <v>0.4201388888888889</v>
      </c>
      <c r="P1" s="15">
        <v>0.4236111111111111</v>
      </c>
      <c r="Q1" s="15">
        <v>0.42708333333333331</v>
      </c>
      <c r="R1" s="15">
        <v>0.43055555555555558</v>
      </c>
      <c r="S1" s="15">
        <v>0.43402777777777773</v>
      </c>
      <c r="T1" s="15">
        <v>0.4375</v>
      </c>
      <c r="U1" s="15">
        <v>0.44097222222222227</v>
      </c>
      <c r="V1" s="15">
        <v>0.44444444444444442</v>
      </c>
      <c r="W1" s="15">
        <v>0.44791666666666669</v>
      </c>
      <c r="X1" s="15">
        <v>0.4513888888888889</v>
      </c>
      <c r="Y1" s="15">
        <v>0.4548611111111111</v>
      </c>
      <c r="Z1" s="15">
        <v>0.45833333333333331</v>
      </c>
      <c r="AA1" s="15">
        <v>0.46180555555555558</v>
      </c>
      <c r="AB1" s="15">
        <v>0.46527777777777773</v>
      </c>
      <c r="AC1" s="15">
        <v>0.46875</v>
      </c>
      <c r="AD1" s="15">
        <v>0.47222222222222227</v>
      </c>
      <c r="AE1" s="15">
        <v>0.47569444444444442</v>
      </c>
      <c r="AF1" s="15">
        <v>0.47916666666666669</v>
      </c>
      <c r="AG1" s="15">
        <v>0.4826388888888889</v>
      </c>
      <c r="AH1" s="15">
        <v>0.4861111111111111</v>
      </c>
      <c r="AI1" s="15">
        <v>0.48958333333333331</v>
      </c>
      <c r="AJ1" s="15">
        <v>0.49305555555555558</v>
      </c>
      <c r="AK1" s="15">
        <v>0.49652777777777773</v>
      </c>
      <c r="AL1" s="15">
        <v>0.5</v>
      </c>
      <c r="AM1" s="15">
        <v>0.50347222222222221</v>
      </c>
      <c r="AN1" s="15">
        <v>0.50694444444444442</v>
      </c>
      <c r="AO1" s="15">
        <v>0.51041666666666663</v>
      </c>
      <c r="AP1" s="15">
        <v>0.51388888888888895</v>
      </c>
      <c r="AQ1" s="15">
        <v>0.51736111111111105</v>
      </c>
      <c r="AR1" s="15">
        <v>0.52083333333333337</v>
      </c>
      <c r="AS1" s="15">
        <v>0.52430555555555558</v>
      </c>
      <c r="AT1" s="15">
        <v>0.52777777777777779</v>
      </c>
      <c r="AU1" s="15">
        <v>0.53125</v>
      </c>
      <c r="AV1" s="15">
        <v>0.53472222222222221</v>
      </c>
      <c r="AW1" s="15">
        <v>0.53819444444444442</v>
      </c>
      <c r="AX1" s="15">
        <v>0.54166666666666663</v>
      </c>
      <c r="AY1" s="15">
        <v>0.54513888888888895</v>
      </c>
      <c r="AZ1" s="15">
        <v>0.54861111111111105</v>
      </c>
      <c r="BA1" s="15">
        <v>0.55208333333333337</v>
      </c>
      <c r="BB1" s="15">
        <v>0.55555555555555558</v>
      </c>
      <c r="BC1" s="15">
        <v>0.55902777777777779</v>
      </c>
      <c r="BD1" s="15">
        <v>0.5625</v>
      </c>
      <c r="BE1" s="15">
        <v>0.56597222222222221</v>
      </c>
      <c r="BF1" s="15">
        <v>0.56944444444444442</v>
      </c>
      <c r="BG1" s="15">
        <v>0.57291666666666663</v>
      </c>
      <c r="BH1" s="15">
        <v>0.57638888888888895</v>
      </c>
      <c r="BI1" s="15">
        <v>0.57986111111111105</v>
      </c>
      <c r="BJ1" s="15">
        <v>0.58333333333333337</v>
      </c>
      <c r="BK1" s="15">
        <v>0.58680555555555558</v>
      </c>
      <c r="BL1" s="15">
        <v>0.59027777777777779</v>
      </c>
      <c r="BM1" s="15">
        <v>0.59375</v>
      </c>
      <c r="BN1" s="15">
        <v>0.59722222222222221</v>
      </c>
      <c r="BO1" s="15">
        <v>0.60069444444444442</v>
      </c>
      <c r="BP1" s="15">
        <v>0.60416666666666663</v>
      </c>
      <c r="BQ1" s="15">
        <v>0.60763888888888895</v>
      </c>
      <c r="BR1" s="15">
        <v>0.61111111111111105</v>
      </c>
      <c r="BS1" s="15">
        <v>0.61458333333333337</v>
      </c>
      <c r="BT1" s="15">
        <v>0.61805555555555558</v>
      </c>
      <c r="BU1" s="15">
        <v>0.62152777777777779</v>
      </c>
      <c r="BV1" s="15">
        <v>0.625</v>
      </c>
      <c r="BW1" s="15">
        <v>0.62847222222222221</v>
      </c>
      <c r="BX1" s="15">
        <v>0.63194444444444442</v>
      </c>
      <c r="BY1" s="15">
        <v>0.63541666666666663</v>
      </c>
      <c r="BZ1" s="15">
        <v>0.63888888888888895</v>
      </c>
      <c r="CA1" s="15">
        <v>0.64236111111111105</v>
      </c>
      <c r="CB1" s="15">
        <v>0.64583333333333337</v>
      </c>
      <c r="CC1" s="15">
        <v>0.64930555555555558</v>
      </c>
      <c r="CD1" s="15">
        <v>0.65277777777777779</v>
      </c>
      <c r="CE1" s="15">
        <v>0.65625</v>
      </c>
      <c r="CF1" s="15">
        <v>0.65972222222222221</v>
      </c>
      <c r="CG1" s="15">
        <v>0.66319444444444442</v>
      </c>
      <c r="CH1" s="15">
        <v>0.66666666666666663</v>
      </c>
      <c r="CI1" s="15">
        <v>0.67013888888888884</v>
      </c>
      <c r="CJ1" s="15">
        <v>0.67361111111111116</v>
      </c>
      <c r="CK1" s="15">
        <v>0.67708333333333337</v>
      </c>
      <c r="CL1" s="15">
        <v>0.68055555555555547</v>
      </c>
      <c r="CM1" s="15">
        <v>0.68402777777777779</v>
      </c>
      <c r="CN1" s="15">
        <v>0.6875</v>
      </c>
      <c r="CO1" s="15">
        <v>0.69097222222222221</v>
      </c>
      <c r="CP1" s="15">
        <v>0.69444444444444453</v>
      </c>
      <c r="CQ1" s="15">
        <v>0.69791666666666663</v>
      </c>
      <c r="CR1" s="15">
        <v>0.70138888888888884</v>
      </c>
      <c r="CS1" s="15">
        <v>0.70486111111111116</v>
      </c>
      <c r="CT1" s="15">
        <v>0.70833333333333337</v>
      </c>
      <c r="CU1" s="15">
        <v>0.71180555555555547</v>
      </c>
      <c r="CV1" s="15">
        <v>0.71527777777777779</v>
      </c>
      <c r="CW1" s="15">
        <v>0.71875</v>
      </c>
      <c r="CX1" s="15">
        <v>0.72222222222222221</v>
      </c>
      <c r="CY1" s="15">
        <v>0.72569444444444453</v>
      </c>
      <c r="CZ1" s="15">
        <v>0.72916666666666663</v>
      </c>
      <c r="DA1" s="15">
        <v>0.73263888888888884</v>
      </c>
      <c r="DB1" s="15">
        <v>0.73611111111111116</v>
      </c>
      <c r="DC1" s="15">
        <v>0.73958333333333337</v>
      </c>
      <c r="DD1" s="15">
        <v>0.74305555555555547</v>
      </c>
      <c r="DE1" s="15">
        <v>0.74652777777777779</v>
      </c>
      <c r="DF1" s="15">
        <v>0.75</v>
      </c>
    </row>
    <row r="2" spans="1:110" ht="15.75" x14ac:dyDescent="0.25">
      <c r="A2" s="14">
        <v>44319</v>
      </c>
      <c r="B2" s="12" t="s">
        <v>6</v>
      </c>
      <c r="C2" s="13">
        <v>5450</v>
      </c>
      <c r="D2" s="13">
        <v>5455</v>
      </c>
      <c r="E2" s="13">
        <v>5474</v>
      </c>
      <c r="F2" s="13">
        <v>5476</v>
      </c>
      <c r="G2" s="13">
        <v>5468</v>
      </c>
      <c r="H2" s="13">
        <v>5469</v>
      </c>
      <c r="I2" s="13">
        <v>5464.87</v>
      </c>
      <c r="J2" s="13">
        <v>5465.87</v>
      </c>
      <c r="K2" s="13">
        <v>5473.87</v>
      </c>
      <c r="L2" s="13">
        <v>5486.87</v>
      </c>
      <c r="M2" s="13">
        <v>5480.63</v>
      </c>
      <c r="N2" s="13">
        <v>5474</v>
      </c>
      <c r="O2" s="13">
        <v>5460.87</v>
      </c>
      <c r="P2" s="13">
        <v>5467.87</v>
      </c>
      <c r="Q2" s="13">
        <v>5469.87</v>
      </c>
      <c r="R2" s="13">
        <v>5466.87</v>
      </c>
      <c r="S2" s="13">
        <v>5467.87</v>
      </c>
      <c r="T2" s="13">
        <v>5467.87</v>
      </c>
      <c r="U2" s="13">
        <v>5482</v>
      </c>
      <c r="V2" s="13">
        <v>5484.87</v>
      </c>
      <c r="W2" s="13">
        <v>5474.87</v>
      </c>
      <c r="X2" s="13">
        <v>5471.71</v>
      </c>
      <c r="Y2" s="13">
        <v>5477.71</v>
      </c>
      <c r="Z2" s="13">
        <v>5472.64</v>
      </c>
      <c r="AA2" s="13">
        <v>5461.54</v>
      </c>
      <c r="AB2" s="13">
        <v>5452.54</v>
      </c>
      <c r="AC2" s="13">
        <v>5449.54</v>
      </c>
      <c r="AD2" s="13">
        <v>5449.71</v>
      </c>
      <c r="AE2" s="13">
        <v>5444.71</v>
      </c>
      <c r="AF2" s="13">
        <v>5450.71</v>
      </c>
      <c r="AG2" s="13">
        <v>5448.82</v>
      </c>
      <c r="AH2" s="13">
        <v>5433.21</v>
      </c>
      <c r="AI2" s="13">
        <v>5434.87</v>
      </c>
      <c r="AJ2" s="13">
        <v>5445.5</v>
      </c>
      <c r="AK2" s="13">
        <v>5436.63</v>
      </c>
      <c r="AL2" s="13">
        <v>5434.63</v>
      </c>
      <c r="AM2" s="13">
        <v>5440.63</v>
      </c>
      <c r="AN2" s="13">
        <v>5436.63</v>
      </c>
      <c r="AO2" s="13">
        <v>5441</v>
      </c>
      <c r="AP2" s="13">
        <v>5438</v>
      </c>
      <c r="AQ2" s="13">
        <v>5436.63</v>
      </c>
      <c r="AR2" s="13">
        <v>5434.63</v>
      </c>
      <c r="AS2" s="13">
        <v>5427.38</v>
      </c>
      <c r="AT2" s="13">
        <v>5410</v>
      </c>
      <c r="AU2" s="13">
        <v>5411.63</v>
      </c>
      <c r="AV2" s="13">
        <v>5416.87</v>
      </c>
      <c r="AW2" s="13">
        <v>5419.87</v>
      </c>
      <c r="AX2" s="13">
        <v>5420</v>
      </c>
      <c r="AY2" s="13">
        <v>5426.87</v>
      </c>
      <c r="AZ2" s="13">
        <v>5426.61</v>
      </c>
      <c r="BA2" s="13">
        <v>5428.61</v>
      </c>
      <c r="BB2" s="13">
        <v>5431.71</v>
      </c>
      <c r="BC2" s="13">
        <v>5432.61</v>
      </c>
      <c r="BD2" s="13">
        <v>5431.91</v>
      </c>
      <c r="BE2" s="13">
        <v>5444.71</v>
      </c>
      <c r="BF2" s="13">
        <v>5447.91</v>
      </c>
      <c r="BG2" s="13">
        <v>5439.89</v>
      </c>
      <c r="BH2" s="13">
        <v>5438.89</v>
      </c>
      <c r="BI2" s="13">
        <v>5438.89</v>
      </c>
      <c r="BJ2" s="13">
        <v>5442.97</v>
      </c>
      <c r="BK2" s="13">
        <v>5443.44</v>
      </c>
      <c r="BL2" s="13">
        <v>5439.64</v>
      </c>
      <c r="BM2" s="13">
        <v>5439.76</v>
      </c>
      <c r="BN2" s="13"/>
      <c r="BO2" s="13"/>
      <c r="BP2" s="13"/>
      <c r="BQ2" s="13">
        <v>5443.93</v>
      </c>
      <c r="BR2" s="13">
        <v>5445.07</v>
      </c>
      <c r="BS2" s="13">
        <v>5442.1</v>
      </c>
      <c r="BT2" s="13">
        <v>5443.14</v>
      </c>
      <c r="BU2" s="13">
        <v>5442.97</v>
      </c>
      <c r="BV2" s="13">
        <v>5444.13</v>
      </c>
      <c r="BW2" s="13">
        <v>5443.24</v>
      </c>
      <c r="BX2" s="13">
        <v>5441.03</v>
      </c>
      <c r="BY2" s="13">
        <v>5434.38</v>
      </c>
      <c r="BZ2" s="13">
        <v>5430.52</v>
      </c>
      <c r="CA2" s="13">
        <v>5427.72</v>
      </c>
      <c r="CB2" s="13">
        <v>5427.72</v>
      </c>
      <c r="CC2" s="13">
        <v>5434.45</v>
      </c>
      <c r="CD2" s="13">
        <v>5443.17</v>
      </c>
      <c r="CE2" s="13">
        <v>5441.21</v>
      </c>
      <c r="CF2" s="13">
        <v>5438.52</v>
      </c>
      <c r="CG2" s="13">
        <v>5438.38</v>
      </c>
      <c r="CH2" s="13">
        <v>5441.25</v>
      </c>
      <c r="CI2" s="13">
        <v>5442.26</v>
      </c>
      <c r="CJ2" s="13">
        <v>5450.87</v>
      </c>
      <c r="CK2" s="13">
        <v>5449</v>
      </c>
      <c r="CL2" s="13">
        <v>5448.74</v>
      </c>
      <c r="CM2" s="13">
        <v>5454.74</v>
      </c>
      <c r="CN2" s="13">
        <v>5454.74</v>
      </c>
      <c r="CO2" s="13">
        <v>5452.82</v>
      </c>
      <c r="CP2" s="13">
        <v>5465.91</v>
      </c>
      <c r="CQ2" s="13">
        <v>5461.91</v>
      </c>
      <c r="CR2" s="13">
        <v>5458.91</v>
      </c>
      <c r="CS2" s="13">
        <v>5457.82</v>
      </c>
      <c r="CT2" s="13">
        <v>5459.91</v>
      </c>
      <c r="CU2" s="13">
        <v>5453.91</v>
      </c>
      <c r="CV2" s="13">
        <v>5462.91</v>
      </c>
      <c r="CW2" s="13">
        <v>5466.43</v>
      </c>
      <c r="CX2" s="13">
        <v>5473.22</v>
      </c>
      <c r="CY2" s="13">
        <v>5480.71</v>
      </c>
      <c r="CZ2" s="13">
        <v>5474.96</v>
      </c>
      <c r="DA2" s="13">
        <v>5470.29</v>
      </c>
      <c r="DB2" s="13">
        <v>5470.29</v>
      </c>
      <c r="DC2" s="13">
        <v>5470.17</v>
      </c>
      <c r="DD2" s="13">
        <v>5476.04</v>
      </c>
      <c r="DE2" s="13">
        <v>5470.29</v>
      </c>
      <c r="DF2" s="13">
        <v>5478.1</v>
      </c>
    </row>
    <row r="3" spans="1:110" ht="15.75" x14ac:dyDescent="0.25">
      <c r="A3" s="14" t="s">
        <v>12</v>
      </c>
      <c r="B3" s="12" t="s">
        <v>10</v>
      </c>
      <c r="C3" s="13">
        <v>5445</v>
      </c>
      <c r="D3" s="13">
        <v>5455</v>
      </c>
      <c r="E3" s="13">
        <v>5471</v>
      </c>
      <c r="F3" s="13">
        <v>5468</v>
      </c>
      <c r="G3" s="13">
        <v>5464</v>
      </c>
      <c r="H3" s="13">
        <v>5464</v>
      </c>
      <c r="I3" s="13">
        <v>5462.87</v>
      </c>
      <c r="J3" s="13">
        <v>5464.13</v>
      </c>
      <c r="K3" s="13">
        <v>5471.87</v>
      </c>
      <c r="L3" s="13">
        <v>5480.63</v>
      </c>
      <c r="M3" s="13">
        <v>5470</v>
      </c>
      <c r="N3" s="13">
        <v>5462.87</v>
      </c>
      <c r="O3" s="13">
        <v>5457.87</v>
      </c>
      <c r="P3" s="13">
        <v>5466.87</v>
      </c>
      <c r="Q3" s="13">
        <v>5464.87</v>
      </c>
      <c r="R3" s="13">
        <v>5463</v>
      </c>
      <c r="S3" s="13">
        <v>5463</v>
      </c>
      <c r="T3" s="13">
        <v>5465.87</v>
      </c>
      <c r="U3" s="13">
        <v>5481.87</v>
      </c>
      <c r="V3" s="13">
        <v>5473.13</v>
      </c>
      <c r="W3" s="13">
        <v>5470.54</v>
      </c>
      <c r="X3" s="13">
        <v>5468.54</v>
      </c>
      <c r="Y3" s="13">
        <v>5473.54</v>
      </c>
      <c r="Z3" s="13">
        <v>5460.25</v>
      </c>
      <c r="AA3" s="13">
        <v>5451.43</v>
      </c>
      <c r="AB3" s="13">
        <v>5450.36</v>
      </c>
      <c r="AC3" s="13">
        <v>5447.82</v>
      </c>
      <c r="AD3" s="13">
        <v>5443.36</v>
      </c>
      <c r="AE3" s="13">
        <v>5444.54</v>
      </c>
      <c r="AF3" s="13">
        <v>5450.54</v>
      </c>
      <c r="AG3" s="13">
        <v>5433.21</v>
      </c>
      <c r="AH3" s="13">
        <v>5431.91</v>
      </c>
      <c r="AI3" s="13">
        <v>5433.87</v>
      </c>
      <c r="AJ3" s="13">
        <v>5438.25</v>
      </c>
      <c r="AK3" s="13">
        <v>5432</v>
      </c>
      <c r="AL3" s="13">
        <v>5432.38</v>
      </c>
      <c r="AM3" s="13">
        <v>5433</v>
      </c>
      <c r="AN3" s="13">
        <v>5434</v>
      </c>
      <c r="AO3" s="13">
        <v>5435</v>
      </c>
      <c r="AP3" s="13">
        <v>5435.63</v>
      </c>
      <c r="AQ3" s="13">
        <v>5433.38</v>
      </c>
      <c r="AR3" s="13">
        <v>5427.38</v>
      </c>
      <c r="AS3" s="13">
        <v>5410</v>
      </c>
      <c r="AT3" s="13">
        <v>5408.38</v>
      </c>
      <c r="AU3" s="13">
        <v>5410</v>
      </c>
      <c r="AV3" s="13">
        <v>5416.87</v>
      </c>
      <c r="AW3" s="13">
        <v>5417.87</v>
      </c>
      <c r="AX3" s="13">
        <v>5418.87</v>
      </c>
      <c r="AY3" s="13">
        <v>5424.87</v>
      </c>
      <c r="AZ3" s="13">
        <v>5426.43</v>
      </c>
      <c r="BA3" s="13">
        <v>5426.54</v>
      </c>
      <c r="BB3" s="13">
        <v>5431.71</v>
      </c>
      <c r="BC3" s="13">
        <v>5428.93</v>
      </c>
      <c r="BD3" s="13">
        <v>5429.89</v>
      </c>
      <c r="BE3" s="13">
        <v>5441.89</v>
      </c>
      <c r="BF3" s="13">
        <v>5439.71</v>
      </c>
      <c r="BG3" s="13">
        <v>5435.89</v>
      </c>
      <c r="BH3" s="13">
        <v>5435.11</v>
      </c>
      <c r="BI3" s="13">
        <v>5438.71</v>
      </c>
      <c r="BJ3" s="13">
        <v>5441.03</v>
      </c>
      <c r="BK3" s="13">
        <v>5439</v>
      </c>
      <c r="BL3" s="13">
        <v>5439</v>
      </c>
      <c r="BM3" s="13">
        <v>5438.83</v>
      </c>
      <c r="BN3" s="13"/>
      <c r="BO3" s="13"/>
      <c r="BP3" s="13"/>
      <c r="BQ3" s="13">
        <v>5439.1</v>
      </c>
      <c r="BR3" s="13">
        <v>5442.79</v>
      </c>
      <c r="BS3" s="13">
        <v>5441.03</v>
      </c>
      <c r="BT3" s="13">
        <v>5441.25</v>
      </c>
      <c r="BU3" s="13">
        <v>5441.21</v>
      </c>
      <c r="BV3" s="13">
        <v>5442.97</v>
      </c>
      <c r="BW3" s="13">
        <v>5441.03</v>
      </c>
      <c r="BX3" s="13">
        <v>5434.38</v>
      </c>
      <c r="BY3" s="13">
        <v>5430.69</v>
      </c>
      <c r="BZ3" s="13">
        <v>5423.07</v>
      </c>
      <c r="CA3" s="13">
        <v>5427.43</v>
      </c>
      <c r="CB3" s="13">
        <v>5426.8</v>
      </c>
      <c r="CC3" s="13">
        <v>5434.28</v>
      </c>
      <c r="CD3" s="13">
        <v>5441.03</v>
      </c>
      <c r="CE3" s="13">
        <v>5439.1</v>
      </c>
      <c r="CF3" s="13">
        <v>5437.17</v>
      </c>
      <c r="CG3" s="13">
        <v>5438.14</v>
      </c>
      <c r="CH3" s="13">
        <v>5441.25</v>
      </c>
      <c r="CI3" s="13">
        <v>5441.07</v>
      </c>
      <c r="CJ3" s="13">
        <v>5445.93</v>
      </c>
      <c r="CK3" s="13">
        <v>5446.93</v>
      </c>
      <c r="CL3" s="13">
        <v>5448</v>
      </c>
      <c r="CM3" s="13">
        <v>5453.74</v>
      </c>
      <c r="CN3" s="13">
        <v>5452.89</v>
      </c>
      <c r="CO3" s="13">
        <v>5451.91</v>
      </c>
      <c r="CP3" s="13">
        <v>5463.91</v>
      </c>
      <c r="CQ3" s="13">
        <v>5458.91</v>
      </c>
      <c r="CR3" s="13">
        <v>5455.91</v>
      </c>
      <c r="CS3" s="13">
        <v>5456.91</v>
      </c>
      <c r="CT3" s="13">
        <v>5449.09</v>
      </c>
      <c r="CU3" s="13">
        <v>5453.91</v>
      </c>
      <c r="CV3" s="13">
        <v>5462.91</v>
      </c>
      <c r="CW3" s="13">
        <v>5466.43</v>
      </c>
      <c r="CX3" s="13">
        <v>5469.21</v>
      </c>
      <c r="CY3" s="13">
        <v>5475.08</v>
      </c>
      <c r="CZ3" s="13">
        <v>5468.25</v>
      </c>
      <c r="DA3" s="13">
        <v>5470.29</v>
      </c>
      <c r="DB3" s="13">
        <v>5469.33</v>
      </c>
      <c r="DC3" s="13">
        <v>5469.33</v>
      </c>
      <c r="DD3" s="13">
        <v>5469.33</v>
      </c>
      <c r="DE3" s="13">
        <v>5468.12</v>
      </c>
      <c r="DF3" s="13">
        <v>5477.14</v>
      </c>
    </row>
    <row r="4" spans="1:110" ht="15.75" x14ac:dyDescent="0.25">
      <c r="A4" s="14" t="s">
        <v>12</v>
      </c>
      <c r="B4" s="12" t="s">
        <v>9</v>
      </c>
      <c r="C4" s="13">
        <v>5429</v>
      </c>
      <c r="D4" s="13">
        <v>5439</v>
      </c>
      <c r="E4" s="13">
        <v>5456</v>
      </c>
      <c r="F4" s="13">
        <v>5453</v>
      </c>
      <c r="G4" s="13">
        <v>5449</v>
      </c>
      <c r="H4" s="13">
        <v>5448.39</v>
      </c>
      <c r="I4" s="13">
        <v>5448.13</v>
      </c>
      <c r="J4" s="13">
        <v>5450.26</v>
      </c>
      <c r="K4" s="13">
        <v>5457.26</v>
      </c>
      <c r="L4" s="13">
        <v>5465.26</v>
      </c>
      <c r="M4" s="13">
        <v>5455.39</v>
      </c>
      <c r="N4" s="13">
        <v>5447.26</v>
      </c>
      <c r="O4" s="13">
        <v>5443.13</v>
      </c>
      <c r="P4" s="13">
        <v>5452.13</v>
      </c>
      <c r="Q4" s="13">
        <v>5449.39</v>
      </c>
      <c r="R4" s="13">
        <v>5448.26</v>
      </c>
      <c r="S4" s="13">
        <v>5447.26</v>
      </c>
      <c r="T4" s="13">
        <v>5450.13</v>
      </c>
      <c r="U4" s="13">
        <v>5467.26</v>
      </c>
      <c r="V4" s="13">
        <v>5459.26</v>
      </c>
      <c r="W4" s="13">
        <v>5458.67</v>
      </c>
      <c r="X4" s="13">
        <v>5456.22</v>
      </c>
      <c r="Y4" s="13">
        <v>5462.06</v>
      </c>
      <c r="Z4" s="13">
        <v>5448.5</v>
      </c>
      <c r="AA4" s="13">
        <v>5439.39</v>
      </c>
      <c r="AB4" s="13">
        <v>5438.39</v>
      </c>
      <c r="AC4" s="13">
        <v>5436.11</v>
      </c>
      <c r="AD4" s="13">
        <v>5431.11</v>
      </c>
      <c r="AE4" s="13">
        <v>5433.5</v>
      </c>
      <c r="AF4" s="13">
        <v>5439.39</v>
      </c>
      <c r="AG4" s="13">
        <v>5418.71</v>
      </c>
      <c r="AH4" s="13">
        <v>5417.79</v>
      </c>
      <c r="AI4" s="13">
        <v>5420.21</v>
      </c>
      <c r="AJ4" s="13">
        <v>5440</v>
      </c>
      <c r="AK4" s="13">
        <v>5420.11</v>
      </c>
      <c r="AL4" s="13">
        <v>5420.11</v>
      </c>
      <c r="AM4" s="13">
        <v>5421</v>
      </c>
      <c r="AN4" s="13">
        <v>5424.78</v>
      </c>
      <c r="AO4" s="13">
        <v>5425.33</v>
      </c>
      <c r="AP4" s="13">
        <v>5425.89</v>
      </c>
      <c r="AQ4" s="13">
        <v>5423.56</v>
      </c>
      <c r="AR4" s="13">
        <v>5418.22</v>
      </c>
      <c r="AS4" s="13">
        <v>5400.63</v>
      </c>
      <c r="AT4" s="13">
        <v>5398.63</v>
      </c>
      <c r="AU4" s="13">
        <v>5401</v>
      </c>
      <c r="AV4" s="13">
        <v>5407</v>
      </c>
      <c r="AW4" s="13">
        <v>5407.62</v>
      </c>
      <c r="AX4" s="13">
        <v>5408.62</v>
      </c>
      <c r="AY4" s="13">
        <v>5413.62</v>
      </c>
      <c r="AZ4" s="13">
        <v>5415.56</v>
      </c>
      <c r="BA4" s="13">
        <v>5415.74</v>
      </c>
      <c r="BB4" s="13">
        <v>5420.74</v>
      </c>
      <c r="BC4" s="13">
        <v>5419</v>
      </c>
      <c r="BD4" s="13">
        <v>5419.79</v>
      </c>
      <c r="BE4" s="13">
        <v>5430.86</v>
      </c>
      <c r="BF4" s="13">
        <v>5429.26</v>
      </c>
      <c r="BG4" s="13">
        <v>5426.26</v>
      </c>
      <c r="BH4" s="13">
        <v>5425.47</v>
      </c>
      <c r="BI4" s="13">
        <v>5427.63</v>
      </c>
      <c r="BJ4" s="13">
        <v>5429.68</v>
      </c>
      <c r="BK4" s="13">
        <v>5427.63</v>
      </c>
      <c r="BL4" s="13">
        <v>5427.63</v>
      </c>
      <c r="BM4" s="13">
        <v>5427.37</v>
      </c>
      <c r="BN4" s="13"/>
      <c r="BO4" s="13"/>
      <c r="BP4" s="13"/>
      <c r="BQ4" s="13">
        <v>5428.47</v>
      </c>
      <c r="BR4" s="13">
        <v>5431.16</v>
      </c>
      <c r="BS4" s="13">
        <v>5429.53</v>
      </c>
      <c r="BT4" s="13">
        <v>5430.74</v>
      </c>
      <c r="BU4" s="13">
        <v>5430.47</v>
      </c>
      <c r="BV4" s="13">
        <v>5432.11</v>
      </c>
      <c r="BW4" s="13">
        <v>5430.21</v>
      </c>
      <c r="BX4" s="13">
        <v>5422.89</v>
      </c>
      <c r="BY4" s="13">
        <v>5419.79</v>
      </c>
      <c r="BZ4" s="13">
        <v>5412.89</v>
      </c>
      <c r="CA4" s="13">
        <v>5416.36</v>
      </c>
      <c r="CB4" s="13">
        <v>5416</v>
      </c>
      <c r="CC4" s="13">
        <v>5423.32</v>
      </c>
      <c r="CD4" s="13">
        <v>5430.47</v>
      </c>
      <c r="CE4" s="13">
        <v>5427.89</v>
      </c>
      <c r="CF4" s="13">
        <v>5426</v>
      </c>
      <c r="CG4" s="13">
        <v>5427.11</v>
      </c>
      <c r="CH4" s="13">
        <v>5430.17</v>
      </c>
      <c r="CI4" s="13">
        <v>5429.78</v>
      </c>
      <c r="CJ4" s="13">
        <v>5436.33</v>
      </c>
      <c r="CK4" s="13">
        <v>5435.84</v>
      </c>
      <c r="CL4" s="13">
        <v>5436.11</v>
      </c>
      <c r="CM4" s="13">
        <v>5441.11</v>
      </c>
      <c r="CN4" s="13">
        <v>5440.95</v>
      </c>
      <c r="CO4" s="13">
        <v>5438.5</v>
      </c>
      <c r="CP4" s="13">
        <v>5448.21</v>
      </c>
      <c r="CQ4" s="13">
        <v>5445.07</v>
      </c>
      <c r="CR4" s="13">
        <v>5441.79</v>
      </c>
      <c r="CS4" s="13">
        <v>5442.79</v>
      </c>
      <c r="CT4" s="13">
        <v>5436.79</v>
      </c>
      <c r="CU4" s="13">
        <v>5439.71</v>
      </c>
      <c r="CV4" s="13">
        <v>5447.07</v>
      </c>
      <c r="CW4" s="13">
        <v>5449.14</v>
      </c>
      <c r="CX4" s="13">
        <v>5455.23</v>
      </c>
      <c r="CY4" s="13">
        <v>5459.08</v>
      </c>
      <c r="CZ4" s="13">
        <v>5453.62</v>
      </c>
      <c r="DA4" s="13">
        <v>5454.85</v>
      </c>
      <c r="DB4" s="13">
        <v>5453.92</v>
      </c>
      <c r="DC4" s="13">
        <v>5453.92</v>
      </c>
      <c r="DD4" s="13">
        <v>5454.08</v>
      </c>
      <c r="DE4" s="13">
        <v>5453</v>
      </c>
      <c r="DF4" s="13">
        <v>5459.09</v>
      </c>
    </row>
    <row r="5" spans="1:110" ht="15.75" x14ac:dyDescent="0.25">
      <c r="A5" s="14" t="s">
        <v>12</v>
      </c>
      <c r="B5" s="12" t="s">
        <v>7</v>
      </c>
      <c r="C5" s="13">
        <v>5425</v>
      </c>
      <c r="D5" s="13">
        <v>5426.5</v>
      </c>
      <c r="E5" s="13">
        <v>5439</v>
      </c>
      <c r="F5" s="13">
        <v>5453</v>
      </c>
      <c r="G5" s="13">
        <v>5447</v>
      </c>
      <c r="H5" s="13">
        <v>5448.26</v>
      </c>
      <c r="I5" s="13">
        <v>5443.26</v>
      </c>
      <c r="J5" s="13">
        <v>5440.26</v>
      </c>
      <c r="K5" s="13">
        <v>5452.13</v>
      </c>
      <c r="L5" s="13">
        <v>5465.26</v>
      </c>
      <c r="M5" s="13">
        <v>5453.39</v>
      </c>
      <c r="N5" s="13">
        <v>5447.26</v>
      </c>
      <c r="O5" s="13">
        <v>5438.13</v>
      </c>
      <c r="P5" s="13">
        <v>5444.13</v>
      </c>
      <c r="Q5" s="13">
        <v>5447.26</v>
      </c>
      <c r="R5" s="13">
        <v>5447.26</v>
      </c>
      <c r="S5" s="13">
        <v>5446.26</v>
      </c>
      <c r="T5" s="13">
        <v>5446.26</v>
      </c>
      <c r="U5" s="13">
        <v>5450.13</v>
      </c>
      <c r="V5" s="13">
        <v>5459.26</v>
      </c>
      <c r="W5" s="13">
        <v>5457.77</v>
      </c>
      <c r="X5" s="13">
        <v>5452.83</v>
      </c>
      <c r="Y5" s="13">
        <v>5455.67</v>
      </c>
      <c r="Z5" s="13">
        <v>5446.11</v>
      </c>
      <c r="AA5" s="13">
        <v>5438.67</v>
      </c>
      <c r="AB5" s="13">
        <v>5431.83</v>
      </c>
      <c r="AC5" s="13">
        <v>5430.39</v>
      </c>
      <c r="AD5" s="13">
        <v>5430.25</v>
      </c>
      <c r="AE5" s="13">
        <v>5428.81</v>
      </c>
      <c r="AF5" s="13">
        <v>5431.67</v>
      </c>
      <c r="AG5" s="13">
        <v>5418.37</v>
      </c>
      <c r="AH5" s="13">
        <v>5414.07</v>
      </c>
      <c r="AI5" s="13">
        <v>5415</v>
      </c>
      <c r="AJ5" s="13">
        <v>5414.64</v>
      </c>
      <c r="AK5" s="13">
        <v>5400</v>
      </c>
      <c r="AL5" s="13">
        <v>5417.78</v>
      </c>
      <c r="AM5" s="13">
        <v>5419.22</v>
      </c>
      <c r="AN5" s="13">
        <v>5418.75</v>
      </c>
      <c r="AO5" s="13">
        <v>5423.75</v>
      </c>
      <c r="AP5" s="13">
        <v>5424.5</v>
      </c>
      <c r="AQ5" s="13">
        <v>5421.78</v>
      </c>
      <c r="AR5" s="13">
        <v>5418.22</v>
      </c>
      <c r="AS5" s="13">
        <v>5400</v>
      </c>
      <c r="AT5" s="13">
        <v>5396</v>
      </c>
      <c r="AU5" s="13">
        <v>5396</v>
      </c>
      <c r="AV5" s="13">
        <v>5401</v>
      </c>
      <c r="AW5" s="13">
        <v>5406</v>
      </c>
      <c r="AX5" s="13">
        <v>5404.23</v>
      </c>
      <c r="AY5" s="13">
        <v>5412.62</v>
      </c>
      <c r="AZ5" s="13">
        <v>5410.72</v>
      </c>
      <c r="BA5" s="13">
        <v>5414.71</v>
      </c>
      <c r="BB5" s="13">
        <v>5414.71</v>
      </c>
      <c r="BC5" s="13">
        <v>5419</v>
      </c>
      <c r="BD5" s="13">
        <v>5418.16</v>
      </c>
      <c r="BE5" s="13">
        <v>5419.36</v>
      </c>
      <c r="BF5" s="13">
        <v>5426.21</v>
      </c>
      <c r="BG5" s="13">
        <v>5423.58</v>
      </c>
      <c r="BH5" s="13">
        <v>5425.29</v>
      </c>
      <c r="BI5" s="13">
        <v>5427.37</v>
      </c>
      <c r="BJ5" s="13">
        <v>5427.63</v>
      </c>
      <c r="BK5" s="13">
        <v>5427.37</v>
      </c>
      <c r="BL5" s="13">
        <v>5425.53</v>
      </c>
      <c r="BM5" s="13">
        <v>5425.47</v>
      </c>
      <c r="BN5" s="13"/>
      <c r="BO5" s="13"/>
      <c r="BP5" s="13"/>
      <c r="BQ5" s="13">
        <v>5426.21</v>
      </c>
      <c r="BR5" s="13">
        <v>5428.07</v>
      </c>
      <c r="BS5" s="13">
        <v>5427.79</v>
      </c>
      <c r="BT5" s="13">
        <v>5427.37</v>
      </c>
      <c r="BU5" s="13">
        <v>5429.93</v>
      </c>
      <c r="BV5" s="13">
        <v>5429.93</v>
      </c>
      <c r="BW5" s="13">
        <v>5429.93</v>
      </c>
      <c r="BX5" s="13">
        <v>5422.5</v>
      </c>
      <c r="BY5" s="13">
        <v>5415.74</v>
      </c>
      <c r="BZ5" s="13">
        <v>5412.89</v>
      </c>
      <c r="CA5" s="13">
        <v>5413.16</v>
      </c>
      <c r="CB5" s="13">
        <v>5413.79</v>
      </c>
      <c r="CC5" s="13">
        <v>5416</v>
      </c>
      <c r="CD5" s="13">
        <v>5422.14</v>
      </c>
      <c r="CE5" s="13">
        <v>5427.89</v>
      </c>
      <c r="CF5" s="13">
        <v>5423.07</v>
      </c>
      <c r="CG5" s="13">
        <v>5424.26</v>
      </c>
      <c r="CH5" s="13">
        <v>5424.93</v>
      </c>
      <c r="CI5" s="13">
        <v>5428.54</v>
      </c>
      <c r="CJ5" s="13">
        <v>5429.78</v>
      </c>
      <c r="CK5" s="13">
        <v>5432.5</v>
      </c>
      <c r="CL5" s="13">
        <v>5434.05</v>
      </c>
      <c r="CM5" s="13">
        <v>5435.84</v>
      </c>
      <c r="CN5" s="13">
        <v>5438.5</v>
      </c>
      <c r="CO5" s="13">
        <v>5438.5</v>
      </c>
      <c r="CP5" s="13">
        <v>5439.21</v>
      </c>
      <c r="CQ5" s="13">
        <v>5440</v>
      </c>
      <c r="CR5" s="13">
        <v>5441.79</v>
      </c>
      <c r="CS5" s="13">
        <v>5441.79</v>
      </c>
      <c r="CT5" s="13">
        <v>5435.79</v>
      </c>
      <c r="CU5" s="13">
        <v>5435.93</v>
      </c>
      <c r="CV5" s="13">
        <v>5439</v>
      </c>
      <c r="CW5" s="13">
        <v>5446.93</v>
      </c>
      <c r="CX5" s="13">
        <v>5450.86</v>
      </c>
      <c r="CY5" s="13">
        <v>5455.23</v>
      </c>
      <c r="CZ5" s="13">
        <v>5452.08</v>
      </c>
      <c r="DA5" s="13">
        <v>5451.15</v>
      </c>
      <c r="DB5" s="13">
        <v>5453</v>
      </c>
      <c r="DC5" s="13">
        <v>5451.15</v>
      </c>
      <c r="DD5" s="13">
        <v>5452.08</v>
      </c>
      <c r="DE5" s="13">
        <v>5451.14</v>
      </c>
      <c r="DF5" s="13">
        <v>5453.79</v>
      </c>
    </row>
    <row r="6" spans="1:110" ht="15.75" x14ac:dyDescent="0.25">
      <c r="A6" s="11" t="s">
        <v>5</v>
      </c>
      <c r="B6" s="11" t="s">
        <v>11</v>
      </c>
      <c r="C6" s="15">
        <v>0.37847222222222227</v>
      </c>
      <c r="D6" s="15">
        <v>0.38194444444444442</v>
      </c>
      <c r="E6" s="15">
        <v>0.38541666666666669</v>
      </c>
      <c r="F6" s="15">
        <v>0.3888888888888889</v>
      </c>
      <c r="G6" s="15">
        <v>0.3923611111111111</v>
      </c>
      <c r="H6" s="15">
        <v>0.39583333333333331</v>
      </c>
      <c r="I6" s="15">
        <v>0.39930555555555558</v>
      </c>
      <c r="J6" s="15">
        <v>0.40277777777777773</v>
      </c>
      <c r="K6" s="15">
        <v>0.40625</v>
      </c>
      <c r="L6" s="15">
        <v>0.40972222222222227</v>
      </c>
      <c r="M6" s="15">
        <v>0.41319444444444442</v>
      </c>
      <c r="N6" s="15">
        <v>0.41666666666666669</v>
      </c>
      <c r="O6" s="15">
        <v>0.4201388888888889</v>
      </c>
      <c r="P6" s="15">
        <v>0.4236111111111111</v>
      </c>
      <c r="Q6" s="15">
        <v>0.42708333333333331</v>
      </c>
      <c r="R6" s="15">
        <v>0.43055555555555558</v>
      </c>
      <c r="S6" s="15">
        <v>0.43402777777777773</v>
      </c>
      <c r="T6" s="15">
        <v>0.4375</v>
      </c>
      <c r="U6" s="15">
        <v>0.44097222222222227</v>
      </c>
      <c r="V6" s="15">
        <v>0.44444444444444442</v>
      </c>
      <c r="W6" s="15">
        <v>0.44791666666666669</v>
      </c>
      <c r="X6" s="15">
        <v>0.4513888888888889</v>
      </c>
      <c r="Y6" s="15">
        <v>0.4548611111111111</v>
      </c>
      <c r="Z6" s="15">
        <v>0.45833333333333331</v>
      </c>
      <c r="AA6" s="15">
        <v>0.46180555555555558</v>
      </c>
      <c r="AB6" s="15">
        <v>0.46527777777777773</v>
      </c>
      <c r="AC6" s="15">
        <v>0.46875</v>
      </c>
      <c r="AD6" s="15">
        <v>0.47222222222222227</v>
      </c>
      <c r="AE6" s="15">
        <v>0.47569444444444442</v>
      </c>
      <c r="AF6" s="15">
        <v>0.47916666666666669</v>
      </c>
      <c r="AG6" s="15">
        <v>0.4826388888888889</v>
      </c>
      <c r="AH6" s="15">
        <v>0.4861111111111111</v>
      </c>
      <c r="AI6" s="15">
        <v>0.48958333333333331</v>
      </c>
      <c r="AJ6" s="15">
        <v>0.49305555555555558</v>
      </c>
      <c r="AK6" s="15">
        <v>0.49652777777777773</v>
      </c>
      <c r="AL6" s="15">
        <v>0.5</v>
      </c>
      <c r="AM6" s="15">
        <v>0.50347222222222221</v>
      </c>
      <c r="AN6" s="15">
        <v>0.50694444444444442</v>
      </c>
      <c r="AO6" s="15">
        <v>0.51041666666666663</v>
      </c>
      <c r="AP6" s="15">
        <v>0.51388888888888895</v>
      </c>
      <c r="AQ6" s="15">
        <v>0.51736111111111105</v>
      </c>
      <c r="AR6" s="15">
        <v>0.52083333333333337</v>
      </c>
      <c r="AS6" s="15">
        <v>0.52430555555555558</v>
      </c>
      <c r="AT6" s="15">
        <v>0.52777777777777779</v>
      </c>
      <c r="AU6" s="15">
        <v>0.53125</v>
      </c>
      <c r="AV6" s="15">
        <v>0.53472222222222221</v>
      </c>
      <c r="AW6" s="15">
        <v>0.53819444444444442</v>
      </c>
      <c r="AX6" s="15">
        <v>0.54166666666666663</v>
      </c>
      <c r="AY6" s="15">
        <v>0.54513888888888895</v>
      </c>
      <c r="AZ6" s="15">
        <v>0.54861111111111105</v>
      </c>
      <c r="BA6" s="15">
        <v>0.55208333333333337</v>
      </c>
      <c r="BB6" s="15">
        <v>0.55555555555555558</v>
      </c>
      <c r="BC6" s="15">
        <v>0.55902777777777779</v>
      </c>
      <c r="BD6" s="15">
        <v>0.5625</v>
      </c>
      <c r="BE6" s="15">
        <v>0.56597222222222221</v>
      </c>
      <c r="BF6" s="15">
        <v>0.56944444444444442</v>
      </c>
      <c r="BG6" s="15">
        <v>0.57291666666666663</v>
      </c>
      <c r="BH6" s="15">
        <v>0.57638888888888895</v>
      </c>
      <c r="BI6" s="15">
        <v>0.57986111111111105</v>
      </c>
      <c r="BJ6" s="15">
        <v>0.58333333333333337</v>
      </c>
      <c r="BK6" s="15">
        <v>0.58680555555555558</v>
      </c>
      <c r="BL6" s="15">
        <v>0.59027777777777779</v>
      </c>
      <c r="BM6" s="15">
        <v>0.59375</v>
      </c>
      <c r="BN6" s="15">
        <v>0.59722222222222221</v>
      </c>
      <c r="BO6" s="15">
        <v>0.60069444444444442</v>
      </c>
      <c r="BP6" s="15">
        <v>0.60416666666666663</v>
      </c>
      <c r="BQ6" s="15">
        <v>0.60763888888888895</v>
      </c>
      <c r="BR6" s="15">
        <v>0.61111111111111105</v>
      </c>
      <c r="BS6" s="15">
        <v>0.61458333333333337</v>
      </c>
      <c r="BT6" s="15">
        <v>0.61805555555555558</v>
      </c>
      <c r="BU6" s="15">
        <v>0.62152777777777779</v>
      </c>
      <c r="BV6" s="15">
        <v>0.625</v>
      </c>
      <c r="BW6" s="15">
        <v>0.62847222222222221</v>
      </c>
      <c r="BX6" s="15">
        <v>0.63194444444444442</v>
      </c>
      <c r="BY6" s="15">
        <v>0.63541666666666663</v>
      </c>
      <c r="BZ6" s="15">
        <v>0.63888888888888895</v>
      </c>
      <c r="CA6" s="15">
        <v>0.64236111111111105</v>
      </c>
      <c r="CB6" s="15">
        <v>0.64583333333333337</v>
      </c>
      <c r="CC6" s="15">
        <v>0.64930555555555558</v>
      </c>
      <c r="CD6" s="15">
        <v>0.65277777777777779</v>
      </c>
      <c r="CE6" s="15">
        <v>0.65625</v>
      </c>
      <c r="CF6" s="15">
        <v>0.65972222222222221</v>
      </c>
      <c r="CG6" s="15">
        <v>0.66319444444444442</v>
      </c>
      <c r="CH6" s="15">
        <v>0.66666666666666663</v>
      </c>
      <c r="CI6" s="15">
        <v>0.67013888888888884</v>
      </c>
      <c r="CJ6" s="15">
        <v>0.67361111111111116</v>
      </c>
      <c r="CK6" s="15">
        <v>0.67708333333333337</v>
      </c>
      <c r="CL6" s="15">
        <v>0.68055555555555547</v>
      </c>
      <c r="CM6" s="15">
        <v>0.68402777777777779</v>
      </c>
      <c r="CN6" s="15">
        <v>0.6875</v>
      </c>
      <c r="CO6" s="15">
        <v>0.69097222222222221</v>
      </c>
      <c r="CP6" s="15">
        <v>0.69444444444444453</v>
      </c>
      <c r="CQ6" s="15">
        <v>0.69791666666666663</v>
      </c>
      <c r="CR6" s="15">
        <v>0.70138888888888884</v>
      </c>
      <c r="CS6" s="15">
        <v>0.70486111111111116</v>
      </c>
      <c r="CT6" s="15">
        <v>0.70833333333333337</v>
      </c>
      <c r="CU6" s="15">
        <v>0.71180555555555547</v>
      </c>
      <c r="CV6" s="15">
        <v>0.71527777777777779</v>
      </c>
      <c r="CW6" s="15">
        <v>0.71875</v>
      </c>
      <c r="CX6" s="15">
        <v>0.72222222222222221</v>
      </c>
      <c r="CY6" s="15">
        <v>0.72569444444444453</v>
      </c>
      <c r="CZ6" s="15">
        <v>0.72916666666666663</v>
      </c>
      <c r="DA6" s="15">
        <v>0.73263888888888884</v>
      </c>
      <c r="DB6" s="15">
        <v>0.73611111111111116</v>
      </c>
      <c r="DC6" s="15">
        <v>0.73958333333333337</v>
      </c>
      <c r="DD6" s="15">
        <v>0.74305555555555547</v>
      </c>
      <c r="DE6" s="15">
        <v>0.74652777777777779</v>
      </c>
      <c r="DF6" s="15">
        <v>0.75</v>
      </c>
    </row>
    <row r="7" spans="1:110" ht="15.75" x14ac:dyDescent="0.25">
      <c r="A7" s="14">
        <v>44320</v>
      </c>
      <c r="B7" s="12" t="s">
        <v>6</v>
      </c>
      <c r="C7" s="13"/>
      <c r="D7" s="13"/>
      <c r="E7" s="13"/>
      <c r="F7" s="13"/>
      <c r="G7" s="13"/>
      <c r="H7" s="13">
        <v>5503.46</v>
      </c>
      <c r="I7" s="13">
        <v>5503.29</v>
      </c>
      <c r="J7" s="13">
        <v>5499</v>
      </c>
      <c r="K7" s="13">
        <v>5506.11</v>
      </c>
      <c r="L7" s="13">
        <v>5504.11</v>
      </c>
      <c r="M7" s="13">
        <v>5501.76</v>
      </c>
      <c r="N7" s="13">
        <v>5502.9</v>
      </c>
      <c r="O7" s="13">
        <v>5502.55</v>
      </c>
      <c r="P7" s="13">
        <v>5502.72</v>
      </c>
      <c r="Q7" s="13">
        <v>5502.91</v>
      </c>
      <c r="R7" s="13">
        <v>5492</v>
      </c>
      <c r="S7" s="13">
        <v>5493.07</v>
      </c>
      <c r="T7" s="13">
        <v>5492.1</v>
      </c>
      <c r="U7" s="13">
        <v>5487.28</v>
      </c>
      <c r="V7" s="13">
        <v>5480.79</v>
      </c>
      <c r="W7" s="13">
        <v>5476.93</v>
      </c>
      <c r="X7" s="13">
        <v>5472.07</v>
      </c>
      <c r="Y7" s="13">
        <v>5476.55</v>
      </c>
      <c r="Z7" s="13">
        <v>5473.93</v>
      </c>
      <c r="AA7" s="13">
        <v>5471.9</v>
      </c>
      <c r="AB7" s="13">
        <v>5470.11</v>
      </c>
      <c r="AC7" s="13">
        <v>5478.32</v>
      </c>
      <c r="AD7" s="13">
        <v>5481.5</v>
      </c>
      <c r="AE7" s="13">
        <v>5483.43</v>
      </c>
      <c r="AF7" s="13">
        <v>5488.14</v>
      </c>
      <c r="AG7" s="13">
        <v>5487.17</v>
      </c>
      <c r="AH7" s="13">
        <v>5485.21</v>
      </c>
      <c r="AI7" s="13">
        <v>5478</v>
      </c>
      <c r="AJ7" s="13">
        <v>5480.54</v>
      </c>
      <c r="AK7" s="13">
        <v>5480.75</v>
      </c>
      <c r="AL7" s="13">
        <v>5492.11</v>
      </c>
      <c r="AM7" s="13">
        <v>5490.46</v>
      </c>
      <c r="AN7" s="13">
        <v>5483.43</v>
      </c>
      <c r="AO7" s="13">
        <v>5483.5</v>
      </c>
      <c r="AP7" s="13">
        <v>5483.5</v>
      </c>
      <c r="AQ7" s="13">
        <v>5483.5</v>
      </c>
      <c r="AR7" s="13">
        <v>5479.96</v>
      </c>
      <c r="AS7" s="13">
        <v>5474.33</v>
      </c>
      <c r="AT7" s="13">
        <v>5473.42</v>
      </c>
      <c r="AU7" s="13">
        <v>5474.86</v>
      </c>
      <c r="AV7" s="13">
        <v>5477.64</v>
      </c>
      <c r="AW7" s="13">
        <v>5478.89</v>
      </c>
      <c r="AX7" s="13">
        <v>5480.54</v>
      </c>
      <c r="AY7" s="13">
        <v>5479.91</v>
      </c>
      <c r="AZ7" s="13">
        <v>5478</v>
      </c>
      <c r="BA7" s="13">
        <v>5476.09</v>
      </c>
      <c r="BB7" s="13">
        <v>5473.22</v>
      </c>
      <c r="BC7" s="13">
        <v>5475.13</v>
      </c>
      <c r="BD7" s="13">
        <v>5466.52</v>
      </c>
      <c r="BE7" s="13">
        <v>5455.17</v>
      </c>
      <c r="BF7" s="13">
        <v>5455.04</v>
      </c>
      <c r="BG7" s="13">
        <v>5456.96</v>
      </c>
      <c r="BH7" s="13">
        <v>5456.83</v>
      </c>
      <c r="BI7" s="13">
        <v>5453.13</v>
      </c>
      <c r="BJ7" s="13">
        <v>5456.96</v>
      </c>
      <c r="BK7" s="13">
        <v>5458.87</v>
      </c>
      <c r="BL7" s="13">
        <v>5460.78</v>
      </c>
      <c r="BM7" s="13">
        <v>5458.87</v>
      </c>
      <c r="BN7" s="13">
        <v>5500</v>
      </c>
      <c r="BO7" s="13">
        <v>5461</v>
      </c>
      <c r="BP7" s="13">
        <v>5460.29</v>
      </c>
      <c r="BQ7" s="13">
        <v>5458.38</v>
      </c>
      <c r="BR7" s="13">
        <v>5456.46</v>
      </c>
      <c r="BS7" s="13">
        <v>5458.79</v>
      </c>
      <c r="BT7" s="13">
        <v>5463.46</v>
      </c>
      <c r="BU7" s="13">
        <v>5463.58</v>
      </c>
      <c r="BV7" s="13">
        <v>5461.67</v>
      </c>
      <c r="BW7" s="13">
        <v>5460.83</v>
      </c>
      <c r="BX7" s="13">
        <v>5462.63</v>
      </c>
      <c r="BY7" s="13">
        <v>5458.79</v>
      </c>
      <c r="BZ7" s="13">
        <v>5459.75</v>
      </c>
      <c r="CA7" s="13">
        <v>5463.58</v>
      </c>
      <c r="CB7" s="13">
        <v>5468.38</v>
      </c>
      <c r="CC7" s="13">
        <v>5469.21</v>
      </c>
      <c r="CD7" s="13">
        <v>5468.38</v>
      </c>
      <c r="CE7" s="13">
        <v>5465.04</v>
      </c>
      <c r="CF7" s="13">
        <v>5468.72</v>
      </c>
      <c r="CG7" s="13">
        <v>5466.14</v>
      </c>
      <c r="CH7" s="13">
        <v>5467</v>
      </c>
      <c r="CI7" s="13">
        <v>5471.93</v>
      </c>
      <c r="CJ7" s="13">
        <v>5469.76</v>
      </c>
      <c r="CK7" s="13">
        <v>5466.46</v>
      </c>
      <c r="CL7" s="13">
        <v>5467.5</v>
      </c>
      <c r="CM7" s="13">
        <v>5467.42</v>
      </c>
      <c r="CN7" s="13">
        <v>5468.25</v>
      </c>
      <c r="CO7" s="13">
        <v>5466.28</v>
      </c>
      <c r="CP7" s="13">
        <v>5463.52</v>
      </c>
      <c r="CQ7" s="13">
        <v>5462.63</v>
      </c>
      <c r="CR7" s="13">
        <v>5466.46</v>
      </c>
      <c r="CS7" s="13">
        <v>5466.33</v>
      </c>
      <c r="CT7" s="13">
        <v>5463.58</v>
      </c>
      <c r="CU7" s="13">
        <v>5463.46</v>
      </c>
      <c r="CV7" s="13">
        <v>5467.42</v>
      </c>
      <c r="CW7" s="13">
        <v>5463.46</v>
      </c>
      <c r="CX7" s="13">
        <v>5456.88</v>
      </c>
      <c r="CY7" s="13">
        <v>5457.83</v>
      </c>
      <c r="CZ7" s="13">
        <v>5458.79</v>
      </c>
      <c r="DA7" s="13">
        <v>5466.46</v>
      </c>
      <c r="DB7" s="13">
        <v>5466.46</v>
      </c>
      <c r="DC7" s="13">
        <v>5469.33</v>
      </c>
      <c r="DD7" s="13">
        <v>5474.13</v>
      </c>
      <c r="DE7" s="13">
        <v>5477</v>
      </c>
      <c r="DF7" s="13">
        <v>5475.24</v>
      </c>
    </row>
    <row r="8" spans="1:110" ht="15.75" x14ac:dyDescent="0.25">
      <c r="A8" s="14" t="s">
        <v>12</v>
      </c>
      <c r="B8" s="12" t="s">
        <v>10</v>
      </c>
      <c r="C8" s="13"/>
      <c r="D8" s="13"/>
      <c r="E8" s="13"/>
      <c r="F8" s="13"/>
      <c r="G8" s="13"/>
      <c r="H8" s="13">
        <v>5502.29</v>
      </c>
      <c r="I8" s="13">
        <v>5495.93</v>
      </c>
      <c r="J8" s="13">
        <v>5493.11</v>
      </c>
      <c r="K8" s="13">
        <v>5502.64</v>
      </c>
      <c r="L8" s="13">
        <v>5499.83</v>
      </c>
      <c r="M8" s="13">
        <v>5495</v>
      </c>
      <c r="N8" s="13">
        <v>5502.55</v>
      </c>
      <c r="O8" s="13">
        <v>5495.79</v>
      </c>
      <c r="P8" s="13">
        <v>5501.93</v>
      </c>
      <c r="Q8" s="13">
        <v>5491.31</v>
      </c>
      <c r="R8" s="13">
        <v>5483.31</v>
      </c>
      <c r="S8" s="13">
        <v>5492.1</v>
      </c>
      <c r="T8" s="13">
        <v>5487.1</v>
      </c>
      <c r="U8" s="13">
        <v>5477.03</v>
      </c>
      <c r="V8" s="13"/>
      <c r="W8" s="13">
        <v>5465.07</v>
      </c>
      <c r="X8" s="13">
        <v>5472.07</v>
      </c>
      <c r="Y8" s="13">
        <v>5470.21</v>
      </c>
      <c r="Z8" s="13">
        <v>5471.07</v>
      </c>
      <c r="AA8" s="13">
        <v>5468.39</v>
      </c>
      <c r="AB8" s="13">
        <v>5469.07</v>
      </c>
      <c r="AC8" s="13">
        <v>5476.68</v>
      </c>
      <c r="AD8" s="13">
        <v>5474.93</v>
      </c>
      <c r="AE8" s="13">
        <v>5478.04</v>
      </c>
      <c r="AF8" s="13">
        <v>5486.14</v>
      </c>
      <c r="AG8" s="13">
        <v>5483.54</v>
      </c>
      <c r="AH8" s="13">
        <v>5476.5</v>
      </c>
      <c r="AI8" s="13">
        <v>5476.5</v>
      </c>
      <c r="AJ8" s="13">
        <v>5479.39</v>
      </c>
      <c r="AK8" s="13">
        <v>5479.39</v>
      </c>
      <c r="AL8" s="13">
        <v>5490</v>
      </c>
      <c r="AM8" s="13">
        <v>5483.54</v>
      </c>
      <c r="AN8" s="13">
        <v>5474.86</v>
      </c>
      <c r="AO8" s="13">
        <v>5482.57</v>
      </c>
      <c r="AP8" s="13">
        <v>5477.82</v>
      </c>
      <c r="AQ8" s="13">
        <v>5477.93</v>
      </c>
      <c r="AR8" s="13">
        <v>5472.82</v>
      </c>
      <c r="AS8" s="13">
        <v>5471</v>
      </c>
      <c r="AT8" s="13">
        <v>5471</v>
      </c>
      <c r="AU8" s="13">
        <v>5470.32</v>
      </c>
      <c r="AV8" s="13">
        <v>5473.79</v>
      </c>
      <c r="AW8" s="13">
        <v>5478.61</v>
      </c>
      <c r="AX8" s="13">
        <v>5479.09</v>
      </c>
      <c r="AY8" s="13">
        <v>5477.17</v>
      </c>
      <c r="AZ8" s="13">
        <v>5475.96</v>
      </c>
      <c r="BA8" s="13">
        <v>5469.52</v>
      </c>
      <c r="BB8" s="13">
        <v>5471.43</v>
      </c>
      <c r="BC8" s="13">
        <v>5464.74</v>
      </c>
      <c r="BD8" s="13">
        <v>5447.65</v>
      </c>
      <c r="BE8" s="13">
        <v>5454.39</v>
      </c>
      <c r="BF8" s="13">
        <v>5452.17</v>
      </c>
      <c r="BG8" s="13">
        <v>5456.96</v>
      </c>
      <c r="BH8" s="13">
        <v>5453.13</v>
      </c>
      <c r="BI8" s="13">
        <v>5453.13</v>
      </c>
      <c r="BJ8" s="13">
        <v>5456.83</v>
      </c>
      <c r="BK8" s="13">
        <v>5456.13</v>
      </c>
      <c r="BL8" s="13">
        <v>5456</v>
      </c>
      <c r="BM8" s="13">
        <v>5452.17</v>
      </c>
      <c r="BN8" s="13">
        <v>5460.25</v>
      </c>
      <c r="BO8" s="13">
        <v>5456.88</v>
      </c>
      <c r="BP8" s="13">
        <v>5457.42</v>
      </c>
      <c r="BQ8" s="13">
        <v>5455.38</v>
      </c>
      <c r="BR8" s="13">
        <v>5456.46</v>
      </c>
      <c r="BS8" s="13">
        <v>5457</v>
      </c>
      <c r="BT8" s="13">
        <v>5462.63</v>
      </c>
      <c r="BU8" s="13">
        <v>5461.67</v>
      </c>
      <c r="BV8" s="13">
        <v>5454</v>
      </c>
      <c r="BW8" s="13">
        <v>5459.88</v>
      </c>
      <c r="BX8" s="13">
        <v>5458.79</v>
      </c>
      <c r="BY8" s="13">
        <v>5455.92</v>
      </c>
      <c r="BZ8" s="13">
        <v>5459.75</v>
      </c>
      <c r="CA8" s="13">
        <v>5463.58</v>
      </c>
      <c r="CB8" s="13">
        <v>5468.38</v>
      </c>
      <c r="CC8" s="13">
        <v>5467.42</v>
      </c>
      <c r="CD8" s="13">
        <v>5463.83</v>
      </c>
      <c r="CE8" s="13">
        <v>5464.1</v>
      </c>
      <c r="CF8" s="13">
        <v>5466.83</v>
      </c>
      <c r="CG8" s="13">
        <v>5463.24</v>
      </c>
      <c r="CH8" s="13">
        <v>5467</v>
      </c>
      <c r="CI8" s="13">
        <v>5467.1</v>
      </c>
      <c r="CJ8" s="13">
        <v>5466.03</v>
      </c>
      <c r="CK8" s="13">
        <v>5466.46</v>
      </c>
      <c r="CL8" s="13">
        <v>5465.38</v>
      </c>
      <c r="CM8" s="13">
        <v>5467.42</v>
      </c>
      <c r="CN8" s="13">
        <v>5464.67</v>
      </c>
      <c r="CO8" s="13">
        <v>5463.52</v>
      </c>
      <c r="CP8" s="13">
        <v>5461.68</v>
      </c>
      <c r="CQ8" s="13">
        <v>5462.63</v>
      </c>
      <c r="CR8" s="13">
        <v>5464.54</v>
      </c>
      <c r="CS8" s="13">
        <v>5465.5</v>
      </c>
      <c r="CT8" s="13">
        <v>5462.63</v>
      </c>
      <c r="CU8" s="13">
        <v>5461.67</v>
      </c>
      <c r="CV8" s="13">
        <v>5463.83</v>
      </c>
      <c r="CW8" s="13">
        <v>5455.92</v>
      </c>
      <c r="CX8" s="13">
        <v>5455.92</v>
      </c>
      <c r="CY8" s="13">
        <v>5455.08</v>
      </c>
      <c r="CZ8" s="13">
        <v>5458.79</v>
      </c>
      <c r="DA8" s="13">
        <v>5464.79</v>
      </c>
      <c r="DB8" s="13">
        <v>5466.46</v>
      </c>
      <c r="DC8" s="13">
        <v>5469.33</v>
      </c>
      <c r="DD8" s="13">
        <v>5469.33</v>
      </c>
      <c r="DE8" s="13">
        <v>5475.33</v>
      </c>
      <c r="DF8" s="13">
        <v>5473.33</v>
      </c>
    </row>
    <row r="9" spans="1:110" ht="15.75" x14ac:dyDescent="0.25">
      <c r="A9" s="14" t="s">
        <v>12</v>
      </c>
      <c r="B9" s="12" t="s">
        <v>9</v>
      </c>
      <c r="C9" s="13"/>
      <c r="D9" s="13"/>
      <c r="E9" s="13"/>
      <c r="F9" s="13"/>
      <c r="G9" s="13"/>
      <c r="H9" s="13">
        <v>5493.28</v>
      </c>
      <c r="I9" s="13">
        <v>5487</v>
      </c>
      <c r="J9" s="13">
        <v>5484.28</v>
      </c>
      <c r="K9" s="13">
        <v>5491.53</v>
      </c>
      <c r="L9" s="13">
        <v>5488.16</v>
      </c>
      <c r="M9" s="13">
        <v>5483.95</v>
      </c>
      <c r="N9" s="13">
        <v>5491</v>
      </c>
      <c r="O9" s="13">
        <v>5485.05</v>
      </c>
      <c r="P9" s="13">
        <v>5491.68</v>
      </c>
      <c r="Q9" s="13">
        <v>5479.89</v>
      </c>
      <c r="R9" s="13">
        <v>5472.68</v>
      </c>
      <c r="S9" s="13">
        <v>5480.58</v>
      </c>
      <c r="T9" s="13">
        <v>5475.58</v>
      </c>
      <c r="U9" s="13">
        <v>5466.63</v>
      </c>
      <c r="V9" s="13">
        <v>5462.58</v>
      </c>
      <c r="W9" s="13">
        <v>5454.58</v>
      </c>
      <c r="X9" s="13">
        <v>5460.56</v>
      </c>
      <c r="Y9" s="13">
        <v>5458.56</v>
      </c>
      <c r="Z9" s="13">
        <v>5459.44</v>
      </c>
      <c r="AA9" s="13">
        <v>5459.28</v>
      </c>
      <c r="AB9" s="13">
        <v>5459.11</v>
      </c>
      <c r="AC9" s="13">
        <v>5467.67</v>
      </c>
      <c r="AD9" s="13">
        <v>5465.56</v>
      </c>
      <c r="AE9" s="13">
        <v>5469.28</v>
      </c>
      <c r="AF9" s="13">
        <v>5473.32</v>
      </c>
      <c r="AG9" s="13">
        <v>5470.63</v>
      </c>
      <c r="AH9" s="13">
        <v>5463.84</v>
      </c>
      <c r="AI9" s="13">
        <v>5463.16</v>
      </c>
      <c r="AJ9" s="13">
        <v>5466.32</v>
      </c>
      <c r="AK9" s="13">
        <v>5466.16</v>
      </c>
      <c r="AL9" s="13">
        <v>5476.58</v>
      </c>
      <c r="AM9" s="13">
        <v>5470.89</v>
      </c>
      <c r="AN9" s="13">
        <v>5462.37</v>
      </c>
      <c r="AO9" s="13">
        <v>5469.95</v>
      </c>
      <c r="AP9" s="13">
        <v>5465.58</v>
      </c>
      <c r="AQ9" s="13">
        <v>5466</v>
      </c>
      <c r="AR9" s="13">
        <v>5461</v>
      </c>
      <c r="AS9" s="13">
        <v>5458.58</v>
      </c>
      <c r="AT9" s="13">
        <v>5458.58</v>
      </c>
      <c r="AU9" s="13">
        <v>5458.32</v>
      </c>
      <c r="AV9" s="13">
        <v>5461.42</v>
      </c>
      <c r="AW9" s="13">
        <v>5466.53</v>
      </c>
      <c r="AX9" s="13">
        <v>5466.21</v>
      </c>
      <c r="AY9" s="13">
        <v>5462.93</v>
      </c>
      <c r="AZ9" s="13">
        <v>5462</v>
      </c>
      <c r="BA9" s="13">
        <v>5455.5</v>
      </c>
      <c r="BB9" s="13">
        <v>5458.29</v>
      </c>
      <c r="BC9" s="13">
        <v>5450.86</v>
      </c>
      <c r="BD9" s="13">
        <v>5435.07</v>
      </c>
      <c r="BE9" s="13">
        <v>5441.47</v>
      </c>
      <c r="BF9" s="13">
        <v>5439.73</v>
      </c>
      <c r="BG9" s="13">
        <v>5443.47</v>
      </c>
      <c r="BH9" s="13">
        <v>5439.53</v>
      </c>
      <c r="BI9" s="13">
        <v>5439.73</v>
      </c>
      <c r="BJ9" s="13">
        <v>5443.47</v>
      </c>
      <c r="BK9" s="13">
        <v>5442.33</v>
      </c>
      <c r="BL9" s="13">
        <v>5443</v>
      </c>
      <c r="BM9" s="13">
        <v>5438.67</v>
      </c>
      <c r="BN9" s="13">
        <v>5420</v>
      </c>
      <c r="BO9" s="13">
        <v>5443.93</v>
      </c>
      <c r="BP9" s="13">
        <v>5444.36</v>
      </c>
      <c r="BQ9" s="13">
        <v>5441.36</v>
      </c>
      <c r="BR9" s="13">
        <v>5443.21</v>
      </c>
      <c r="BS9" s="13">
        <v>5443.21</v>
      </c>
      <c r="BT9" s="13">
        <v>5449</v>
      </c>
      <c r="BU9" s="13">
        <v>5447.86</v>
      </c>
      <c r="BV9" s="13">
        <v>5441.14</v>
      </c>
      <c r="BW9" s="13">
        <v>5446</v>
      </c>
      <c r="BX9" s="13">
        <v>5445.29</v>
      </c>
      <c r="BY9" s="13">
        <v>5442.5</v>
      </c>
      <c r="BZ9" s="13">
        <v>5445.29</v>
      </c>
      <c r="CA9" s="13">
        <v>5449.93</v>
      </c>
      <c r="CB9" s="13">
        <v>5454.36</v>
      </c>
      <c r="CC9" s="13">
        <v>5454.14</v>
      </c>
      <c r="CD9" s="13">
        <v>5451</v>
      </c>
      <c r="CE9" s="13">
        <v>5451.95</v>
      </c>
      <c r="CF9" s="13">
        <v>5454.37</v>
      </c>
      <c r="CG9" s="13">
        <v>5451</v>
      </c>
      <c r="CH9" s="13">
        <v>5455.47</v>
      </c>
      <c r="CI9" s="13">
        <v>5455.32</v>
      </c>
      <c r="CJ9" s="13">
        <v>5456.28</v>
      </c>
      <c r="CK9" s="13">
        <v>5454.17</v>
      </c>
      <c r="CL9" s="13">
        <v>5453.23</v>
      </c>
      <c r="CM9" s="13">
        <v>5456.23</v>
      </c>
      <c r="CN9" s="13">
        <v>5453.23</v>
      </c>
      <c r="CO9" s="13">
        <v>5451.5</v>
      </c>
      <c r="CP9" s="13">
        <v>5450.36</v>
      </c>
      <c r="CQ9" s="13">
        <v>5450.93</v>
      </c>
      <c r="CR9" s="13">
        <v>5452.53</v>
      </c>
      <c r="CS9" s="13">
        <v>5452.4</v>
      </c>
      <c r="CT9" s="13">
        <v>5450.93</v>
      </c>
      <c r="CU9" s="13">
        <v>5450</v>
      </c>
      <c r="CV9" s="13">
        <v>5453</v>
      </c>
      <c r="CW9" s="13">
        <v>5445.23</v>
      </c>
      <c r="CX9" s="13">
        <v>5444</v>
      </c>
      <c r="CY9" s="13">
        <v>5444.23</v>
      </c>
      <c r="CZ9" s="13">
        <v>5447.77</v>
      </c>
      <c r="DA9" s="13">
        <v>5454</v>
      </c>
      <c r="DB9" s="13">
        <v>5454</v>
      </c>
      <c r="DC9" s="13">
        <v>5459.23</v>
      </c>
      <c r="DD9" s="13">
        <v>5458.23</v>
      </c>
      <c r="DE9" s="13">
        <v>5464.23</v>
      </c>
      <c r="DF9" s="13">
        <v>5462</v>
      </c>
    </row>
    <row r="10" spans="1:110" ht="15.75" x14ac:dyDescent="0.25">
      <c r="A10" s="14" t="s">
        <v>12</v>
      </c>
      <c r="B10" s="12" t="s">
        <v>7</v>
      </c>
      <c r="C10" s="13"/>
      <c r="D10" s="13"/>
      <c r="E10" s="13"/>
      <c r="F10" s="13"/>
      <c r="G10" s="13"/>
      <c r="H10" s="13">
        <v>5490</v>
      </c>
      <c r="I10" s="13">
        <v>5487</v>
      </c>
      <c r="J10" s="13">
        <v>5481</v>
      </c>
      <c r="K10" s="13">
        <v>5484.28</v>
      </c>
      <c r="L10" s="13">
        <v>5486.1</v>
      </c>
      <c r="M10" s="13">
        <v>5483.16</v>
      </c>
      <c r="N10" s="13">
        <v>5487.89</v>
      </c>
      <c r="O10" s="13">
        <v>5482.07</v>
      </c>
      <c r="P10" s="13">
        <v>5489.11</v>
      </c>
      <c r="Q10" s="13">
        <v>5478.6</v>
      </c>
      <c r="R10" s="13">
        <v>5471.11</v>
      </c>
      <c r="S10" s="13">
        <v>5472.05</v>
      </c>
      <c r="T10" s="13">
        <v>5470.8</v>
      </c>
      <c r="U10" s="13">
        <v>5466.63</v>
      </c>
      <c r="V10" s="13">
        <v>5462.32</v>
      </c>
      <c r="W10" s="13">
        <v>5453.26</v>
      </c>
      <c r="X10" s="13">
        <v>5455</v>
      </c>
      <c r="Y10" s="13">
        <v>5456</v>
      </c>
      <c r="Z10" s="13">
        <v>5458</v>
      </c>
      <c r="AA10" s="13">
        <v>5450.44</v>
      </c>
      <c r="AB10" s="13">
        <v>5455.28</v>
      </c>
      <c r="AC10" s="13">
        <v>5455.56</v>
      </c>
      <c r="AD10" s="13">
        <v>5465</v>
      </c>
      <c r="AE10" s="13">
        <v>5465.83</v>
      </c>
      <c r="AF10" s="13">
        <v>5465.93</v>
      </c>
      <c r="AG10" s="13">
        <v>5463.73</v>
      </c>
      <c r="AH10" s="13">
        <v>5463.16</v>
      </c>
      <c r="AI10" s="13">
        <v>5458.33</v>
      </c>
      <c r="AJ10" s="13">
        <v>5460.93</v>
      </c>
      <c r="AK10" s="13">
        <v>5464.95</v>
      </c>
      <c r="AL10" s="13">
        <v>5464.95</v>
      </c>
      <c r="AM10" s="13">
        <v>5465.47</v>
      </c>
      <c r="AN10" s="13">
        <v>5457.67</v>
      </c>
      <c r="AO10" s="13">
        <v>5458.53</v>
      </c>
      <c r="AP10" s="13">
        <v>5461.13</v>
      </c>
      <c r="AQ10" s="13">
        <v>5462</v>
      </c>
      <c r="AR10" s="13">
        <v>5459.4</v>
      </c>
      <c r="AS10" s="13">
        <v>5454.2</v>
      </c>
      <c r="AT10" s="13">
        <v>5454.2</v>
      </c>
      <c r="AU10" s="13">
        <v>5454.2</v>
      </c>
      <c r="AV10" s="13">
        <v>5454.2</v>
      </c>
      <c r="AW10" s="13">
        <v>5461.6</v>
      </c>
      <c r="AX10" s="13">
        <v>5461.6</v>
      </c>
      <c r="AY10" s="13">
        <v>5457.2</v>
      </c>
      <c r="AZ10" s="13">
        <v>5462</v>
      </c>
      <c r="BA10" s="13">
        <v>5453.64</v>
      </c>
      <c r="BB10" s="13">
        <v>5455.5</v>
      </c>
      <c r="BC10" s="13">
        <v>5450.86</v>
      </c>
      <c r="BD10" s="13">
        <v>5431.36</v>
      </c>
      <c r="BE10" s="13">
        <v>5435.07</v>
      </c>
      <c r="BF10" s="13">
        <v>5436.93</v>
      </c>
      <c r="BG10" s="13">
        <v>5440.4</v>
      </c>
      <c r="BH10" s="13">
        <v>5439.53</v>
      </c>
      <c r="BI10" s="13">
        <v>5437.8</v>
      </c>
      <c r="BJ10" s="13">
        <v>5439.73</v>
      </c>
      <c r="BK10" s="13">
        <v>5441.27</v>
      </c>
      <c r="BL10" s="13">
        <v>5443</v>
      </c>
      <c r="BM10" s="13">
        <v>5438.67</v>
      </c>
      <c r="BN10" s="13">
        <v>5420</v>
      </c>
      <c r="BO10" s="13">
        <v>5433.5</v>
      </c>
      <c r="BP10" s="13">
        <v>5442.29</v>
      </c>
      <c r="BQ10" s="13">
        <v>5441.36</v>
      </c>
      <c r="BR10" s="13">
        <v>5440.64</v>
      </c>
      <c r="BS10" s="13">
        <v>5442.5</v>
      </c>
      <c r="BT10" s="13">
        <v>5443.21</v>
      </c>
      <c r="BU10" s="13">
        <v>5446.93</v>
      </c>
      <c r="BV10" s="13">
        <v>5440.43</v>
      </c>
      <c r="BW10" s="13">
        <v>5440.43</v>
      </c>
      <c r="BX10" s="13">
        <v>5445.29</v>
      </c>
      <c r="BY10" s="13">
        <v>5442.5</v>
      </c>
      <c r="BZ10" s="13">
        <v>5440.64</v>
      </c>
      <c r="CA10" s="13">
        <v>5443.43</v>
      </c>
      <c r="CB10" s="13">
        <v>5449.93</v>
      </c>
      <c r="CC10" s="13">
        <v>5452.71</v>
      </c>
      <c r="CD10" s="13">
        <v>5450.74</v>
      </c>
      <c r="CE10" s="13">
        <v>5447.93</v>
      </c>
      <c r="CF10" s="13">
        <v>5451.2</v>
      </c>
      <c r="CG10" s="13">
        <v>5448.8</v>
      </c>
      <c r="CH10" s="13">
        <v>5451</v>
      </c>
      <c r="CI10" s="13">
        <v>5451.4</v>
      </c>
      <c r="CJ10" s="13">
        <v>5452.07</v>
      </c>
      <c r="CK10" s="13">
        <v>5452.28</v>
      </c>
      <c r="CL10" s="13">
        <v>5453.23</v>
      </c>
      <c r="CM10" s="13">
        <v>5453.23</v>
      </c>
      <c r="CN10" s="13">
        <v>5453.23</v>
      </c>
      <c r="CO10" s="13">
        <v>5451.5</v>
      </c>
      <c r="CP10" s="13">
        <v>5450.36</v>
      </c>
      <c r="CQ10" s="13">
        <v>5449.33</v>
      </c>
      <c r="CR10" s="13">
        <v>5450.93</v>
      </c>
      <c r="CS10" s="13">
        <v>5452.4</v>
      </c>
      <c r="CT10" s="13">
        <v>5448.53</v>
      </c>
      <c r="CU10" s="13">
        <v>5450</v>
      </c>
      <c r="CV10" s="13">
        <v>5452.23</v>
      </c>
      <c r="CW10" s="13">
        <v>5445.23</v>
      </c>
      <c r="CX10" s="13">
        <v>5441</v>
      </c>
      <c r="CY10" s="13">
        <v>5442.23</v>
      </c>
      <c r="CZ10" s="13">
        <v>5443.23</v>
      </c>
      <c r="DA10" s="13">
        <v>5450.46</v>
      </c>
      <c r="DB10" s="13">
        <v>5453.23</v>
      </c>
      <c r="DC10" s="13">
        <v>5456.23</v>
      </c>
      <c r="DD10" s="13">
        <v>5458</v>
      </c>
      <c r="DE10" s="13">
        <v>5458.23</v>
      </c>
      <c r="DF10" s="13">
        <v>5461.23</v>
      </c>
    </row>
    <row r="11" spans="1:110" ht="15.75" x14ac:dyDescent="0.25">
      <c r="A11" s="11" t="s">
        <v>5</v>
      </c>
      <c r="B11" s="11" t="s">
        <v>11</v>
      </c>
      <c r="C11" s="15">
        <v>0.37847222222222227</v>
      </c>
      <c r="D11" s="15">
        <v>0.38194444444444442</v>
      </c>
      <c r="E11" s="15">
        <v>0.38541666666666669</v>
      </c>
      <c r="F11" s="15">
        <v>0.3888888888888889</v>
      </c>
      <c r="G11" s="15">
        <v>0.3923611111111111</v>
      </c>
      <c r="H11" s="15">
        <v>0.39583333333333331</v>
      </c>
      <c r="I11" s="15">
        <v>0.39930555555555558</v>
      </c>
      <c r="J11" s="15">
        <v>0.40277777777777773</v>
      </c>
      <c r="K11" s="15">
        <v>0.40625</v>
      </c>
      <c r="L11" s="15">
        <v>0.40972222222222227</v>
      </c>
      <c r="M11" s="15">
        <v>0.41319444444444442</v>
      </c>
      <c r="N11" s="15">
        <v>0.41666666666666669</v>
      </c>
      <c r="O11" s="15">
        <v>0.4201388888888889</v>
      </c>
      <c r="P11" s="15">
        <v>0.4236111111111111</v>
      </c>
      <c r="Q11" s="15">
        <v>0.42708333333333331</v>
      </c>
      <c r="R11" s="15">
        <v>0.43055555555555558</v>
      </c>
      <c r="S11" s="15">
        <v>0.43402777777777773</v>
      </c>
      <c r="T11" s="15">
        <v>0.4375</v>
      </c>
      <c r="U11" s="15">
        <v>0.44097222222222227</v>
      </c>
      <c r="V11" s="15">
        <v>0.44444444444444442</v>
      </c>
      <c r="W11" s="15">
        <v>0.44791666666666669</v>
      </c>
      <c r="X11" s="15">
        <v>0.4513888888888889</v>
      </c>
      <c r="Y11" s="15">
        <v>0.4548611111111111</v>
      </c>
      <c r="Z11" s="15">
        <v>0.45833333333333331</v>
      </c>
      <c r="AA11" s="15">
        <v>0.46180555555555558</v>
      </c>
      <c r="AB11" s="15">
        <v>0.46527777777777773</v>
      </c>
      <c r="AC11" s="15">
        <v>0.46875</v>
      </c>
      <c r="AD11" s="15">
        <v>0.47222222222222227</v>
      </c>
      <c r="AE11" s="15">
        <v>0.47569444444444442</v>
      </c>
      <c r="AF11" s="15">
        <v>0.47916666666666669</v>
      </c>
      <c r="AG11" s="15">
        <v>0.4826388888888889</v>
      </c>
      <c r="AH11" s="15">
        <v>0.4861111111111111</v>
      </c>
      <c r="AI11" s="15">
        <v>0.48958333333333331</v>
      </c>
      <c r="AJ11" s="15">
        <v>0.49305555555555558</v>
      </c>
      <c r="AK11" s="15">
        <v>0.49652777777777773</v>
      </c>
      <c r="AL11" s="15">
        <v>0.5</v>
      </c>
      <c r="AM11" s="15">
        <v>0.50347222222222221</v>
      </c>
      <c r="AN11" s="15">
        <v>0.50694444444444442</v>
      </c>
      <c r="AO11" s="15">
        <v>0.51041666666666663</v>
      </c>
      <c r="AP11" s="15">
        <v>0.51388888888888895</v>
      </c>
      <c r="AQ11" s="15">
        <v>0.51736111111111105</v>
      </c>
      <c r="AR11" s="15">
        <v>0.52083333333333337</v>
      </c>
      <c r="AS11" s="15">
        <v>0.52430555555555558</v>
      </c>
      <c r="AT11" s="15">
        <v>0.52777777777777779</v>
      </c>
      <c r="AU11" s="15">
        <v>0.53125</v>
      </c>
      <c r="AV11" s="15">
        <v>0.53472222222222221</v>
      </c>
      <c r="AW11" s="15">
        <v>0.53819444444444442</v>
      </c>
      <c r="AX11" s="15">
        <v>0.54166666666666663</v>
      </c>
      <c r="AY11" s="15">
        <v>0.54513888888888895</v>
      </c>
      <c r="AZ11" s="15">
        <v>0.54861111111111105</v>
      </c>
      <c r="BA11" s="15">
        <v>0.55208333333333337</v>
      </c>
      <c r="BB11" s="15">
        <v>0.55555555555555558</v>
      </c>
      <c r="BC11" s="15">
        <v>0.55902777777777779</v>
      </c>
      <c r="BD11" s="15">
        <v>0.5625</v>
      </c>
      <c r="BE11" s="15">
        <v>0.56597222222222221</v>
      </c>
      <c r="BF11" s="15">
        <v>0.56944444444444442</v>
      </c>
      <c r="BG11" s="15">
        <v>0.57291666666666663</v>
      </c>
      <c r="BH11" s="15">
        <v>0.57638888888888895</v>
      </c>
      <c r="BI11" s="15">
        <v>0.57986111111111105</v>
      </c>
      <c r="BJ11" s="15">
        <v>0.58333333333333337</v>
      </c>
      <c r="BK11" s="15">
        <v>0.58680555555555558</v>
      </c>
      <c r="BL11" s="15">
        <v>0.59027777777777779</v>
      </c>
      <c r="BM11" s="15">
        <v>0.59375</v>
      </c>
      <c r="BN11" s="15">
        <v>0.59722222222222221</v>
      </c>
      <c r="BO11" s="15">
        <v>0.60069444444444442</v>
      </c>
      <c r="BP11" s="15">
        <v>0.60416666666666663</v>
      </c>
      <c r="BQ11" s="15">
        <v>0.60763888888888895</v>
      </c>
      <c r="BR11" s="15">
        <v>0.61111111111111105</v>
      </c>
      <c r="BS11" s="15">
        <v>0.61458333333333337</v>
      </c>
      <c r="BT11" s="15">
        <v>0.61805555555555558</v>
      </c>
      <c r="BU11" s="15">
        <v>0.62152777777777779</v>
      </c>
      <c r="BV11" s="15">
        <v>0.625</v>
      </c>
      <c r="BW11" s="15">
        <v>0.62847222222222221</v>
      </c>
      <c r="BX11" s="15">
        <v>0.63194444444444442</v>
      </c>
      <c r="BY11" s="15">
        <v>0.63541666666666663</v>
      </c>
      <c r="BZ11" s="15">
        <v>0.63888888888888895</v>
      </c>
      <c r="CA11" s="15">
        <v>0.64236111111111105</v>
      </c>
      <c r="CB11" s="15">
        <v>0.64583333333333337</v>
      </c>
      <c r="CC11" s="15">
        <v>0.64930555555555558</v>
      </c>
      <c r="CD11" s="15">
        <v>0.65277777777777779</v>
      </c>
      <c r="CE11" s="15">
        <v>0.65625</v>
      </c>
      <c r="CF11" s="15">
        <v>0.65972222222222221</v>
      </c>
      <c r="CG11" s="15">
        <v>0.66319444444444442</v>
      </c>
      <c r="CH11" s="15">
        <v>0.66666666666666663</v>
      </c>
      <c r="CI11" s="15">
        <v>0.67013888888888884</v>
      </c>
      <c r="CJ11" s="15">
        <v>0.67361111111111116</v>
      </c>
      <c r="CK11" s="15">
        <v>0.67708333333333337</v>
      </c>
      <c r="CL11" s="15">
        <v>0.68055555555555547</v>
      </c>
      <c r="CM11" s="15">
        <v>0.68402777777777779</v>
      </c>
      <c r="CN11" s="15">
        <v>0.6875</v>
      </c>
      <c r="CO11" s="15">
        <v>0.69097222222222221</v>
      </c>
      <c r="CP11" s="15">
        <v>0.69444444444444453</v>
      </c>
      <c r="CQ11" s="15">
        <v>0.69791666666666663</v>
      </c>
      <c r="CR11" s="15">
        <v>0.70138888888888884</v>
      </c>
      <c r="CS11" s="15">
        <v>0.70486111111111116</v>
      </c>
      <c r="CT11" s="15">
        <v>0.70833333333333337</v>
      </c>
      <c r="CU11" s="15">
        <v>0.71180555555555547</v>
      </c>
      <c r="CV11" s="15">
        <v>0.71527777777777779</v>
      </c>
      <c r="CW11" s="15">
        <v>0.71875</v>
      </c>
      <c r="CX11" s="15">
        <v>0.72222222222222221</v>
      </c>
      <c r="CY11" s="15">
        <v>0.72569444444444453</v>
      </c>
      <c r="CZ11" s="15">
        <v>0.72916666666666663</v>
      </c>
      <c r="DA11" s="15">
        <v>0.73263888888888884</v>
      </c>
      <c r="DB11" s="15">
        <v>0.73611111111111116</v>
      </c>
      <c r="DC11" s="15">
        <v>0.73958333333333337</v>
      </c>
      <c r="DD11" s="15">
        <v>0.74305555555555547</v>
      </c>
      <c r="DE11" s="15">
        <v>0.74652777777777779</v>
      </c>
      <c r="DF11" s="15">
        <v>0.75</v>
      </c>
    </row>
    <row r="12" spans="1:110" ht="15.75" x14ac:dyDescent="0.25">
      <c r="A12" s="14">
        <v>44321</v>
      </c>
      <c r="B12" s="12" t="s">
        <v>6</v>
      </c>
      <c r="C12" s="13"/>
      <c r="D12" s="13">
        <v>5465.29</v>
      </c>
      <c r="E12" s="13">
        <v>5458.78</v>
      </c>
      <c r="F12" s="13">
        <v>5460.32</v>
      </c>
      <c r="G12" s="13">
        <v>5455.86</v>
      </c>
      <c r="H12" s="13">
        <v>5465.5</v>
      </c>
      <c r="I12" s="13">
        <v>5467.36</v>
      </c>
      <c r="J12" s="13">
        <v>5464.64</v>
      </c>
      <c r="K12" s="13">
        <v>5458.57</v>
      </c>
      <c r="L12" s="13">
        <v>5455.68</v>
      </c>
      <c r="M12" s="13">
        <v>5455</v>
      </c>
      <c r="N12" s="13">
        <v>5450.86</v>
      </c>
      <c r="O12" s="13">
        <v>5434.08</v>
      </c>
      <c r="P12" s="13">
        <v>5430.54</v>
      </c>
      <c r="Q12" s="13">
        <v>5479</v>
      </c>
      <c r="R12" s="13">
        <v>5432.38</v>
      </c>
      <c r="S12" s="13">
        <v>5430</v>
      </c>
      <c r="T12" s="13">
        <v>5423.81</v>
      </c>
      <c r="U12" s="13">
        <v>5425.17</v>
      </c>
      <c r="V12" s="13">
        <v>5423.81</v>
      </c>
      <c r="W12" s="13">
        <v>5417.43</v>
      </c>
      <c r="X12" s="13">
        <v>5418</v>
      </c>
      <c r="Y12" s="13">
        <v>5421</v>
      </c>
      <c r="Z12" s="13">
        <v>5420.11</v>
      </c>
      <c r="AA12" s="13">
        <v>5425</v>
      </c>
      <c r="AB12" s="13">
        <v>5425.11</v>
      </c>
      <c r="AC12" s="13">
        <v>5424</v>
      </c>
      <c r="AD12" s="13">
        <v>5423</v>
      </c>
      <c r="AE12" s="13">
        <v>5426.54</v>
      </c>
      <c r="AF12" s="13">
        <v>5425</v>
      </c>
      <c r="AG12" s="13">
        <v>5428.82</v>
      </c>
      <c r="AH12" s="13">
        <v>5431</v>
      </c>
      <c r="AI12" s="13">
        <v>5430.64</v>
      </c>
      <c r="AJ12" s="13">
        <v>5418.91</v>
      </c>
      <c r="AK12" s="13">
        <v>5418.82</v>
      </c>
      <c r="AL12" s="13">
        <v>5418</v>
      </c>
      <c r="AM12" s="13">
        <v>5427</v>
      </c>
      <c r="AN12" s="13">
        <v>5422.82</v>
      </c>
      <c r="AO12" s="13">
        <v>5421</v>
      </c>
      <c r="AP12" s="13">
        <v>5415.11</v>
      </c>
      <c r="AQ12" s="13">
        <v>5415</v>
      </c>
      <c r="AR12" s="13">
        <v>5410.11</v>
      </c>
      <c r="AS12" s="13">
        <v>5409.93</v>
      </c>
      <c r="AT12" s="13">
        <v>5408.37</v>
      </c>
      <c r="AU12" s="13">
        <v>5402.77</v>
      </c>
      <c r="AV12" s="13">
        <v>5403.7</v>
      </c>
      <c r="AW12" s="13">
        <v>5400.13</v>
      </c>
      <c r="AX12" s="13">
        <v>5400.31</v>
      </c>
      <c r="AY12" s="13">
        <v>5401.62</v>
      </c>
      <c r="AZ12" s="13">
        <v>5398.08</v>
      </c>
      <c r="BA12" s="13">
        <v>5399.74</v>
      </c>
      <c r="BB12" s="13">
        <v>5399.6</v>
      </c>
      <c r="BC12" s="13">
        <v>5398.48</v>
      </c>
      <c r="BD12" s="13">
        <v>5396.9</v>
      </c>
      <c r="BE12" s="13">
        <v>5401.24</v>
      </c>
      <c r="BF12" s="13">
        <v>5405.41</v>
      </c>
      <c r="BG12" s="13">
        <v>5409.52</v>
      </c>
      <c r="BH12" s="13">
        <v>5410.31</v>
      </c>
      <c r="BI12" s="13">
        <v>5408.72</v>
      </c>
      <c r="BJ12" s="13">
        <v>5410.41</v>
      </c>
      <c r="BK12" s="13">
        <v>5413.2</v>
      </c>
      <c r="BL12" s="13">
        <v>5411.38</v>
      </c>
      <c r="BM12" s="13">
        <v>5410.41</v>
      </c>
      <c r="BN12" s="13">
        <v>5414.24</v>
      </c>
      <c r="BO12" s="13">
        <v>5412.28</v>
      </c>
      <c r="BP12" s="13"/>
      <c r="BQ12" s="13">
        <v>5408.48</v>
      </c>
      <c r="BR12" s="13">
        <v>5409.63</v>
      </c>
      <c r="BS12" s="13">
        <v>5409.44</v>
      </c>
      <c r="BT12" s="13">
        <v>5406.38</v>
      </c>
      <c r="BU12" s="13">
        <v>5408.79</v>
      </c>
      <c r="BV12" s="13">
        <v>5410.58</v>
      </c>
      <c r="BW12" s="13">
        <v>5406.88</v>
      </c>
      <c r="BX12" s="13">
        <v>5405.31</v>
      </c>
      <c r="BY12" s="13">
        <v>5403.38</v>
      </c>
      <c r="BZ12" s="13">
        <v>5402.67</v>
      </c>
      <c r="CA12" s="13">
        <v>5398.66</v>
      </c>
      <c r="CB12" s="13">
        <v>5396.33</v>
      </c>
      <c r="CC12" s="13">
        <v>5394.29</v>
      </c>
      <c r="CD12" s="13">
        <v>5397.3</v>
      </c>
      <c r="CE12" s="13">
        <v>5399.3</v>
      </c>
      <c r="CF12" s="13">
        <v>5396.43</v>
      </c>
      <c r="CG12" s="13">
        <v>5390.61</v>
      </c>
      <c r="CH12" s="13">
        <v>5393.57</v>
      </c>
      <c r="CI12" s="13">
        <v>5398.35</v>
      </c>
      <c r="CJ12" s="13">
        <v>5402.17</v>
      </c>
      <c r="CK12" s="13">
        <v>5398.35</v>
      </c>
      <c r="CL12" s="13">
        <v>5400.26</v>
      </c>
      <c r="CM12" s="13">
        <v>5399.3</v>
      </c>
      <c r="CN12" s="13">
        <v>5399.3</v>
      </c>
      <c r="CO12" s="13">
        <v>5398.35</v>
      </c>
      <c r="CP12" s="13">
        <v>5399.22</v>
      </c>
      <c r="CQ12" s="13">
        <v>5396.35</v>
      </c>
      <c r="CR12" s="13">
        <v>5401.13</v>
      </c>
      <c r="CS12" s="13">
        <v>5400.26</v>
      </c>
      <c r="CT12" s="13">
        <v>5400.26</v>
      </c>
      <c r="CU12" s="13">
        <v>5412.67</v>
      </c>
      <c r="CV12" s="13">
        <v>5450</v>
      </c>
      <c r="CW12" s="13">
        <v>5408.75</v>
      </c>
      <c r="CX12" s="13">
        <v>5409.5</v>
      </c>
      <c r="CY12" s="13">
        <v>5411</v>
      </c>
      <c r="CZ12" s="13">
        <v>5412.5</v>
      </c>
      <c r="DA12" s="13">
        <v>5414</v>
      </c>
      <c r="DB12" s="13">
        <v>5412.5</v>
      </c>
      <c r="DC12" s="13">
        <v>5411</v>
      </c>
      <c r="DD12" s="13">
        <v>5406.5</v>
      </c>
      <c r="DE12" s="13">
        <v>5409.33</v>
      </c>
      <c r="DF12" s="13">
        <v>5450</v>
      </c>
    </row>
    <row r="13" spans="1:110" ht="15.75" x14ac:dyDescent="0.25">
      <c r="A13" s="14" t="s">
        <v>12</v>
      </c>
      <c r="B13" s="12" t="s">
        <v>10</v>
      </c>
      <c r="C13" s="13"/>
      <c r="D13" s="13">
        <v>5457.96</v>
      </c>
      <c r="E13" s="13">
        <v>5458.46</v>
      </c>
      <c r="F13" s="13">
        <v>5447.29</v>
      </c>
      <c r="G13" s="13">
        <v>5453.86</v>
      </c>
      <c r="H13" s="13">
        <v>5464.54</v>
      </c>
      <c r="I13" s="13">
        <v>5465.14</v>
      </c>
      <c r="J13" s="13">
        <v>5458.57</v>
      </c>
      <c r="K13" s="13">
        <v>5455.68</v>
      </c>
      <c r="L13" s="13">
        <v>5453.75</v>
      </c>
      <c r="M13" s="13">
        <v>5451.04</v>
      </c>
      <c r="N13" s="13">
        <v>5429.64</v>
      </c>
      <c r="O13" s="13">
        <v>5428.68</v>
      </c>
      <c r="P13" s="13">
        <v>5424.04</v>
      </c>
      <c r="Q13" s="13">
        <v>5429.83</v>
      </c>
      <c r="R13" s="13">
        <v>5429.29</v>
      </c>
      <c r="S13" s="13">
        <v>5423.15</v>
      </c>
      <c r="T13" s="13">
        <v>5422.1</v>
      </c>
      <c r="U13" s="13">
        <v>5421.43</v>
      </c>
      <c r="V13" s="13">
        <v>5416.67</v>
      </c>
      <c r="W13" s="13">
        <v>5413.11</v>
      </c>
      <c r="X13" s="13">
        <v>5417.82</v>
      </c>
      <c r="Y13" s="13">
        <v>5418.11</v>
      </c>
      <c r="Z13" s="13">
        <v>5418.11</v>
      </c>
      <c r="AA13" s="13">
        <v>5424.82</v>
      </c>
      <c r="AB13" s="13">
        <v>5422.11</v>
      </c>
      <c r="AC13" s="13">
        <v>5419.82</v>
      </c>
      <c r="AD13" s="13">
        <v>5422.82</v>
      </c>
      <c r="AE13" s="13">
        <v>5421.82</v>
      </c>
      <c r="AF13" s="13">
        <v>5425</v>
      </c>
      <c r="AG13" s="13">
        <v>5427.82</v>
      </c>
      <c r="AH13" s="13">
        <v>5430.82</v>
      </c>
      <c r="AI13" s="13">
        <v>5418.54</v>
      </c>
      <c r="AJ13" s="13">
        <v>5414.71</v>
      </c>
      <c r="AK13" s="13">
        <v>5413.82</v>
      </c>
      <c r="AL13" s="13">
        <v>5418</v>
      </c>
      <c r="AM13" s="13">
        <v>5423.21</v>
      </c>
      <c r="AN13" s="13">
        <v>5417.82</v>
      </c>
      <c r="AO13" s="13">
        <v>5413.82</v>
      </c>
      <c r="AP13" s="13">
        <v>5415</v>
      </c>
      <c r="AQ13" s="13">
        <v>5409.82</v>
      </c>
      <c r="AR13" s="13">
        <v>5410.11</v>
      </c>
      <c r="AS13" s="13">
        <v>5405.82</v>
      </c>
      <c r="AT13" s="13">
        <v>5407.43</v>
      </c>
      <c r="AU13" s="13">
        <v>5400.73</v>
      </c>
      <c r="AV13" s="13">
        <v>5399.97</v>
      </c>
      <c r="AW13" s="13">
        <v>5399.77</v>
      </c>
      <c r="AX13" s="13">
        <v>5398.16</v>
      </c>
      <c r="AY13" s="13">
        <v>5398.08</v>
      </c>
      <c r="AZ13" s="13">
        <v>5396.52</v>
      </c>
      <c r="BA13" s="13">
        <v>5398.68</v>
      </c>
      <c r="BB13" s="13">
        <v>5397.86</v>
      </c>
      <c r="BC13" s="13">
        <v>5397.52</v>
      </c>
      <c r="BD13" s="13">
        <v>5396.72</v>
      </c>
      <c r="BE13" s="13">
        <v>5399.9</v>
      </c>
      <c r="BF13" s="13">
        <v>5405.41</v>
      </c>
      <c r="BG13" s="13">
        <v>5407.34</v>
      </c>
      <c r="BH13" s="13">
        <v>5408.31</v>
      </c>
      <c r="BI13" s="13">
        <v>5406.66</v>
      </c>
      <c r="BJ13" s="13">
        <v>5410.24</v>
      </c>
      <c r="BK13" s="13">
        <v>5411.21</v>
      </c>
      <c r="BL13" s="13">
        <v>5407.52</v>
      </c>
      <c r="BM13" s="13">
        <v>5410.24</v>
      </c>
      <c r="BN13" s="13">
        <v>5410.07</v>
      </c>
      <c r="BO13" s="13">
        <v>5410.24</v>
      </c>
      <c r="BP13" s="13"/>
      <c r="BQ13" s="19">
        <v>5406.38</v>
      </c>
      <c r="BR13" s="13">
        <v>5406.38</v>
      </c>
      <c r="BS13" s="13">
        <v>5404.45</v>
      </c>
      <c r="BT13" s="13">
        <v>5406.38</v>
      </c>
      <c r="BU13" s="13">
        <v>5408.14</v>
      </c>
      <c r="BV13" s="13">
        <v>5405.41</v>
      </c>
      <c r="BW13" s="13">
        <v>5405.31</v>
      </c>
      <c r="BX13" s="13">
        <v>5403.21</v>
      </c>
      <c r="BY13" s="13">
        <v>5399.62</v>
      </c>
      <c r="BZ13" s="13">
        <v>5396.72</v>
      </c>
      <c r="CA13" s="13">
        <v>5395.5</v>
      </c>
      <c r="CB13" s="13">
        <v>5394.54</v>
      </c>
      <c r="CC13" s="13">
        <v>5391.65</v>
      </c>
      <c r="CD13" s="13">
        <v>5396.43</v>
      </c>
      <c r="CE13" s="13">
        <v>5396.43</v>
      </c>
      <c r="CF13" s="13">
        <v>5387.83</v>
      </c>
      <c r="CG13" s="13">
        <v>5390.61</v>
      </c>
      <c r="CH13" s="13">
        <v>5391.65</v>
      </c>
      <c r="CI13" s="13">
        <v>5397.3</v>
      </c>
      <c r="CJ13" s="13">
        <v>5399.39</v>
      </c>
      <c r="CK13" s="13">
        <v>5398.35</v>
      </c>
      <c r="CL13" s="13">
        <v>5397.39</v>
      </c>
      <c r="CM13" s="13">
        <v>5399.3</v>
      </c>
      <c r="CN13" s="13">
        <v>5397.48</v>
      </c>
      <c r="CO13" s="13">
        <v>5397.3</v>
      </c>
      <c r="CP13" s="13">
        <v>5394.52</v>
      </c>
      <c r="CQ13" s="13">
        <v>5395.48</v>
      </c>
      <c r="CR13" s="13">
        <v>5401.13</v>
      </c>
      <c r="CS13" s="13">
        <v>5400.26</v>
      </c>
      <c r="CT13" s="13">
        <v>5396.35</v>
      </c>
      <c r="CU13" s="13">
        <v>5412.67</v>
      </c>
      <c r="CV13" s="13">
        <v>5408</v>
      </c>
      <c r="CW13" s="13">
        <v>5407.25</v>
      </c>
      <c r="CX13" s="13">
        <v>5409.5</v>
      </c>
      <c r="CY13" s="13">
        <v>5408.75</v>
      </c>
      <c r="CZ13" s="13">
        <v>5412.5</v>
      </c>
      <c r="DA13" s="13">
        <v>5412.5</v>
      </c>
      <c r="DB13" s="13">
        <v>5411</v>
      </c>
      <c r="DC13" s="13">
        <v>5406.5</v>
      </c>
      <c r="DD13" s="13">
        <v>5405.75</v>
      </c>
      <c r="DE13" s="13">
        <v>5408</v>
      </c>
      <c r="DF13" s="13">
        <v>5450</v>
      </c>
    </row>
    <row r="14" spans="1:110" ht="15.75" x14ac:dyDescent="0.25">
      <c r="A14" s="14" t="s">
        <v>12</v>
      </c>
      <c r="B14" s="12" t="s">
        <v>9</v>
      </c>
      <c r="C14" s="13"/>
      <c r="D14" s="13">
        <v>5449.72</v>
      </c>
      <c r="E14" s="13">
        <v>5450.29</v>
      </c>
      <c r="F14" s="13">
        <v>5439.12</v>
      </c>
      <c r="G14" s="13">
        <v>5446</v>
      </c>
      <c r="H14" s="13">
        <v>5457.18</v>
      </c>
      <c r="I14" s="13">
        <v>5457</v>
      </c>
      <c r="J14" s="13">
        <v>5447.67</v>
      </c>
      <c r="K14" s="19">
        <v>5445.17</v>
      </c>
      <c r="L14" s="13">
        <v>5443.78</v>
      </c>
      <c r="M14" s="13">
        <v>5441.56</v>
      </c>
      <c r="N14" s="13">
        <v>5419.83</v>
      </c>
      <c r="O14" s="13">
        <v>5418.89</v>
      </c>
      <c r="P14" s="13">
        <v>5415.11</v>
      </c>
      <c r="Q14" s="13">
        <v>5411.67</v>
      </c>
      <c r="R14" s="13">
        <v>5409.38</v>
      </c>
      <c r="S14" s="13">
        <v>5411.11</v>
      </c>
      <c r="T14" s="13">
        <v>5411.19</v>
      </c>
      <c r="U14" s="13">
        <v>5410.19</v>
      </c>
      <c r="V14" s="13">
        <v>5407.95</v>
      </c>
      <c r="W14" s="13">
        <v>5406.47</v>
      </c>
      <c r="X14" s="13">
        <v>5410.26</v>
      </c>
      <c r="Y14" s="13">
        <v>5411.21</v>
      </c>
      <c r="Z14" s="13">
        <v>5410.42</v>
      </c>
      <c r="AA14" s="13">
        <v>5417.05</v>
      </c>
      <c r="AB14" s="13">
        <v>5414.32</v>
      </c>
      <c r="AC14" s="13">
        <v>5411.14</v>
      </c>
      <c r="AD14" s="13">
        <v>5414.16</v>
      </c>
      <c r="AE14" s="13">
        <v>5413.37</v>
      </c>
      <c r="AF14" s="13">
        <v>5416.32</v>
      </c>
      <c r="AG14" s="13">
        <v>5418.89</v>
      </c>
      <c r="AH14" s="13">
        <v>5421.05</v>
      </c>
      <c r="AI14" s="13">
        <v>5409.42</v>
      </c>
      <c r="AJ14" s="13">
        <v>5406.05</v>
      </c>
      <c r="AK14" s="13">
        <v>5404.84</v>
      </c>
      <c r="AL14" s="13">
        <v>5409.79</v>
      </c>
      <c r="AM14" s="13">
        <v>5415.21</v>
      </c>
      <c r="AN14" s="13">
        <v>5409.37</v>
      </c>
      <c r="AO14" s="13">
        <v>5405.58</v>
      </c>
      <c r="AP14" s="13">
        <v>5407.63</v>
      </c>
      <c r="AQ14" s="13">
        <v>5401.95</v>
      </c>
      <c r="AR14" s="13">
        <v>5402.74</v>
      </c>
      <c r="AS14" s="13">
        <v>5398.16</v>
      </c>
      <c r="AT14" s="13">
        <v>5398.67</v>
      </c>
      <c r="AU14" s="13">
        <v>5392.29</v>
      </c>
      <c r="AV14" s="13">
        <v>5392</v>
      </c>
      <c r="AW14" s="13">
        <v>5390.26</v>
      </c>
      <c r="AX14" s="13">
        <v>5387.42</v>
      </c>
      <c r="AY14" s="13">
        <v>5386.73</v>
      </c>
      <c r="AZ14" s="13">
        <v>5385.71</v>
      </c>
      <c r="BA14" s="13">
        <v>5388.39</v>
      </c>
      <c r="BB14" s="13">
        <v>5388.21</v>
      </c>
      <c r="BC14" s="13">
        <v>5387.87</v>
      </c>
      <c r="BD14" s="13">
        <v>5387.16</v>
      </c>
      <c r="BE14" s="13">
        <v>5390.11</v>
      </c>
      <c r="BF14" s="13">
        <v>5395.84</v>
      </c>
      <c r="BG14" s="13">
        <v>5396.89</v>
      </c>
      <c r="BH14" s="13">
        <v>5397.89</v>
      </c>
      <c r="BI14" s="13">
        <v>5397</v>
      </c>
      <c r="BJ14" s="13">
        <v>5400.32</v>
      </c>
      <c r="BK14" s="13">
        <v>5400.47</v>
      </c>
      <c r="BL14" s="13">
        <v>5397.89</v>
      </c>
      <c r="BM14" s="13">
        <v>5399.58</v>
      </c>
      <c r="BN14" s="13">
        <v>5399.32</v>
      </c>
      <c r="BO14" s="13">
        <v>5399.56</v>
      </c>
      <c r="BP14" s="13"/>
      <c r="BQ14" s="13">
        <v>5396</v>
      </c>
      <c r="BR14" s="13">
        <v>5395.89</v>
      </c>
      <c r="BS14" s="13">
        <v>5394.22</v>
      </c>
      <c r="BT14" s="13">
        <v>5396.11</v>
      </c>
      <c r="BU14" s="13">
        <v>5397</v>
      </c>
      <c r="BV14" s="13">
        <v>5395.21</v>
      </c>
      <c r="BW14" s="13">
        <v>5394.58</v>
      </c>
      <c r="BX14" s="13">
        <v>5392.53</v>
      </c>
      <c r="BY14" s="13">
        <v>5389.84</v>
      </c>
      <c r="BZ14" s="13">
        <v>5386.53</v>
      </c>
      <c r="CA14" s="13">
        <v>5385.14</v>
      </c>
      <c r="CB14" s="13">
        <v>5384.29</v>
      </c>
      <c r="CC14" s="13">
        <v>5381.07</v>
      </c>
      <c r="CD14" s="13">
        <v>5384.71</v>
      </c>
      <c r="CE14" s="13">
        <v>5384.93</v>
      </c>
      <c r="CF14" s="13">
        <v>5377</v>
      </c>
      <c r="CG14" s="13">
        <v>5380</v>
      </c>
      <c r="CH14" s="13">
        <v>5381.62</v>
      </c>
      <c r="CI14" s="13">
        <v>5386</v>
      </c>
      <c r="CJ14" s="13">
        <v>5388.08</v>
      </c>
      <c r="CK14" s="13">
        <v>5388.54</v>
      </c>
      <c r="CL14" s="13">
        <v>5387.15</v>
      </c>
      <c r="CM14" s="13">
        <v>5388.08</v>
      </c>
      <c r="CN14" s="13">
        <v>5387.15</v>
      </c>
      <c r="CO14" s="13">
        <v>5386.23</v>
      </c>
      <c r="CP14" s="13">
        <v>5384.15</v>
      </c>
      <c r="CQ14" s="13">
        <v>5384.38</v>
      </c>
      <c r="CR14" s="13">
        <v>5389.92</v>
      </c>
      <c r="CS14" s="13">
        <v>5388.85</v>
      </c>
      <c r="CT14" s="13">
        <v>5385.46</v>
      </c>
      <c r="CU14" s="13">
        <v>5382</v>
      </c>
      <c r="CV14" s="13">
        <v>5383.4</v>
      </c>
      <c r="CW14" s="13">
        <v>5383.4</v>
      </c>
      <c r="CX14" s="13">
        <v>5384.6</v>
      </c>
      <c r="CY14" s="13">
        <v>5384</v>
      </c>
      <c r="CZ14" s="13">
        <v>5387</v>
      </c>
      <c r="DA14" s="13">
        <v>5387</v>
      </c>
      <c r="DB14" s="13">
        <v>5385.2</v>
      </c>
      <c r="DC14" s="13">
        <v>5381.83</v>
      </c>
      <c r="DD14" s="13">
        <v>5380.83</v>
      </c>
      <c r="DE14" s="13">
        <v>5377.8</v>
      </c>
      <c r="DF14" s="13">
        <v>5375</v>
      </c>
    </row>
    <row r="15" spans="1:110" ht="15.75" x14ac:dyDescent="0.25">
      <c r="A15" s="14" t="s">
        <v>12</v>
      </c>
      <c r="B15" s="12" t="s">
        <v>7</v>
      </c>
      <c r="C15" s="13"/>
      <c r="D15" s="13">
        <v>5449.36</v>
      </c>
      <c r="E15" s="13">
        <v>5445</v>
      </c>
      <c r="F15" s="13">
        <v>5438.82</v>
      </c>
      <c r="G15" s="13">
        <v>5444.28</v>
      </c>
      <c r="H15" s="13">
        <v>5447.82</v>
      </c>
      <c r="I15" s="13">
        <v>5448.59</v>
      </c>
      <c r="J15" s="13">
        <v>5443.93</v>
      </c>
      <c r="K15" s="13">
        <v>5437.71</v>
      </c>
      <c r="L15" s="13">
        <v>5442.5</v>
      </c>
      <c r="M15" s="13">
        <v>5435.79</v>
      </c>
      <c r="N15" s="13">
        <v>5419.5</v>
      </c>
      <c r="O15" s="13">
        <v>5416.29</v>
      </c>
      <c r="P15" s="13">
        <v>5411.79</v>
      </c>
      <c r="Q15" s="13">
        <v>5400</v>
      </c>
      <c r="R15" s="13">
        <v>5392</v>
      </c>
      <c r="S15" s="13">
        <v>5407.5</v>
      </c>
      <c r="T15" s="13">
        <v>5408.08</v>
      </c>
      <c r="U15" s="13">
        <v>5407.69</v>
      </c>
      <c r="V15" s="13">
        <v>5404.43</v>
      </c>
      <c r="W15" s="13">
        <v>5403.79</v>
      </c>
      <c r="X15" s="13">
        <v>5401.89</v>
      </c>
      <c r="Y15" s="13">
        <v>5409.05</v>
      </c>
      <c r="Z15" s="13">
        <v>5406.89</v>
      </c>
      <c r="AA15" s="13">
        <v>5413</v>
      </c>
      <c r="AB15" s="13">
        <v>5413.79</v>
      </c>
      <c r="AC15" s="13">
        <v>5411.14</v>
      </c>
      <c r="AD15" s="13">
        <v>5411.63</v>
      </c>
      <c r="AE15" s="13">
        <v>5413.21</v>
      </c>
      <c r="AF15" s="13">
        <v>5410.53</v>
      </c>
      <c r="AG15" s="13">
        <v>5416.05</v>
      </c>
      <c r="AH15" s="13">
        <v>5417.21</v>
      </c>
      <c r="AI15" s="13">
        <v>5408.14</v>
      </c>
      <c r="AJ15" s="13">
        <v>5402.95</v>
      </c>
      <c r="AK15" s="13">
        <v>5403.74</v>
      </c>
      <c r="AL15" s="13">
        <v>5398.53</v>
      </c>
      <c r="AM15" s="13">
        <v>5411.42</v>
      </c>
      <c r="AN15" s="13">
        <v>5407.63</v>
      </c>
      <c r="AO15" s="13">
        <v>5405.29</v>
      </c>
      <c r="AP15" s="13">
        <v>5403.84</v>
      </c>
      <c r="AQ15" s="13">
        <v>5401.95</v>
      </c>
      <c r="AR15" s="13">
        <v>5399.71</v>
      </c>
      <c r="AS15" s="13">
        <v>5396.11</v>
      </c>
      <c r="AT15" s="13">
        <v>5396</v>
      </c>
      <c r="AU15" s="13">
        <v>5389.71</v>
      </c>
      <c r="AV15" s="13">
        <v>5390.57</v>
      </c>
      <c r="AW15" s="13">
        <v>5387.14</v>
      </c>
      <c r="AX15" s="13">
        <v>5386.63</v>
      </c>
      <c r="AY15" s="13">
        <v>5386.07</v>
      </c>
      <c r="AZ15" s="13">
        <v>5383.47</v>
      </c>
      <c r="BA15" s="13">
        <v>5386.11</v>
      </c>
      <c r="BB15" s="13">
        <v>5386.22</v>
      </c>
      <c r="BC15" s="13">
        <v>5386</v>
      </c>
      <c r="BD15" s="13">
        <v>5385.37</v>
      </c>
      <c r="BE15" s="13">
        <v>5388.32</v>
      </c>
      <c r="BF15" s="13">
        <v>5388.95</v>
      </c>
      <c r="BG15" s="13">
        <v>5393.71</v>
      </c>
      <c r="BH15" s="13">
        <v>5395.43</v>
      </c>
      <c r="BI15" s="13">
        <v>5396.74</v>
      </c>
      <c r="BJ15" s="13">
        <v>5396.74</v>
      </c>
      <c r="BK15" s="13">
        <v>5398.53</v>
      </c>
      <c r="BL15" s="13">
        <v>5396.37</v>
      </c>
      <c r="BM15" s="13">
        <v>5396.14</v>
      </c>
      <c r="BN15" s="13">
        <v>5398</v>
      </c>
      <c r="BO15" s="13">
        <v>5397.62</v>
      </c>
      <c r="BP15" s="13"/>
      <c r="BQ15" s="13">
        <v>5395.77</v>
      </c>
      <c r="BR15" s="13">
        <v>5395.89</v>
      </c>
      <c r="BS15" s="13">
        <v>5393.22</v>
      </c>
      <c r="BT15" s="13">
        <v>5394</v>
      </c>
      <c r="BU15" s="13">
        <v>5396.29</v>
      </c>
      <c r="BV15" s="13">
        <v>5394.95</v>
      </c>
      <c r="BW15" s="13">
        <v>5392.79</v>
      </c>
      <c r="BX15" s="13">
        <v>5390.29</v>
      </c>
      <c r="BY15" s="13">
        <v>5388.95</v>
      </c>
      <c r="BZ15" s="13">
        <v>5386</v>
      </c>
      <c r="CA15" s="13">
        <v>5385.14</v>
      </c>
      <c r="CB15" s="13">
        <v>5383.43</v>
      </c>
      <c r="CC15" s="13">
        <v>5379.79</v>
      </c>
      <c r="CD15" s="13">
        <v>5380.64</v>
      </c>
      <c r="CE15" s="13">
        <v>5381.29</v>
      </c>
      <c r="CF15" s="13">
        <v>5376.77</v>
      </c>
      <c r="CG15" s="13">
        <v>5378.07</v>
      </c>
      <c r="CH15" s="13">
        <v>5380.69</v>
      </c>
      <c r="CI15" s="13">
        <v>5381.62</v>
      </c>
      <c r="CJ15" s="13">
        <v>5386</v>
      </c>
      <c r="CK15" s="13">
        <v>5387.15</v>
      </c>
      <c r="CL15" s="13">
        <v>5387.15</v>
      </c>
      <c r="CM15" s="13">
        <v>5387.15</v>
      </c>
      <c r="CN15" s="13">
        <v>5386</v>
      </c>
      <c r="CO15" s="13">
        <v>5386.23</v>
      </c>
      <c r="CP15" s="13">
        <v>5384.15</v>
      </c>
      <c r="CQ15" s="13">
        <v>5384.15</v>
      </c>
      <c r="CR15" s="13">
        <v>5384.38</v>
      </c>
      <c r="CS15" s="13">
        <v>5387.31</v>
      </c>
      <c r="CT15" s="13">
        <v>5385.46</v>
      </c>
      <c r="CU15" s="13">
        <v>5382</v>
      </c>
      <c r="CV15" s="13">
        <v>5378</v>
      </c>
      <c r="CW15" s="13">
        <v>5381.6</v>
      </c>
      <c r="CX15" s="13">
        <v>5378</v>
      </c>
      <c r="CY15" s="13">
        <v>5384</v>
      </c>
      <c r="CZ15" s="13">
        <v>5384</v>
      </c>
      <c r="DA15" s="13">
        <v>5378</v>
      </c>
      <c r="DB15" s="13">
        <v>5385.2</v>
      </c>
      <c r="DC15" s="13">
        <v>5381</v>
      </c>
      <c r="DD15" s="13">
        <v>5380.33</v>
      </c>
      <c r="DE15" s="13">
        <v>5374</v>
      </c>
      <c r="DF15" s="13">
        <v>5375</v>
      </c>
    </row>
    <row r="16" spans="1:110" ht="15.75" x14ac:dyDescent="0.25">
      <c r="A16" s="11" t="s">
        <v>5</v>
      </c>
      <c r="B16" s="11" t="s">
        <v>11</v>
      </c>
      <c r="C16" s="15">
        <v>0.37847222222222227</v>
      </c>
      <c r="D16" s="15">
        <v>0.38194444444444442</v>
      </c>
      <c r="E16" s="15">
        <v>0.38541666666666669</v>
      </c>
      <c r="F16" s="15">
        <v>0.3888888888888889</v>
      </c>
      <c r="G16" s="15">
        <v>0.3923611111111111</v>
      </c>
      <c r="H16" s="15">
        <v>0.39583333333333331</v>
      </c>
      <c r="I16" s="15">
        <v>0.39930555555555558</v>
      </c>
      <c r="J16" s="15">
        <v>0.40277777777777773</v>
      </c>
      <c r="K16" s="15">
        <v>0.40625</v>
      </c>
      <c r="L16" s="15">
        <v>0.40972222222222227</v>
      </c>
      <c r="M16" s="15">
        <v>0.41319444444444442</v>
      </c>
      <c r="N16" s="15">
        <v>0.41666666666666669</v>
      </c>
      <c r="O16" s="15">
        <v>0.4201388888888889</v>
      </c>
      <c r="P16" s="15">
        <v>0.4236111111111111</v>
      </c>
      <c r="Q16" s="15">
        <v>0.42708333333333331</v>
      </c>
      <c r="R16" s="15">
        <v>0.43055555555555558</v>
      </c>
      <c r="S16" s="15">
        <v>0.43402777777777773</v>
      </c>
      <c r="T16" s="15">
        <v>0.4375</v>
      </c>
      <c r="U16" s="15">
        <v>0.44097222222222227</v>
      </c>
      <c r="V16" s="15">
        <v>0.44444444444444442</v>
      </c>
      <c r="W16" s="15">
        <v>0.44791666666666669</v>
      </c>
      <c r="X16" s="15">
        <v>0.4513888888888889</v>
      </c>
      <c r="Y16" s="15">
        <v>0.4548611111111111</v>
      </c>
      <c r="Z16" s="15">
        <v>0.45833333333333331</v>
      </c>
      <c r="AA16" s="15">
        <v>0.46180555555555558</v>
      </c>
      <c r="AB16" s="15">
        <v>0.46527777777777773</v>
      </c>
      <c r="AC16" s="15">
        <v>0.46875</v>
      </c>
      <c r="AD16" s="15">
        <v>0.47222222222222227</v>
      </c>
      <c r="AE16" s="15">
        <v>0.47569444444444442</v>
      </c>
      <c r="AF16" s="15">
        <v>0.47916666666666669</v>
      </c>
      <c r="AG16" s="15">
        <v>0.4826388888888889</v>
      </c>
      <c r="AH16" s="15">
        <v>0.4861111111111111</v>
      </c>
      <c r="AI16" s="15">
        <v>0.48958333333333331</v>
      </c>
      <c r="AJ16" s="15">
        <v>0.49305555555555558</v>
      </c>
      <c r="AK16" s="15">
        <v>0.49652777777777773</v>
      </c>
      <c r="AL16" s="15">
        <v>0.5</v>
      </c>
      <c r="AM16" s="15">
        <v>0.50347222222222221</v>
      </c>
      <c r="AN16" s="15">
        <v>0.50694444444444442</v>
      </c>
      <c r="AO16" s="15">
        <v>0.51041666666666663</v>
      </c>
      <c r="AP16" s="15">
        <v>0.51388888888888895</v>
      </c>
      <c r="AQ16" s="15">
        <v>0.51736111111111105</v>
      </c>
      <c r="AR16" s="15">
        <v>0.52083333333333337</v>
      </c>
      <c r="AS16" s="15">
        <v>0.52430555555555558</v>
      </c>
      <c r="AT16" s="15">
        <v>0.52777777777777779</v>
      </c>
      <c r="AU16" s="15">
        <v>0.53125</v>
      </c>
      <c r="AV16" s="15">
        <v>0.53472222222222221</v>
      </c>
      <c r="AW16" s="15">
        <v>0.53819444444444442</v>
      </c>
      <c r="AX16" s="15">
        <v>0.54166666666666663</v>
      </c>
      <c r="AY16" s="15">
        <v>0.54513888888888895</v>
      </c>
      <c r="AZ16" s="15">
        <v>0.54861111111111105</v>
      </c>
      <c r="BA16" s="15">
        <v>0.55208333333333337</v>
      </c>
      <c r="BB16" s="15">
        <v>0.55555555555555558</v>
      </c>
      <c r="BC16" s="15">
        <v>0.55902777777777779</v>
      </c>
      <c r="BD16" s="15">
        <v>0.5625</v>
      </c>
      <c r="BE16" s="15">
        <v>0.56597222222222221</v>
      </c>
      <c r="BF16" s="15">
        <v>0.56944444444444442</v>
      </c>
      <c r="BG16" s="15">
        <v>0.57291666666666663</v>
      </c>
      <c r="BH16" s="15">
        <v>0.57638888888888895</v>
      </c>
      <c r="BI16" s="15">
        <v>0.57986111111111105</v>
      </c>
      <c r="BJ16" s="15">
        <v>0.58333333333333337</v>
      </c>
      <c r="BK16" s="15">
        <v>0.58680555555555558</v>
      </c>
      <c r="BL16" s="15">
        <v>0.59027777777777779</v>
      </c>
      <c r="BM16" s="15">
        <v>0.59375</v>
      </c>
      <c r="BN16" s="15">
        <v>0.59722222222222221</v>
      </c>
      <c r="BO16" s="15">
        <v>0.60069444444444442</v>
      </c>
      <c r="BP16" s="15">
        <v>0.60416666666666663</v>
      </c>
      <c r="BQ16" s="15">
        <v>0.60763888888888895</v>
      </c>
      <c r="BR16" s="15">
        <v>0.61111111111111105</v>
      </c>
      <c r="BS16" s="15">
        <v>0.61458333333333337</v>
      </c>
      <c r="BT16" s="15">
        <v>0.61805555555555558</v>
      </c>
      <c r="BU16" s="15">
        <v>0.62152777777777779</v>
      </c>
      <c r="BV16" s="15">
        <v>0.625</v>
      </c>
      <c r="BW16" s="15">
        <v>0.62847222222222221</v>
      </c>
      <c r="BX16" s="15">
        <v>0.63194444444444442</v>
      </c>
      <c r="BY16" s="15">
        <v>0.63541666666666663</v>
      </c>
      <c r="BZ16" s="15">
        <v>0.63888888888888895</v>
      </c>
      <c r="CA16" s="15">
        <v>0.64236111111111105</v>
      </c>
      <c r="CB16" s="15">
        <v>0.64583333333333337</v>
      </c>
      <c r="CC16" s="15">
        <v>0.64930555555555558</v>
      </c>
      <c r="CD16" s="15">
        <v>0.65277777777777779</v>
      </c>
      <c r="CE16" s="15">
        <v>0.65625</v>
      </c>
      <c r="CF16" s="15">
        <v>0.65972222222222221</v>
      </c>
      <c r="CG16" s="15">
        <v>0.66319444444444442</v>
      </c>
      <c r="CH16" s="15">
        <v>0.66666666666666663</v>
      </c>
      <c r="CI16" s="15">
        <v>0.67013888888888884</v>
      </c>
      <c r="CJ16" s="15">
        <v>0.67361111111111116</v>
      </c>
      <c r="CK16" s="15">
        <v>0.67708333333333337</v>
      </c>
      <c r="CL16" s="15">
        <v>0.68055555555555547</v>
      </c>
      <c r="CM16" s="15">
        <v>0.68402777777777779</v>
      </c>
      <c r="CN16" s="15">
        <v>0.6875</v>
      </c>
      <c r="CO16" s="15">
        <v>0.69097222222222221</v>
      </c>
      <c r="CP16" s="15">
        <v>0.69444444444444453</v>
      </c>
      <c r="CQ16" s="15">
        <v>0.69791666666666663</v>
      </c>
      <c r="CR16" s="15">
        <v>0.70138888888888884</v>
      </c>
      <c r="CS16" s="15">
        <v>0.70486111111111116</v>
      </c>
      <c r="CT16" s="15">
        <v>0.70833333333333337</v>
      </c>
      <c r="CU16" s="15">
        <v>0.71180555555555547</v>
      </c>
      <c r="CV16" s="15">
        <v>0.71527777777777779</v>
      </c>
      <c r="CW16" s="15">
        <v>0.71875</v>
      </c>
      <c r="CX16" s="15">
        <v>0.72222222222222221</v>
      </c>
      <c r="CY16" s="15">
        <v>0.72569444444444453</v>
      </c>
      <c r="CZ16" s="15">
        <v>0.72916666666666663</v>
      </c>
      <c r="DA16" s="15">
        <v>0.73263888888888884</v>
      </c>
      <c r="DB16" s="15">
        <v>0.73611111111111116</v>
      </c>
      <c r="DC16" s="15">
        <v>0.73958333333333337</v>
      </c>
      <c r="DD16" s="15">
        <v>0.74305555555555547</v>
      </c>
      <c r="DE16" s="15">
        <v>0.74652777777777779</v>
      </c>
      <c r="DF16" s="15">
        <v>0.75</v>
      </c>
    </row>
    <row r="17" spans="1:111" ht="15.75" x14ac:dyDescent="0.25">
      <c r="A17" s="14">
        <v>44322</v>
      </c>
      <c r="B17" s="12" t="s">
        <v>6</v>
      </c>
      <c r="C17" s="13">
        <v>5390</v>
      </c>
      <c r="D17" s="13">
        <v>5376.17</v>
      </c>
      <c r="E17" s="13">
        <v>5395</v>
      </c>
      <c r="F17" s="13">
        <v>5402</v>
      </c>
      <c r="G17" s="13">
        <v>5396.67</v>
      </c>
      <c r="H17" s="13">
        <v>5384</v>
      </c>
      <c r="I17" s="13">
        <v>5381.72</v>
      </c>
      <c r="J17" s="13">
        <v>5387.72</v>
      </c>
      <c r="K17" s="13">
        <v>5389.17</v>
      </c>
      <c r="L17" s="13">
        <v>5387</v>
      </c>
      <c r="M17" s="13">
        <v>5374.43</v>
      </c>
      <c r="N17" s="13">
        <v>5380</v>
      </c>
      <c r="O17" s="13">
        <v>5364</v>
      </c>
      <c r="P17" s="13">
        <v>5356.82</v>
      </c>
      <c r="Q17" s="13">
        <v>5356.64</v>
      </c>
      <c r="R17" s="13">
        <v>5360.54</v>
      </c>
      <c r="S17" s="13">
        <v>5359.64</v>
      </c>
      <c r="T17" s="13">
        <v>5353</v>
      </c>
      <c r="U17" s="13">
        <v>5350.82</v>
      </c>
      <c r="V17" s="13">
        <v>5342.82</v>
      </c>
      <c r="W17" s="13">
        <v>5341.82</v>
      </c>
      <c r="X17" s="13">
        <v>5338.82</v>
      </c>
      <c r="Y17" s="13">
        <v>5332.82</v>
      </c>
      <c r="Z17" s="13">
        <v>5333</v>
      </c>
      <c r="AA17" s="13">
        <v>5328.82</v>
      </c>
      <c r="AB17" s="13">
        <v>5328.82</v>
      </c>
      <c r="AC17" s="13">
        <v>5328.82</v>
      </c>
      <c r="AD17" s="13">
        <v>5326.82</v>
      </c>
      <c r="AE17" s="13">
        <v>5323</v>
      </c>
      <c r="AF17" s="13">
        <v>5319</v>
      </c>
      <c r="AG17" s="13">
        <v>5314.23</v>
      </c>
      <c r="AH17" s="13">
        <v>5306.11</v>
      </c>
      <c r="AI17" s="13">
        <v>5302</v>
      </c>
      <c r="AJ17" s="13">
        <v>5297</v>
      </c>
      <c r="AK17" s="13">
        <v>5296.82</v>
      </c>
      <c r="AL17" s="13">
        <v>5294.93</v>
      </c>
      <c r="AM17" s="13">
        <v>5292.22</v>
      </c>
      <c r="AN17" s="13">
        <v>5295.54</v>
      </c>
      <c r="AO17" s="13">
        <v>5299.87</v>
      </c>
      <c r="AP17" s="13">
        <v>5298</v>
      </c>
      <c r="AQ17" s="13">
        <v>5293.11</v>
      </c>
      <c r="AR17" s="13">
        <v>5293</v>
      </c>
      <c r="AS17" s="13">
        <v>5299.87</v>
      </c>
      <c r="AT17" s="13">
        <v>5302.64</v>
      </c>
      <c r="AU17" s="13">
        <v>5305.64</v>
      </c>
      <c r="AV17" s="13">
        <v>5312.54</v>
      </c>
      <c r="AW17" s="13">
        <v>5310.78</v>
      </c>
      <c r="AX17" s="13">
        <v>5312</v>
      </c>
      <c r="AY17" s="13">
        <v>5312</v>
      </c>
      <c r="AZ17" s="13">
        <v>5311.78</v>
      </c>
      <c r="BA17" s="13">
        <v>5310.54</v>
      </c>
      <c r="BB17" s="13">
        <v>5311</v>
      </c>
      <c r="BC17" s="13">
        <v>5312.78</v>
      </c>
      <c r="BD17" s="13">
        <v>5311.78</v>
      </c>
      <c r="BE17" s="13">
        <v>5318.29</v>
      </c>
      <c r="BF17" s="13">
        <v>5319.43</v>
      </c>
      <c r="BG17" s="13">
        <v>5314.43</v>
      </c>
      <c r="BH17" s="13">
        <v>5317</v>
      </c>
      <c r="BI17" s="13">
        <v>5318.71</v>
      </c>
      <c r="BJ17" s="13">
        <v>5321.29</v>
      </c>
      <c r="BK17" s="13">
        <v>5319.57</v>
      </c>
      <c r="BL17" s="13">
        <v>5316.14</v>
      </c>
      <c r="BM17" s="13">
        <v>5315</v>
      </c>
      <c r="BN17" s="13">
        <v>5311.14</v>
      </c>
      <c r="BO17" s="13">
        <v>5309</v>
      </c>
      <c r="BP17" s="13">
        <v>5307.64</v>
      </c>
      <c r="BQ17" s="13">
        <v>5309.64</v>
      </c>
      <c r="BR17" s="13">
        <v>5311.64</v>
      </c>
      <c r="BS17" s="13">
        <v>5315</v>
      </c>
      <c r="BT17" s="13">
        <v>5318.64</v>
      </c>
      <c r="BU17" s="13">
        <v>5320.54</v>
      </c>
      <c r="BV17" s="13">
        <v>5323</v>
      </c>
      <c r="BW17" s="13">
        <v>5324.57</v>
      </c>
      <c r="BX17" s="13">
        <v>5317</v>
      </c>
      <c r="BY17" s="13">
        <v>5318.7</v>
      </c>
      <c r="BZ17" s="13">
        <v>5317.62</v>
      </c>
      <c r="CA17" s="13">
        <v>5322.91</v>
      </c>
      <c r="CB17" s="13">
        <v>5321.7</v>
      </c>
      <c r="CC17" s="13">
        <v>5319.03</v>
      </c>
      <c r="CD17" s="13">
        <v>5308.61</v>
      </c>
      <c r="CE17" s="13">
        <v>5312.7</v>
      </c>
      <c r="CF17" s="13">
        <v>5310.39</v>
      </c>
      <c r="CG17" s="13">
        <v>5313.7</v>
      </c>
      <c r="CH17" s="13">
        <v>5309.61</v>
      </c>
      <c r="CI17" s="13">
        <v>5309.7</v>
      </c>
      <c r="CJ17" s="13">
        <v>5308.61</v>
      </c>
      <c r="CK17" s="13">
        <v>5311</v>
      </c>
      <c r="CL17" s="13">
        <v>5313.12</v>
      </c>
      <c r="CM17" s="13">
        <v>5314.04</v>
      </c>
      <c r="CN17" s="13">
        <v>5310.76</v>
      </c>
      <c r="CO17" s="13">
        <v>5310.36</v>
      </c>
      <c r="CP17" s="13">
        <v>5313.76</v>
      </c>
      <c r="CQ17" s="13">
        <v>5313.47</v>
      </c>
      <c r="CR17" s="13">
        <v>5312.12</v>
      </c>
      <c r="CS17" s="13">
        <v>5311.52</v>
      </c>
      <c r="CT17" s="13">
        <v>5308.91</v>
      </c>
      <c r="CU17" s="13">
        <v>5305.22</v>
      </c>
      <c r="CV17" s="13">
        <v>5307.62</v>
      </c>
      <c r="CW17" s="13">
        <v>5307.15</v>
      </c>
      <c r="CX17" s="13">
        <v>5307</v>
      </c>
      <c r="CY17" s="13">
        <v>5308.77</v>
      </c>
      <c r="CZ17" s="13">
        <v>5305.8</v>
      </c>
      <c r="DA17" s="13">
        <v>5304.92</v>
      </c>
      <c r="DB17" s="13">
        <v>5304.61</v>
      </c>
      <c r="DC17" s="13">
        <v>5303</v>
      </c>
      <c r="DD17" s="13">
        <v>5302</v>
      </c>
      <c r="DE17" s="13">
        <v>5301</v>
      </c>
      <c r="DF17" s="13">
        <v>5307</v>
      </c>
    </row>
    <row r="18" spans="1:111" ht="15.75" x14ac:dyDescent="0.25">
      <c r="A18" s="14" t="s">
        <v>12</v>
      </c>
      <c r="B18" s="12" t="s">
        <v>10</v>
      </c>
      <c r="C18" s="13">
        <v>5369.67</v>
      </c>
      <c r="D18" s="13">
        <v>5375</v>
      </c>
      <c r="E18" s="13">
        <v>5393</v>
      </c>
      <c r="F18" s="13">
        <v>5398.67</v>
      </c>
      <c r="G18" s="13">
        <v>5382.56</v>
      </c>
      <c r="H18" s="13">
        <v>5380.72</v>
      </c>
      <c r="I18" s="13">
        <v>5377.44</v>
      </c>
      <c r="J18" s="13">
        <v>5383.72</v>
      </c>
      <c r="K18" s="13">
        <v>5381.17</v>
      </c>
      <c r="L18" s="13">
        <v>5373.72</v>
      </c>
      <c r="M18" s="13">
        <v>5371.67</v>
      </c>
      <c r="N18" s="13">
        <v>5352.52</v>
      </c>
      <c r="O18" s="13">
        <v>5351</v>
      </c>
      <c r="P18" s="13">
        <v>5354</v>
      </c>
      <c r="Q18" s="13">
        <v>5354.71</v>
      </c>
      <c r="R18" s="13">
        <v>5359.82</v>
      </c>
      <c r="S18" s="13">
        <v>5352.82</v>
      </c>
      <c r="T18" s="13">
        <v>5346.93</v>
      </c>
      <c r="U18" s="13">
        <v>5339.71</v>
      </c>
      <c r="V18" s="13">
        <v>5341.71</v>
      </c>
      <c r="W18" s="13">
        <v>5337</v>
      </c>
      <c r="X18" s="13">
        <v>5331.82</v>
      </c>
      <c r="Y18" s="13">
        <v>5329.82</v>
      </c>
      <c r="Z18" s="13">
        <v>5323.93</v>
      </c>
      <c r="AA18" s="13">
        <v>5327.82</v>
      </c>
      <c r="AB18" s="13">
        <v>5328.11</v>
      </c>
      <c r="AC18" s="13">
        <v>5326.82</v>
      </c>
      <c r="AD18" s="13">
        <v>5322</v>
      </c>
      <c r="AE18" s="13">
        <v>5313.82</v>
      </c>
      <c r="AF18" s="13">
        <v>5313.11</v>
      </c>
      <c r="AG18" s="13">
        <v>5302.64</v>
      </c>
      <c r="AH18" s="13">
        <v>5303.93</v>
      </c>
      <c r="AI18" s="13">
        <v>5296.71</v>
      </c>
      <c r="AJ18" s="13">
        <v>5293.71</v>
      </c>
      <c r="AK18" s="13">
        <v>5295.11</v>
      </c>
      <c r="AL18" s="13">
        <v>5286.69</v>
      </c>
      <c r="AM18" s="13">
        <v>5288.64</v>
      </c>
      <c r="AN18" s="13">
        <v>5295.54</v>
      </c>
      <c r="AO18" s="13">
        <v>5296.64</v>
      </c>
      <c r="AP18" s="13">
        <v>5292.64</v>
      </c>
      <c r="AQ18" s="13">
        <v>5288.29</v>
      </c>
      <c r="AR18" s="13">
        <v>5291.29</v>
      </c>
      <c r="AS18" s="13">
        <v>5299.54</v>
      </c>
      <c r="AT18" s="13">
        <v>5301.54</v>
      </c>
      <c r="AU18" s="13">
        <v>5305.64</v>
      </c>
      <c r="AV18" s="13">
        <v>5309.64</v>
      </c>
      <c r="AW18" s="13">
        <v>5308.18</v>
      </c>
      <c r="AX18" s="13">
        <v>5309.64</v>
      </c>
      <c r="AY18" s="13">
        <v>5307.64</v>
      </c>
      <c r="AZ18" s="13">
        <v>5308.64</v>
      </c>
      <c r="BA18" s="13">
        <v>5310</v>
      </c>
      <c r="BB18" s="13">
        <v>5311</v>
      </c>
      <c r="BC18" s="13">
        <v>5306.78</v>
      </c>
      <c r="BD18" s="13">
        <v>5311.29</v>
      </c>
      <c r="BE18" s="13">
        <v>5317</v>
      </c>
      <c r="BF18" s="13">
        <v>5317</v>
      </c>
      <c r="BG18" s="13">
        <v>5313.57</v>
      </c>
      <c r="BH18" s="13">
        <v>5313.43</v>
      </c>
      <c r="BI18" s="13">
        <v>5317</v>
      </c>
      <c r="BJ18" s="13">
        <v>5319.57</v>
      </c>
      <c r="BK18" s="13">
        <v>5315.29</v>
      </c>
      <c r="BL18" s="13">
        <v>5315</v>
      </c>
      <c r="BM18" s="13">
        <v>5311.14</v>
      </c>
      <c r="BN18" s="13">
        <v>5307</v>
      </c>
      <c r="BO18" s="13">
        <v>5307.54</v>
      </c>
      <c r="BP18" s="13">
        <v>5305.29</v>
      </c>
      <c r="BQ18" s="13">
        <v>5309.64</v>
      </c>
      <c r="BR18" s="13">
        <v>5311</v>
      </c>
      <c r="BS18" s="13">
        <v>5314.11</v>
      </c>
      <c r="BT18" s="13">
        <v>5318.64</v>
      </c>
      <c r="BU18" s="13">
        <v>5320.18</v>
      </c>
      <c r="BV18" s="13">
        <v>5323</v>
      </c>
      <c r="BW18" s="13">
        <v>5315</v>
      </c>
      <c r="BX18" s="13">
        <v>5316</v>
      </c>
      <c r="BY18" s="13">
        <v>5314.79</v>
      </c>
      <c r="BZ18" s="13">
        <v>5317.62</v>
      </c>
      <c r="CA18" s="13">
        <v>5316.77</v>
      </c>
      <c r="CB18" s="13">
        <v>5320.68</v>
      </c>
      <c r="CC18" s="13">
        <v>5307.7</v>
      </c>
      <c r="CD18" s="13">
        <v>5306.7</v>
      </c>
      <c r="CE18" s="13">
        <v>5311</v>
      </c>
      <c r="CF18" s="13">
        <v>5308.7</v>
      </c>
      <c r="CG18" s="13">
        <v>5308.18</v>
      </c>
      <c r="CH18" s="13">
        <v>5309.61</v>
      </c>
      <c r="CI18" s="13">
        <v>5307.61</v>
      </c>
      <c r="CJ18" s="13">
        <v>5308.61</v>
      </c>
      <c r="CK18" s="13">
        <v>5310.09</v>
      </c>
      <c r="CL18" s="13">
        <v>5312.71</v>
      </c>
      <c r="CM18" s="13">
        <v>5309.79</v>
      </c>
      <c r="CN18" s="13">
        <v>5309.5</v>
      </c>
      <c r="CO18" s="13">
        <v>5308.91</v>
      </c>
      <c r="CP18" s="13">
        <v>5313.76</v>
      </c>
      <c r="CQ18" s="13">
        <v>5310.85</v>
      </c>
      <c r="CR18" s="13">
        <v>5310.35</v>
      </c>
      <c r="CS18" s="13">
        <v>5308.91</v>
      </c>
      <c r="CT18" s="13">
        <v>5305.68</v>
      </c>
      <c r="CU18" s="13">
        <v>5305.09</v>
      </c>
      <c r="CV18" s="13">
        <v>5306.15</v>
      </c>
      <c r="CW18" s="13">
        <v>5305.94</v>
      </c>
      <c r="CX18" s="13">
        <v>5307</v>
      </c>
      <c r="CY18" s="13">
        <v>5306.88</v>
      </c>
      <c r="CZ18" s="13">
        <v>5305.32</v>
      </c>
      <c r="DA18" s="13">
        <v>5302.39</v>
      </c>
      <c r="DB18" s="13">
        <v>5302.09</v>
      </c>
      <c r="DC18" s="13">
        <v>5302</v>
      </c>
      <c r="DD18" s="13">
        <v>5301</v>
      </c>
      <c r="DE18" s="13">
        <v>5298</v>
      </c>
      <c r="DF18" s="13">
        <v>5307</v>
      </c>
    </row>
    <row r="19" spans="1:111" ht="15.75" x14ac:dyDescent="0.25">
      <c r="A19" s="14" t="s">
        <v>12</v>
      </c>
      <c r="B19" s="12" t="s">
        <v>9</v>
      </c>
      <c r="C19" s="13">
        <v>5361.36</v>
      </c>
      <c r="D19" s="13">
        <v>5367.07</v>
      </c>
      <c r="E19" s="13">
        <v>5384.13</v>
      </c>
      <c r="F19" s="13">
        <v>5388.67</v>
      </c>
      <c r="G19" s="13">
        <v>5373.93</v>
      </c>
      <c r="H19" s="13">
        <v>5371.27</v>
      </c>
      <c r="I19" s="13">
        <v>5368.2</v>
      </c>
      <c r="J19" s="13">
        <v>5373.67</v>
      </c>
      <c r="K19" s="13">
        <v>5371.8</v>
      </c>
      <c r="L19" s="13">
        <v>5365.2</v>
      </c>
      <c r="M19" s="13">
        <v>5359.2</v>
      </c>
      <c r="N19" s="13">
        <v>5344.39</v>
      </c>
      <c r="O19" s="13">
        <v>5345</v>
      </c>
      <c r="P19" s="13">
        <v>5346.56</v>
      </c>
      <c r="Q19" s="13">
        <v>5347.28</v>
      </c>
      <c r="R19" s="13">
        <v>5352.11</v>
      </c>
      <c r="S19" s="13">
        <v>5345.28</v>
      </c>
      <c r="T19" s="13">
        <v>5339.47</v>
      </c>
      <c r="U19" s="13">
        <v>5332.17</v>
      </c>
      <c r="V19" s="13">
        <v>5334</v>
      </c>
      <c r="W19" s="13">
        <v>5330</v>
      </c>
      <c r="X19" s="13">
        <v>5324.28</v>
      </c>
      <c r="Y19" s="13">
        <v>5323.28</v>
      </c>
      <c r="Z19" s="13">
        <v>5316</v>
      </c>
      <c r="AA19" s="13">
        <v>5319.32</v>
      </c>
      <c r="AB19" s="13">
        <v>5321.05</v>
      </c>
      <c r="AC19" s="13">
        <v>5319.16</v>
      </c>
      <c r="AD19" s="13">
        <v>5315.68</v>
      </c>
      <c r="AE19" s="13">
        <v>5307.39</v>
      </c>
      <c r="AF19" s="13">
        <v>5305.26</v>
      </c>
      <c r="AG19" s="13">
        <v>5294.05</v>
      </c>
      <c r="AH19" s="13">
        <v>5296.11</v>
      </c>
      <c r="AI19" s="13">
        <v>5288.79</v>
      </c>
      <c r="AJ19" s="13">
        <v>5286.89</v>
      </c>
      <c r="AK19" s="13">
        <v>5288.37</v>
      </c>
      <c r="AL19" s="13">
        <v>5279.21</v>
      </c>
      <c r="AM19" s="13">
        <v>5280.42</v>
      </c>
      <c r="AN19" s="13">
        <v>5286.89</v>
      </c>
      <c r="AO19" s="13">
        <v>5288</v>
      </c>
      <c r="AP19" s="13">
        <v>5284.21</v>
      </c>
      <c r="AQ19" s="13">
        <v>5280.16</v>
      </c>
      <c r="AR19" s="13">
        <v>5283.53</v>
      </c>
      <c r="AS19" s="13">
        <v>5290.68</v>
      </c>
      <c r="AT19" s="13">
        <v>5293.42</v>
      </c>
      <c r="AU19" s="13">
        <v>5297.05</v>
      </c>
      <c r="AV19" s="13">
        <v>5300.84</v>
      </c>
      <c r="AW19" s="13">
        <v>5298.21</v>
      </c>
      <c r="AX19" s="13">
        <v>5301</v>
      </c>
      <c r="AY19" s="13">
        <v>5298.42</v>
      </c>
      <c r="AZ19" s="13">
        <v>5299.37</v>
      </c>
      <c r="BA19" s="13">
        <v>5300.58</v>
      </c>
      <c r="BB19" s="13">
        <v>5302.05</v>
      </c>
      <c r="BC19" s="13">
        <v>5298.84</v>
      </c>
      <c r="BD19" s="13">
        <v>5301.95</v>
      </c>
      <c r="BE19" s="13">
        <v>5307.63</v>
      </c>
      <c r="BF19" s="13">
        <v>5307.47</v>
      </c>
      <c r="BG19" s="13">
        <v>5304.47</v>
      </c>
      <c r="BH19" s="13">
        <v>5303.84</v>
      </c>
      <c r="BI19" s="13">
        <v>5306.68</v>
      </c>
      <c r="BJ19" s="13">
        <v>5310.32</v>
      </c>
      <c r="BK19" s="13">
        <v>5304.63</v>
      </c>
      <c r="BL19" s="13">
        <v>5304.79</v>
      </c>
      <c r="BM19" s="13">
        <v>5300.32</v>
      </c>
      <c r="BN19" s="13">
        <v>5297.89</v>
      </c>
      <c r="BO19" s="13">
        <v>5298.42</v>
      </c>
      <c r="BP19" s="13">
        <v>5296.26</v>
      </c>
      <c r="BQ19" s="13">
        <v>5300.32</v>
      </c>
      <c r="BR19" s="13">
        <v>5302.05</v>
      </c>
      <c r="BS19" s="13">
        <v>5304.89</v>
      </c>
      <c r="BT19" s="13">
        <v>5308.68</v>
      </c>
      <c r="BU19" s="13">
        <v>5310.47</v>
      </c>
      <c r="BV19" s="13">
        <v>5312.36</v>
      </c>
      <c r="BW19" s="13">
        <v>5305.31</v>
      </c>
      <c r="BX19" s="13">
        <v>5306.56</v>
      </c>
      <c r="BY19" s="13">
        <v>5305.74</v>
      </c>
      <c r="BZ19" s="13">
        <v>5308.95</v>
      </c>
      <c r="CA19" s="13">
        <v>5306.95</v>
      </c>
      <c r="CB19" s="13">
        <v>5311.6</v>
      </c>
      <c r="CC19" s="13">
        <v>5298.42</v>
      </c>
      <c r="CD19" s="13">
        <v>5298.16</v>
      </c>
      <c r="CE19" s="13">
        <v>5301.26</v>
      </c>
      <c r="CF19" s="13">
        <v>5299.53</v>
      </c>
      <c r="CG19" s="13">
        <v>5300.05</v>
      </c>
      <c r="CH19" s="13">
        <v>5300.32</v>
      </c>
      <c r="CI19" s="13">
        <v>5298.42</v>
      </c>
      <c r="CJ19" s="13">
        <v>5300.05</v>
      </c>
      <c r="CK19" s="13">
        <v>5300.58</v>
      </c>
      <c r="CL19" s="13">
        <v>5303.53</v>
      </c>
      <c r="CM19" s="13">
        <v>5300.32</v>
      </c>
      <c r="CN19" s="13">
        <v>5300.21</v>
      </c>
      <c r="CO19" s="13">
        <v>5298.68</v>
      </c>
      <c r="CP19" s="13">
        <v>5304.26</v>
      </c>
      <c r="CQ19" s="13">
        <v>5301.95</v>
      </c>
      <c r="CR19" s="13">
        <v>5301.95</v>
      </c>
      <c r="CS19" s="13">
        <v>5300.05</v>
      </c>
      <c r="CT19" s="13">
        <v>5297.2</v>
      </c>
      <c r="CU19" s="13">
        <v>5296.68</v>
      </c>
      <c r="CV19" s="13">
        <v>5298.16</v>
      </c>
      <c r="CW19" s="13">
        <v>5296.53</v>
      </c>
      <c r="CX19" s="13">
        <v>5298.26</v>
      </c>
      <c r="CY19" s="13">
        <v>5300</v>
      </c>
      <c r="CZ19" s="13">
        <v>5298</v>
      </c>
      <c r="DA19" s="13">
        <v>5295</v>
      </c>
      <c r="DB19" s="13">
        <v>5296</v>
      </c>
      <c r="DC19" s="13">
        <v>5295.11</v>
      </c>
      <c r="DD19" s="13">
        <v>5293.77</v>
      </c>
      <c r="DE19" s="13">
        <v>5289</v>
      </c>
      <c r="DF19" s="13">
        <v>5300</v>
      </c>
    </row>
    <row r="20" spans="1:111" ht="15.75" x14ac:dyDescent="0.25">
      <c r="A20" s="14" t="s">
        <v>12</v>
      </c>
      <c r="B20" s="12" t="s">
        <v>7</v>
      </c>
      <c r="C20" s="13">
        <v>5350</v>
      </c>
      <c r="D20" s="13">
        <v>5353.56</v>
      </c>
      <c r="E20" s="13">
        <v>5367.43</v>
      </c>
      <c r="F20" s="13">
        <v>5382.19</v>
      </c>
      <c r="G20" s="13">
        <v>5373.93</v>
      </c>
      <c r="H20" s="13">
        <v>5369.4</v>
      </c>
      <c r="I20" s="13">
        <v>5365.2</v>
      </c>
      <c r="J20" s="13">
        <v>5370.93</v>
      </c>
      <c r="K20" s="13">
        <v>5370.6</v>
      </c>
      <c r="L20" s="13">
        <v>5364.2</v>
      </c>
      <c r="M20" s="13">
        <v>5356.8</v>
      </c>
      <c r="N20" s="13">
        <v>5343</v>
      </c>
      <c r="O20" s="13">
        <v>5338.56</v>
      </c>
      <c r="P20" s="13">
        <v>5334.44</v>
      </c>
      <c r="Q20" s="13">
        <v>5341</v>
      </c>
      <c r="R20" s="13">
        <v>5343.28</v>
      </c>
      <c r="S20" s="13">
        <v>5343.28</v>
      </c>
      <c r="T20" s="13">
        <v>5339.47</v>
      </c>
      <c r="U20" s="13">
        <v>5332.17</v>
      </c>
      <c r="V20" s="13">
        <v>5328</v>
      </c>
      <c r="W20" s="13">
        <v>5324</v>
      </c>
      <c r="X20" s="13">
        <v>5324</v>
      </c>
      <c r="Y20" s="13">
        <v>5319.28</v>
      </c>
      <c r="Z20" s="13">
        <v>5316</v>
      </c>
      <c r="AA20" s="13">
        <v>5316</v>
      </c>
      <c r="AB20" s="13">
        <v>5316.47</v>
      </c>
      <c r="AC20" s="13">
        <v>5316.79</v>
      </c>
      <c r="AD20" s="13">
        <v>5312</v>
      </c>
      <c r="AE20" s="13">
        <v>5304.72</v>
      </c>
      <c r="AF20" s="13">
        <v>5304.47</v>
      </c>
      <c r="AG20" s="13">
        <v>5293.26</v>
      </c>
      <c r="AH20" s="13">
        <v>5292.58</v>
      </c>
      <c r="AI20" s="13">
        <v>5288.14</v>
      </c>
      <c r="AJ20" s="13">
        <v>5285.95</v>
      </c>
      <c r="AK20" s="13">
        <v>5284.47</v>
      </c>
      <c r="AL20" s="13">
        <v>5273.13</v>
      </c>
      <c r="AM20" s="13">
        <v>5278</v>
      </c>
      <c r="AN20" s="13">
        <v>5278.93</v>
      </c>
      <c r="AO20" s="13">
        <v>5286.89</v>
      </c>
      <c r="AP20" s="13">
        <v>5283.95</v>
      </c>
      <c r="AQ20" s="13">
        <v>5279.47</v>
      </c>
      <c r="AR20" s="13">
        <v>5278.93</v>
      </c>
      <c r="AS20" s="13">
        <v>5284.05</v>
      </c>
      <c r="AT20" s="13">
        <v>5289.86</v>
      </c>
      <c r="AU20" s="13">
        <v>5292.86</v>
      </c>
      <c r="AV20" s="13">
        <v>5299.11</v>
      </c>
      <c r="AW20" s="13">
        <v>5298.16</v>
      </c>
      <c r="AX20" s="13">
        <v>5297.5</v>
      </c>
      <c r="AY20" s="13">
        <v>5297.5</v>
      </c>
      <c r="AZ20" s="13">
        <v>5298.16</v>
      </c>
      <c r="BA20" s="13">
        <v>5292.86</v>
      </c>
      <c r="BB20" s="13">
        <v>5298.43</v>
      </c>
      <c r="BC20" s="13">
        <v>5297.21</v>
      </c>
      <c r="BD20" s="13">
        <v>5297.21</v>
      </c>
      <c r="BE20" s="13">
        <v>5301.21</v>
      </c>
      <c r="BF20" s="13">
        <v>5306.79</v>
      </c>
      <c r="BG20" s="13">
        <v>5302.74</v>
      </c>
      <c r="BH20" s="13">
        <v>5302.89</v>
      </c>
      <c r="BI20" s="13">
        <v>5303.79</v>
      </c>
      <c r="BJ20" s="13">
        <v>5307.71</v>
      </c>
      <c r="BK20" s="13">
        <v>5303.84</v>
      </c>
      <c r="BL20" s="13">
        <v>5304.57</v>
      </c>
      <c r="BM20" s="13">
        <v>5300.05</v>
      </c>
      <c r="BN20" s="13">
        <v>5294.71</v>
      </c>
      <c r="BO20" s="13">
        <v>5295.64</v>
      </c>
      <c r="BP20" s="13">
        <v>5296</v>
      </c>
      <c r="BQ20" s="13">
        <v>5296</v>
      </c>
      <c r="BR20" s="13">
        <v>5300.05</v>
      </c>
      <c r="BS20" s="13">
        <v>5302.14</v>
      </c>
      <c r="BT20" s="13">
        <v>5304.89</v>
      </c>
      <c r="BU20" s="13">
        <v>5306.79</v>
      </c>
      <c r="BV20" s="13">
        <v>5309.53</v>
      </c>
      <c r="BW20" s="13">
        <v>5265</v>
      </c>
      <c r="BX20" s="13">
        <v>5303.75</v>
      </c>
      <c r="BY20" s="13">
        <v>5301.36</v>
      </c>
      <c r="BZ20" s="13">
        <v>5304.79</v>
      </c>
      <c r="CA20" s="13">
        <v>5306.68</v>
      </c>
      <c r="CB20" s="13">
        <v>5306.68</v>
      </c>
      <c r="CC20" s="13">
        <v>5294.71</v>
      </c>
      <c r="CD20" s="13">
        <v>5293.68</v>
      </c>
      <c r="CE20" s="13">
        <v>5297.5</v>
      </c>
      <c r="CF20" s="13">
        <v>5298.64</v>
      </c>
      <c r="CG20" s="13">
        <v>5299.79</v>
      </c>
      <c r="CH20" s="13">
        <v>5294.5</v>
      </c>
      <c r="CI20" s="13">
        <v>5296.57</v>
      </c>
      <c r="CJ20" s="13">
        <v>5296.26</v>
      </c>
      <c r="CK20" s="13">
        <v>5297.5</v>
      </c>
      <c r="CL20" s="13">
        <v>5298.13</v>
      </c>
      <c r="CM20" s="13">
        <v>5297.07</v>
      </c>
      <c r="CN20" s="13">
        <v>5295.33</v>
      </c>
      <c r="CO20" s="13">
        <v>5297.07</v>
      </c>
      <c r="CP20" s="13">
        <v>5298.13</v>
      </c>
      <c r="CQ20" s="13">
        <v>5298.8</v>
      </c>
      <c r="CR20" s="13">
        <v>5298.8</v>
      </c>
      <c r="CS20" s="13">
        <v>5300.05</v>
      </c>
      <c r="CT20" s="13">
        <v>5294.47</v>
      </c>
      <c r="CU20" s="13">
        <v>5292.73</v>
      </c>
      <c r="CV20" s="13">
        <v>5292.73</v>
      </c>
      <c r="CW20" s="13">
        <v>5294.27</v>
      </c>
      <c r="CX20" s="13">
        <v>5293.6</v>
      </c>
      <c r="CY20" s="13">
        <v>5297.29</v>
      </c>
      <c r="CZ20" s="13">
        <v>5298</v>
      </c>
      <c r="DA20" s="13">
        <v>5295</v>
      </c>
      <c r="DB20" s="13">
        <v>5295.28</v>
      </c>
      <c r="DC20" s="13">
        <v>5294</v>
      </c>
      <c r="DD20" s="13">
        <v>5291.83</v>
      </c>
      <c r="DE20" s="13">
        <v>5288.23</v>
      </c>
      <c r="DF20" s="13">
        <v>5287</v>
      </c>
    </row>
    <row r="21" spans="1:111" ht="15.75" x14ac:dyDescent="0.25">
      <c r="A21" s="11" t="s">
        <v>5</v>
      </c>
      <c r="B21" s="11" t="s">
        <v>11</v>
      </c>
      <c r="C21" s="15">
        <v>0.37847222222222227</v>
      </c>
      <c r="D21" s="15">
        <v>0.38194444444444442</v>
      </c>
      <c r="E21" s="15">
        <v>0.38541666666666669</v>
      </c>
      <c r="F21" s="15">
        <v>0.3888888888888889</v>
      </c>
      <c r="G21" s="15">
        <v>0.3923611111111111</v>
      </c>
      <c r="H21" s="15">
        <v>0.39583333333333331</v>
      </c>
      <c r="I21" s="15">
        <v>0.39930555555555558</v>
      </c>
      <c r="J21" s="15">
        <v>0.40277777777777773</v>
      </c>
      <c r="K21" s="15">
        <v>0.40625</v>
      </c>
      <c r="L21" s="15">
        <v>0.40972222222222227</v>
      </c>
      <c r="M21" s="15">
        <v>0.41319444444444442</v>
      </c>
      <c r="N21" s="15">
        <v>0.41666666666666669</v>
      </c>
      <c r="O21" s="15">
        <v>0.4201388888888889</v>
      </c>
      <c r="P21" s="15">
        <v>0.4236111111111111</v>
      </c>
      <c r="Q21" s="15">
        <v>0.42708333333333331</v>
      </c>
      <c r="R21" s="15">
        <v>0.43055555555555558</v>
      </c>
      <c r="S21" s="15">
        <v>0.43402777777777773</v>
      </c>
      <c r="T21" s="15">
        <v>0.4375</v>
      </c>
      <c r="U21" s="15">
        <v>0.44097222222222227</v>
      </c>
      <c r="V21" s="15">
        <v>0.44444444444444442</v>
      </c>
      <c r="W21" s="15">
        <v>0.44791666666666669</v>
      </c>
      <c r="X21" s="15">
        <v>0.4513888888888889</v>
      </c>
      <c r="Y21" s="15">
        <v>0.4548611111111111</v>
      </c>
      <c r="Z21" s="15">
        <v>0.45833333333333331</v>
      </c>
      <c r="AA21" s="15">
        <v>0.46180555555555558</v>
      </c>
      <c r="AB21" s="15">
        <v>0.46527777777777773</v>
      </c>
      <c r="AC21" s="15">
        <v>0.46875</v>
      </c>
      <c r="AD21" s="15">
        <v>0.47222222222222227</v>
      </c>
      <c r="AE21" s="15">
        <v>0.47569444444444442</v>
      </c>
      <c r="AF21" s="15">
        <v>0.47916666666666669</v>
      </c>
      <c r="AG21" s="15">
        <v>0.4826388888888889</v>
      </c>
      <c r="AH21" s="15">
        <v>0.4861111111111111</v>
      </c>
      <c r="AI21" s="15">
        <v>0.48958333333333331</v>
      </c>
      <c r="AJ21" s="15">
        <v>0.49305555555555558</v>
      </c>
      <c r="AK21" s="15">
        <v>0.49652777777777773</v>
      </c>
      <c r="AL21" s="15">
        <v>0.5</v>
      </c>
      <c r="AM21" s="15">
        <v>0.50347222222222221</v>
      </c>
      <c r="AN21" s="15">
        <v>0.50694444444444442</v>
      </c>
      <c r="AO21" s="15">
        <v>0.51041666666666663</v>
      </c>
      <c r="AP21" s="15">
        <v>0.51388888888888895</v>
      </c>
      <c r="AQ21" s="15">
        <v>0.51736111111111105</v>
      </c>
      <c r="AR21" s="15">
        <v>0.52083333333333337</v>
      </c>
      <c r="AS21" s="15">
        <v>0.52430555555555558</v>
      </c>
      <c r="AT21" s="15">
        <v>0.52777777777777779</v>
      </c>
      <c r="AU21" s="15">
        <v>0.53125</v>
      </c>
      <c r="AV21" s="15">
        <v>0.53472222222222221</v>
      </c>
      <c r="AW21" s="15">
        <v>0.53819444444444442</v>
      </c>
      <c r="AX21" s="15">
        <v>0.54166666666666663</v>
      </c>
      <c r="AY21" s="15">
        <v>0.54513888888888895</v>
      </c>
      <c r="AZ21" s="15">
        <v>0.54861111111111105</v>
      </c>
      <c r="BA21" s="15">
        <v>0.55208333333333337</v>
      </c>
      <c r="BB21" s="15">
        <v>0.55555555555555558</v>
      </c>
      <c r="BC21" s="15">
        <v>0.55902777777777779</v>
      </c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>
        <v>0.73958333333333337</v>
      </c>
      <c r="CZ21" s="15">
        <v>0.73958333333333337</v>
      </c>
      <c r="DA21" s="15">
        <v>0.74305555555555547</v>
      </c>
      <c r="DB21" s="15">
        <v>0.74305555555555547</v>
      </c>
      <c r="DC21" s="15">
        <v>0.74305555555555547</v>
      </c>
      <c r="DD21" s="15">
        <v>0.74652777777777779</v>
      </c>
      <c r="DE21" s="15">
        <v>0.74652777777777779</v>
      </c>
      <c r="DF21" s="15">
        <v>0.75</v>
      </c>
      <c r="DG21" s="15">
        <v>0.375</v>
      </c>
    </row>
    <row r="22" spans="1:111" ht="15.75" x14ac:dyDescent="0.25">
      <c r="A22" s="14">
        <v>44323</v>
      </c>
      <c r="B22" s="12" t="s">
        <v>6</v>
      </c>
      <c r="C22" s="13">
        <v>5350</v>
      </c>
      <c r="D22" s="13">
        <v>5328.29</v>
      </c>
      <c r="E22" s="13">
        <v>5323.44</v>
      </c>
      <c r="F22" s="13">
        <v>5321.93</v>
      </c>
      <c r="G22" s="13">
        <v>5323.5</v>
      </c>
      <c r="H22" s="13">
        <v>5328.07</v>
      </c>
      <c r="I22" s="13">
        <v>5304.93</v>
      </c>
      <c r="J22" s="13">
        <v>5296.64</v>
      </c>
      <c r="K22" s="13">
        <v>5292.64</v>
      </c>
      <c r="L22" s="13">
        <v>5296.57</v>
      </c>
      <c r="M22" s="13">
        <v>5280.5</v>
      </c>
      <c r="N22" s="13">
        <v>5292</v>
      </c>
      <c r="O22" s="13">
        <v>5277.58</v>
      </c>
      <c r="P22" s="13">
        <v>5285</v>
      </c>
      <c r="Q22" s="13">
        <v>5283.46</v>
      </c>
      <c r="R22" s="13">
        <v>5282.4</v>
      </c>
      <c r="S22" s="13">
        <v>5277.77</v>
      </c>
      <c r="T22" s="13">
        <v>5271.85</v>
      </c>
      <c r="U22" s="13">
        <v>5273.92</v>
      </c>
      <c r="V22" s="13">
        <v>5280.08</v>
      </c>
      <c r="W22" s="13">
        <v>5283.75</v>
      </c>
      <c r="X22" s="13">
        <v>5292.2</v>
      </c>
      <c r="Y22" s="13">
        <v>5275.75</v>
      </c>
      <c r="Z22" s="13">
        <v>5274.58</v>
      </c>
      <c r="AA22" s="13">
        <v>5325</v>
      </c>
      <c r="AB22" s="13">
        <v>5257</v>
      </c>
      <c r="AC22" s="13">
        <v>5250.77</v>
      </c>
      <c r="AD22" s="13">
        <v>5249</v>
      </c>
      <c r="AE22" s="13">
        <v>5250</v>
      </c>
      <c r="AF22" s="13">
        <v>5250</v>
      </c>
      <c r="AG22" s="13">
        <v>5247</v>
      </c>
      <c r="AH22" s="13">
        <v>5242</v>
      </c>
      <c r="AI22" s="13">
        <v>5238</v>
      </c>
      <c r="AJ22" s="13">
        <v>5239.2299999999996</v>
      </c>
      <c r="AK22" s="13">
        <v>5238</v>
      </c>
      <c r="AL22" s="13">
        <v>5236</v>
      </c>
      <c r="AM22" s="13">
        <v>5235</v>
      </c>
      <c r="AN22" s="13">
        <v>5241</v>
      </c>
      <c r="AO22" s="13">
        <v>5257.18</v>
      </c>
      <c r="AP22" s="13">
        <v>5242</v>
      </c>
      <c r="AQ22" s="13">
        <v>5242.7700000000004</v>
      </c>
      <c r="AR22" s="13">
        <v>5238</v>
      </c>
      <c r="AS22" s="13">
        <v>5238</v>
      </c>
      <c r="AT22" s="13">
        <v>5238</v>
      </c>
      <c r="AU22" s="13">
        <v>5236</v>
      </c>
      <c r="AV22" s="13">
        <v>5235.7700000000004</v>
      </c>
      <c r="AW22" s="13">
        <v>5236</v>
      </c>
      <c r="AX22" s="13">
        <v>5240</v>
      </c>
      <c r="AY22" s="13">
        <v>5248</v>
      </c>
      <c r="AZ22" s="13">
        <v>5251.23</v>
      </c>
      <c r="BA22" s="13">
        <v>5251</v>
      </c>
      <c r="BB22" s="13">
        <v>5251</v>
      </c>
      <c r="BC22" s="13">
        <v>5247</v>
      </c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>
        <v>5258</v>
      </c>
      <c r="CZ22" s="13">
        <v>5258</v>
      </c>
      <c r="DA22" s="13">
        <v>5261</v>
      </c>
      <c r="DB22" s="13">
        <v>5261</v>
      </c>
      <c r="DC22" s="13">
        <v>5261</v>
      </c>
      <c r="DD22" s="13">
        <v>5265</v>
      </c>
      <c r="DE22" s="13">
        <v>5263</v>
      </c>
      <c r="DF22" s="13">
        <v>5270</v>
      </c>
      <c r="DG22" s="13">
        <v>5350</v>
      </c>
    </row>
    <row r="23" spans="1:111" ht="15.75" x14ac:dyDescent="0.25">
      <c r="A23" s="14" t="s">
        <v>12</v>
      </c>
      <c r="B23" s="12" t="s">
        <v>10</v>
      </c>
      <c r="C23" s="13">
        <v>5317.86</v>
      </c>
      <c r="D23" s="13">
        <v>5315.19</v>
      </c>
      <c r="E23" s="13">
        <v>5321.42</v>
      </c>
      <c r="F23" s="13">
        <v>5320.21</v>
      </c>
      <c r="G23" s="13">
        <v>5320.79</v>
      </c>
      <c r="H23" s="13"/>
      <c r="I23" s="13">
        <v>5297</v>
      </c>
      <c r="J23" s="13">
        <v>5290.07</v>
      </c>
      <c r="K23" s="13">
        <v>5291.86</v>
      </c>
      <c r="L23" s="13">
        <v>5278.08</v>
      </c>
      <c r="M23" s="13">
        <v>5276.67</v>
      </c>
      <c r="N23" s="13">
        <v>5278.5</v>
      </c>
      <c r="O23" s="13">
        <v>5269.08</v>
      </c>
      <c r="P23" s="13">
        <v>5284.31</v>
      </c>
      <c r="Q23" s="13">
        <v>5275.23</v>
      </c>
      <c r="R23" s="13">
        <v>5273.54</v>
      </c>
      <c r="S23" s="13">
        <v>5271.62</v>
      </c>
      <c r="T23" s="13">
        <v>5268.85</v>
      </c>
      <c r="U23" s="13">
        <v>5273.92</v>
      </c>
      <c r="V23" s="13">
        <v>5277.83</v>
      </c>
      <c r="W23" s="13">
        <v>5283.75</v>
      </c>
      <c r="X23" s="13">
        <v>5272.75</v>
      </c>
      <c r="Y23" s="13">
        <v>5270.92</v>
      </c>
      <c r="Z23" s="13">
        <v>5269.08</v>
      </c>
      <c r="AA23" s="13">
        <v>5265</v>
      </c>
      <c r="AB23" s="13">
        <v>5250</v>
      </c>
      <c r="AC23" s="13">
        <v>5245.77</v>
      </c>
      <c r="AD23" s="13">
        <v>5247</v>
      </c>
      <c r="AE23" s="13">
        <v>5249.23</v>
      </c>
      <c r="AF23" s="13">
        <v>5245.23</v>
      </c>
      <c r="AG23" s="13">
        <v>5237</v>
      </c>
      <c r="AH23" s="13">
        <v>5239.2299999999996</v>
      </c>
      <c r="AI23" s="13">
        <v>5236</v>
      </c>
      <c r="AJ23" s="13">
        <v>5236.46</v>
      </c>
      <c r="AK23" s="13">
        <v>5236.2299999999996</v>
      </c>
      <c r="AL23" s="13">
        <v>5232</v>
      </c>
      <c r="AM23" s="13">
        <v>5232</v>
      </c>
      <c r="AN23" s="13">
        <v>5240.2299999999996</v>
      </c>
      <c r="AO23" s="13">
        <v>5238</v>
      </c>
      <c r="AP23" s="13">
        <v>5242</v>
      </c>
      <c r="AQ23" s="13">
        <v>5235</v>
      </c>
      <c r="AR23" s="13">
        <v>5238</v>
      </c>
      <c r="AS23" s="13">
        <v>5234.46</v>
      </c>
      <c r="AT23" s="13">
        <v>5237.2299999999996</v>
      </c>
      <c r="AU23" s="13">
        <v>5234</v>
      </c>
      <c r="AV23" s="13">
        <v>5234</v>
      </c>
      <c r="AW23" s="13">
        <v>5235.2299999999996</v>
      </c>
      <c r="AX23" s="13">
        <v>5240</v>
      </c>
      <c r="AY23" s="13">
        <v>5247</v>
      </c>
      <c r="AZ23" s="13">
        <v>5248.23</v>
      </c>
      <c r="BA23" s="13">
        <v>5249.46</v>
      </c>
      <c r="BB23" s="13">
        <v>5245.46</v>
      </c>
      <c r="BC23" s="13">
        <v>5244.23</v>
      </c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>
        <v>5258</v>
      </c>
      <c r="CZ23" s="13">
        <v>5258</v>
      </c>
      <c r="DA23" s="13">
        <v>5261</v>
      </c>
      <c r="DB23" s="13">
        <v>5261</v>
      </c>
      <c r="DC23" s="13">
        <v>5261</v>
      </c>
      <c r="DD23" s="13">
        <v>5263</v>
      </c>
      <c r="DE23" s="13">
        <v>5263</v>
      </c>
      <c r="DF23" s="13">
        <v>0</v>
      </c>
      <c r="DG23" s="13">
        <v>5350</v>
      </c>
    </row>
    <row r="24" spans="1:111" ht="15.75" x14ac:dyDescent="0.25">
      <c r="A24" s="14" t="s">
        <v>12</v>
      </c>
      <c r="B24" s="12" t="s">
        <v>9</v>
      </c>
      <c r="C24" s="13">
        <v>5297.14</v>
      </c>
      <c r="D24" s="13">
        <v>5302.13</v>
      </c>
      <c r="E24" s="13">
        <v>5307.87</v>
      </c>
      <c r="F24" s="13">
        <v>5311</v>
      </c>
      <c r="G24" s="13">
        <v>5311.62</v>
      </c>
      <c r="H24" s="13">
        <v>5306.46</v>
      </c>
      <c r="I24" s="13">
        <v>5267</v>
      </c>
      <c r="J24" s="13">
        <v>5268</v>
      </c>
      <c r="K24" s="13">
        <v>5270</v>
      </c>
      <c r="L24" s="13">
        <v>5266.38</v>
      </c>
      <c r="M24" s="13">
        <v>5264.38</v>
      </c>
      <c r="N24" s="13">
        <v>5265.75</v>
      </c>
      <c r="O24" s="13">
        <v>5255.89</v>
      </c>
      <c r="P24" s="13">
        <v>5270.78</v>
      </c>
      <c r="Q24" s="13">
        <v>5261.56</v>
      </c>
      <c r="R24" s="13">
        <v>5258.89</v>
      </c>
      <c r="S24" s="13">
        <v>5257.11</v>
      </c>
      <c r="T24" s="13">
        <v>5255</v>
      </c>
      <c r="U24" s="13">
        <v>5259.22</v>
      </c>
      <c r="V24" s="13">
        <v>5264.56</v>
      </c>
      <c r="W24" s="13">
        <v>5269</v>
      </c>
      <c r="X24" s="13">
        <v>5259.22</v>
      </c>
      <c r="Y24" s="13">
        <v>5257.44</v>
      </c>
      <c r="Z24" s="13">
        <v>5255.33</v>
      </c>
      <c r="AA24" s="13">
        <v>5251.25</v>
      </c>
      <c r="AB24" s="13">
        <v>5243.43</v>
      </c>
      <c r="AC24" s="13">
        <v>5233.88</v>
      </c>
      <c r="AD24" s="13">
        <v>5235.25</v>
      </c>
      <c r="AE24" s="13">
        <v>5237.63</v>
      </c>
      <c r="AF24" s="13">
        <v>5233.25</v>
      </c>
      <c r="AG24" s="13">
        <v>5228.75</v>
      </c>
      <c r="AH24" s="13">
        <v>5229.88</v>
      </c>
      <c r="AI24" s="13">
        <v>5227.5</v>
      </c>
      <c r="AJ24" s="13">
        <v>5228.13</v>
      </c>
      <c r="AK24" s="13">
        <v>5227.25</v>
      </c>
      <c r="AL24" s="13">
        <v>5223.75</v>
      </c>
      <c r="AM24" s="13">
        <v>5223.75</v>
      </c>
      <c r="AN24" s="13">
        <v>5231.38</v>
      </c>
      <c r="AO24" s="13">
        <v>5229</v>
      </c>
      <c r="AP24" s="13">
        <v>5233.13</v>
      </c>
      <c r="AQ24" s="13"/>
      <c r="AR24" s="13">
        <v>5229.88</v>
      </c>
      <c r="AS24" s="13">
        <v>5226.38</v>
      </c>
      <c r="AT24" s="13">
        <v>5228.75</v>
      </c>
      <c r="AU24" s="13">
        <v>5225.88</v>
      </c>
      <c r="AV24" s="13">
        <v>5225.5</v>
      </c>
      <c r="AW24" s="13">
        <v>5227.25</v>
      </c>
      <c r="AX24" s="13">
        <v>5231</v>
      </c>
      <c r="AY24" s="13">
        <v>5236.63</v>
      </c>
      <c r="AZ24" s="13">
        <v>5238.63</v>
      </c>
      <c r="BA24" s="13">
        <v>5239.5</v>
      </c>
      <c r="BB24" s="13">
        <v>5236</v>
      </c>
      <c r="BC24" s="13">
        <v>5234</v>
      </c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>
        <v>5242.33</v>
      </c>
      <c r="CZ24" s="13">
        <v>5242.33</v>
      </c>
      <c r="DA24" s="13">
        <v>5243.33</v>
      </c>
      <c r="DB24" s="13">
        <v>5243.33</v>
      </c>
      <c r="DC24" s="13">
        <v>5243.33</v>
      </c>
      <c r="DD24" s="13">
        <v>5241.67</v>
      </c>
      <c r="DE24" s="13">
        <v>5241.67</v>
      </c>
      <c r="DF24" s="13">
        <v>5215</v>
      </c>
      <c r="DG24" s="13">
        <v>5290</v>
      </c>
    </row>
    <row r="25" spans="1:111" ht="15.75" x14ac:dyDescent="0.25">
      <c r="A25" s="14" t="s">
        <v>12</v>
      </c>
      <c r="B25" s="12" t="s">
        <v>7</v>
      </c>
      <c r="C25" s="13">
        <v>5290</v>
      </c>
      <c r="D25" s="13">
        <v>5293.86</v>
      </c>
      <c r="E25" s="13">
        <v>5294.53</v>
      </c>
      <c r="F25" s="13">
        <v>5299.62</v>
      </c>
      <c r="G25" s="13">
        <v>5308.42</v>
      </c>
      <c r="H25" s="13">
        <v>5306</v>
      </c>
      <c r="I25" s="13">
        <v>5264</v>
      </c>
      <c r="J25" s="13">
        <v>5262</v>
      </c>
      <c r="K25" s="13">
        <v>5264</v>
      </c>
      <c r="L25" s="13">
        <v>5266.38</v>
      </c>
      <c r="M25" s="13">
        <v>5261.75</v>
      </c>
      <c r="N25" s="13">
        <v>5264.38</v>
      </c>
      <c r="O25" s="13">
        <v>5252.75</v>
      </c>
      <c r="P25" s="13">
        <v>5255.89</v>
      </c>
      <c r="Q25" s="13">
        <v>5261.56</v>
      </c>
      <c r="R25" s="13">
        <v>5257.44</v>
      </c>
      <c r="S25" s="13">
        <v>5256.56</v>
      </c>
      <c r="T25" s="13">
        <v>5253.89</v>
      </c>
      <c r="U25" s="13">
        <v>5256</v>
      </c>
      <c r="V25" s="13">
        <v>5260.11</v>
      </c>
      <c r="W25" s="13">
        <v>5264.56</v>
      </c>
      <c r="X25" s="13">
        <v>5259.22</v>
      </c>
      <c r="Y25" s="13">
        <v>5254.78</v>
      </c>
      <c r="Z25" s="13">
        <v>5254.78</v>
      </c>
      <c r="AA25" s="13">
        <v>5249.11</v>
      </c>
      <c r="AB25" s="13">
        <v>5241</v>
      </c>
      <c r="AC25" s="13">
        <v>5225.33</v>
      </c>
      <c r="AD25" s="13">
        <v>5224</v>
      </c>
      <c r="AE25" s="13">
        <v>5224</v>
      </c>
      <c r="AF25" s="13">
        <v>5233.25</v>
      </c>
      <c r="AG25" s="13">
        <v>5228.75</v>
      </c>
      <c r="AH25" s="13">
        <v>5225.67</v>
      </c>
      <c r="AI25" s="13">
        <v>5222.33</v>
      </c>
      <c r="AJ25" s="13">
        <v>5226.63</v>
      </c>
      <c r="AK25" s="13">
        <v>5224.33</v>
      </c>
      <c r="AL25" s="13">
        <v>5222.88</v>
      </c>
      <c r="AM25" s="13">
        <v>5222.33</v>
      </c>
      <c r="AN25" s="13">
        <v>5225.5</v>
      </c>
      <c r="AO25" s="13">
        <v>5222</v>
      </c>
      <c r="AP25" s="13">
        <v>5225</v>
      </c>
      <c r="AQ25" s="13">
        <v>5225</v>
      </c>
      <c r="AR25" s="13">
        <v>5223.67</v>
      </c>
      <c r="AS25" s="13">
        <v>5223.67</v>
      </c>
      <c r="AT25" s="13">
        <v>5225.67</v>
      </c>
      <c r="AU25" s="13">
        <v>5222.33</v>
      </c>
      <c r="AV25" s="13">
        <v>5225.5</v>
      </c>
      <c r="AW25" s="13">
        <v>5222.33</v>
      </c>
      <c r="AX25" s="13">
        <v>5227.25</v>
      </c>
      <c r="AY25" s="13">
        <v>5229.67</v>
      </c>
      <c r="AZ25" s="13">
        <v>5231.67</v>
      </c>
      <c r="BA25" s="13">
        <v>5236.88</v>
      </c>
      <c r="BB25" s="13">
        <v>5231</v>
      </c>
      <c r="BC25" s="13">
        <v>5229</v>
      </c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>
        <v>5239.33</v>
      </c>
      <c r="CZ25" s="13">
        <v>5242.33</v>
      </c>
      <c r="DA25" s="13">
        <v>5241.83</v>
      </c>
      <c r="DB25" s="13">
        <v>5243.33</v>
      </c>
      <c r="DC25" s="13">
        <v>5243.33</v>
      </c>
      <c r="DD25" s="13">
        <v>5240.33</v>
      </c>
      <c r="DE25" s="13">
        <v>5241.67</v>
      </c>
      <c r="DF25" s="13">
        <v>5215</v>
      </c>
      <c r="DG25" s="13">
        <v>5290</v>
      </c>
    </row>
    <row r="26" spans="1:111" ht="15.75" x14ac:dyDescent="0.25">
      <c r="A26" s="11" t="s">
        <v>5</v>
      </c>
      <c r="B26" s="11" t="s">
        <v>11</v>
      </c>
      <c r="C26" s="15">
        <v>0.37847222222222227</v>
      </c>
      <c r="D26" s="15">
        <v>0.38194444444444442</v>
      </c>
      <c r="E26" s="15">
        <v>0.38541666666666669</v>
      </c>
      <c r="F26" s="15">
        <v>0.3888888888888889</v>
      </c>
      <c r="G26" s="15">
        <v>0.3923611111111111</v>
      </c>
      <c r="H26" s="15">
        <v>0.39583333333333331</v>
      </c>
      <c r="I26" s="15">
        <v>0.39930555555555558</v>
      </c>
      <c r="J26" s="15">
        <v>0.40277777777777773</v>
      </c>
      <c r="K26" s="15">
        <v>0.40625</v>
      </c>
      <c r="L26" s="15">
        <v>0.40972222222222227</v>
      </c>
      <c r="M26" s="15">
        <v>0.41319444444444442</v>
      </c>
      <c r="N26" s="15">
        <v>0.41666666666666669</v>
      </c>
      <c r="O26" s="15">
        <v>0.4201388888888889</v>
      </c>
      <c r="P26" s="15">
        <v>0.4236111111111111</v>
      </c>
      <c r="Q26" s="15">
        <v>0.42708333333333331</v>
      </c>
      <c r="R26" s="15">
        <v>0.43055555555555558</v>
      </c>
      <c r="S26" s="15">
        <v>0.43402777777777773</v>
      </c>
      <c r="T26" s="15">
        <v>0.4375</v>
      </c>
      <c r="U26" s="15">
        <v>0.44097222222222227</v>
      </c>
      <c r="V26" s="15">
        <v>0.44444444444444442</v>
      </c>
      <c r="W26" s="15">
        <v>0.44791666666666669</v>
      </c>
      <c r="X26" s="15">
        <v>0.4513888888888889</v>
      </c>
      <c r="Y26" s="15">
        <v>0.4548611111111111</v>
      </c>
      <c r="Z26" s="15">
        <v>0.45833333333333331</v>
      </c>
      <c r="AA26" s="15">
        <v>0.46180555555555558</v>
      </c>
      <c r="AB26" s="15">
        <v>0.46527777777777773</v>
      </c>
      <c r="AC26" s="15">
        <v>0.46875</v>
      </c>
      <c r="AD26" s="15">
        <v>0.47222222222222227</v>
      </c>
      <c r="AE26" s="15">
        <v>0.47569444444444442</v>
      </c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>
        <v>0.54166666666666663</v>
      </c>
      <c r="AY26" s="15">
        <v>0.54513888888888895</v>
      </c>
      <c r="AZ26" s="15">
        <v>0.54861111111111105</v>
      </c>
      <c r="BA26" s="15">
        <v>0.55208333333333337</v>
      </c>
      <c r="BB26" s="15">
        <v>0.55555555555555558</v>
      </c>
      <c r="BC26" s="15">
        <v>0.55902777777777779</v>
      </c>
      <c r="BD26" s="15">
        <v>0.5625</v>
      </c>
      <c r="BE26" s="15">
        <v>0.56597222222222221</v>
      </c>
      <c r="BF26" s="15">
        <v>0.56944444444444442</v>
      </c>
      <c r="BG26" s="15">
        <v>0.57291666666666663</v>
      </c>
      <c r="BH26" s="15">
        <v>0.57638888888888895</v>
      </c>
      <c r="BI26" s="15">
        <v>0.57986111111111105</v>
      </c>
      <c r="BJ26" s="15">
        <v>0.58333333333333337</v>
      </c>
      <c r="BK26" s="15">
        <v>0.58680555555555558</v>
      </c>
      <c r="BL26" s="15">
        <v>0.59027777777777779</v>
      </c>
      <c r="BM26" s="15">
        <v>0.59375</v>
      </c>
      <c r="BN26" s="15">
        <v>0.59722222222222221</v>
      </c>
      <c r="BO26" s="15">
        <v>0.60069444444444442</v>
      </c>
      <c r="BP26" s="15">
        <v>0.60416666666666663</v>
      </c>
      <c r="BQ26" s="15">
        <v>0.60763888888888895</v>
      </c>
      <c r="BR26" s="15">
        <v>0.61111111111111105</v>
      </c>
      <c r="BS26" s="15">
        <v>0.61458333333333337</v>
      </c>
      <c r="BT26" s="15">
        <v>0.61805555555555558</v>
      </c>
      <c r="BU26" s="15">
        <v>0.62152777777777779</v>
      </c>
      <c r="BV26" s="15">
        <v>0.625</v>
      </c>
      <c r="BW26" s="15">
        <v>0.62847222222222221</v>
      </c>
      <c r="BX26" s="15">
        <v>0.63194444444444442</v>
      </c>
      <c r="BY26" s="15">
        <v>0.63541666666666663</v>
      </c>
      <c r="BZ26" s="15">
        <v>0.63888888888888895</v>
      </c>
      <c r="CA26" s="15">
        <v>0.64236111111111105</v>
      </c>
      <c r="CB26" s="15">
        <v>0.64583333333333337</v>
      </c>
      <c r="CC26" s="15">
        <v>0.64930555555555558</v>
      </c>
      <c r="CD26" s="15">
        <v>0.65277777777777779</v>
      </c>
      <c r="CE26" s="15">
        <v>0.65625</v>
      </c>
      <c r="CF26" s="15">
        <v>0.65972222222222221</v>
      </c>
      <c r="CG26" s="15">
        <v>0.66319444444444442</v>
      </c>
      <c r="CH26" s="15">
        <v>0.66666666666666663</v>
      </c>
      <c r="CI26" s="15">
        <v>0.67013888888888884</v>
      </c>
      <c r="CJ26" s="15">
        <v>0.67361111111111116</v>
      </c>
      <c r="CK26" s="15">
        <v>0.67708333333333337</v>
      </c>
      <c r="CL26" s="15">
        <v>0.68055555555555547</v>
      </c>
      <c r="CM26" s="15">
        <v>0.68402777777777779</v>
      </c>
      <c r="CN26" s="15">
        <v>0.6875</v>
      </c>
      <c r="CO26" s="15">
        <v>0.69097222222222221</v>
      </c>
      <c r="CP26" s="15">
        <v>0.69444444444444453</v>
      </c>
      <c r="CQ26" s="15">
        <v>0.69791666666666663</v>
      </c>
      <c r="CR26" s="15">
        <v>0.70138888888888884</v>
      </c>
      <c r="CS26" s="15">
        <v>0.70486111111111116</v>
      </c>
      <c r="CT26" s="15">
        <v>0.70833333333333337</v>
      </c>
      <c r="CU26" s="15">
        <v>0.71180555555555547</v>
      </c>
      <c r="CV26" s="15">
        <v>0.71527777777777779</v>
      </c>
      <c r="CW26" s="15">
        <v>0.71875</v>
      </c>
      <c r="CX26" s="15">
        <v>0.72222222222222221</v>
      </c>
      <c r="CY26" s="15">
        <v>0.72569444444444453</v>
      </c>
      <c r="CZ26" s="15">
        <v>0.72916666666666663</v>
      </c>
      <c r="DA26" s="15">
        <v>0.73263888888888884</v>
      </c>
      <c r="DB26" s="15">
        <v>0.73611111111111116</v>
      </c>
      <c r="DC26" s="15">
        <v>0.73958333333333337</v>
      </c>
      <c r="DD26" s="15">
        <v>0.74305555555555547</v>
      </c>
      <c r="DE26" s="15">
        <v>0.74652777777777779</v>
      </c>
      <c r="DF26" s="15">
        <v>0.75</v>
      </c>
    </row>
    <row r="27" spans="1:111" ht="15.75" x14ac:dyDescent="0.25">
      <c r="A27" s="14">
        <v>44326</v>
      </c>
      <c r="B27" s="12" t="s">
        <v>6</v>
      </c>
      <c r="C27" s="13">
        <v>5293.33</v>
      </c>
      <c r="D27" s="13">
        <v>5272.86</v>
      </c>
      <c r="E27" s="13">
        <v>5278.57</v>
      </c>
      <c r="F27" s="13">
        <v>5275.08</v>
      </c>
      <c r="G27" s="13">
        <v>5271.25</v>
      </c>
      <c r="H27" s="13">
        <v>5268.38</v>
      </c>
      <c r="I27" s="13">
        <v>5261.67</v>
      </c>
      <c r="J27" s="13">
        <v>5261.67</v>
      </c>
      <c r="K27" s="13">
        <v>5261.54</v>
      </c>
      <c r="L27" s="13">
        <v>5259.63</v>
      </c>
      <c r="M27" s="13">
        <v>5256.75</v>
      </c>
      <c r="N27" s="13">
        <v>5252.08</v>
      </c>
      <c r="O27" s="13">
        <v>5254</v>
      </c>
      <c r="P27" s="13">
        <v>5253.88</v>
      </c>
      <c r="Q27" s="13">
        <v>5253.04</v>
      </c>
      <c r="R27" s="13">
        <v>5256.88</v>
      </c>
      <c r="S27" s="13">
        <v>5257.83</v>
      </c>
      <c r="T27" s="13">
        <v>5256.04</v>
      </c>
      <c r="U27" s="13">
        <v>5249.21</v>
      </c>
      <c r="V27" s="13">
        <v>5256.88</v>
      </c>
      <c r="W27" s="13">
        <v>5257.71</v>
      </c>
      <c r="X27" s="13">
        <v>5257.96</v>
      </c>
      <c r="Y27" s="13">
        <v>5256.75</v>
      </c>
      <c r="Z27" s="13">
        <v>5260.71</v>
      </c>
      <c r="AA27" s="13">
        <v>5254.13</v>
      </c>
      <c r="AB27" s="13">
        <v>5252</v>
      </c>
      <c r="AC27" s="13">
        <v>5240.13</v>
      </c>
      <c r="AD27" s="13">
        <v>5235.13</v>
      </c>
      <c r="AE27" s="13">
        <v>5231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>
        <v>5253.13</v>
      </c>
      <c r="AY27" s="13">
        <v>5252</v>
      </c>
      <c r="AZ27" s="13">
        <v>5249</v>
      </c>
      <c r="BA27" s="13">
        <v>5251</v>
      </c>
      <c r="BB27" s="13">
        <v>5255</v>
      </c>
      <c r="BC27" s="13">
        <v>5251</v>
      </c>
      <c r="BD27" s="13">
        <v>5254</v>
      </c>
      <c r="BE27" s="13">
        <v>5252.13</v>
      </c>
      <c r="BF27" s="13">
        <v>5250</v>
      </c>
      <c r="BG27" s="13">
        <v>5251.13</v>
      </c>
      <c r="BH27" s="13">
        <v>5255</v>
      </c>
      <c r="BI27" s="13">
        <v>5256</v>
      </c>
      <c r="BJ27" s="13">
        <v>5257.13</v>
      </c>
      <c r="BK27" s="13">
        <v>5259</v>
      </c>
      <c r="BL27" s="13">
        <v>5260</v>
      </c>
      <c r="BM27" s="13">
        <v>5258</v>
      </c>
      <c r="BN27" s="13">
        <v>5261</v>
      </c>
      <c r="BO27" s="13">
        <v>5264</v>
      </c>
      <c r="BP27" s="13">
        <v>5260.27</v>
      </c>
      <c r="BQ27" s="13">
        <v>5260.14</v>
      </c>
      <c r="BR27" s="13">
        <v>5256</v>
      </c>
      <c r="BS27" s="13">
        <v>5253.14</v>
      </c>
      <c r="BT27" s="13">
        <v>5256</v>
      </c>
      <c r="BU27" s="13">
        <v>5250</v>
      </c>
      <c r="BV27" s="13">
        <v>5250</v>
      </c>
      <c r="BW27" s="13">
        <v>5257</v>
      </c>
      <c r="BX27" s="13">
        <v>5258.14</v>
      </c>
      <c r="BY27" s="13">
        <v>5255</v>
      </c>
      <c r="BZ27" s="13">
        <v>5257.86</v>
      </c>
      <c r="CA27" s="13">
        <v>5275.86</v>
      </c>
      <c r="CB27" s="13">
        <v>5266</v>
      </c>
      <c r="CC27" s="13">
        <v>5268</v>
      </c>
      <c r="CD27" s="13">
        <v>5264.14</v>
      </c>
      <c r="CE27" s="13">
        <v>5268</v>
      </c>
      <c r="CF27" s="13">
        <v>5267</v>
      </c>
      <c r="CG27" s="13">
        <v>5271</v>
      </c>
      <c r="CH27" s="13">
        <v>5267</v>
      </c>
      <c r="CI27" s="13">
        <v>5265.14</v>
      </c>
      <c r="CJ27" s="13">
        <v>5266</v>
      </c>
      <c r="CK27" s="13">
        <v>5263.86</v>
      </c>
      <c r="CL27" s="13">
        <v>5262</v>
      </c>
      <c r="CM27" s="13">
        <v>5260</v>
      </c>
      <c r="CN27" s="13">
        <v>5259</v>
      </c>
      <c r="CO27" s="13">
        <v>5258</v>
      </c>
      <c r="CP27" s="13">
        <v>5256</v>
      </c>
      <c r="CQ27" s="13">
        <v>5254.86</v>
      </c>
      <c r="CR27" s="13">
        <v>5254.86</v>
      </c>
      <c r="CS27" s="13">
        <v>5257</v>
      </c>
      <c r="CT27" s="13">
        <v>5260</v>
      </c>
      <c r="CU27" s="13">
        <v>5258</v>
      </c>
      <c r="CV27" s="13">
        <v>5255</v>
      </c>
      <c r="CW27" s="13">
        <v>5255</v>
      </c>
      <c r="CX27" s="13">
        <v>5252.14</v>
      </c>
      <c r="CY27" s="13">
        <v>5254.86</v>
      </c>
      <c r="CZ27" s="13">
        <v>5255.86</v>
      </c>
      <c r="DA27" s="13">
        <v>5255</v>
      </c>
      <c r="DB27" s="13">
        <v>5254</v>
      </c>
      <c r="DC27" s="13">
        <v>5255</v>
      </c>
      <c r="DD27" s="13">
        <v>5255</v>
      </c>
      <c r="DE27" s="13">
        <v>5252.86</v>
      </c>
      <c r="DF27" s="13">
        <v>5254</v>
      </c>
    </row>
    <row r="28" spans="1:111" ht="15.75" x14ac:dyDescent="0.25">
      <c r="A28" s="14" t="s">
        <v>12</v>
      </c>
      <c r="B28" s="12" t="s">
        <v>10</v>
      </c>
      <c r="C28" s="13">
        <v>5265.71</v>
      </c>
      <c r="D28" s="13">
        <v>5272.86</v>
      </c>
      <c r="E28" s="13">
        <v>5274.29</v>
      </c>
      <c r="F28" s="13">
        <v>5269.21</v>
      </c>
      <c r="G28" s="13">
        <v>5269.33</v>
      </c>
      <c r="H28" s="13">
        <v>5259.75</v>
      </c>
      <c r="I28" s="13">
        <v>5261.67</v>
      </c>
      <c r="J28" s="13">
        <v>5259.75</v>
      </c>
      <c r="K28" s="13">
        <v>5257</v>
      </c>
      <c r="L28" s="13">
        <v>5248.38</v>
      </c>
      <c r="M28" s="13">
        <v>5251.13</v>
      </c>
      <c r="N28" s="13">
        <v>5251.13</v>
      </c>
      <c r="O28" s="13">
        <v>5251.13</v>
      </c>
      <c r="P28" s="13">
        <v>5252.08</v>
      </c>
      <c r="Q28" s="13">
        <v>5251.96</v>
      </c>
      <c r="R28" s="13">
        <v>5256.88</v>
      </c>
      <c r="S28" s="13">
        <v>5256.88</v>
      </c>
      <c r="T28" s="13">
        <v>5246.33</v>
      </c>
      <c r="U28" s="13">
        <v>5249.21</v>
      </c>
      <c r="V28" s="13">
        <v>5255.21</v>
      </c>
      <c r="W28" s="13">
        <v>5250.17</v>
      </c>
      <c r="X28" s="13">
        <v>5256.75</v>
      </c>
      <c r="Y28" s="13">
        <v>5254.96</v>
      </c>
      <c r="Z28" s="13">
        <v>5252.26</v>
      </c>
      <c r="AA28" s="13">
        <v>5251</v>
      </c>
      <c r="AB28" s="13">
        <v>5238.13</v>
      </c>
      <c r="AC28" s="13">
        <v>5231.13</v>
      </c>
      <c r="AD28" s="13">
        <v>5229</v>
      </c>
      <c r="AE28" s="13">
        <v>5230.13</v>
      </c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>
        <v>5250</v>
      </c>
      <c r="AY28" s="13">
        <v>5244</v>
      </c>
      <c r="AZ28" s="13">
        <v>5247.26</v>
      </c>
      <c r="BA28" s="13">
        <v>5251</v>
      </c>
      <c r="BB28" s="13">
        <v>5250</v>
      </c>
      <c r="BC28" s="13">
        <v>5249</v>
      </c>
      <c r="BD28" s="13">
        <v>5252.13</v>
      </c>
      <c r="BE28" s="13">
        <v>5249.13</v>
      </c>
      <c r="BF28" s="13">
        <v>5250</v>
      </c>
      <c r="BG28" s="13">
        <v>5251.13</v>
      </c>
      <c r="BH28" s="13">
        <v>5255</v>
      </c>
      <c r="BI28" s="13">
        <v>5256</v>
      </c>
      <c r="BJ28" s="13">
        <v>5257.13</v>
      </c>
      <c r="BK28" s="13">
        <v>5257</v>
      </c>
      <c r="BL28" s="13">
        <v>5258</v>
      </c>
      <c r="BM28" s="13">
        <v>5258</v>
      </c>
      <c r="BN28" s="13">
        <v>5261</v>
      </c>
      <c r="BO28" s="13">
        <v>5262</v>
      </c>
      <c r="BP28" s="13">
        <v>5258.14</v>
      </c>
      <c r="BQ28" s="13">
        <v>5258</v>
      </c>
      <c r="BR28" s="13">
        <v>5252</v>
      </c>
      <c r="BS28" s="13">
        <v>5253.14</v>
      </c>
      <c r="BT28" s="13">
        <v>5252</v>
      </c>
      <c r="BU28" s="13">
        <v>5247</v>
      </c>
      <c r="BV28" s="13">
        <v>5249</v>
      </c>
      <c r="BW28" s="13">
        <v>5257</v>
      </c>
      <c r="BX28" s="13">
        <v>5255</v>
      </c>
      <c r="BY28" s="13">
        <v>5255</v>
      </c>
      <c r="BZ28" s="13">
        <v>5257.86</v>
      </c>
      <c r="CA28" s="13">
        <v>5265</v>
      </c>
      <c r="CB28" s="13">
        <v>5264</v>
      </c>
      <c r="CC28" s="13">
        <v>5265</v>
      </c>
      <c r="CD28" s="13">
        <v>5263</v>
      </c>
      <c r="CE28" s="13">
        <v>5266</v>
      </c>
      <c r="CF28" s="13">
        <v>5267</v>
      </c>
      <c r="CG28" s="13">
        <v>5266.14</v>
      </c>
      <c r="CH28" s="13">
        <v>5265</v>
      </c>
      <c r="CI28" s="13">
        <v>5261.14</v>
      </c>
      <c r="CJ28" s="13">
        <v>5263.86</v>
      </c>
      <c r="CK28" s="13">
        <v>5262</v>
      </c>
      <c r="CL28" s="13">
        <v>5259</v>
      </c>
      <c r="CM28" s="13">
        <v>5258</v>
      </c>
      <c r="CN28" s="13">
        <v>5256</v>
      </c>
      <c r="CO28" s="13">
        <v>5257</v>
      </c>
      <c r="CP28" s="13">
        <v>5253.86</v>
      </c>
      <c r="CQ28" s="13">
        <v>5252</v>
      </c>
      <c r="CR28" s="13">
        <v>5254</v>
      </c>
      <c r="CS28" s="13">
        <v>5253</v>
      </c>
      <c r="CT28" s="13">
        <v>5258</v>
      </c>
      <c r="CU28" s="13">
        <v>5255</v>
      </c>
      <c r="CV28" s="13">
        <v>5255</v>
      </c>
      <c r="CW28" s="13">
        <v>5252.14</v>
      </c>
      <c r="CX28" s="13">
        <v>5251.86</v>
      </c>
      <c r="CY28" s="13">
        <v>5254</v>
      </c>
      <c r="CZ28" s="13">
        <v>5254</v>
      </c>
      <c r="DA28" s="13">
        <v>5254</v>
      </c>
      <c r="DB28" s="13">
        <v>5254</v>
      </c>
      <c r="DC28" s="13">
        <v>5255</v>
      </c>
      <c r="DD28" s="13">
        <v>5251.86</v>
      </c>
      <c r="DE28" s="13">
        <v>5252</v>
      </c>
      <c r="DF28" s="13">
        <v>5254</v>
      </c>
    </row>
    <row r="29" spans="1:111" ht="15.75" x14ac:dyDescent="0.25">
      <c r="A29" s="14" t="s">
        <v>12</v>
      </c>
      <c r="B29" s="12" t="s">
        <v>9</v>
      </c>
      <c r="C29" s="13">
        <v>5255.91</v>
      </c>
      <c r="D29" s="13">
        <v>5262.27</v>
      </c>
      <c r="E29" s="13"/>
      <c r="F29" s="13">
        <v>5259.23</v>
      </c>
      <c r="G29" s="13">
        <v>5259.46</v>
      </c>
      <c r="H29" s="13">
        <v>5249.23</v>
      </c>
      <c r="I29" s="13">
        <v>5251.23</v>
      </c>
      <c r="J29" s="13">
        <v>5249.23</v>
      </c>
      <c r="K29" s="13">
        <v>5247.23</v>
      </c>
      <c r="L29" s="13">
        <v>5238.2299999999996</v>
      </c>
      <c r="M29" s="13">
        <v>5241.2299999999996</v>
      </c>
      <c r="N29" s="13">
        <v>5240.2299999999996</v>
      </c>
      <c r="O29" s="13">
        <v>5240.46</v>
      </c>
      <c r="P29" s="13">
        <v>5241.2299999999996</v>
      </c>
      <c r="Q29" s="13">
        <v>5241.7700000000004</v>
      </c>
      <c r="R29" s="13">
        <v>5247</v>
      </c>
      <c r="S29" s="13">
        <v>5246.46</v>
      </c>
      <c r="T29" s="13">
        <v>5234.2299999999996</v>
      </c>
      <c r="U29" s="13">
        <v>5238.2299999999996</v>
      </c>
      <c r="V29" s="13">
        <v>5245.46</v>
      </c>
      <c r="W29" s="13">
        <v>5239.2299999999996</v>
      </c>
      <c r="X29" s="13">
        <v>5247.23</v>
      </c>
      <c r="Y29" s="13">
        <v>0</v>
      </c>
      <c r="Z29" s="13">
        <v>5245.23</v>
      </c>
      <c r="AA29" s="13">
        <v>5243.23</v>
      </c>
      <c r="AB29" s="13">
        <v>5230.2299999999996</v>
      </c>
      <c r="AC29" s="13">
        <v>5224.2299999999996</v>
      </c>
      <c r="AD29" s="13">
        <v>5220.2299999999996</v>
      </c>
      <c r="AE29" s="13">
        <v>5221.2299999999996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>
        <v>5242.46</v>
      </c>
      <c r="AY29" s="13">
        <v>5236.2299999999996</v>
      </c>
      <c r="AZ29" s="13">
        <v>5240.2299999999996</v>
      </c>
      <c r="BA29" s="13">
        <v>5242.2299999999996</v>
      </c>
      <c r="BB29" s="13">
        <v>5241.6899999999996</v>
      </c>
      <c r="BC29" s="13">
        <v>5241.2299999999996</v>
      </c>
      <c r="BD29" s="13">
        <v>5244.46</v>
      </c>
      <c r="BE29" s="13">
        <v>5241.2299999999996</v>
      </c>
      <c r="BF29" s="13">
        <v>5241.2299999999996</v>
      </c>
      <c r="BG29" s="13">
        <v>5243.77</v>
      </c>
      <c r="BH29" s="13">
        <v>5246.46</v>
      </c>
      <c r="BI29" s="13">
        <v>5247.46</v>
      </c>
      <c r="BJ29" s="13">
        <v>5249.23</v>
      </c>
      <c r="BK29" s="13">
        <v>5248.23</v>
      </c>
      <c r="BL29" s="13">
        <v>5249.46</v>
      </c>
      <c r="BM29" s="13">
        <v>5249</v>
      </c>
      <c r="BN29" s="13">
        <v>5252</v>
      </c>
      <c r="BO29" s="13">
        <v>5254</v>
      </c>
      <c r="BP29" s="13">
        <v>5250</v>
      </c>
      <c r="BQ29" s="13">
        <v>5249.17</v>
      </c>
      <c r="BR29" s="13">
        <v>5244.17</v>
      </c>
      <c r="BS29" s="13">
        <v>5245.17</v>
      </c>
      <c r="BT29" s="13">
        <v>5244.83</v>
      </c>
      <c r="BU29" s="13">
        <v>5239.17</v>
      </c>
      <c r="BV29" s="13">
        <v>5241</v>
      </c>
      <c r="BW29" s="13">
        <v>5249.83</v>
      </c>
      <c r="BX29" s="13">
        <v>5246.17</v>
      </c>
      <c r="BY29" s="13">
        <v>5247.17</v>
      </c>
      <c r="BZ29" s="13">
        <v>5249.17</v>
      </c>
      <c r="CA29" s="13">
        <v>5256.33</v>
      </c>
      <c r="CB29" s="13">
        <v>5256.17</v>
      </c>
      <c r="CC29" s="13">
        <v>5256.17</v>
      </c>
      <c r="CD29" s="13">
        <v>5254.17</v>
      </c>
      <c r="CE29" s="13">
        <v>5257.33</v>
      </c>
      <c r="CF29" s="13">
        <v>5259.17</v>
      </c>
      <c r="CG29" s="13">
        <v>5258.17</v>
      </c>
      <c r="CH29" s="13">
        <v>5258.17</v>
      </c>
      <c r="CI29" s="13">
        <v>5253.17</v>
      </c>
      <c r="CJ29" s="13">
        <v>5255.17</v>
      </c>
      <c r="CK29" s="13">
        <v>5254.17</v>
      </c>
      <c r="CL29" s="13">
        <v>5251.17</v>
      </c>
      <c r="CM29" s="13">
        <v>5250.17</v>
      </c>
      <c r="CN29" s="13">
        <v>5248</v>
      </c>
      <c r="CO29" s="13">
        <v>5249</v>
      </c>
      <c r="CP29" s="13">
        <v>5245.17</v>
      </c>
      <c r="CQ29" s="13">
        <v>5244</v>
      </c>
      <c r="CR29" s="13">
        <v>5245.17</v>
      </c>
      <c r="CS29" s="13">
        <v>5245.83</v>
      </c>
      <c r="CT29" s="13">
        <v>5249</v>
      </c>
      <c r="CU29" s="13">
        <v>5246.17</v>
      </c>
      <c r="CV29" s="13">
        <v>5246.17</v>
      </c>
      <c r="CW29" s="13">
        <v>5245.17</v>
      </c>
      <c r="CX29" s="13">
        <v>5243.17</v>
      </c>
      <c r="CY29" s="13">
        <v>5246.17</v>
      </c>
      <c r="CZ29" s="13">
        <v>5245.83</v>
      </c>
      <c r="DA29" s="13">
        <v>5246.33</v>
      </c>
      <c r="DB29" s="13">
        <v>5245.33</v>
      </c>
      <c r="DC29" s="13">
        <v>5246.17</v>
      </c>
      <c r="DD29" s="13">
        <v>5243.17</v>
      </c>
      <c r="DE29" s="13">
        <v>5243.17</v>
      </c>
      <c r="DF29" s="13">
        <v>5243</v>
      </c>
    </row>
    <row r="30" spans="1:111" ht="15.75" x14ac:dyDescent="0.25">
      <c r="A30" s="14" t="s">
        <v>12</v>
      </c>
      <c r="B30" s="12" t="s">
        <v>7</v>
      </c>
      <c r="C30" s="13">
        <v>5240</v>
      </c>
      <c r="D30" s="13">
        <v>5253.64</v>
      </c>
      <c r="E30" s="13">
        <v>5260</v>
      </c>
      <c r="F30" s="13">
        <v>5259.23</v>
      </c>
      <c r="G30" s="13">
        <v>5252.23</v>
      </c>
      <c r="H30" s="13">
        <v>5247.23</v>
      </c>
      <c r="I30" s="13">
        <v>5243.23</v>
      </c>
      <c r="J30" s="13">
        <v>5240.2299999999996</v>
      </c>
      <c r="K30" s="13">
        <v>5246.46</v>
      </c>
      <c r="L30" s="13">
        <v>5238.2299999999996</v>
      </c>
      <c r="M30" s="13">
        <v>5237.2299999999996</v>
      </c>
      <c r="N30" s="13">
        <v>5233.2299999999996</v>
      </c>
      <c r="O30" s="13">
        <v>5238.2299999999996</v>
      </c>
      <c r="P30" s="13">
        <v>5239.46</v>
      </c>
      <c r="Q30" s="13">
        <v>5236.2299999999996</v>
      </c>
      <c r="R30" s="13">
        <v>5237.46</v>
      </c>
      <c r="S30" s="13">
        <v>5244.23</v>
      </c>
      <c r="T30" s="13">
        <v>5234.2299999999996</v>
      </c>
      <c r="U30" s="13">
        <v>5231.2299999999996</v>
      </c>
      <c r="V30" s="13">
        <v>5236.46</v>
      </c>
      <c r="W30" s="13">
        <v>5236.2299999999996</v>
      </c>
      <c r="X30" s="13">
        <v>5237.2299999999996</v>
      </c>
      <c r="Y30" s="13">
        <v>5242</v>
      </c>
      <c r="Z30" s="13">
        <v>5245.23</v>
      </c>
      <c r="AA30" s="13">
        <v>5243.23</v>
      </c>
      <c r="AB30" s="13">
        <v>5230.2299999999996</v>
      </c>
      <c r="AC30" s="13">
        <v>5224.2299999999996</v>
      </c>
      <c r="AD30" s="13">
        <v>5220.2299999999996</v>
      </c>
      <c r="AE30" s="13">
        <v>5215.2299999999996</v>
      </c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>
        <v>5240.2299999999996</v>
      </c>
      <c r="AY30" s="13">
        <v>5233.2299999999996</v>
      </c>
      <c r="AZ30" s="13">
        <v>5233.2299999999996</v>
      </c>
      <c r="BA30" s="13">
        <v>5239.2299999999996</v>
      </c>
      <c r="BB30" s="13">
        <v>5240.2299999999996</v>
      </c>
      <c r="BC30" s="13">
        <v>5241.2299999999996</v>
      </c>
      <c r="BD30" s="13">
        <v>5240.2299999999996</v>
      </c>
      <c r="BE30" s="13">
        <v>5241.2299999999996</v>
      </c>
      <c r="BF30" s="13">
        <v>5240.46</v>
      </c>
      <c r="BG30" s="13">
        <v>5241.2299999999996</v>
      </c>
      <c r="BH30" s="13">
        <v>5243.23</v>
      </c>
      <c r="BI30" s="13">
        <v>5246.23</v>
      </c>
      <c r="BJ30" s="13">
        <v>5247.46</v>
      </c>
      <c r="BK30" s="13">
        <v>5248.23</v>
      </c>
      <c r="BL30" s="13">
        <v>5248.23</v>
      </c>
      <c r="BM30" s="13">
        <v>5247</v>
      </c>
      <c r="BN30" s="13">
        <v>5250</v>
      </c>
      <c r="BO30" s="13">
        <v>5251</v>
      </c>
      <c r="BP30" s="13">
        <v>5249.17</v>
      </c>
      <c r="BQ30" s="13">
        <v>5249.17</v>
      </c>
      <c r="BR30" s="13">
        <v>5244.17</v>
      </c>
      <c r="BS30" s="13">
        <v>5244</v>
      </c>
      <c r="BT30" s="13">
        <v>5243.17</v>
      </c>
      <c r="BU30" s="13">
        <v>5237.17</v>
      </c>
      <c r="BV30" s="13">
        <v>5238.17</v>
      </c>
      <c r="BW30" s="13">
        <v>5240</v>
      </c>
      <c r="BX30" s="13">
        <v>5246.17</v>
      </c>
      <c r="BY30" s="13">
        <v>5243.17</v>
      </c>
      <c r="BZ30" s="13">
        <v>5244</v>
      </c>
      <c r="CA30" s="13">
        <v>5249.17</v>
      </c>
      <c r="CB30" s="13">
        <v>5256.17</v>
      </c>
      <c r="CC30" s="13">
        <v>5254.17</v>
      </c>
      <c r="CD30" s="13">
        <v>5251.17</v>
      </c>
      <c r="CE30" s="13">
        <v>5253.17</v>
      </c>
      <c r="CF30" s="13">
        <v>5254.33</v>
      </c>
      <c r="CG30" s="13">
        <v>5256.17</v>
      </c>
      <c r="CH30" s="13">
        <v>5255.17</v>
      </c>
      <c r="CI30" s="13">
        <v>5253.17</v>
      </c>
      <c r="CJ30" s="13">
        <v>5253.17</v>
      </c>
      <c r="CK30" s="13">
        <v>5252</v>
      </c>
      <c r="CL30" s="13">
        <v>5251.17</v>
      </c>
      <c r="CM30" s="13">
        <v>5250.17</v>
      </c>
      <c r="CN30" s="13">
        <v>5247.17</v>
      </c>
      <c r="CO30" s="13">
        <v>5247.17</v>
      </c>
      <c r="CP30" s="13">
        <v>5245.17</v>
      </c>
      <c r="CQ30" s="13">
        <v>5243.17</v>
      </c>
      <c r="CR30" s="13">
        <v>5244</v>
      </c>
      <c r="CS30" s="13">
        <v>5244.17</v>
      </c>
      <c r="CT30" s="13">
        <v>5244</v>
      </c>
      <c r="CU30" s="13">
        <v>5245.17</v>
      </c>
      <c r="CV30" s="13">
        <v>5246.17</v>
      </c>
      <c r="CW30" s="13">
        <v>5245.17</v>
      </c>
      <c r="CX30" s="13">
        <v>5241.17</v>
      </c>
      <c r="CY30" s="13">
        <v>5243.17</v>
      </c>
      <c r="CZ30" s="13">
        <v>5244.17</v>
      </c>
      <c r="DA30" s="13">
        <v>5243.17</v>
      </c>
      <c r="DB30" s="13">
        <v>5245.33</v>
      </c>
      <c r="DC30" s="13">
        <v>5245.33</v>
      </c>
      <c r="DD30" s="13">
        <v>5243.17</v>
      </c>
      <c r="DE30" s="13">
        <v>5242.17</v>
      </c>
      <c r="DF30" s="13">
        <v>5243</v>
      </c>
    </row>
    <row r="31" spans="1:111" ht="15.75" x14ac:dyDescent="0.25">
      <c r="A31" s="11" t="s">
        <v>5</v>
      </c>
      <c r="B31" s="11" t="s">
        <v>11</v>
      </c>
      <c r="C31" s="15">
        <v>0.37847222222222227</v>
      </c>
      <c r="D31" s="15">
        <v>0.38194444444444442</v>
      </c>
      <c r="E31" s="15">
        <v>0.38541666666666669</v>
      </c>
      <c r="F31" s="15">
        <v>0.3888888888888889</v>
      </c>
      <c r="G31" s="15">
        <v>0.3923611111111111</v>
      </c>
      <c r="H31" s="15">
        <v>0.39583333333333331</v>
      </c>
      <c r="I31" s="15">
        <v>0.39930555555555558</v>
      </c>
      <c r="J31" s="15">
        <v>0.40277777777777773</v>
      </c>
      <c r="K31" s="15">
        <v>0.40625</v>
      </c>
      <c r="L31" s="15">
        <v>0.40972222222222227</v>
      </c>
      <c r="M31" s="15">
        <v>0.41319444444444442</v>
      </c>
      <c r="N31" s="15">
        <v>0.41666666666666669</v>
      </c>
      <c r="O31" s="15">
        <v>0.4201388888888889</v>
      </c>
      <c r="P31" s="15">
        <v>0.4236111111111111</v>
      </c>
      <c r="Q31" s="15">
        <v>0.42708333333333331</v>
      </c>
      <c r="R31" s="15">
        <v>0.43055555555555558</v>
      </c>
      <c r="S31" s="15">
        <v>0.43402777777777773</v>
      </c>
      <c r="T31" s="15">
        <v>0.4375</v>
      </c>
      <c r="U31" s="15">
        <v>0.44097222222222227</v>
      </c>
      <c r="V31" s="15">
        <v>0.44444444444444442</v>
      </c>
      <c r="W31" s="15">
        <v>0.44791666666666669</v>
      </c>
      <c r="X31" s="15">
        <v>0.4513888888888889</v>
      </c>
      <c r="Y31" s="15">
        <v>0.4548611111111111</v>
      </c>
      <c r="Z31" s="15">
        <v>0.45833333333333331</v>
      </c>
      <c r="AA31" s="15">
        <v>0.46180555555555558</v>
      </c>
      <c r="AB31" s="15">
        <v>0.46527777777777773</v>
      </c>
      <c r="AC31" s="15">
        <v>0.46875</v>
      </c>
      <c r="AD31" s="15">
        <v>0.47222222222222227</v>
      </c>
      <c r="AE31" s="15">
        <v>0.47569444444444442</v>
      </c>
      <c r="AF31" s="15">
        <v>0.47916666666666669</v>
      </c>
      <c r="AG31" s="15">
        <v>0.4826388888888889</v>
      </c>
      <c r="AH31" s="15">
        <v>0.4861111111111111</v>
      </c>
      <c r="AI31" s="15">
        <v>0.48958333333333331</v>
      </c>
      <c r="AJ31" s="15">
        <v>0.49305555555555558</v>
      </c>
      <c r="AK31" s="15">
        <v>0.49652777777777773</v>
      </c>
      <c r="AL31" s="15">
        <v>0.5</v>
      </c>
      <c r="AM31" s="15">
        <v>0.50347222222222221</v>
      </c>
      <c r="AN31" s="15">
        <v>0.50694444444444442</v>
      </c>
      <c r="AO31" s="15">
        <v>0.51041666666666663</v>
      </c>
      <c r="AP31" s="15">
        <v>0.51388888888888895</v>
      </c>
      <c r="AQ31" s="15">
        <v>0.51736111111111105</v>
      </c>
      <c r="AR31" s="15">
        <v>0.52083333333333337</v>
      </c>
      <c r="AS31" s="15">
        <v>0.52430555555555558</v>
      </c>
      <c r="AT31" s="15">
        <v>0.52777777777777779</v>
      </c>
      <c r="AU31" s="15">
        <v>0.53125</v>
      </c>
      <c r="AV31" s="15">
        <v>0.53472222222222221</v>
      </c>
      <c r="AW31" s="15">
        <v>0.53819444444444442</v>
      </c>
      <c r="AX31" s="15">
        <v>0.54166666666666663</v>
      </c>
      <c r="AY31" s="15">
        <v>0.54513888888888895</v>
      </c>
      <c r="AZ31" s="15">
        <v>0.54861111111111105</v>
      </c>
      <c r="BA31" s="15">
        <v>0.55208333333333337</v>
      </c>
      <c r="BB31" s="15">
        <v>0.55555555555555558</v>
      </c>
      <c r="BC31" s="15">
        <v>0.55902777777777779</v>
      </c>
      <c r="BD31" s="15">
        <v>0.5625</v>
      </c>
      <c r="BE31" s="15">
        <v>0.56597222222222221</v>
      </c>
      <c r="BF31" s="15">
        <v>0.56944444444444442</v>
      </c>
      <c r="BG31" s="15">
        <v>0.57291666666666663</v>
      </c>
      <c r="BH31" s="15">
        <v>0.57638888888888895</v>
      </c>
      <c r="BI31" s="15">
        <v>0.57986111111111105</v>
      </c>
      <c r="BJ31" s="15">
        <v>0.58333333333333337</v>
      </c>
      <c r="BK31" s="15">
        <v>0.58680555555555558</v>
      </c>
      <c r="BL31" s="15">
        <v>0.59027777777777779</v>
      </c>
      <c r="BM31" s="15">
        <v>0.59375</v>
      </c>
      <c r="BN31" s="15">
        <v>0.59722222222222221</v>
      </c>
      <c r="BO31" s="15">
        <v>0.60069444444444442</v>
      </c>
      <c r="BP31" s="15">
        <v>0.60416666666666663</v>
      </c>
      <c r="BQ31" s="15">
        <v>0.60763888888888895</v>
      </c>
      <c r="BR31" s="15">
        <v>0.61111111111111105</v>
      </c>
      <c r="BS31" s="15">
        <v>0.61458333333333337</v>
      </c>
      <c r="BT31" s="15">
        <v>0.61805555555555558</v>
      </c>
      <c r="BU31" s="15">
        <v>0.62152777777777779</v>
      </c>
      <c r="BV31" s="15">
        <v>0.625</v>
      </c>
      <c r="BW31" s="15">
        <v>0.62847222222222221</v>
      </c>
      <c r="BX31" s="15">
        <v>0.63194444444444442</v>
      </c>
      <c r="BY31" s="15">
        <v>0.63541666666666663</v>
      </c>
      <c r="BZ31" s="15">
        <v>0.63888888888888895</v>
      </c>
      <c r="CA31" s="15">
        <v>0.64236111111111105</v>
      </c>
      <c r="CB31" s="15">
        <v>0.64583333333333337</v>
      </c>
      <c r="CC31" s="15">
        <v>0.64930555555555558</v>
      </c>
      <c r="CD31" s="15">
        <v>0.65277777777777779</v>
      </c>
      <c r="CE31" s="15">
        <v>0.65625</v>
      </c>
      <c r="CF31" s="15">
        <v>0.65972222222222221</v>
      </c>
      <c r="CG31" s="15">
        <v>0.66319444444444442</v>
      </c>
      <c r="CH31" s="15">
        <v>0.66666666666666663</v>
      </c>
      <c r="CI31" s="15">
        <v>0.67013888888888884</v>
      </c>
      <c r="CJ31" s="15">
        <v>0.67361111111111116</v>
      </c>
      <c r="CK31" s="15">
        <v>0.67708333333333337</v>
      </c>
      <c r="CL31" s="15">
        <v>0.68055555555555547</v>
      </c>
      <c r="CM31" s="15">
        <v>0.68402777777777779</v>
      </c>
      <c r="CN31" s="15">
        <v>0.6875</v>
      </c>
      <c r="CO31" s="15">
        <v>0.69097222222222221</v>
      </c>
      <c r="CP31" s="15">
        <v>0.69444444444444453</v>
      </c>
      <c r="CQ31" s="15">
        <v>0.69791666666666663</v>
      </c>
      <c r="CR31" s="15">
        <v>0.70138888888888884</v>
      </c>
      <c r="CS31" s="15">
        <v>0.70486111111111116</v>
      </c>
      <c r="CT31" s="15">
        <v>0.70833333333333337</v>
      </c>
      <c r="CU31" s="15">
        <v>0.71180555555555547</v>
      </c>
      <c r="CV31" s="15">
        <v>0.71527777777777779</v>
      </c>
      <c r="CW31" s="15">
        <v>0.71875</v>
      </c>
      <c r="CX31" s="15">
        <v>0.72222222222222221</v>
      </c>
      <c r="CY31" s="15">
        <v>0.72569444444444453</v>
      </c>
      <c r="CZ31" s="15">
        <v>0.72916666666666663</v>
      </c>
      <c r="DA31" s="15">
        <v>0.73263888888888884</v>
      </c>
      <c r="DB31" s="15">
        <v>0.73611111111111116</v>
      </c>
      <c r="DC31" s="15">
        <v>0.73958333333333337</v>
      </c>
      <c r="DD31" s="15">
        <v>0.74305555555555547</v>
      </c>
      <c r="DE31" s="15">
        <v>0.74652777777777779</v>
      </c>
      <c r="DF31" s="15">
        <v>0.75</v>
      </c>
    </row>
    <row r="32" spans="1:111" ht="15.75" x14ac:dyDescent="0.25">
      <c r="A32" s="14">
        <v>44327</v>
      </c>
      <c r="B32" s="12" t="s">
        <v>6</v>
      </c>
      <c r="C32" s="13">
        <v>5270</v>
      </c>
      <c r="D32" s="13">
        <v>5257.91</v>
      </c>
      <c r="E32" s="13">
        <v>5248.61</v>
      </c>
      <c r="F32" s="13">
        <v>5258.61</v>
      </c>
      <c r="G32" s="13">
        <v>5271.09</v>
      </c>
      <c r="H32" s="13">
        <v>5274.38</v>
      </c>
      <c r="I32" s="13">
        <v>5288.7</v>
      </c>
      <c r="J32" s="13">
        <v>5289.3</v>
      </c>
      <c r="K32" s="13">
        <v>5288.5</v>
      </c>
      <c r="L32" s="13">
        <v>5284.04</v>
      </c>
      <c r="M32" s="13">
        <v>5293.5</v>
      </c>
      <c r="N32" s="13">
        <v>5290.68</v>
      </c>
      <c r="O32" s="13">
        <v>5296.03</v>
      </c>
      <c r="P32" s="13">
        <v>5303.97</v>
      </c>
      <c r="Q32" s="13">
        <v>5305.61</v>
      </c>
      <c r="R32" s="13">
        <v>5305.43</v>
      </c>
      <c r="S32" s="13">
        <v>5303.97</v>
      </c>
      <c r="T32" s="13">
        <v>5303.43</v>
      </c>
      <c r="U32" s="13">
        <v>5302.65</v>
      </c>
      <c r="V32" s="13">
        <v>5295.91</v>
      </c>
      <c r="W32" s="13">
        <v>5295.61</v>
      </c>
      <c r="X32" s="13">
        <v>5289.36</v>
      </c>
      <c r="Y32" s="13">
        <v>5285.26</v>
      </c>
      <c r="Z32" s="13">
        <v>5283.3</v>
      </c>
      <c r="AA32" s="13">
        <v>5274.58</v>
      </c>
      <c r="AB32" s="13">
        <v>5269.94</v>
      </c>
      <c r="AC32" s="13">
        <v>5272</v>
      </c>
      <c r="AD32" s="13">
        <v>5273.63</v>
      </c>
      <c r="AE32" s="13">
        <v>5268.94</v>
      </c>
      <c r="AF32" s="13">
        <v>5274.63</v>
      </c>
      <c r="AG32" s="13">
        <v>5279.61</v>
      </c>
      <c r="AH32" s="13">
        <v>5279.91</v>
      </c>
      <c r="AI32" s="13">
        <v>5275.61</v>
      </c>
      <c r="AJ32" s="13">
        <v>5272.7</v>
      </c>
      <c r="AK32" s="13">
        <v>5270.91</v>
      </c>
      <c r="AL32" s="13">
        <v>5271</v>
      </c>
      <c r="AM32" s="13">
        <v>5264</v>
      </c>
      <c r="AN32" s="13">
        <v>5262.75</v>
      </c>
      <c r="AO32" s="13">
        <v>5257.13</v>
      </c>
      <c r="AP32" s="13">
        <v>5242.6099999999997</v>
      </c>
      <c r="AQ32" s="13">
        <v>5237.3</v>
      </c>
      <c r="AR32" s="13">
        <v>5237.91</v>
      </c>
      <c r="AS32" s="13">
        <v>5240.91</v>
      </c>
      <c r="AT32" s="13">
        <v>5239.91</v>
      </c>
      <c r="AU32" s="13">
        <v>5239.6099999999997</v>
      </c>
      <c r="AV32" s="13">
        <v>5241.3</v>
      </c>
      <c r="AW32" s="13">
        <v>5239.91</v>
      </c>
      <c r="AX32" s="13">
        <v>5237.82</v>
      </c>
      <c r="AY32" s="13">
        <v>5241.6099999999997</v>
      </c>
      <c r="AZ32" s="13">
        <v>5244.3</v>
      </c>
      <c r="BA32" s="13">
        <v>5248</v>
      </c>
      <c r="BB32" s="13">
        <v>5245.91</v>
      </c>
      <c r="BC32" s="13">
        <v>5243.61</v>
      </c>
      <c r="BD32" s="13">
        <v>5243.91</v>
      </c>
      <c r="BE32" s="13">
        <v>5244.91</v>
      </c>
      <c r="BF32" s="13">
        <v>5243.91</v>
      </c>
      <c r="BG32" s="13">
        <v>5246.91</v>
      </c>
      <c r="BH32" s="13">
        <v>5245.7</v>
      </c>
      <c r="BI32" s="13">
        <v>5246</v>
      </c>
      <c r="BJ32" s="13">
        <v>5247.61</v>
      </c>
      <c r="BK32" s="13">
        <v>5247</v>
      </c>
      <c r="BL32" s="13">
        <v>5244.61</v>
      </c>
      <c r="BM32" s="13">
        <v>5248.91</v>
      </c>
      <c r="BN32" s="13">
        <v>5250.61</v>
      </c>
      <c r="BO32" s="13">
        <v>5251.85</v>
      </c>
      <c r="BP32" s="13">
        <v>5252.47</v>
      </c>
      <c r="BQ32" s="13">
        <v>5251.85</v>
      </c>
      <c r="BR32" s="13">
        <v>5253.7</v>
      </c>
      <c r="BS32" s="13">
        <v>5252.82</v>
      </c>
      <c r="BT32" s="13">
        <v>5251.59</v>
      </c>
      <c r="BU32" s="13">
        <v>5253.94</v>
      </c>
      <c r="BV32" s="13">
        <v>5253.93</v>
      </c>
      <c r="BW32" s="13">
        <v>5252.61</v>
      </c>
      <c r="BX32" s="13">
        <v>5256.61</v>
      </c>
      <c r="BY32" s="13">
        <v>5257.82</v>
      </c>
      <c r="BZ32" s="13">
        <v>5256.47</v>
      </c>
      <c r="CA32" s="13">
        <v>5255.09</v>
      </c>
      <c r="CB32" s="13">
        <v>5255.61</v>
      </c>
      <c r="CC32" s="13">
        <v>5260.61</v>
      </c>
      <c r="CD32" s="13">
        <v>5261</v>
      </c>
      <c r="CE32" s="13">
        <v>5264.83</v>
      </c>
      <c r="CF32" s="13">
        <v>5264.64</v>
      </c>
      <c r="CG32" s="13">
        <v>5263.47</v>
      </c>
      <c r="CH32" s="13">
        <v>5258.91</v>
      </c>
      <c r="CI32" s="13">
        <v>5257.34</v>
      </c>
      <c r="CJ32" s="13">
        <v>5257.37</v>
      </c>
      <c r="CK32" s="13">
        <v>5258.06</v>
      </c>
      <c r="CL32" s="13">
        <v>5258.06</v>
      </c>
      <c r="CM32" s="13">
        <v>5256.6</v>
      </c>
      <c r="CN32" s="13">
        <v>5254.54</v>
      </c>
      <c r="CO32" s="13">
        <v>5258.88</v>
      </c>
      <c r="CP32" s="13">
        <v>5260.56</v>
      </c>
      <c r="CQ32" s="13">
        <v>5259.44</v>
      </c>
      <c r="CR32" s="13">
        <v>5258.58</v>
      </c>
      <c r="CS32" s="13">
        <v>5258.32</v>
      </c>
      <c r="CT32" s="13">
        <v>5251.31</v>
      </c>
      <c r="CU32" s="13">
        <v>5249.6</v>
      </c>
      <c r="CV32" s="13">
        <v>5243.92</v>
      </c>
      <c r="CW32" s="13">
        <v>5251</v>
      </c>
      <c r="CX32" s="13">
        <v>5249</v>
      </c>
      <c r="CY32" s="13">
        <v>5253.53</v>
      </c>
      <c r="CZ32" s="13">
        <v>5251.8</v>
      </c>
      <c r="DA32" s="13">
        <v>5254.2</v>
      </c>
      <c r="DB32" s="13">
        <v>5252.67</v>
      </c>
      <c r="DC32" s="13">
        <v>5251.8</v>
      </c>
      <c r="DD32" s="13">
        <v>5250.07</v>
      </c>
      <c r="DE32" s="13">
        <v>5248.07</v>
      </c>
      <c r="DF32" s="13">
        <v>5250</v>
      </c>
    </row>
    <row r="33" spans="1:110" ht="15.75" x14ac:dyDescent="0.25">
      <c r="A33" s="14" t="s">
        <v>12</v>
      </c>
      <c r="B33" s="12" t="s">
        <v>10</v>
      </c>
      <c r="C33" s="13">
        <v>5258</v>
      </c>
      <c r="D33" s="13">
        <v>5246.3</v>
      </c>
      <c r="E33" s="13">
        <v>5248.3</v>
      </c>
      <c r="F33" s="13">
        <v>5256</v>
      </c>
      <c r="G33" s="13">
        <v>5268.47</v>
      </c>
      <c r="H33" s="13">
        <v>5271.61</v>
      </c>
      <c r="I33" s="13">
        <v>5288.7</v>
      </c>
      <c r="J33" s="13">
        <v>5286.62</v>
      </c>
      <c r="K33" s="13">
        <v>5283.68</v>
      </c>
      <c r="L33" s="13">
        <v>5282.56</v>
      </c>
      <c r="M33" s="13">
        <v>5291.26</v>
      </c>
      <c r="N33" s="13">
        <v>5289.44</v>
      </c>
      <c r="O33" s="13">
        <v>5295.44</v>
      </c>
      <c r="P33" s="13">
        <v>5303</v>
      </c>
      <c r="Q33" s="13">
        <v>5305</v>
      </c>
      <c r="R33" s="13">
        <v>5305</v>
      </c>
      <c r="S33" s="13">
        <v>5303</v>
      </c>
      <c r="T33" s="13">
        <v>5301.18</v>
      </c>
      <c r="U33" s="13">
        <v>5293.97</v>
      </c>
      <c r="V33" s="13">
        <v>5295.91</v>
      </c>
      <c r="W33" s="13">
        <v>5288.39</v>
      </c>
      <c r="X33" s="13">
        <v>5286.88</v>
      </c>
      <c r="Y33" s="13">
        <v>5280.76</v>
      </c>
      <c r="Z33" s="13">
        <v>5268.7</v>
      </c>
      <c r="AA33" s="13">
        <v>5267.12</v>
      </c>
      <c r="AB33" s="13">
        <v>5269.94</v>
      </c>
      <c r="AC33" s="13">
        <v>5271</v>
      </c>
      <c r="AD33" s="13">
        <v>5262.75</v>
      </c>
      <c r="AE33" s="13">
        <v>5268.63</v>
      </c>
      <c r="AF33" s="13">
        <v>5274</v>
      </c>
      <c r="AG33" s="13">
        <v>5279.61</v>
      </c>
      <c r="AH33" s="13">
        <v>5276.3</v>
      </c>
      <c r="AI33" s="13">
        <v>5270.3</v>
      </c>
      <c r="AJ33" s="13">
        <v>5266.61</v>
      </c>
      <c r="AK33" s="13">
        <v>5270.91</v>
      </c>
      <c r="AL33" s="13">
        <v>5261.61</v>
      </c>
      <c r="AM33" s="13">
        <v>5263.5</v>
      </c>
      <c r="AN33" s="13">
        <v>5256.94</v>
      </c>
      <c r="AO33" s="13">
        <v>5244.7</v>
      </c>
      <c r="AP33" s="13">
        <v>5238.21</v>
      </c>
      <c r="AQ33" s="13">
        <v>5231.6099999999997</v>
      </c>
      <c r="AR33" s="13">
        <v>5237.6099999999997</v>
      </c>
      <c r="AS33" s="13">
        <v>5237.91</v>
      </c>
      <c r="AT33" s="13">
        <v>5231.6099999999997</v>
      </c>
      <c r="AU33" s="13">
        <v>5239.6099999999997</v>
      </c>
      <c r="AV33" s="13">
        <v>5235.7</v>
      </c>
      <c r="AW33" s="13">
        <v>5235.79</v>
      </c>
      <c r="AX33" s="13">
        <v>5237.6099999999997</v>
      </c>
      <c r="AY33" s="13">
        <v>5240.3</v>
      </c>
      <c r="AZ33" s="13">
        <v>5243.7</v>
      </c>
      <c r="BA33" s="13">
        <v>5244.3</v>
      </c>
      <c r="BB33" s="13">
        <v>5243.79</v>
      </c>
      <c r="BC33" s="13">
        <v>5239.6099999999997</v>
      </c>
      <c r="BD33" s="13">
        <v>5242.09</v>
      </c>
      <c r="BE33" s="13">
        <v>5242.79</v>
      </c>
      <c r="BF33" s="13">
        <v>5240.6099999999997</v>
      </c>
      <c r="BG33" s="13">
        <v>5246.3</v>
      </c>
      <c r="BH33" s="13">
        <v>5242.79</v>
      </c>
      <c r="BI33" s="13">
        <v>5244.61</v>
      </c>
      <c r="BJ33" s="13">
        <v>5245.61</v>
      </c>
      <c r="BK33" s="13">
        <v>5244.61</v>
      </c>
      <c r="BL33" s="13">
        <v>5242.5200000000004</v>
      </c>
      <c r="BM33" s="13">
        <v>5248.7</v>
      </c>
      <c r="BN33" s="13">
        <v>5244.91</v>
      </c>
      <c r="BO33" s="13">
        <v>5251.85</v>
      </c>
      <c r="BP33" s="13">
        <v>5249.77</v>
      </c>
      <c r="BQ33" s="13">
        <v>5247.91</v>
      </c>
      <c r="BR33" s="13">
        <v>5251.91</v>
      </c>
      <c r="BS33" s="13">
        <v>5252.26</v>
      </c>
      <c r="BT33" s="13">
        <v>5251.59</v>
      </c>
      <c r="BU33" s="13">
        <v>5253.18</v>
      </c>
      <c r="BV33" s="13">
        <v>5247.7</v>
      </c>
      <c r="BW33" s="13">
        <v>5252.61</v>
      </c>
      <c r="BX33" s="13">
        <v>5254.52</v>
      </c>
      <c r="BY33" s="13">
        <v>5256.39</v>
      </c>
      <c r="BZ33" s="13">
        <v>5254.63</v>
      </c>
      <c r="CA33" s="13">
        <v>5254.3</v>
      </c>
      <c r="CB33" s="13">
        <v>5252.3</v>
      </c>
      <c r="CC33" s="13">
        <v>5259</v>
      </c>
      <c r="CD33" s="13"/>
      <c r="CE33" s="13">
        <v>5263.27</v>
      </c>
      <c r="CF33" s="13">
        <v>5262.91</v>
      </c>
      <c r="CG33" s="13">
        <v>5258.25</v>
      </c>
      <c r="CH33" s="13">
        <v>5255.23</v>
      </c>
      <c r="CI33" s="13">
        <v>5257.34</v>
      </c>
      <c r="CJ33" s="13">
        <v>5256.4</v>
      </c>
      <c r="CK33" s="13">
        <v>5257.16</v>
      </c>
      <c r="CL33" s="13">
        <v>5252.8</v>
      </c>
      <c r="CM33" s="13">
        <v>5255.23</v>
      </c>
      <c r="CN33" s="13">
        <v>5253.38</v>
      </c>
      <c r="CO33" s="13">
        <v>5257.2</v>
      </c>
      <c r="CP33" s="13">
        <v>5258.09</v>
      </c>
      <c r="CQ33" s="13">
        <v>5257.61</v>
      </c>
      <c r="CR33" s="13">
        <v>5255.71</v>
      </c>
      <c r="CS33" s="13">
        <v>5249.76</v>
      </c>
      <c r="CT33" s="13">
        <v>5249.34</v>
      </c>
      <c r="CU33" s="13">
        <v>5242.29</v>
      </c>
      <c r="CV33" s="13">
        <v>5243.65</v>
      </c>
      <c r="CW33" s="13">
        <v>5247.75</v>
      </c>
      <c r="CX33" s="13">
        <v>5245.29</v>
      </c>
      <c r="CY33" s="13">
        <v>5251.58</v>
      </c>
      <c r="CZ33" s="13">
        <v>5250.08</v>
      </c>
      <c r="DA33" s="13">
        <v>5251.04</v>
      </c>
      <c r="DB33" s="13">
        <v>5249.67</v>
      </c>
      <c r="DC33" s="13">
        <v>5248.17</v>
      </c>
      <c r="DD33" s="13">
        <v>5246.21</v>
      </c>
      <c r="DE33" s="13">
        <v>5248.07</v>
      </c>
      <c r="DF33" s="13">
        <v>5250</v>
      </c>
    </row>
    <row r="34" spans="1:110" ht="15.75" x14ac:dyDescent="0.25">
      <c r="A34" s="14" t="s">
        <v>12</v>
      </c>
      <c r="B34" s="12" t="s">
        <v>9</v>
      </c>
      <c r="C34" s="13">
        <v>5250.95</v>
      </c>
      <c r="D34" s="13">
        <v>5239</v>
      </c>
      <c r="E34" s="13">
        <v>5241</v>
      </c>
      <c r="F34" s="13">
        <v>5248.16</v>
      </c>
      <c r="G34" s="13">
        <v>5260.47</v>
      </c>
      <c r="H34" s="13">
        <v>5263.16</v>
      </c>
      <c r="I34" s="13">
        <v>5278.5</v>
      </c>
      <c r="J34" s="13">
        <v>5277.44</v>
      </c>
      <c r="K34" s="13">
        <v>5274.45</v>
      </c>
      <c r="L34" s="13">
        <v>5273.45</v>
      </c>
      <c r="M34" s="13">
        <v>5282.27</v>
      </c>
      <c r="N34" s="13">
        <v>5281.18</v>
      </c>
      <c r="O34" s="13">
        <v>5287.29</v>
      </c>
      <c r="P34" s="13">
        <v>5295.76</v>
      </c>
      <c r="Q34" s="13">
        <v>5297.29</v>
      </c>
      <c r="R34" s="13">
        <v>5297.31</v>
      </c>
      <c r="S34" s="13">
        <v>5295.31</v>
      </c>
      <c r="T34" s="13">
        <v>5294.06</v>
      </c>
      <c r="U34" s="13">
        <v>5285.38</v>
      </c>
      <c r="V34" s="13">
        <v>5287.38</v>
      </c>
      <c r="W34" s="13">
        <v>5279.38</v>
      </c>
      <c r="X34" s="13">
        <v>5278.06</v>
      </c>
      <c r="Y34" s="13">
        <v>5272.44</v>
      </c>
      <c r="Z34" s="13">
        <v>5259.37</v>
      </c>
      <c r="AA34" s="13">
        <v>5258.29</v>
      </c>
      <c r="AB34" s="13">
        <v>5261.37</v>
      </c>
      <c r="AC34" s="13">
        <v>5263</v>
      </c>
      <c r="AD34" s="13">
        <v>5254.95</v>
      </c>
      <c r="AE34" s="13">
        <v>5259.68</v>
      </c>
      <c r="AF34" s="13">
        <v>5265.05</v>
      </c>
      <c r="AG34" s="13">
        <v>5270.15</v>
      </c>
      <c r="AH34" s="13">
        <v>5267.05</v>
      </c>
      <c r="AI34" s="13">
        <v>5261.15</v>
      </c>
      <c r="AJ34" s="13">
        <v>5258.45</v>
      </c>
      <c r="AK34" s="13">
        <v>5262.8</v>
      </c>
      <c r="AL34" s="13">
        <v>5253.95</v>
      </c>
      <c r="AM34" s="13">
        <v>5256.82</v>
      </c>
      <c r="AN34" s="13">
        <v>5248.75</v>
      </c>
      <c r="AO34" s="13">
        <v>5237.28</v>
      </c>
      <c r="AP34" s="13">
        <v>5231</v>
      </c>
      <c r="AQ34" s="13">
        <v>5223.5600000000004</v>
      </c>
      <c r="AR34" s="13">
        <v>5230.5600000000004</v>
      </c>
      <c r="AS34" s="13">
        <v>5230.5600000000004</v>
      </c>
      <c r="AT34" s="13">
        <v>5224.17</v>
      </c>
      <c r="AU34" s="13">
        <v>5232.16</v>
      </c>
      <c r="AV34" s="13">
        <v>5228.8900000000003</v>
      </c>
      <c r="AW34" s="13">
        <v>5228.8900000000003</v>
      </c>
      <c r="AX34" s="13">
        <v>5230.21</v>
      </c>
      <c r="AY34" s="13">
        <v>5233.42</v>
      </c>
      <c r="AZ34" s="13">
        <v>5236.47</v>
      </c>
      <c r="BA34" s="13">
        <v>5237.21</v>
      </c>
      <c r="BB34" s="13">
        <v>5237.16</v>
      </c>
      <c r="BC34" s="13">
        <v>5232.47</v>
      </c>
      <c r="BD34" s="13">
        <v>5235.29</v>
      </c>
      <c r="BE34" s="13">
        <v>5235.5</v>
      </c>
      <c r="BF34" s="13">
        <v>5232.95</v>
      </c>
      <c r="BG34" s="13">
        <v>5238.63</v>
      </c>
      <c r="BH34" s="13">
        <v>5236.1499999999996</v>
      </c>
      <c r="BI34" s="13">
        <v>5237.25</v>
      </c>
      <c r="BJ34" s="13">
        <v>5238.05</v>
      </c>
      <c r="BK34" s="13">
        <v>5237.25</v>
      </c>
      <c r="BL34" s="13">
        <v>5235.2</v>
      </c>
      <c r="BM34" s="13">
        <v>5240.7299999999996</v>
      </c>
      <c r="BN34" s="13">
        <v>5237.55</v>
      </c>
      <c r="BO34" s="13">
        <v>5242.6000000000004</v>
      </c>
      <c r="BP34" s="13">
        <v>5241.79</v>
      </c>
      <c r="BQ34" s="13">
        <v>5240.16</v>
      </c>
      <c r="BR34" s="13">
        <v>5243.95</v>
      </c>
      <c r="BS34" s="13">
        <v>5243.47</v>
      </c>
      <c r="BT34" s="13">
        <v>5243.26</v>
      </c>
      <c r="BU34" s="13">
        <v>5244.47</v>
      </c>
      <c r="BV34" s="13">
        <v>5239.8900000000003</v>
      </c>
      <c r="BW34" s="13">
        <v>5243.95</v>
      </c>
      <c r="BX34" s="13">
        <v>5245.84</v>
      </c>
      <c r="BY34" s="13">
        <v>5247.9</v>
      </c>
      <c r="BZ34" s="13">
        <v>5246.11</v>
      </c>
      <c r="CA34" s="13">
        <v>5245.58</v>
      </c>
      <c r="CB34" s="13">
        <v>5243.53</v>
      </c>
      <c r="CC34" s="13">
        <v>5249.89</v>
      </c>
      <c r="CD34" s="13"/>
      <c r="CE34" s="13">
        <v>5254.25</v>
      </c>
      <c r="CF34" s="13">
        <v>5253</v>
      </c>
      <c r="CG34" s="13">
        <v>5247.47</v>
      </c>
      <c r="CH34" s="13">
        <v>5243.68</v>
      </c>
      <c r="CI34" s="13">
        <v>5244.65</v>
      </c>
      <c r="CJ34" s="13">
        <v>5245.58</v>
      </c>
      <c r="CK34" s="13">
        <v>5246.53</v>
      </c>
      <c r="CL34" s="13">
        <v>5241.63</v>
      </c>
      <c r="CM34" s="13">
        <v>5242.74</v>
      </c>
      <c r="CN34" s="13">
        <v>5241.79</v>
      </c>
      <c r="CO34" s="13">
        <v>5244.73</v>
      </c>
      <c r="CP34" s="13">
        <v>5245.93</v>
      </c>
      <c r="CQ34" s="13">
        <v>5247.27</v>
      </c>
      <c r="CR34" s="13">
        <v>5243</v>
      </c>
      <c r="CS34" s="13">
        <v>5240.6000000000004</v>
      </c>
      <c r="CT34" s="13">
        <v>5240.67</v>
      </c>
      <c r="CU34" s="13">
        <v>5232.93</v>
      </c>
      <c r="CV34" s="13">
        <v>5235.3599999999997</v>
      </c>
      <c r="CW34" s="13">
        <v>5238.8100000000004</v>
      </c>
      <c r="CX34" s="13">
        <v>5237.43</v>
      </c>
      <c r="CY34" s="13">
        <v>5242.29</v>
      </c>
      <c r="CZ34" s="13">
        <v>5241.5</v>
      </c>
      <c r="DA34" s="13">
        <v>5242.07</v>
      </c>
      <c r="DB34" s="13">
        <v>5240.79</v>
      </c>
      <c r="DC34" s="13">
        <v>5239.5</v>
      </c>
      <c r="DD34" s="13">
        <v>5234.78</v>
      </c>
      <c r="DE34" s="13">
        <v>5236.8999999999996</v>
      </c>
      <c r="DF34" s="13">
        <v>5236.43</v>
      </c>
    </row>
    <row r="35" spans="1:110" ht="15.75" x14ac:dyDescent="0.25">
      <c r="A35" s="14" t="s">
        <v>12</v>
      </c>
      <c r="B35" s="12" t="s">
        <v>7</v>
      </c>
      <c r="C35" s="13">
        <v>5230</v>
      </c>
      <c r="D35" s="13">
        <v>5238.4399999999996</v>
      </c>
      <c r="E35" s="13">
        <v>5236.4399999999996</v>
      </c>
      <c r="F35" s="13">
        <v>5243.28</v>
      </c>
      <c r="G35" s="13">
        <v>5246.11</v>
      </c>
      <c r="H35" s="13">
        <v>5256.26</v>
      </c>
      <c r="I35" s="13">
        <v>5265.47</v>
      </c>
      <c r="J35" s="13">
        <v>5272.28</v>
      </c>
      <c r="K35" s="13">
        <v>5273</v>
      </c>
      <c r="L35" s="13">
        <v>5271.91</v>
      </c>
      <c r="M35" s="13">
        <v>5271.59</v>
      </c>
      <c r="N35" s="13">
        <v>5279.42</v>
      </c>
      <c r="O35" s="13">
        <v>5283.12</v>
      </c>
      <c r="P35" s="13">
        <v>5285</v>
      </c>
      <c r="Q35" s="13">
        <v>5292</v>
      </c>
      <c r="R35" s="13">
        <v>5293</v>
      </c>
      <c r="S35" s="13">
        <v>5291</v>
      </c>
      <c r="T35" s="13">
        <v>5290.06</v>
      </c>
      <c r="U35" s="13">
        <v>5285.31</v>
      </c>
      <c r="V35" s="13">
        <v>5279.38</v>
      </c>
      <c r="W35" s="13">
        <v>5278.38</v>
      </c>
      <c r="X35" s="13">
        <v>5275.38</v>
      </c>
      <c r="Y35" s="13">
        <v>5269.44</v>
      </c>
      <c r="Z35" s="13">
        <v>5259.37</v>
      </c>
      <c r="AA35" s="13">
        <v>5254.28</v>
      </c>
      <c r="AB35" s="13">
        <v>5253.83</v>
      </c>
      <c r="AC35" s="13">
        <v>5260.84</v>
      </c>
      <c r="AD35" s="13">
        <v>5254.95</v>
      </c>
      <c r="AE35" s="13">
        <v>5252.86</v>
      </c>
      <c r="AF35" s="13">
        <v>5259.05</v>
      </c>
      <c r="AG35" s="13">
        <v>5267.2</v>
      </c>
      <c r="AH35" s="13">
        <v>5266.3</v>
      </c>
      <c r="AI35" s="13">
        <v>5260.53</v>
      </c>
      <c r="AJ35" s="13">
        <v>5258.2</v>
      </c>
      <c r="AK35" s="13">
        <v>5257.55</v>
      </c>
      <c r="AL35" s="13">
        <v>5253.6</v>
      </c>
      <c r="AM35" s="13">
        <v>5253.06</v>
      </c>
      <c r="AN35" s="13">
        <v>5248.33</v>
      </c>
      <c r="AO35" s="13">
        <v>5237.28</v>
      </c>
      <c r="AP35" s="13">
        <v>5226.16</v>
      </c>
      <c r="AQ35" s="13">
        <v>5221.72</v>
      </c>
      <c r="AR35" s="13">
        <v>5223.5600000000004</v>
      </c>
      <c r="AS35" s="13">
        <v>5230.28</v>
      </c>
      <c r="AT35" s="13">
        <v>5224.17</v>
      </c>
      <c r="AU35" s="13">
        <v>5224.72</v>
      </c>
      <c r="AV35" s="13">
        <v>5228.5</v>
      </c>
      <c r="AW35" s="13">
        <v>5228.42</v>
      </c>
      <c r="AX35" s="13">
        <v>5227.95</v>
      </c>
      <c r="AY35" s="13">
        <v>5225.8900000000003</v>
      </c>
      <c r="AZ35" s="13">
        <v>5233.95</v>
      </c>
      <c r="BA35" s="13">
        <v>5236.29</v>
      </c>
      <c r="BB35" s="13">
        <v>5236.16</v>
      </c>
      <c r="BC35" s="13">
        <v>5230.43</v>
      </c>
      <c r="BD35" s="13">
        <v>5232.16</v>
      </c>
      <c r="BE35" s="13">
        <v>5235.16</v>
      </c>
      <c r="BF35" s="13">
        <v>5232.43</v>
      </c>
      <c r="BG35" s="13">
        <v>5233.29</v>
      </c>
      <c r="BH35" s="13">
        <v>5235.8</v>
      </c>
      <c r="BI35" s="13">
        <v>5235.8</v>
      </c>
      <c r="BJ35" s="13">
        <v>5236.07</v>
      </c>
      <c r="BK35" s="13">
        <v>5235.87</v>
      </c>
      <c r="BL35" s="13">
        <v>5234.2</v>
      </c>
      <c r="BM35" s="13">
        <v>5234.7</v>
      </c>
      <c r="BN35" s="13">
        <v>5237</v>
      </c>
      <c r="BO35" s="13">
        <v>5236.07</v>
      </c>
      <c r="BP35" s="13">
        <v>5241.79</v>
      </c>
      <c r="BQ35" s="13">
        <v>5239.63</v>
      </c>
      <c r="BR35" s="13">
        <v>5238.95</v>
      </c>
      <c r="BS35" s="13">
        <v>5242.74</v>
      </c>
      <c r="BT35" s="13">
        <v>5240.3999999999996</v>
      </c>
      <c r="BU35" s="13">
        <v>5243.21</v>
      </c>
      <c r="BV35" s="13">
        <v>5239.47</v>
      </c>
      <c r="BW35" s="13">
        <v>5237.05</v>
      </c>
      <c r="BX35" s="13">
        <v>5245.07</v>
      </c>
      <c r="BY35" s="13">
        <v>5245.07</v>
      </c>
      <c r="BZ35" s="13">
        <v>5245.75</v>
      </c>
      <c r="CA35" s="13">
        <v>5243.68</v>
      </c>
      <c r="CB35" s="13">
        <v>5242.74</v>
      </c>
      <c r="CC35" s="13">
        <v>5243.53</v>
      </c>
      <c r="CD35" s="13">
        <v>5246.67</v>
      </c>
      <c r="CE35" s="13">
        <v>5252.19</v>
      </c>
      <c r="CF35" s="13">
        <v>5250.56</v>
      </c>
      <c r="CG35" s="13">
        <v>5247.47</v>
      </c>
      <c r="CH35" s="13">
        <v>5241.79</v>
      </c>
      <c r="CI35" s="13">
        <v>5241.75</v>
      </c>
      <c r="CJ35" s="13">
        <v>5242.33</v>
      </c>
      <c r="CK35" s="13">
        <v>5244.63</v>
      </c>
      <c r="CL35" s="13">
        <v>5240.6000000000004</v>
      </c>
      <c r="CM35" s="13">
        <v>5240.6000000000004</v>
      </c>
      <c r="CN35" s="13">
        <v>5239.47</v>
      </c>
      <c r="CO35" s="13">
        <v>5239.7299999999996</v>
      </c>
      <c r="CP35" s="13">
        <v>5241.91</v>
      </c>
      <c r="CQ35" s="13">
        <v>5243.09</v>
      </c>
      <c r="CR35" s="13">
        <v>5240.91</v>
      </c>
      <c r="CS35" s="13">
        <v>5239.7299999999996</v>
      </c>
      <c r="CT35" s="13">
        <v>5238.33</v>
      </c>
      <c r="CU35" s="13">
        <v>5231.6000000000004</v>
      </c>
      <c r="CV35" s="13">
        <v>5232.93</v>
      </c>
      <c r="CW35" s="13">
        <v>5235.3599999999997</v>
      </c>
      <c r="CX35" s="13">
        <v>5234.8</v>
      </c>
      <c r="CY35" s="13">
        <v>5237.43</v>
      </c>
      <c r="CZ35" s="13">
        <v>5239.6000000000004</v>
      </c>
      <c r="DA35" s="13">
        <v>5239.8999999999996</v>
      </c>
      <c r="DB35" s="13">
        <v>5239.8999999999996</v>
      </c>
      <c r="DC35" s="13">
        <v>5236.7</v>
      </c>
      <c r="DD35" s="13">
        <v>5234.78</v>
      </c>
      <c r="DE35" s="13">
        <v>5234.78</v>
      </c>
      <c r="DF35" s="13">
        <v>5236.43</v>
      </c>
    </row>
    <row r="36" spans="1:110" ht="15.75" x14ac:dyDescent="0.25">
      <c r="A36" s="11" t="s">
        <v>5</v>
      </c>
      <c r="B36" s="11" t="s">
        <v>11</v>
      </c>
      <c r="C36" s="15">
        <v>0.37847222222222227</v>
      </c>
      <c r="D36" s="15">
        <v>0.38194444444444442</v>
      </c>
      <c r="E36" s="15">
        <v>0.38541666666666669</v>
      </c>
      <c r="F36" s="15">
        <v>0.3888888888888889</v>
      </c>
      <c r="G36" s="15">
        <v>0.3923611111111111</v>
      </c>
      <c r="H36" s="15">
        <v>0.39583333333333331</v>
      </c>
      <c r="I36" s="15">
        <v>0.39930555555555558</v>
      </c>
      <c r="J36" s="15">
        <v>0.40277777777777773</v>
      </c>
      <c r="K36" s="15">
        <v>0.40625</v>
      </c>
      <c r="L36" s="15">
        <v>0.40972222222222227</v>
      </c>
      <c r="M36" s="15">
        <v>0.41319444444444442</v>
      </c>
      <c r="N36" s="15">
        <v>0.41666666666666669</v>
      </c>
      <c r="O36" s="15">
        <v>0.4201388888888889</v>
      </c>
      <c r="P36" s="15">
        <v>0.4236111111111111</v>
      </c>
      <c r="Q36" s="15">
        <v>0.42708333333333331</v>
      </c>
      <c r="R36" s="15">
        <v>0.43055555555555558</v>
      </c>
      <c r="S36" s="15">
        <v>0.43402777777777773</v>
      </c>
      <c r="T36" s="15">
        <v>0.4375</v>
      </c>
      <c r="U36" s="15">
        <v>0.44097222222222227</v>
      </c>
      <c r="V36" s="15">
        <v>0.44444444444444442</v>
      </c>
      <c r="W36" s="15">
        <v>0.44791666666666669</v>
      </c>
      <c r="X36" s="15">
        <v>0.4513888888888889</v>
      </c>
      <c r="Y36" s="15">
        <v>0.4548611111111111</v>
      </c>
      <c r="Z36" s="15">
        <v>0.45833333333333331</v>
      </c>
      <c r="AA36" s="15">
        <v>0.46180555555555558</v>
      </c>
      <c r="AB36" s="15">
        <v>0.46527777777777773</v>
      </c>
      <c r="AC36" s="15">
        <v>0.46875</v>
      </c>
      <c r="AD36" s="15">
        <v>0.47222222222222227</v>
      </c>
      <c r="AE36" s="15">
        <v>0.47569444444444442</v>
      </c>
      <c r="AF36" s="15">
        <v>0.47916666666666669</v>
      </c>
      <c r="AG36" s="15">
        <v>0.4826388888888889</v>
      </c>
      <c r="AH36" s="15">
        <v>0.4861111111111111</v>
      </c>
      <c r="AI36" s="15">
        <v>0.48958333333333331</v>
      </c>
      <c r="AJ36" s="15">
        <v>0.49305555555555558</v>
      </c>
      <c r="AK36" s="15">
        <v>0.49652777777777773</v>
      </c>
      <c r="AL36" s="15">
        <v>0.5</v>
      </c>
      <c r="AM36" s="15">
        <v>0.50347222222222221</v>
      </c>
      <c r="AN36" s="15">
        <v>0.50694444444444442</v>
      </c>
      <c r="AO36" s="15">
        <v>0.51041666666666663</v>
      </c>
      <c r="AP36" s="15">
        <v>0.51388888888888895</v>
      </c>
      <c r="AQ36" s="15">
        <v>0.51736111111111105</v>
      </c>
      <c r="AR36" s="15">
        <v>0.52083333333333337</v>
      </c>
      <c r="AS36" s="15">
        <v>0.52430555555555558</v>
      </c>
      <c r="AT36" s="15">
        <v>0.52777777777777779</v>
      </c>
      <c r="AU36" s="15">
        <v>0.53125</v>
      </c>
      <c r="AV36" s="15">
        <v>0.53472222222222221</v>
      </c>
      <c r="AW36" s="15">
        <v>0.53819444444444442</v>
      </c>
      <c r="AX36" s="15">
        <v>0.54166666666666663</v>
      </c>
      <c r="AY36" s="15">
        <v>0.54513888888888895</v>
      </c>
      <c r="AZ36" s="15">
        <v>0.54861111111111105</v>
      </c>
      <c r="BA36" s="15">
        <v>0.55208333333333337</v>
      </c>
      <c r="BB36" s="15">
        <v>0.55555555555555558</v>
      </c>
      <c r="BC36" s="15">
        <v>0.55902777777777779</v>
      </c>
      <c r="BD36" s="15">
        <v>0.5625</v>
      </c>
      <c r="BE36" s="15">
        <v>0.56597222222222221</v>
      </c>
      <c r="BF36" s="15">
        <v>0.56944444444444442</v>
      </c>
      <c r="BG36" s="15">
        <v>0.57291666666666663</v>
      </c>
      <c r="BH36" s="15">
        <v>0.57638888888888895</v>
      </c>
      <c r="BI36" s="15">
        <v>0.57986111111111105</v>
      </c>
      <c r="BJ36" s="15">
        <v>0.58333333333333337</v>
      </c>
      <c r="BK36" s="15">
        <v>0.58680555555555558</v>
      </c>
      <c r="BL36" s="15">
        <v>0.59027777777777779</v>
      </c>
      <c r="BM36" s="15">
        <v>0.59375</v>
      </c>
      <c r="BN36" s="15">
        <v>0.59722222222222221</v>
      </c>
      <c r="BO36" s="15">
        <v>0.60069444444444442</v>
      </c>
      <c r="BP36" s="15">
        <v>0.60416666666666663</v>
      </c>
      <c r="BQ36" s="15">
        <v>0.60763888888888895</v>
      </c>
      <c r="BR36" s="15">
        <v>0.61111111111111105</v>
      </c>
      <c r="BS36" s="15">
        <v>0.61458333333333337</v>
      </c>
      <c r="BT36" s="15">
        <v>0.61805555555555558</v>
      </c>
      <c r="BU36" s="15">
        <v>0.62152777777777779</v>
      </c>
      <c r="BV36" s="15">
        <v>0.625</v>
      </c>
      <c r="BW36" s="15">
        <v>0.62847222222222221</v>
      </c>
      <c r="BX36" s="15">
        <v>0.63194444444444442</v>
      </c>
      <c r="BY36" s="15">
        <v>0.63541666666666663</v>
      </c>
      <c r="BZ36" s="15">
        <v>0.63888888888888895</v>
      </c>
      <c r="CA36" s="15">
        <v>0.64236111111111105</v>
      </c>
      <c r="CB36" s="15">
        <v>0.64583333333333337</v>
      </c>
      <c r="CC36" s="15">
        <v>0.64930555555555558</v>
      </c>
      <c r="CD36" s="15">
        <v>0.65277777777777779</v>
      </c>
      <c r="CE36" s="15">
        <v>0.65625</v>
      </c>
      <c r="CF36" s="15">
        <v>0.65972222222222221</v>
      </c>
      <c r="CG36" s="15">
        <v>0.66319444444444442</v>
      </c>
      <c r="CH36" s="15">
        <v>0.66666666666666663</v>
      </c>
      <c r="CI36" s="15">
        <v>0.67013888888888884</v>
      </c>
      <c r="CJ36" s="15">
        <v>0.67361111111111116</v>
      </c>
      <c r="CK36" s="15">
        <v>0.67708333333333337</v>
      </c>
      <c r="CL36" s="15">
        <v>0.68055555555555547</v>
      </c>
      <c r="CM36" s="15">
        <v>0.68402777777777779</v>
      </c>
      <c r="CN36" s="15">
        <v>0.6875</v>
      </c>
      <c r="CO36" s="15">
        <v>0.69097222222222221</v>
      </c>
      <c r="CP36" s="15">
        <v>0.69444444444444453</v>
      </c>
      <c r="CQ36" s="15">
        <v>0.69791666666666663</v>
      </c>
      <c r="CR36" s="15">
        <v>0.70138888888888884</v>
      </c>
      <c r="CS36" s="15">
        <v>0.70486111111111116</v>
      </c>
      <c r="CT36" s="15">
        <v>0.70833333333333337</v>
      </c>
      <c r="CU36" s="15">
        <v>0.71180555555555547</v>
      </c>
      <c r="CV36" s="15">
        <v>0.71527777777777779</v>
      </c>
      <c r="CW36" s="15">
        <v>0.71875</v>
      </c>
      <c r="CX36" s="15">
        <v>0.72222222222222221</v>
      </c>
      <c r="CY36" s="15">
        <v>0.72569444444444453</v>
      </c>
      <c r="CZ36" s="15">
        <v>0.72916666666666663</v>
      </c>
      <c r="DA36" s="15">
        <v>0.73263888888888884</v>
      </c>
      <c r="DB36" s="15">
        <v>0.73611111111111116</v>
      </c>
      <c r="DC36" s="15">
        <v>0.73958333333333337</v>
      </c>
      <c r="DD36" s="15">
        <v>0.74305555555555547</v>
      </c>
      <c r="DE36" s="15">
        <v>0.74652777777777779</v>
      </c>
      <c r="DF36" s="15">
        <v>0.75</v>
      </c>
    </row>
    <row r="37" spans="1:110" ht="15.75" x14ac:dyDescent="0.25">
      <c r="A37" s="14">
        <v>44328</v>
      </c>
      <c r="B37" s="12" t="s">
        <v>6</v>
      </c>
      <c r="C37" s="13">
        <v>5502.12</v>
      </c>
      <c r="D37" s="13">
        <v>5502.12</v>
      </c>
      <c r="E37" s="13">
        <v>5502.12</v>
      </c>
      <c r="F37" s="13">
        <v>5266</v>
      </c>
      <c r="G37" s="13">
        <v>5263.3</v>
      </c>
      <c r="H37" s="13">
        <v>5502.12</v>
      </c>
      <c r="I37" s="13">
        <v>5502.12</v>
      </c>
      <c r="J37" s="13">
        <v>5502.12</v>
      </c>
      <c r="K37" s="13">
        <v>5502.12</v>
      </c>
      <c r="L37" s="13">
        <v>5502.12</v>
      </c>
      <c r="M37" s="13">
        <v>5502.12</v>
      </c>
      <c r="N37" s="13">
        <v>5502.12</v>
      </c>
      <c r="O37" s="13">
        <v>5502.12</v>
      </c>
      <c r="P37" s="13">
        <v>5502.12</v>
      </c>
      <c r="Q37" s="13">
        <v>5502.12</v>
      </c>
      <c r="R37" s="13">
        <v>5502.12</v>
      </c>
      <c r="S37" s="13">
        <v>5502.12</v>
      </c>
      <c r="T37" s="13">
        <v>5502.12</v>
      </c>
      <c r="U37" s="13">
        <v>5502.12</v>
      </c>
      <c r="V37" s="13">
        <v>5502.12</v>
      </c>
      <c r="W37" s="13">
        <v>5502.12</v>
      </c>
      <c r="X37" s="13">
        <v>5502.12</v>
      </c>
      <c r="Y37" s="13">
        <v>5502.12</v>
      </c>
      <c r="Z37" s="13">
        <v>5502.12</v>
      </c>
      <c r="AA37" s="13">
        <v>5502.12</v>
      </c>
      <c r="AB37" s="13">
        <v>5502.12</v>
      </c>
      <c r="AC37" s="13">
        <v>5502.12</v>
      </c>
      <c r="AD37" s="13">
        <v>5502.12</v>
      </c>
      <c r="AE37" s="13">
        <v>5502.12</v>
      </c>
      <c r="AF37" s="13">
        <v>5502.12</v>
      </c>
      <c r="AG37" s="13">
        <v>5250.61</v>
      </c>
      <c r="AH37" s="13">
        <v>5253</v>
      </c>
      <c r="AI37" s="13">
        <v>5258.61</v>
      </c>
      <c r="AJ37" s="13">
        <v>5256.61</v>
      </c>
      <c r="AK37" s="13">
        <v>5256.91</v>
      </c>
      <c r="AL37" s="13">
        <v>5262.91</v>
      </c>
      <c r="AM37" s="13">
        <v>5260.91</v>
      </c>
      <c r="AN37" s="13">
        <v>5268.61</v>
      </c>
      <c r="AO37" s="13">
        <v>5266.61</v>
      </c>
      <c r="AP37" s="13">
        <v>5266</v>
      </c>
      <c r="AQ37" s="13">
        <v>5271.91</v>
      </c>
      <c r="AR37" s="13">
        <v>5284.61</v>
      </c>
      <c r="AS37" s="13">
        <v>5295.15</v>
      </c>
      <c r="AT37" s="13">
        <v>5295.4</v>
      </c>
      <c r="AU37" s="13">
        <v>5287.68</v>
      </c>
      <c r="AV37" s="13">
        <v>5281.85</v>
      </c>
      <c r="AW37" s="13">
        <v>5281.56</v>
      </c>
      <c r="AX37" s="13">
        <v>5280.79</v>
      </c>
      <c r="AY37" s="13">
        <v>5284.76</v>
      </c>
      <c r="AZ37" s="13">
        <v>5284.76</v>
      </c>
      <c r="BA37" s="13">
        <v>5288.35</v>
      </c>
      <c r="BB37" s="13">
        <v>5289.32</v>
      </c>
      <c r="BC37" s="13">
        <v>5285.56</v>
      </c>
      <c r="BD37" s="13">
        <v>5284.76</v>
      </c>
      <c r="BE37" s="13">
        <v>5285</v>
      </c>
      <c r="BF37" s="13">
        <v>5286.54</v>
      </c>
      <c r="BG37" s="13">
        <v>5287.09</v>
      </c>
      <c r="BH37" s="13">
        <v>5288.03</v>
      </c>
      <c r="BI37" s="13">
        <v>5283.96</v>
      </c>
      <c r="BJ37" s="13">
        <v>5284.26</v>
      </c>
      <c r="BK37" s="13">
        <v>5277.66</v>
      </c>
      <c r="BL37" s="13">
        <v>5276.43</v>
      </c>
      <c r="BM37" s="13">
        <v>5281.42</v>
      </c>
      <c r="BN37" s="13">
        <v>5284.08</v>
      </c>
      <c r="BO37" s="13">
        <v>5285.73</v>
      </c>
      <c r="BP37" s="13">
        <v>5283.19</v>
      </c>
      <c r="BQ37" s="13">
        <v>5289.63</v>
      </c>
      <c r="BR37" s="13">
        <v>5288.5</v>
      </c>
      <c r="BS37" s="13">
        <v>5285.2</v>
      </c>
      <c r="BT37" s="13">
        <v>5287.12</v>
      </c>
      <c r="BU37" s="13">
        <v>5291.54</v>
      </c>
      <c r="BV37" s="13">
        <v>5300.97</v>
      </c>
      <c r="BW37" s="13">
        <v>5297.24</v>
      </c>
      <c r="BX37" s="13">
        <v>5298.96</v>
      </c>
      <c r="BY37" s="13">
        <v>5298.96</v>
      </c>
      <c r="BZ37" s="13">
        <v>5298.04</v>
      </c>
      <c r="CA37" s="13">
        <v>5300.59</v>
      </c>
      <c r="CB37" s="13">
        <v>5305.21</v>
      </c>
      <c r="CC37" s="13">
        <v>5305.59</v>
      </c>
      <c r="CD37" s="13">
        <v>5303.88</v>
      </c>
      <c r="CE37" s="13">
        <v>5315.85</v>
      </c>
      <c r="CF37" s="13">
        <v>5313.62</v>
      </c>
      <c r="CG37" s="13">
        <v>5309.96</v>
      </c>
      <c r="CH37" s="13">
        <v>5311.35</v>
      </c>
      <c r="CI37" s="13">
        <v>5318.54</v>
      </c>
      <c r="CJ37" s="13">
        <v>5322.19</v>
      </c>
      <c r="CK37" s="13">
        <v>5323.6</v>
      </c>
      <c r="CL37" s="13">
        <v>5323.84</v>
      </c>
      <c r="CM37" s="13">
        <v>5328.32</v>
      </c>
      <c r="CN37" s="13">
        <v>5331.47</v>
      </c>
      <c r="CO37" s="13">
        <v>5325.44</v>
      </c>
      <c r="CP37" s="13">
        <v>5327.97</v>
      </c>
      <c r="CQ37" s="13">
        <v>5327.92</v>
      </c>
      <c r="CR37" s="13">
        <v>5327</v>
      </c>
      <c r="CS37" s="13">
        <v>5331.85</v>
      </c>
      <c r="CT37" s="13">
        <v>5332.52</v>
      </c>
      <c r="CU37" s="13">
        <v>5335.28</v>
      </c>
      <c r="CV37" s="13">
        <v>5335.28</v>
      </c>
      <c r="CW37" s="13">
        <v>5333.04</v>
      </c>
      <c r="CX37" s="13">
        <v>5337.03</v>
      </c>
      <c r="CY37" s="13">
        <v>5342</v>
      </c>
      <c r="CZ37" s="13">
        <v>5340</v>
      </c>
      <c r="DA37" s="13">
        <v>5340</v>
      </c>
      <c r="DB37" s="13">
        <v>5342</v>
      </c>
      <c r="DC37" s="13">
        <v>5340</v>
      </c>
      <c r="DD37" s="13">
        <v>5342</v>
      </c>
      <c r="DE37" s="13">
        <v>5335.77</v>
      </c>
      <c r="DF37" s="13">
        <v>5333.77</v>
      </c>
    </row>
    <row r="38" spans="1:110" ht="15.75" x14ac:dyDescent="0.25">
      <c r="A38" s="14" t="s">
        <v>12</v>
      </c>
      <c r="B38" s="12" t="s">
        <v>10</v>
      </c>
      <c r="C38" s="13">
        <v>5502.12</v>
      </c>
      <c r="D38" s="13">
        <v>5502.12</v>
      </c>
      <c r="E38" s="13">
        <v>5263</v>
      </c>
      <c r="F38" s="13">
        <v>5263.3</v>
      </c>
      <c r="G38" s="13">
        <v>5260.61</v>
      </c>
      <c r="H38" s="13">
        <v>5253.67</v>
      </c>
      <c r="I38" s="13">
        <v>5502.12</v>
      </c>
      <c r="J38" s="13">
        <v>5502.12</v>
      </c>
      <c r="K38" s="13">
        <v>5502.12</v>
      </c>
      <c r="L38" s="13">
        <v>5502.12</v>
      </c>
      <c r="M38" s="13">
        <v>5502.12</v>
      </c>
      <c r="N38" s="13">
        <v>5502.12</v>
      </c>
      <c r="O38" s="13">
        <v>5502.12</v>
      </c>
      <c r="P38" s="13">
        <v>5502.12</v>
      </c>
      <c r="Q38" s="13">
        <v>5502.12</v>
      </c>
      <c r="R38" s="13">
        <v>5502.12</v>
      </c>
      <c r="S38" s="13">
        <v>5502.12</v>
      </c>
      <c r="T38" s="13">
        <v>5502.12</v>
      </c>
      <c r="U38" s="13">
        <v>5502.12</v>
      </c>
      <c r="V38" s="13">
        <v>5502.12</v>
      </c>
      <c r="W38" s="13">
        <v>5502.12</v>
      </c>
      <c r="X38" s="13">
        <v>5502.12</v>
      </c>
      <c r="Y38" s="13">
        <v>5502.12</v>
      </c>
      <c r="Z38" s="13">
        <v>5502.12</v>
      </c>
      <c r="AA38" s="13">
        <v>5502.12</v>
      </c>
      <c r="AB38" s="13">
        <v>5502.12</v>
      </c>
      <c r="AC38" s="13">
        <v>5502.12</v>
      </c>
      <c r="AD38" s="13">
        <v>5502.12</v>
      </c>
      <c r="AE38" s="13">
        <v>5502.12</v>
      </c>
      <c r="AF38" s="13">
        <v>5239.5200000000004</v>
      </c>
      <c r="AG38" s="13">
        <v>5250.61</v>
      </c>
      <c r="AH38" s="13">
        <v>5253</v>
      </c>
      <c r="AI38" s="13">
        <v>5256.61</v>
      </c>
      <c r="AJ38" s="13">
        <v>5248</v>
      </c>
      <c r="AK38" s="13">
        <v>5256.3</v>
      </c>
      <c r="AL38" s="13">
        <v>5260.61</v>
      </c>
      <c r="AM38" s="13">
        <v>5256.61</v>
      </c>
      <c r="AN38" s="13">
        <v>5264.7</v>
      </c>
      <c r="AO38" s="13">
        <v>5263.3</v>
      </c>
      <c r="AP38" s="13">
        <v>5260.79</v>
      </c>
      <c r="AQ38" s="13">
        <v>5271.61</v>
      </c>
      <c r="AR38" s="13">
        <v>5284.61</v>
      </c>
      <c r="AS38" s="13">
        <v>5294.85</v>
      </c>
      <c r="AT38" s="13">
        <v>5286.12</v>
      </c>
      <c r="AU38" s="13">
        <v>5283.21</v>
      </c>
      <c r="AV38" s="13">
        <v>5276.71</v>
      </c>
      <c r="AW38" s="13">
        <v>5281.56</v>
      </c>
      <c r="AX38" s="13">
        <v>5278.06</v>
      </c>
      <c r="AY38" s="13">
        <v>5283.21</v>
      </c>
      <c r="AZ38" s="13">
        <v>5282.53</v>
      </c>
      <c r="BA38" s="13">
        <v>5287.47</v>
      </c>
      <c r="BB38" s="13">
        <v>5282.53</v>
      </c>
      <c r="BC38" s="13">
        <v>5280.88</v>
      </c>
      <c r="BD38" s="13">
        <v>5282.82</v>
      </c>
      <c r="BE38" s="13">
        <v>5285</v>
      </c>
      <c r="BF38" s="13">
        <v>5282.51</v>
      </c>
      <c r="BG38" s="13">
        <v>5287.09</v>
      </c>
      <c r="BH38" s="13">
        <v>5283.31</v>
      </c>
      <c r="BI38" s="13">
        <v>5280.57</v>
      </c>
      <c r="BJ38" s="13">
        <v>5276.14</v>
      </c>
      <c r="BK38" s="13">
        <v>5269.26</v>
      </c>
      <c r="BL38" s="13">
        <v>5276.43</v>
      </c>
      <c r="BM38" s="13">
        <v>5279.91</v>
      </c>
      <c r="BN38" s="13">
        <v>5283.97</v>
      </c>
      <c r="BO38" s="13">
        <v>5279.91</v>
      </c>
      <c r="BP38" s="13">
        <v>5281.89</v>
      </c>
      <c r="BQ38" s="13">
        <v>5288.77</v>
      </c>
      <c r="BR38" s="13">
        <v>5283.97</v>
      </c>
      <c r="BS38" s="13">
        <v>5281.14</v>
      </c>
      <c r="BT38" s="13">
        <v>5286.8</v>
      </c>
      <c r="BU38" s="13">
        <v>5288.03</v>
      </c>
      <c r="BV38" s="13">
        <v>5298.35</v>
      </c>
      <c r="BW38" s="13">
        <v>5296.12</v>
      </c>
      <c r="BX38" s="13">
        <v>5297.76</v>
      </c>
      <c r="BY38" s="13">
        <v>5295.19</v>
      </c>
      <c r="BZ38" s="13">
        <v>5297.38</v>
      </c>
      <c r="CA38" s="13">
        <v>5300</v>
      </c>
      <c r="CB38" s="13">
        <v>5305.21</v>
      </c>
      <c r="CC38" s="13">
        <v>5301.94</v>
      </c>
      <c r="CD38" s="13">
        <v>5300.06</v>
      </c>
      <c r="CE38" s="13">
        <v>5310.97</v>
      </c>
      <c r="CF38" s="13">
        <v>5310.42</v>
      </c>
      <c r="CG38" s="13">
        <v>5306.37</v>
      </c>
      <c r="CH38" s="13">
        <v>5309.49</v>
      </c>
      <c r="CI38" s="13">
        <v>5316.63</v>
      </c>
      <c r="CJ38" s="13">
        <v>5317.71</v>
      </c>
      <c r="CK38" s="13">
        <v>5322.53</v>
      </c>
      <c r="CL38" s="13">
        <v>5323.79</v>
      </c>
      <c r="CM38" s="13">
        <v>5328.32</v>
      </c>
      <c r="CN38" s="13">
        <v>0</v>
      </c>
      <c r="CO38" s="13">
        <v>5325.44</v>
      </c>
      <c r="CP38" s="13">
        <v>5324.18</v>
      </c>
      <c r="CQ38" s="13">
        <v>5326.12</v>
      </c>
      <c r="CR38" s="13">
        <v>5324.09</v>
      </c>
      <c r="CS38" s="13">
        <v>5331.85</v>
      </c>
      <c r="CT38" s="13">
        <v>5329.62</v>
      </c>
      <c r="CU38" s="13">
        <v>5335.06</v>
      </c>
      <c r="CV38" s="13">
        <v>5333.88</v>
      </c>
      <c r="CW38" s="13">
        <v>5332.68</v>
      </c>
      <c r="CX38" s="13">
        <v>5336.26</v>
      </c>
      <c r="CY38" s="13">
        <v>5338</v>
      </c>
      <c r="CZ38" s="13">
        <v>5339.5</v>
      </c>
      <c r="DA38" s="13">
        <v>5338</v>
      </c>
      <c r="DB38" s="13">
        <v>5338</v>
      </c>
      <c r="DC38" s="13">
        <v>5338.5</v>
      </c>
      <c r="DD38" s="13">
        <v>5333.77</v>
      </c>
      <c r="DE38" s="13">
        <v>5332.77</v>
      </c>
      <c r="DF38" s="13">
        <v>5332</v>
      </c>
    </row>
    <row r="39" spans="1:110" ht="15.75" x14ac:dyDescent="0.25">
      <c r="A39" s="14" t="s">
        <v>12</v>
      </c>
      <c r="B39" s="12" t="s">
        <v>9</v>
      </c>
      <c r="C39" s="13">
        <v>5501.67</v>
      </c>
      <c r="D39" s="13">
        <v>5501.67</v>
      </c>
      <c r="E39" s="13">
        <v>5256.28</v>
      </c>
      <c r="F39" s="13">
        <v>5256.28</v>
      </c>
      <c r="G39" s="13">
        <v>5254.11</v>
      </c>
      <c r="H39" s="13">
        <v>5247</v>
      </c>
      <c r="I39" s="13">
        <v>5501.67</v>
      </c>
      <c r="J39" s="13">
        <v>5501.67</v>
      </c>
      <c r="K39" s="13">
        <v>5501.67</v>
      </c>
      <c r="L39" s="13">
        <v>5501.67</v>
      </c>
      <c r="M39" s="13">
        <v>5501.67</v>
      </c>
      <c r="N39" s="13">
        <v>5501.67</v>
      </c>
      <c r="O39" s="13">
        <v>5501.67</v>
      </c>
      <c r="P39" s="13">
        <v>5501.67</v>
      </c>
      <c r="Q39" s="13">
        <v>5501.67</v>
      </c>
      <c r="R39" s="13">
        <v>5501.67</v>
      </c>
      <c r="S39" s="13">
        <v>5501.67</v>
      </c>
      <c r="T39" s="13">
        <v>5501.67</v>
      </c>
      <c r="U39" s="13">
        <v>5501.67</v>
      </c>
      <c r="V39" s="13">
        <v>5501.67</v>
      </c>
      <c r="W39" s="13">
        <v>5501.67</v>
      </c>
      <c r="X39" s="13">
        <v>5501.67</v>
      </c>
      <c r="Y39" s="13">
        <v>5501.67</v>
      </c>
      <c r="Z39" s="13">
        <v>5501.67</v>
      </c>
      <c r="AA39" s="13">
        <v>5501.67</v>
      </c>
      <c r="AB39" s="13">
        <v>5501.67</v>
      </c>
      <c r="AC39" s="13">
        <v>5501.67</v>
      </c>
      <c r="AD39" s="13">
        <v>5501.67</v>
      </c>
      <c r="AE39" s="13"/>
      <c r="AF39" s="13">
        <v>5230.58</v>
      </c>
      <c r="AG39" s="13">
        <v>5241.3900000000003</v>
      </c>
      <c r="AH39" s="13">
        <v>5243.04</v>
      </c>
      <c r="AI39" s="13">
        <v>5247.21</v>
      </c>
      <c r="AJ39" s="13">
        <v>5239.47</v>
      </c>
      <c r="AK39" s="13">
        <v>5246.68</v>
      </c>
      <c r="AL39" s="13">
        <v>5251.16</v>
      </c>
      <c r="AM39" s="13">
        <v>5246.53</v>
      </c>
      <c r="AN39" s="13">
        <v>5255.06</v>
      </c>
      <c r="AO39" s="13">
        <v>5253.17</v>
      </c>
      <c r="AP39" s="13">
        <v>5251.94</v>
      </c>
      <c r="AQ39" s="13">
        <v>5262</v>
      </c>
      <c r="AR39" s="13">
        <v>5273.33</v>
      </c>
      <c r="AS39" s="13">
        <v>5283.72</v>
      </c>
      <c r="AT39" s="13">
        <v>5274.72</v>
      </c>
      <c r="AU39" s="13">
        <v>5271.61</v>
      </c>
      <c r="AV39" s="13">
        <v>5265.17</v>
      </c>
      <c r="AW39" s="13">
        <v>5269.72</v>
      </c>
      <c r="AX39" s="13">
        <v>5266.39</v>
      </c>
      <c r="AY39" s="13">
        <v>5271.61</v>
      </c>
      <c r="AZ39" s="13">
        <v>5270.83</v>
      </c>
      <c r="BA39" s="13">
        <v>5275.83</v>
      </c>
      <c r="BB39" s="13">
        <v>5270.83</v>
      </c>
      <c r="BC39" s="13">
        <v>5269.72</v>
      </c>
      <c r="BD39" s="13">
        <v>5271.39</v>
      </c>
      <c r="BE39" s="13">
        <v>5273.28</v>
      </c>
      <c r="BF39" s="13">
        <v>5268</v>
      </c>
      <c r="BG39" s="13">
        <v>5275.72</v>
      </c>
      <c r="BH39" s="13">
        <v>5272.28</v>
      </c>
      <c r="BI39" s="13">
        <v>5269.06</v>
      </c>
      <c r="BJ39" s="13">
        <v>5264.06</v>
      </c>
      <c r="BK39" s="13">
        <v>5256.67</v>
      </c>
      <c r="BL39" s="13">
        <v>5265.16</v>
      </c>
      <c r="BM39" s="13">
        <v>5267.42</v>
      </c>
      <c r="BN39" s="13">
        <v>5272.16</v>
      </c>
      <c r="BO39" s="13">
        <v>5267.42</v>
      </c>
      <c r="BP39" s="13">
        <v>5269.63</v>
      </c>
      <c r="BQ39" s="13">
        <v>5275.89</v>
      </c>
      <c r="BR39" s="13">
        <v>5271.26</v>
      </c>
      <c r="BS39" s="13">
        <v>5269.21</v>
      </c>
      <c r="BT39" s="13">
        <v>5274.11</v>
      </c>
      <c r="BU39" s="13">
        <v>5275.89</v>
      </c>
      <c r="BV39" s="13">
        <v>5285.65</v>
      </c>
      <c r="BW39" s="13">
        <v>5284.56</v>
      </c>
      <c r="BX39" s="13">
        <v>5286</v>
      </c>
      <c r="BY39" s="13">
        <v>5283.72</v>
      </c>
      <c r="BZ39" s="13">
        <v>5285.38</v>
      </c>
      <c r="CA39" s="13">
        <v>5287.75</v>
      </c>
      <c r="CB39" s="13">
        <v>5293</v>
      </c>
      <c r="CC39" s="13">
        <v>5289.33</v>
      </c>
      <c r="CD39" s="13">
        <v>5287.13</v>
      </c>
      <c r="CE39" s="13">
        <v>5296.92</v>
      </c>
      <c r="CF39" s="13">
        <v>5296.29</v>
      </c>
      <c r="CG39" s="13">
        <v>5289.14</v>
      </c>
      <c r="CH39" s="13">
        <v>5296</v>
      </c>
      <c r="CI39" s="13">
        <v>5302.71</v>
      </c>
      <c r="CJ39" s="13">
        <v>5304.13</v>
      </c>
      <c r="CK39" s="13">
        <v>5307.79</v>
      </c>
      <c r="CL39" s="13">
        <v>5308.96</v>
      </c>
      <c r="CM39" s="13">
        <v>5312.5</v>
      </c>
      <c r="CN39" s="13">
        <v>5310.54</v>
      </c>
      <c r="CO39" s="13">
        <v>5310.67</v>
      </c>
      <c r="CP39" s="13">
        <v>5309.75</v>
      </c>
      <c r="CQ39" s="13">
        <v>5311.04</v>
      </c>
      <c r="CR39" s="13">
        <v>5309.08</v>
      </c>
      <c r="CS39" s="13">
        <v>5316.04</v>
      </c>
      <c r="CT39" s="13">
        <v>5314.58</v>
      </c>
      <c r="CU39" s="13">
        <v>5319.71</v>
      </c>
      <c r="CV39" s="13">
        <v>5318.38</v>
      </c>
      <c r="CW39" s="13">
        <v>5317.88</v>
      </c>
      <c r="CX39" s="13">
        <v>5315.71</v>
      </c>
      <c r="CY39" s="13">
        <v>5320</v>
      </c>
      <c r="CZ39" s="13">
        <v>5320.59</v>
      </c>
      <c r="DA39" s="13">
        <v>5302.86</v>
      </c>
      <c r="DB39" s="13">
        <v>5326.88</v>
      </c>
      <c r="DC39" s="13">
        <v>5327.19</v>
      </c>
      <c r="DD39" s="13">
        <v>5318.67</v>
      </c>
      <c r="DE39" s="13">
        <v>5317.78</v>
      </c>
      <c r="DF39" s="13">
        <v>5312.5</v>
      </c>
    </row>
    <row r="40" spans="1:110" ht="15.75" x14ac:dyDescent="0.25">
      <c r="A40" s="14" t="s">
        <v>12</v>
      </c>
      <c r="B40" s="12" t="s">
        <v>7</v>
      </c>
      <c r="C40" s="13">
        <v>5501.67</v>
      </c>
      <c r="D40" s="13">
        <v>5253.15</v>
      </c>
      <c r="E40" s="13">
        <v>5255.83</v>
      </c>
      <c r="F40" s="13">
        <v>5250.28</v>
      </c>
      <c r="G40" s="13">
        <v>5253.83</v>
      </c>
      <c r="H40" s="13">
        <v>5242</v>
      </c>
      <c r="I40" s="13">
        <v>5501.67</v>
      </c>
      <c r="J40" s="13">
        <v>5501.67</v>
      </c>
      <c r="K40" s="13">
        <v>5501.67</v>
      </c>
      <c r="L40" s="13">
        <v>5255.83</v>
      </c>
      <c r="M40" s="13">
        <v>5501.67</v>
      </c>
      <c r="N40" s="13">
        <v>5501.67</v>
      </c>
      <c r="O40" s="13">
        <v>5501.67</v>
      </c>
      <c r="P40" s="13">
        <v>5501.67</v>
      </c>
      <c r="Q40" s="13">
        <v>5501.67</v>
      </c>
      <c r="R40" s="13">
        <v>5501.67</v>
      </c>
      <c r="S40" s="13">
        <v>5501.67</v>
      </c>
      <c r="T40" s="13">
        <v>5501.67</v>
      </c>
      <c r="U40" s="13">
        <v>5501.67</v>
      </c>
      <c r="V40" s="13">
        <v>5501.67</v>
      </c>
      <c r="W40" s="13">
        <v>5501.67</v>
      </c>
      <c r="X40" s="13">
        <v>5501.67</v>
      </c>
      <c r="Y40" s="13">
        <v>5501.67</v>
      </c>
      <c r="Z40" s="13">
        <v>5501.67</v>
      </c>
      <c r="AA40" s="13">
        <v>5501.67</v>
      </c>
      <c r="AB40" s="13">
        <v>5501.67</v>
      </c>
      <c r="AC40" s="13">
        <v>5501.67</v>
      </c>
      <c r="AD40" s="13">
        <v>5501.67</v>
      </c>
      <c r="AE40" s="13">
        <v>5501.67</v>
      </c>
      <c r="AF40" s="13">
        <v>5229.71</v>
      </c>
      <c r="AG40" s="13">
        <v>5232.7299999999996</v>
      </c>
      <c r="AH40" s="13">
        <v>5240.4799999999996</v>
      </c>
      <c r="AI40" s="13">
        <v>5243.39</v>
      </c>
      <c r="AJ40" s="13">
        <v>5236.93</v>
      </c>
      <c r="AK40" s="13">
        <v>5239.1099999999997</v>
      </c>
      <c r="AL40" s="13">
        <v>5246.43</v>
      </c>
      <c r="AM40" s="13">
        <v>5243.84</v>
      </c>
      <c r="AN40" s="13">
        <v>5244.79</v>
      </c>
      <c r="AO40" s="13">
        <v>5250.77</v>
      </c>
      <c r="AP40" s="13">
        <v>5249.62</v>
      </c>
      <c r="AQ40" s="13">
        <v>5251</v>
      </c>
      <c r="AR40" s="13">
        <v>5260.69</v>
      </c>
      <c r="AS40" s="13">
        <v>5269.21</v>
      </c>
      <c r="AT40" s="13">
        <v>5267.5</v>
      </c>
      <c r="AU40" s="13">
        <v>5267.71</v>
      </c>
      <c r="AV40" s="13">
        <v>5259.14</v>
      </c>
      <c r="AW40" s="13">
        <v>5259.79</v>
      </c>
      <c r="AX40" s="13">
        <v>5259.14</v>
      </c>
      <c r="AY40" s="13">
        <v>5260</v>
      </c>
      <c r="AZ40" s="13">
        <v>5262.36</v>
      </c>
      <c r="BA40" s="13">
        <v>5264.29</v>
      </c>
      <c r="BB40" s="13">
        <v>5264.29</v>
      </c>
      <c r="BC40" s="13">
        <v>5262.36</v>
      </c>
      <c r="BD40" s="13">
        <v>5266</v>
      </c>
      <c r="BE40" s="13">
        <v>5264.29</v>
      </c>
      <c r="BF40" s="13">
        <v>5266.93</v>
      </c>
      <c r="BG40" s="13">
        <v>5266</v>
      </c>
      <c r="BH40" s="13">
        <v>5264.07</v>
      </c>
      <c r="BI40" s="13">
        <v>5263.21</v>
      </c>
      <c r="BJ40" s="13">
        <v>5258.07</v>
      </c>
      <c r="BK40" s="13">
        <v>5252.29</v>
      </c>
      <c r="BL40" s="13">
        <v>5249.6</v>
      </c>
      <c r="BM40" s="13">
        <v>5258.4</v>
      </c>
      <c r="BN40" s="13">
        <v>5263</v>
      </c>
      <c r="BO40" s="13">
        <v>5264</v>
      </c>
      <c r="BP40" s="13">
        <v>5262.4</v>
      </c>
      <c r="BQ40" s="13">
        <v>5268.8</v>
      </c>
      <c r="BR40" s="13">
        <v>5263.2</v>
      </c>
      <c r="BS40" s="13">
        <v>5264.6</v>
      </c>
      <c r="BT40" s="13">
        <v>5265.4</v>
      </c>
      <c r="BU40" s="13">
        <v>5267.2</v>
      </c>
      <c r="BV40" s="13">
        <v>5269.6</v>
      </c>
      <c r="BW40" s="13">
        <v>5282</v>
      </c>
      <c r="BX40" s="13">
        <v>5281.4</v>
      </c>
      <c r="BY40" s="13">
        <v>5275.88</v>
      </c>
      <c r="BZ40" s="13">
        <v>5281</v>
      </c>
      <c r="CA40" s="13">
        <v>5281.43</v>
      </c>
      <c r="CB40" s="13">
        <v>5285.6</v>
      </c>
      <c r="CC40" s="13">
        <v>5279.6</v>
      </c>
      <c r="CD40" s="13">
        <v>5276.8</v>
      </c>
      <c r="CE40" s="13">
        <v>5279</v>
      </c>
      <c r="CF40" s="13">
        <v>5286.4</v>
      </c>
      <c r="CG40" s="13">
        <v>5282.63</v>
      </c>
      <c r="CH40" s="13">
        <v>5284</v>
      </c>
      <c r="CI40" s="13">
        <v>5291.8</v>
      </c>
      <c r="CJ40" s="13">
        <v>5292.8</v>
      </c>
      <c r="CK40" s="13">
        <v>5292.6</v>
      </c>
      <c r="CL40" s="13">
        <v>5300.93</v>
      </c>
      <c r="CM40" s="13">
        <v>5305.43</v>
      </c>
      <c r="CN40" s="13">
        <v>5306.07</v>
      </c>
      <c r="CO40" s="13">
        <v>5310.67</v>
      </c>
      <c r="CP40" s="13">
        <v>5304</v>
      </c>
      <c r="CQ40" s="13">
        <v>5303.29</v>
      </c>
      <c r="CR40" s="13">
        <v>5303.5</v>
      </c>
      <c r="CS40" s="13">
        <v>5309.5</v>
      </c>
      <c r="CT40" s="13">
        <v>5307.14</v>
      </c>
      <c r="CU40" s="13">
        <v>5308.64</v>
      </c>
      <c r="CV40" s="13">
        <v>5312.93</v>
      </c>
      <c r="CW40" s="13">
        <v>5311.21</v>
      </c>
      <c r="CX40" s="13">
        <v>5310.57</v>
      </c>
      <c r="CY40" s="13">
        <v>5265</v>
      </c>
      <c r="CZ40" s="13">
        <v>5302.86</v>
      </c>
      <c r="DA40" s="13">
        <v>5301.43</v>
      </c>
      <c r="DB40" s="13">
        <v>5302.14</v>
      </c>
      <c r="DC40" s="13">
        <v>5319.17</v>
      </c>
      <c r="DD40" s="13">
        <v>5316.89</v>
      </c>
      <c r="DE40" s="13">
        <v>5316</v>
      </c>
      <c r="DF40" s="13">
        <v>5311.67</v>
      </c>
    </row>
    <row r="41" spans="1:110" ht="15.75" x14ac:dyDescent="0.25">
      <c r="A41" s="11" t="s">
        <v>5</v>
      </c>
      <c r="B41" s="11" t="s">
        <v>11</v>
      </c>
      <c r="C41" s="15">
        <v>0.37847222222222227</v>
      </c>
      <c r="D41" s="15">
        <v>0.38194444444444442</v>
      </c>
      <c r="E41" s="15">
        <v>0.38541666666666669</v>
      </c>
      <c r="F41" s="15">
        <v>0.3888888888888889</v>
      </c>
      <c r="G41" s="15">
        <v>0.3923611111111111</v>
      </c>
      <c r="H41" s="15"/>
      <c r="I41" s="15">
        <v>0.39930555555555558</v>
      </c>
      <c r="J41" s="15">
        <v>0.40277777777777773</v>
      </c>
      <c r="K41" s="15">
        <v>0.40625</v>
      </c>
      <c r="L41" s="15">
        <v>0.40972222222222227</v>
      </c>
      <c r="M41" s="15">
        <v>0.41319444444444442</v>
      </c>
      <c r="N41" s="15">
        <v>0.41666666666666669</v>
      </c>
      <c r="O41" s="15">
        <v>0.4201388888888889</v>
      </c>
      <c r="P41" s="15">
        <v>0.4236111111111111</v>
      </c>
      <c r="Q41" s="15">
        <v>0.42708333333333331</v>
      </c>
      <c r="R41" s="15">
        <v>0.43055555555555558</v>
      </c>
      <c r="S41" s="15">
        <v>0.43402777777777773</v>
      </c>
      <c r="T41" s="15">
        <v>0.4375</v>
      </c>
      <c r="U41" s="15">
        <v>0.44097222222222227</v>
      </c>
      <c r="V41" s="15">
        <v>0.44444444444444442</v>
      </c>
      <c r="W41" s="15">
        <v>0.44791666666666669</v>
      </c>
      <c r="X41" s="15">
        <v>0.4513888888888889</v>
      </c>
      <c r="Y41" s="15">
        <v>0.4548611111111111</v>
      </c>
      <c r="Z41" s="15">
        <v>0.45833333333333331</v>
      </c>
      <c r="AA41" s="15">
        <v>0.46180555555555558</v>
      </c>
      <c r="AB41" s="15">
        <v>0.46527777777777773</v>
      </c>
      <c r="AC41" s="15">
        <v>0.46875</v>
      </c>
      <c r="AD41" s="15">
        <v>0.47222222222222227</v>
      </c>
      <c r="AE41" s="15">
        <v>0.47569444444444442</v>
      </c>
      <c r="AF41" s="15">
        <v>0.47916666666666669</v>
      </c>
      <c r="AG41" s="15">
        <v>0.4826388888888889</v>
      </c>
      <c r="AH41" s="15">
        <v>0.4861111111111111</v>
      </c>
      <c r="AI41" s="15">
        <v>0.48958333333333331</v>
      </c>
      <c r="AJ41" s="15">
        <v>0.49305555555555558</v>
      </c>
      <c r="AK41" s="15">
        <v>0.49652777777777773</v>
      </c>
      <c r="AL41" s="15">
        <v>0.5</v>
      </c>
      <c r="AM41" s="15">
        <v>0.50347222222222221</v>
      </c>
      <c r="AN41" s="15">
        <v>0.50694444444444442</v>
      </c>
      <c r="AO41" s="15">
        <v>0.51041666666666663</v>
      </c>
      <c r="AP41" s="15">
        <v>0.51388888888888895</v>
      </c>
      <c r="AQ41" s="15">
        <v>0.51736111111111105</v>
      </c>
      <c r="AR41" s="15">
        <v>0.52083333333333337</v>
      </c>
      <c r="AS41" s="15">
        <v>0.52430555555555558</v>
      </c>
      <c r="AT41" s="15">
        <v>0.52777777777777779</v>
      </c>
      <c r="AU41" s="15">
        <v>0.53125</v>
      </c>
      <c r="AV41" s="15">
        <v>0.53472222222222221</v>
      </c>
      <c r="AW41" s="15">
        <v>0.53819444444444442</v>
      </c>
      <c r="AX41" s="15">
        <v>0.54166666666666663</v>
      </c>
      <c r="AY41" s="15">
        <v>0.54513888888888895</v>
      </c>
      <c r="AZ41" s="15">
        <v>0.54861111111111105</v>
      </c>
      <c r="BA41" s="15">
        <v>0.55208333333333337</v>
      </c>
      <c r="BB41" s="15">
        <v>0.55555555555555558</v>
      </c>
      <c r="BC41" s="15">
        <v>0.55902777777777779</v>
      </c>
      <c r="BD41" s="15">
        <v>0.5625</v>
      </c>
      <c r="BE41" s="15">
        <v>0.56597222222222221</v>
      </c>
      <c r="BF41" s="15">
        <v>0.56944444444444442</v>
      </c>
      <c r="BG41" s="15">
        <v>0.57291666666666663</v>
      </c>
      <c r="BH41" s="15">
        <v>0.57638888888888895</v>
      </c>
      <c r="BI41" s="15">
        <v>0.57986111111111105</v>
      </c>
      <c r="BJ41" s="15">
        <v>0.58333333333333337</v>
      </c>
      <c r="BK41" s="15">
        <v>0.58680555555555558</v>
      </c>
      <c r="BL41" s="15">
        <v>0.59027777777777779</v>
      </c>
      <c r="BM41" s="15">
        <v>0.59375</v>
      </c>
      <c r="BN41" s="15">
        <v>0.59722222222222221</v>
      </c>
      <c r="BO41" s="15">
        <v>0.60069444444444442</v>
      </c>
      <c r="BP41" s="15">
        <v>0.60416666666666663</v>
      </c>
      <c r="BQ41" s="15">
        <v>0.60763888888888895</v>
      </c>
      <c r="BR41" s="15">
        <v>0.61111111111111105</v>
      </c>
      <c r="BS41" s="15">
        <v>0.61458333333333337</v>
      </c>
      <c r="BT41" s="15">
        <v>0.61805555555555558</v>
      </c>
      <c r="BU41" s="15">
        <v>0.62152777777777779</v>
      </c>
      <c r="BV41" s="15">
        <v>0.625</v>
      </c>
      <c r="BW41" s="15">
        <v>0.62847222222222221</v>
      </c>
      <c r="BX41" s="15">
        <v>0.63194444444444442</v>
      </c>
      <c r="BY41" s="15">
        <v>0.63541666666666663</v>
      </c>
      <c r="BZ41" s="15">
        <v>0.63888888888888895</v>
      </c>
      <c r="CA41" s="15">
        <v>0.64236111111111105</v>
      </c>
      <c r="CB41" s="15">
        <v>0.64583333333333337</v>
      </c>
      <c r="CC41" s="15">
        <v>0.64930555555555558</v>
      </c>
      <c r="CD41" s="15">
        <v>0.65277777777777779</v>
      </c>
      <c r="CE41" s="15">
        <v>0.65625</v>
      </c>
      <c r="CF41" s="15">
        <v>0.65972222222222221</v>
      </c>
      <c r="CG41" s="15">
        <v>0.66319444444444442</v>
      </c>
      <c r="CH41" s="15">
        <v>0.66666666666666663</v>
      </c>
      <c r="CI41" s="15">
        <v>0.67013888888888884</v>
      </c>
      <c r="CJ41" s="15">
        <v>0.67361111111111116</v>
      </c>
      <c r="CK41" s="15">
        <v>0.67708333333333337</v>
      </c>
      <c r="CL41" s="15">
        <v>0.68055555555555547</v>
      </c>
      <c r="CM41" s="15">
        <v>0.68402777777777779</v>
      </c>
      <c r="CN41" s="15">
        <v>0.6875</v>
      </c>
      <c r="CO41" s="15">
        <v>0.69097222222222221</v>
      </c>
      <c r="CP41" s="15">
        <v>0.69444444444444453</v>
      </c>
      <c r="CQ41" s="15">
        <v>0.69791666666666663</v>
      </c>
      <c r="CR41" s="15">
        <v>0.70138888888888884</v>
      </c>
      <c r="CS41" s="15">
        <v>0.70486111111111116</v>
      </c>
      <c r="CT41" s="15">
        <v>0.70833333333333337</v>
      </c>
      <c r="CU41" s="15">
        <v>0.71180555555555547</v>
      </c>
      <c r="CV41" s="15">
        <v>0.71527777777777779</v>
      </c>
      <c r="CW41" s="15">
        <v>0.71875</v>
      </c>
      <c r="CX41" s="15">
        <v>0.72222222222222221</v>
      </c>
      <c r="CY41" s="15">
        <v>0.72569444444444453</v>
      </c>
      <c r="CZ41" s="15">
        <v>0.72916666666666663</v>
      </c>
      <c r="DA41" s="15">
        <v>0.73263888888888884</v>
      </c>
      <c r="DB41" s="15">
        <v>0.73611111111111116</v>
      </c>
      <c r="DC41" s="15">
        <v>0.73958333333333337</v>
      </c>
      <c r="DD41" s="15">
        <v>0.74305555555555547</v>
      </c>
      <c r="DE41" s="15">
        <v>0.74652777777777779</v>
      </c>
      <c r="DF41" s="15">
        <v>0.75</v>
      </c>
    </row>
    <row r="42" spans="1:110" ht="15.75" x14ac:dyDescent="0.25">
      <c r="A42" s="14">
        <v>44329</v>
      </c>
      <c r="B42" s="12" t="s">
        <v>6</v>
      </c>
      <c r="C42" s="13">
        <v>5502.12</v>
      </c>
      <c r="D42" s="13">
        <v>5502.12</v>
      </c>
      <c r="E42" s="13">
        <v>5502.12</v>
      </c>
      <c r="F42" s="13">
        <v>5502.12</v>
      </c>
      <c r="G42" s="13">
        <v>5502.12</v>
      </c>
      <c r="H42" s="13"/>
      <c r="I42" s="13">
        <v>5502.12</v>
      </c>
      <c r="J42" s="13">
        <v>5502.12</v>
      </c>
      <c r="K42" s="13">
        <v>5502.12</v>
      </c>
      <c r="L42" s="13">
        <v>5502.12</v>
      </c>
      <c r="M42" s="13">
        <v>5502.12</v>
      </c>
      <c r="N42" s="13">
        <v>5502.12</v>
      </c>
      <c r="O42" s="13">
        <v>5502.12</v>
      </c>
      <c r="P42" s="13">
        <v>5502.12</v>
      </c>
      <c r="Q42" s="13">
        <v>5502.12</v>
      </c>
      <c r="R42" s="13">
        <v>5502.12</v>
      </c>
      <c r="S42" s="13">
        <v>5502.12</v>
      </c>
      <c r="T42" s="13">
        <v>5502.12</v>
      </c>
      <c r="U42" s="13">
        <v>5502.12</v>
      </c>
      <c r="V42" s="13">
        <v>5502.12</v>
      </c>
      <c r="W42" s="13">
        <v>5502.12</v>
      </c>
      <c r="X42" s="13">
        <v>5502.12</v>
      </c>
      <c r="Y42" s="13">
        <v>5502.12</v>
      </c>
      <c r="Z42" s="13">
        <v>5502.12</v>
      </c>
      <c r="AA42" s="13">
        <v>5502.12</v>
      </c>
      <c r="AB42" s="13">
        <v>5502.12</v>
      </c>
      <c r="AC42" s="13">
        <v>5502.12</v>
      </c>
      <c r="AD42" s="13">
        <v>5502.12</v>
      </c>
      <c r="AE42" s="13">
        <v>5502.12</v>
      </c>
      <c r="AF42" s="13">
        <v>5502.12</v>
      </c>
      <c r="AG42" s="13">
        <v>5327.44</v>
      </c>
      <c r="AH42" s="13">
        <v>5323</v>
      </c>
      <c r="AI42" s="13">
        <v>5325.67</v>
      </c>
      <c r="AJ42" s="13">
        <v>5327.44</v>
      </c>
      <c r="AK42" s="13">
        <v>5325.22</v>
      </c>
      <c r="AL42" s="13">
        <v>5331.54</v>
      </c>
      <c r="AM42" s="13">
        <v>5333.67</v>
      </c>
      <c r="AN42" s="13">
        <v>5347.52</v>
      </c>
      <c r="AO42" s="13">
        <v>5348.85</v>
      </c>
      <c r="AP42" s="13">
        <v>5348.93</v>
      </c>
      <c r="AQ42" s="13">
        <v>5347.89</v>
      </c>
      <c r="AR42" s="13">
        <v>5345.3</v>
      </c>
      <c r="AS42" s="13">
        <v>5344.41</v>
      </c>
      <c r="AT42" s="13">
        <v>5342.88</v>
      </c>
      <c r="AU42" s="13">
        <v>5335.91</v>
      </c>
      <c r="AV42" s="13">
        <v>5333.65</v>
      </c>
      <c r="AW42" s="13">
        <v>5333.09</v>
      </c>
      <c r="AX42" s="13">
        <v>5331.83</v>
      </c>
      <c r="AY42" s="13">
        <v>5331.96</v>
      </c>
      <c r="AZ42" s="13">
        <v>5330.83</v>
      </c>
      <c r="BA42" s="13">
        <v>5329.13</v>
      </c>
      <c r="BB42" s="13">
        <v>5328.57</v>
      </c>
      <c r="BC42" s="13">
        <v>5331.39</v>
      </c>
      <c r="BD42" s="13">
        <v>5331.39</v>
      </c>
      <c r="BE42" s="13">
        <v>5332.29</v>
      </c>
      <c r="BF42" s="13">
        <v>5334.61</v>
      </c>
      <c r="BG42" s="13">
        <v>5336</v>
      </c>
      <c r="BH42" s="13">
        <v>5334.96</v>
      </c>
      <c r="BI42" s="13">
        <v>5335.54</v>
      </c>
      <c r="BJ42" s="13">
        <v>5336</v>
      </c>
      <c r="BK42" s="13">
        <v>5338.32</v>
      </c>
      <c r="BL42" s="13">
        <v>5338.32</v>
      </c>
      <c r="BM42" s="13">
        <v>5338.32</v>
      </c>
      <c r="BN42" s="13">
        <v>5342.39</v>
      </c>
      <c r="BO42" s="13">
        <v>5345.75</v>
      </c>
      <c r="BP42" s="13">
        <v>5345.75</v>
      </c>
      <c r="BQ42" s="13">
        <v>5351.74</v>
      </c>
      <c r="BR42" s="13">
        <v>5356.64</v>
      </c>
      <c r="BS42" s="13">
        <v>5356</v>
      </c>
      <c r="BT42" s="13">
        <v>5358.82</v>
      </c>
      <c r="BU42" s="13">
        <v>5359.82</v>
      </c>
      <c r="BV42" s="13">
        <v>5355.59</v>
      </c>
      <c r="BW42" s="13">
        <v>5354</v>
      </c>
      <c r="BX42" s="13">
        <v>5348.53</v>
      </c>
      <c r="BY42" s="13">
        <v>5345.71</v>
      </c>
      <c r="BZ42" s="13">
        <v>5348.53</v>
      </c>
      <c r="CA42" s="13">
        <v>5350.64</v>
      </c>
      <c r="CB42" s="13">
        <v>5350.64</v>
      </c>
      <c r="CC42" s="13">
        <v>5336.3</v>
      </c>
      <c r="CD42" s="13">
        <v>5332.25</v>
      </c>
      <c r="CE42" s="13">
        <v>5332.25</v>
      </c>
      <c r="CF42" s="13">
        <v>5328.74</v>
      </c>
      <c r="CG42" s="13">
        <v>5325.53</v>
      </c>
      <c r="CH42" s="13">
        <v>5325.93</v>
      </c>
      <c r="CI42" s="13">
        <v>5325.44</v>
      </c>
      <c r="CJ42" s="13">
        <v>5322.44</v>
      </c>
      <c r="CK42" s="13">
        <v>5330.07</v>
      </c>
      <c r="CL42" s="13">
        <v>5326.78</v>
      </c>
      <c r="CM42" s="13">
        <v>5334.07</v>
      </c>
      <c r="CN42" s="13">
        <v>5330.59</v>
      </c>
      <c r="CO42" s="13">
        <v>5330.96</v>
      </c>
      <c r="CP42" s="13">
        <v>5329.26</v>
      </c>
      <c r="CQ42" s="13">
        <v>5329.53</v>
      </c>
      <c r="CR42" s="13">
        <v>5329.53</v>
      </c>
      <c r="CS42" s="13">
        <v>5337.07</v>
      </c>
      <c r="CT42" s="13">
        <v>5340.53</v>
      </c>
      <c r="CU42" s="13">
        <v>5338.07</v>
      </c>
      <c r="CV42" s="13">
        <v>5333.32</v>
      </c>
      <c r="CW42" s="13">
        <v>5335.32</v>
      </c>
      <c r="CX42" s="13">
        <v>5332.32</v>
      </c>
      <c r="CY42" s="13">
        <v>5333.18</v>
      </c>
      <c r="CZ42" s="13">
        <v>5336.32</v>
      </c>
      <c r="DA42" s="13">
        <v>5336.32</v>
      </c>
      <c r="DB42" s="13">
        <v>5335.32</v>
      </c>
      <c r="DC42" s="13">
        <v>5326.32</v>
      </c>
      <c r="DD42" s="13">
        <v>5325.32</v>
      </c>
      <c r="DE42" s="13">
        <v>5328.32</v>
      </c>
      <c r="DF42" s="13">
        <v>5335.32</v>
      </c>
    </row>
    <row r="43" spans="1:110" ht="15.75" x14ac:dyDescent="0.25">
      <c r="A43" s="14" t="s">
        <v>12</v>
      </c>
      <c r="B43" s="12" t="s">
        <v>10</v>
      </c>
      <c r="C43" s="13">
        <v>5502.12</v>
      </c>
      <c r="D43" s="13">
        <v>5502.12</v>
      </c>
      <c r="E43" s="13">
        <v>5502.12</v>
      </c>
      <c r="F43" s="13">
        <v>5502.12</v>
      </c>
      <c r="G43" s="13">
        <v>5335.94</v>
      </c>
      <c r="H43" s="13"/>
      <c r="I43" s="13">
        <v>5502.12</v>
      </c>
      <c r="J43" s="13">
        <v>5502.12</v>
      </c>
      <c r="K43" s="13">
        <v>5502.12</v>
      </c>
      <c r="L43" s="13">
        <v>5502.12</v>
      </c>
      <c r="M43" s="13">
        <v>5502.12</v>
      </c>
      <c r="N43" s="13">
        <v>5502.12</v>
      </c>
      <c r="O43" s="13">
        <v>5502.12</v>
      </c>
      <c r="P43" s="13">
        <v>5502.12</v>
      </c>
      <c r="Q43" s="13">
        <v>5502.12</v>
      </c>
      <c r="R43" s="13">
        <v>5502.12</v>
      </c>
      <c r="S43" s="13">
        <v>5502.12</v>
      </c>
      <c r="T43" s="13">
        <v>5502.12</v>
      </c>
      <c r="U43" s="13">
        <v>5502.12</v>
      </c>
      <c r="V43" s="13">
        <v>5502.12</v>
      </c>
      <c r="W43" s="13">
        <v>5502.12</v>
      </c>
      <c r="X43" s="13">
        <v>5502.12</v>
      </c>
      <c r="Y43" s="13">
        <v>5502.12</v>
      </c>
      <c r="Z43" s="13">
        <v>5502.12</v>
      </c>
      <c r="AA43" s="13">
        <v>5502.12</v>
      </c>
      <c r="AB43" s="13">
        <v>5502.12</v>
      </c>
      <c r="AC43" s="13">
        <v>5502.12</v>
      </c>
      <c r="AD43" s="13">
        <v>5502.12</v>
      </c>
      <c r="AE43" s="13">
        <v>5502.12</v>
      </c>
      <c r="AF43" s="13">
        <v>5311.69</v>
      </c>
      <c r="AG43" s="13">
        <v>5306.88</v>
      </c>
      <c r="AH43" s="13">
        <v>5305.13</v>
      </c>
      <c r="AI43" s="13">
        <v>5308.63</v>
      </c>
      <c r="AJ43" s="13">
        <v>5309.63</v>
      </c>
      <c r="AK43" s="13">
        <v>5306.88</v>
      </c>
      <c r="AL43" s="13">
        <v>5327.54</v>
      </c>
      <c r="AM43" s="13">
        <v>5333.67</v>
      </c>
      <c r="AN43" s="13">
        <v>5346.63</v>
      </c>
      <c r="AO43" s="13">
        <v>5340.5</v>
      </c>
      <c r="AP43" s="13">
        <v>5345.22</v>
      </c>
      <c r="AQ43" s="13">
        <v>5343.52</v>
      </c>
      <c r="AR43" s="13">
        <v>5332.94</v>
      </c>
      <c r="AS43" s="13">
        <v>5327.68</v>
      </c>
      <c r="AT43" s="13">
        <v>5315.04</v>
      </c>
      <c r="AU43" s="13">
        <v>5335.91</v>
      </c>
      <c r="AV43" s="13">
        <v>0</v>
      </c>
      <c r="AW43" s="13">
        <v>5318.07</v>
      </c>
      <c r="AX43" s="13">
        <v>5315.61</v>
      </c>
      <c r="AY43" s="13">
        <v>5315.14</v>
      </c>
      <c r="AZ43" s="13">
        <v>5311.86</v>
      </c>
      <c r="BA43" s="13">
        <v>5310.93</v>
      </c>
      <c r="BB43" s="13">
        <v>5312.68</v>
      </c>
      <c r="BC43" s="13">
        <v>5315.96</v>
      </c>
      <c r="BD43" s="13">
        <v>5308.68</v>
      </c>
      <c r="BE43" s="13">
        <v>5315.73</v>
      </c>
      <c r="BF43" s="13">
        <v>5319.21</v>
      </c>
      <c r="BG43" s="13">
        <v>5319.52</v>
      </c>
      <c r="BH43" s="13">
        <v>5318.52</v>
      </c>
      <c r="BI43" s="13">
        <v>5319.52</v>
      </c>
      <c r="BJ43" s="13">
        <v>5335.07</v>
      </c>
      <c r="BK43" s="13">
        <v>5324.48</v>
      </c>
      <c r="BL43" s="13">
        <v>5320.52</v>
      </c>
      <c r="BM43" s="13">
        <v>5324</v>
      </c>
      <c r="BN43" s="13">
        <v>5330.67</v>
      </c>
      <c r="BO43" s="13">
        <v>5334.24</v>
      </c>
      <c r="BP43" s="13">
        <v>5339.87</v>
      </c>
      <c r="BQ43" s="13">
        <v>5341.79</v>
      </c>
      <c r="BR43" s="13">
        <v>5351</v>
      </c>
      <c r="BS43" s="13">
        <v>5350.26</v>
      </c>
      <c r="BT43" s="13">
        <v>5357</v>
      </c>
      <c r="BU43" s="13">
        <v>5350.65</v>
      </c>
      <c r="BV43" s="13">
        <v>5354.18</v>
      </c>
      <c r="BW43" s="13">
        <v>5346.41</v>
      </c>
      <c r="BX43" s="13">
        <v>5345</v>
      </c>
      <c r="BY43" s="13">
        <v>5345.71</v>
      </c>
      <c r="BZ43" s="13">
        <v>5348.41</v>
      </c>
      <c r="CA43" s="13">
        <v>5350.64</v>
      </c>
      <c r="CB43" s="13">
        <v>5335.47</v>
      </c>
      <c r="CC43" s="13">
        <v>5331.11</v>
      </c>
      <c r="CD43" s="13">
        <v>5330.94</v>
      </c>
      <c r="CE43" s="13">
        <v>5328.74</v>
      </c>
      <c r="CF43" s="13">
        <v>5326.07</v>
      </c>
      <c r="CG43" s="13">
        <v>5320.07</v>
      </c>
      <c r="CH43" s="13">
        <v>5322.07</v>
      </c>
      <c r="CI43" s="13">
        <v>5318.26</v>
      </c>
      <c r="CJ43" s="13">
        <v>5321.78</v>
      </c>
      <c r="CK43" s="13">
        <v>5325.07</v>
      </c>
      <c r="CL43" s="13">
        <v>5325.19</v>
      </c>
      <c r="CM43" s="13">
        <v>5330.78</v>
      </c>
      <c r="CN43" s="13">
        <v>5324.07</v>
      </c>
      <c r="CO43" s="13">
        <v>5329.19</v>
      </c>
      <c r="CP43" s="13">
        <v>5328.37</v>
      </c>
      <c r="CQ43" s="13">
        <v>5328.89</v>
      </c>
      <c r="CR43" s="13">
        <v>5329.53</v>
      </c>
      <c r="CS43" s="13">
        <v>5336.07</v>
      </c>
      <c r="CT43" s="13">
        <v>5337.19</v>
      </c>
      <c r="CU43" s="13">
        <v>5332.59</v>
      </c>
      <c r="CV43" s="13">
        <v>5331.18</v>
      </c>
      <c r="CW43" s="13">
        <v>5335.32</v>
      </c>
      <c r="CX43" s="13">
        <v>5332.32</v>
      </c>
      <c r="CY43" s="13">
        <v>5331.45</v>
      </c>
      <c r="CZ43" s="13">
        <v>5336.32</v>
      </c>
      <c r="DA43" s="13">
        <v>5334.45</v>
      </c>
      <c r="DB43" s="13">
        <v>5326.32</v>
      </c>
      <c r="DC43" s="13">
        <v>5326.32</v>
      </c>
      <c r="DD43" s="13">
        <v>5317.59</v>
      </c>
      <c r="DE43" s="13">
        <v>5328.32</v>
      </c>
      <c r="DF43" s="13">
        <v>5335.32</v>
      </c>
    </row>
    <row r="44" spans="1:110" ht="15.75" x14ac:dyDescent="0.25">
      <c r="A44" s="14" t="s">
        <v>12</v>
      </c>
      <c r="B44" s="12" t="s">
        <v>9</v>
      </c>
      <c r="C44" s="13">
        <v>5501.67</v>
      </c>
      <c r="D44" s="13">
        <v>0</v>
      </c>
      <c r="E44" s="13">
        <v>5501.67</v>
      </c>
      <c r="F44" s="13">
        <v>5501.67</v>
      </c>
      <c r="G44" s="13">
        <v>5318.11</v>
      </c>
      <c r="H44" s="13"/>
      <c r="I44" s="13">
        <v>5501.67</v>
      </c>
      <c r="J44" s="13">
        <v>5501.67</v>
      </c>
      <c r="K44" s="13">
        <v>5501.67</v>
      </c>
      <c r="L44" s="13">
        <v>5501.67</v>
      </c>
      <c r="M44" s="13">
        <v>5501.67</v>
      </c>
      <c r="N44" s="13">
        <v>5501.67</v>
      </c>
      <c r="O44" s="13">
        <v>5501.67</v>
      </c>
      <c r="P44" s="13">
        <v>5501.67</v>
      </c>
      <c r="Q44" s="13">
        <v>5501.67</v>
      </c>
      <c r="R44" s="13">
        <v>5501.67</v>
      </c>
      <c r="S44" s="13">
        <v>5501.67</v>
      </c>
      <c r="T44" s="13">
        <v>5501.67</v>
      </c>
      <c r="U44" s="13">
        <v>5501.67</v>
      </c>
      <c r="V44" s="13">
        <v>5501.67</v>
      </c>
      <c r="W44" s="13">
        <v>5501.67</v>
      </c>
      <c r="X44" s="13">
        <v>5501.67</v>
      </c>
      <c r="Y44" s="13">
        <v>5501.67</v>
      </c>
      <c r="Z44" s="13">
        <v>5501.67</v>
      </c>
      <c r="AA44" s="13">
        <v>5501.67</v>
      </c>
      <c r="AB44" s="13">
        <v>5501.67</v>
      </c>
      <c r="AC44" s="13">
        <v>5501.67</v>
      </c>
      <c r="AD44" s="13">
        <v>5501.67</v>
      </c>
      <c r="AE44" s="13">
        <v>5501.67</v>
      </c>
      <c r="AF44" s="13">
        <v>5288.22</v>
      </c>
      <c r="AG44" s="13">
        <v>5282.13</v>
      </c>
      <c r="AH44" s="13">
        <v>5280.23</v>
      </c>
      <c r="AI44" s="13">
        <v>5284.77</v>
      </c>
      <c r="AJ44" s="13">
        <v>5285.23</v>
      </c>
      <c r="AK44" s="13">
        <v>5282.41</v>
      </c>
      <c r="AL44" s="13">
        <v>5292.05</v>
      </c>
      <c r="AM44" s="13">
        <v>5302.5</v>
      </c>
      <c r="AN44" s="13">
        <v>5311.23</v>
      </c>
      <c r="AO44" s="13">
        <v>5312.25</v>
      </c>
      <c r="AP44" s="13">
        <v>5307.55</v>
      </c>
      <c r="AQ44" s="13">
        <v>5303.65</v>
      </c>
      <c r="AR44" s="13">
        <v>5305.75</v>
      </c>
      <c r="AS44" s="13">
        <v>5298.55</v>
      </c>
      <c r="AT44" s="13">
        <v>5293.76</v>
      </c>
      <c r="AU44" s="13">
        <v>5302.95</v>
      </c>
      <c r="AV44" s="13">
        <v>5294.67</v>
      </c>
      <c r="AW44" s="13">
        <v>5296.9</v>
      </c>
      <c r="AX44" s="13">
        <v>5294.67</v>
      </c>
      <c r="AY44" s="13">
        <v>5294.05</v>
      </c>
      <c r="AZ44" s="13">
        <v>5290.86</v>
      </c>
      <c r="BA44" s="13">
        <v>5289.1</v>
      </c>
      <c r="BB44" s="13">
        <v>5291.14</v>
      </c>
      <c r="BC44" s="13">
        <v>5294.81</v>
      </c>
      <c r="BD44" s="13">
        <v>5286.67</v>
      </c>
      <c r="BE44" s="13">
        <v>5284.86</v>
      </c>
      <c r="BF44" s="13">
        <v>5289.67</v>
      </c>
      <c r="BG44" s="13">
        <v>5289.81</v>
      </c>
      <c r="BH44" s="13">
        <v>5288.1</v>
      </c>
      <c r="BI44" s="13">
        <v>5289.15</v>
      </c>
      <c r="BJ44" s="13">
        <v>5290.05</v>
      </c>
      <c r="BK44" s="13">
        <v>5295.85</v>
      </c>
      <c r="BL44" s="13">
        <v>5291.35</v>
      </c>
      <c r="BM44" s="13">
        <v>5295.6</v>
      </c>
      <c r="BN44" s="13">
        <v>5303.95</v>
      </c>
      <c r="BO44" s="13">
        <v>5308.45</v>
      </c>
      <c r="BP44" s="13">
        <v>5308.05</v>
      </c>
      <c r="BQ44" s="13">
        <v>5324.29</v>
      </c>
      <c r="BR44" s="13">
        <v>5340.45</v>
      </c>
      <c r="BS44" s="13">
        <v>5339.45</v>
      </c>
      <c r="BT44" s="13">
        <v>5345.75</v>
      </c>
      <c r="BU44" s="13">
        <v>5337</v>
      </c>
      <c r="BV44" s="13">
        <v>5342</v>
      </c>
      <c r="BW44" s="13">
        <v>5330.75</v>
      </c>
      <c r="BX44" s="13">
        <v>5328</v>
      </c>
      <c r="BY44" s="13">
        <v>5329.08</v>
      </c>
      <c r="BZ44" s="13">
        <v>5333.5</v>
      </c>
      <c r="CA44" s="13">
        <v>5330</v>
      </c>
      <c r="CB44" s="13">
        <v>5328</v>
      </c>
      <c r="CC44" s="13">
        <v>5323.53</v>
      </c>
      <c r="CD44" s="13">
        <v>5323.47</v>
      </c>
      <c r="CE44" s="13">
        <v>5321.29</v>
      </c>
      <c r="CF44" s="13">
        <v>5318.85</v>
      </c>
      <c r="CG44" s="13">
        <v>5312.29</v>
      </c>
      <c r="CH44" s="13">
        <v>5314.53</v>
      </c>
      <c r="CI44" s="13">
        <v>5311</v>
      </c>
      <c r="CJ44" s="13">
        <v>5314.12</v>
      </c>
      <c r="CK44" s="13">
        <v>5318.6</v>
      </c>
      <c r="CL44" s="13">
        <v>5318.47</v>
      </c>
      <c r="CM44" s="13">
        <v>5323</v>
      </c>
      <c r="CN44" s="13">
        <v>5317.18</v>
      </c>
      <c r="CO44" s="13">
        <v>5322</v>
      </c>
      <c r="CP44" s="13">
        <v>5321.29</v>
      </c>
      <c r="CQ44" s="13">
        <v>5321.29</v>
      </c>
      <c r="CR44" s="13">
        <v>5321</v>
      </c>
      <c r="CS44" s="13">
        <v>5328.29</v>
      </c>
      <c r="CT44" s="13">
        <v>5329.76</v>
      </c>
      <c r="CU44" s="13">
        <v>5325.25</v>
      </c>
      <c r="CV44" s="13">
        <v>5323</v>
      </c>
      <c r="CW44" s="13">
        <v>5327</v>
      </c>
      <c r="CX44" s="13">
        <v>5324.25</v>
      </c>
      <c r="CY44" s="13">
        <v>5324</v>
      </c>
      <c r="CZ44" s="13">
        <v>5328.5</v>
      </c>
      <c r="DA44" s="13">
        <v>5327.25</v>
      </c>
      <c r="DB44" s="13">
        <v>5318</v>
      </c>
      <c r="DC44" s="13">
        <v>5319.5</v>
      </c>
      <c r="DD44" s="13">
        <v>5310</v>
      </c>
      <c r="DE44" s="13">
        <v>5319</v>
      </c>
      <c r="DF44" s="13">
        <v>5324</v>
      </c>
    </row>
    <row r="45" spans="1:110" ht="15.75" x14ac:dyDescent="0.25">
      <c r="A45" s="14" t="s">
        <v>12</v>
      </c>
      <c r="B45" s="12" t="s">
        <v>7</v>
      </c>
      <c r="C45" s="13">
        <v>5501.67</v>
      </c>
      <c r="D45" s="13">
        <v>5328.25</v>
      </c>
      <c r="E45" s="13">
        <v>5501.67</v>
      </c>
      <c r="F45" s="13">
        <v>5501.67</v>
      </c>
      <c r="G45" s="13">
        <v>5316</v>
      </c>
      <c r="H45" s="13"/>
      <c r="I45" s="13">
        <v>5501.67</v>
      </c>
      <c r="J45" s="13">
        <v>5501.67</v>
      </c>
      <c r="K45" s="13">
        <v>5501.67</v>
      </c>
      <c r="L45" s="13">
        <v>5501.67</v>
      </c>
      <c r="M45" s="13">
        <v>5501.67</v>
      </c>
      <c r="N45" s="13">
        <v>5501.67</v>
      </c>
      <c r="O45" s="13">
        <v>5501.67</v>
      </c>
      <c r="P45" s="13">
        <v>5501.67</v>
      </c>
      <c r="Q45" s="13">
        <v>5501.67</v>
      </c>
      <c r="R45" s="13">
        <v>5501.67</v>
      </c>
      <c r="S45" s="13">
        <v>5501.67</v>
      </c>
      <c r="T45" s="13">
        <v>5501.67</v>
      </c>
      <c r="U45" s="13">
        <v>5501.67</v>
      </c>
      <c r="V45" s="13">
        <v>5501.67</v>
      </c>
      <c r="W45" s="13">
        <v>5501.67</v>
      </c>
      <c r="X45" s="13">
        <v>5501.67</v>
      </c>
      <c r="Y45" s="13">
        <v>5501.67</v>
      </c>
      <c r="Z45" s="13">
        <v>5501.67</v>
      </c>
      <c r="AA45" s="13">
        <v>5501.67</v>
      </c>
      <c r="AB45" s="13">
        <v>5501.67</v>
      </c>
      <c r="AC45" s="13">
        <v>5501.67</v>
      </c>
      <c r="AD45" s="13">
        <v>5501.67</v>
      </c>
      <c r="AE45" s="13">
        <v>5501.67</v>
      </c>
      <c r="AF45" s="13">
        <v>5281.61</v>
      </c>
      <c r="AG45" s="13">
        <v>5282.13</v>
      </c>
      <c r="AH45" s="13">
        <v>5276.69</v>
      </c>
      <c r="AI45" s="13">
        <v>5278.75</v>
      </c>
      <c r="AJ45" s="13">
        <v>5283.08</v>
      </c>
      <c r="AK45" s="13">
        <v>5280.42</v>
      </c>
      <c r="AL45" s="13">
        <v>5282.05</v>
      </c>
      <c r="AM45" s="13">
        <v>5290.42</v>
      </c>
      <c r="AN45" s="13">
        <v>5299.75</v>
      </c>
      <c r="AO45" s="13">
        <v>5306.25</v>
      </c>
      <c r="AP45" s="13">
        <v>5303.9</v>
      </c>
      <c r="AQ45" s="13">
        <v>5299.1</v>
      </c>
      <c r="AR45" s="13">
        <v>5296.7</v>
      </c>
      <c r="AS45" s="13">
        <v>5296.7</v>
      </c>
      <c r="AT45" s="13">
        <v>5291.13</v>
      </c>
      <c r="AU45" s="13">
        <v>5291.36</v>
      </c>
      <c r="AV45" s="13">
        <v>5292.45</v>
      </c>
      <c r="AW45" s="13">
        <v>5290.82</v>
      </c>
      <c r="AX45" s="13">
        <v>5288.36</v>
      </c>
      <c r="AY45" s="13">
        <v>5288.09</v>
      </c>
      <c r="AZ45" s="13">
        <v>5290.82</v>
      </c>
      <c r="BA45" s="13">
        <v>5285.91</v>
      </c>
      <c r="BB45" s="13">
        <v>5285.64</v>
      </c>
      <c r="BC45" s="13">
        <v>5291.09</v>
      </c>
      <c r="BD45" s="13">
        <v>5284.82</v>
      </c>
      <c r="BE45" s="13">
        <v>5281.52</v>
      </c>
      <c r="BF45" s="13">
        <v>5281.82</v>
      </c>
      <c r="BG45" s="13">
        <v>5286.18</v>
      </c>
      <c r="BH45" s="13">
        <v>5284.7</v>
      </c>
      <c r="BI45" s="13">
        <v>5287.1</v>
      </c>
      <c r="BJ45" s="13">
        <v>5287.1</v>
      </c>
      <c r="BK45" s="13">
        <v>5288.7</v>
      </c>
      <c r="BL45" s="13">
        <v>5288.7</v>
      </c>
      <c r="BM45" s="13">
        <v>5289.2</v>
      </c>
      <c r="BN45" s="13">
        <v>5292.4</v>
      </c>
      <c r="BO45" s="13">
        <v>5299.1</v>
      </c>
      <c r="BP45" s="13">
        <v>5301</v>
      </c>
      <c r="BQ45" s="13">
        <v>5302.6</v>
      </c>
      <c r="BR45" s="13">
        <v>5320.21</v>
      </c>
      <c r="BS45" s="13">
        <v>5338</v>
      </c>
      <c r="BT45" s="13">
        <v>5335.14</v>
      </c>
      <c r="BU45" s="13">
        <v>5337</v>
      </c>
      <c r="BV45" s="13">
        <v>5337</v>
      </c>
      <c r="BW45" s="13">
        <v>5330</v>
      </c>
      <c r="BX45" s="13">
        <v>5328</v>
      </c>
      <c r="BY45" s="13">
        <v>5327</v>
      </c>
      <c r="BZ45" s="13">
        <v>5329</v>
      </c>
      <c r="CA45" s="13">
        <v>5325</v>
      </c>
      <c r="CB45" s="13">
        <v>5327</v>
      </c>
      <c r="CC45" s="13">
        <v>5323</v>
      </c>
      <c r="CD45" s="13">
        <v>5319.71</v>
      </c>
      <c r="CE45" s="13">
        <v>5321</v>
      </c>
      <c r="CF45" s="13">
        <v>5313.82</v>
      </c>
      <c r="CG45" s="13">
        <v>5309.29</v>
      </c>
      <c r="CH45" s="13">
        <v>5312.29</v>
      </c>
      <c r="CI45" s="13">
        <v>5307.18</v>
      </c>
      <c r="CJ45" s="13">
        <v>5308</v>
      </c>
      <c r="CK45" s="13">
        <v>5315.71</v>
      </c>
      <c r="CL45" s="13">
        <v>5316.82</v>
      </c>
      <c r="CM45" s="13">
        <v>5318.47</v>
      </c>
      <c r="CN45" s="13">
        <v>5317.18</v>
      </c>
      <c r="CO45" s="13">
        <v>5315.18</v>
      </c>
      <c r="CP45" s="13">
        <v>5319.82</v>
      </c>
      <c r="CQ45" s="13">
        <v>5319.6</v>
      </c>
      <c r="CR45" s="13">
        <v>5319.53</v>
      </c>
      <c r="CS45" s="13">
        <v>5321</v>
      </c>
      <c r="CT45" s="13">
        <v>5329.18</v>
      </c>
      <c r="CU45" s="13">
        <v>5325.25</v>
      </c>
      <c r="CV45" s="13">
        <v>5323</v>
      </c>
      <c r="CW45" s="13">
        <v>5323</v>
      </c>
      <c r="CX45" s="13">
        <v>5323</v>
      </c>
      <c r="CY45" s="13">
        <v>5324</v>
      </c>
      <c r="CZ45" s="13">
        <v>5321</v>
      </c>
      <c r="DA45" s="13">
        <v>5326</v>
      </c>
      <c r="DB45" s="13">
        <v>5314</v>
      </c>
      <c r="DC45" s="13">
        <v>5317</v>
      </c>
      <c r="DD45" s="13">
        <v>5310</v>
      </c>
      <c r="DE45" s="13">
        <v>5311.92</v>
      </c>
      <c r="DF45" s="13">
        <v>5316</v>
      </c>
    </row>
    <row r="46" spans="1:110" ht="15.75" x14ac:dyDescent="0.25">
      <c r="A46" s="11" t="s">
        <v>5</v>
      </c>
      <c r="B46" s="11" t="s">
        <v>11</v>
      </c>
      <c r="C46" s="15">
        <v>0.37847222222222227</v>
      </c>
      <c r="D46" s="15">
        <v>0.38194444444444442</v>
      </c>
      <c r="E46" s="15">
        <v>0.38541666666666669</v>
      </c>
      <c r="F46" s="15">
        <v>0.3888888888888889</v>
      </c>
      <c r="G46" s="15">
        <v>0.3923611111111111</v>
      </c>
      <c r="H46" s="15">
        <v>0.39583333333333331</v>
      </c>
      <c r="I46" s="15">
        <v>0.39930555555555558</v>
      </c>
      <c r="J46" s="15">
        <v>0.40277777777777773</v>
      </c>
      <c r="K46" s="15">
        <v>0.40625</v>
      </c>
      <c r="L46" s="15">
        <v>0.40972222222222227</v>
      </c>
      <c r="M46" s="15">
        <v>0.41319444444444442</v>
      </c>
      <c r="N46" s="15">
        <v>0.41666666666666669</v>
      </c>
      <c r="O46" s="15">
        <v>0.4201388888888889</v>
      </c>
      <c r="P46" s="15">
        <v>0.4236111111111111</v>
      </c>
      <c r="Q46" s="15">
        <v>0.42708333333333331</v>
      </c>
      <c r="R46" s="15">
        <v>0.43055555555555558</v>
      </c>
      <c r="S46" s="15">
        <v>0.43402777777777773</v>
      </c>
      <c r="T46" s="15">
        <v>0.4375</v>
      </c>
      <c r="U46" s="15">
        <v>0.44097222222222227</v>
      </c>
      <c r="V46" s="15">
        <v>0.44444444444444442</v>
      </c>
      <c r="W46" s="15">
        <v>0.44791666666666669</v>
      </c>
      <c r="X46" s="15">
        <v>0.4513888888888889</v>
      </c>
      <c r="Y46" s="15">
        <v>0.4548611111111111</v>
      </c>
      <c r="Z46" s="15">
        <v>0.45833333333333331</v>
      </c>
      <c r="AA46" s="15">
        <v>0.46180555555555558</v>
      </c>
      <c r="AB46" s="15">
        <v>0.46527777777777773</v>
      </c>
      <c r="AC46" s="15">
        <v>0.46875</v>
      </c>
      <c r="AD46" s="15">
        <v>0.47222222222222227</v>
      </c>
      <c r="AE46" s="15">
        <v>0.47569444444444442</v>
      </c>
      <c r="AF46" s="15">
        <v>0.47916666666666669</v>
      </c>
      <c r="AG46" s="15">
        <v>0.4826388888888889</v>
      </c>
      <c r="AH46" s="15">
        <v>0.4861111111111111</v>
      </c>
      <c r="AI46" s="15">
        <v>0.48958333333333331</v>
      </c>
      <c r="AJ46" s="15">
        <v>0.49305555555555558</v>
      </c>
      <c r="AK46" s="15">
        <v>0.49652777777777773</v>
      </c>
      <c r="AL46" s="15">
        <v>0.5</v>
      </c>
      <c r="AM46" s="15">
        <v>0.50347222222222221</v>
      </c>
      <c r="AN46" s="15">
        <v>0.50694444444444442</v>
      </c>
      <c r="AO46" s="15">
        <v>0.51041666666666663</v>
      </c>
      <c r="AP46" s="15">
        <v>0.51388888888888895</v>
      </c>
      <c r="AQ46" s="15">
        <v>0.51736111111111105</v>
      </c>
      <c r="AR46" s="15">
        <v>0.52083333333333337</v>
      </c>
      <c r="AS46" s="15">
        <v>0.52430555555555558</v>
      </c>
      <c r="AT46" s="15">
        <v>0.52777777777777779</v>
      </c>
      <c r="AU46" s="15">
        <v>0.53125</v>
      </c>
      <c r="AV46" s="15">
        <v>0.53472222222222221</v>
      </c>
      <c r="AW46" s="15">
        <v>0.53819444444444442</v>
      </c>
      <c r="AX46" s="15">
        <v>0.54166666666666663</v>
      </c>
      <c r="AY46" s="15">
        <v>0.54513888888888895</v>
      </c>
      <c r="AZ46" s="15">
        <v>0.54861111111111105</v>
      </c>
      <c r="BA46" s="15">
        <v>0.55208333333333337</v>
      </c>
      <c r="BB46" s="15">
        <v>0.55555555555555558</v>
      </c>
      <c r="BC46" s="15">
        <v>0.55902777777777779</v>
      </c>
      <c r="BD46" s="15">
        <v>0.5625</v>
      </c>
      <c r="BE46" s="15">
        <v>0.56597222222222221</v>
      </c>
      <c r="BF46" s="15">
        <v>0.56944444444444442</v>
      </c>
      <c r="BG46" s="15">
        <v>0.57291666666666663</v>
      </c>
      <c r="BH46" s="15">
        <v>0.57638888888888895</v>
      </c>
      <c r="BI46" s="15">
        <v>0.57986111111111105</v>
      </c>
      <c r="BJ46" s="15">
        <v>0.58333333333333337</v>
      </c>
      <c r="BK46" s="15">
        <v>0.58680555555555558</v>
      </c>
      <c r="BL46" s="15">
        <v>0.59027777777777779</v>
      </c>
      <c r="BM46" s="15">
        <v>0.59375</v>
      </c>
      <c r="BN46" s="15">
        <v>0.59722222222222221</v>
      </c>
      <c r="BO46" s="15">
        <v>0.60069444444444442</v>
      </c>
      <c r="BP46" s="15">
        <v>0.60416666666666663</v>
      </c>
      <c r="BQ46" s="15">
        <v>0.60763888888888895</v>
      </c>
      <c r="BR46" s="15">
        <v>0.61111111111111105</v>
      </c>
      <c r="BS46" s="15">
        <v>0.61458333333333337</v>
      </c>
      <c r="BT46" s="15">
        <v>0.61805555555555558</v>
      </c>
      <c r="BU46" s="15">
        <v>0.62152777777777779</v>
      </c>
      <c r="BV46" s="15">
        <v>0.625</v>
      </c>
      <c r="BW46" s="15">
        <v>0.62847222222222221</v>
      </c>
      <c r="BX46" s="15">
        <v>0.63194444444444442</v>
      </c>
      <c r="BY46" s="15">
        <v>0.63541666666666663</v>
      </c>
      <c r="BZ46" s="15">
        <v>0.63888888888888895</v>
      </c>
      <c r="CA46" s="15">
        <v>0.64236111111111105</v>
      </c>
      <c r="CB46" s="15">
        <v>0.64583333333333337</v>
      </c>
      <c r="CC46" s="15">
        <v>0.64930555555555558</v>
      </c>
      <c r="CD46" s="15">
        <v>0.65277777777777779</v>
      </c>
      <c r="CE46" s="15">
        <v>0.65625</v>
      </c>
      <c r="CF46" s="15">
        <v>0.65972222222222221</v>
      </c>
      <c r="CG46" s="15">
        <v>0.66319444444444442</v>
      </c>
      <c r="CH46" s="15">
        <v>0.66666666666666663</v>
      </c>
      <c r="CI46" s="15">
        <v>0.67013888888888884</v>
      </c>
      <c r="CJ46" s="15">
        <v>0.67361111111111116</v>
      </c>
      <c r="CK46" s="15">
        <v>0.67708333333333337</v>
      </c>
      <c r="CL46" s="15">
        <v>0.68055555555555547</v>
      </c>
      <c r="CM46" s="15">
        <v>0.68402777777777779</v>
      </c>
      <c r="CN46" s="15">
        <v>0.6875</v>
      </c>
      <c r="CO46" s="15">
        <v>0.69097222222222221</v>
      </c>
      <c r="CP46" s="15">
        <v>0.69444444444444453</v>
      </c>
      <c r="CQ46" s="15">
        <v>0.69791666666666663</v>
      </c>
      <c r="CR46" s="15">
        <v>0.70138888888888884</v>
      </c>
      <c r="CS46" s="15">
        <v>0.70486111111111116</v>
      </c>
      <c r="CT46" s="15">
        <v>0.70833333333333337</v>
      </c>
      <c r="CU46" s="15">
        <v>0.71180555555555547</v>
      </c>
      <c r="CV46" s="15">
        <v>0.71527777777777779</v>
      </c>
      <c r="CW46" s="15">
        <v>0.71875</v>
      </c>
      <c r="CX46" s="15">
        <v>0.72222222222222221</v>
      </c>
      <c r="CY46" s="15">
        <v>0.72569444444444453</v>
      </c>
      <c r="CZ46" s="15">
        <v>0.72916666666666663</v>
      </c>
      <c r="DA46" s="15">
        <v>0.73263888888888884</v>
      </c>
      <c r="DB46" s="15">
        <v>0.73611111111111116</v>
      </c>
      <c r="DC46" s="15">
        <v>0.73958333333333337</v>
      </c>
      <c r="DD46" s="15">
        <v>0.74305555555555547</v>
      </c>
      <c r="DE46" s="15">
        <v>0.74652777777777779</v>
      </c>
      <c r="DF46" s="15">
        <v>0.75</v>
      </c>
    </row>
    <row r="47" spans="1:110" ht="15.75" x14ac:dyDescent="0.25">
      <c r="A47" s="14">
        <v>44330</v>
      </c>
      <c r="B47" s="12" t="s">
        <v>6</v>
      </c>
      <c r="C47" s="13">
        <v>5320.14</v>
      </c>
      <c r="D47" s="13">
        <v>5312.22</v>
      </c>
      <c r="E47" s="13">
        <v>5308.27</v>
      </c>
      <c r="F47" s="13">
        <v>5301.73</v>
      </c>
      <c r="G47" s="13">
        <v>5306.89</v>
      </c>
      <c r="H47" s="13">
        <v>5313.81</v>
      </c>
      <c r="I47" s="13">
        <v>5312.85</v>
      </c>
      <c r="J47" s="13">
        <v>5319.3</v>
      </c>
      <c r="K47" s="13">
        <v>5320.52</v>
      </c>
      <c r="L47" s="13">
        <v>5313.6</v>
      </c>
      <c r="M47" s="13">
        <v>5310.19</v>
      </c>
      <c r="N47" s="13">
        <v>5316.67</v>
      </c>
      <c r="O47" s="13">
        <v>5318.37</v>
      </c>
      <c r="P47" s="13">
        <v>5309.2</v>
      </c>
      <c r="Q47" s="13">
        <v>5310.3</v>
      </c>
      <c r="R47" s="13">
        <v>5304.53</v>
      </c>
      <c r="S47" s="13">
        <v>5294.39</v>
      </c>
      <c r="T47" s="13">
        <v>5296.77</v>
      </c>
      <c r="U47" s="13">
        <v>5293.74</v>
      </c>
      <c r="V47" s="13">
        <v>5289.34</v>
      </c>
      <c r="W47" s="13">
        <v>5287.79</v>
      </c>
      <c r="X47" s="13">
        <v>5287.79</v>
      </c>
      <c r="Y47" s="13">
        <v>5290</v>
      </c>
      <c r="Z47" s="13">
        <v>5285.71</v>
      </c>
      <c r="AA47" s="13">
        <v>5288.53</v>
      </c>
      <c r="AB47" s="13">
        <v>5290.87</v>
      </c>
      <c r="AC47" s="13">
        <v>5289.26</v>
      </c>
      <c r="AD47" s="13">
        <v>5289.47</v>
      </c>
      <c r="AE47" s="13">
        <v>5290</v>
      </c>
      <c r="AF47" s="13">
        <v>5291.61</v>
      </c>
      <c r="AG47" s="13">
        <v>5293.08</v>
      </c>
      <c r="AH47" s="13">
        <v>5299.05</v>
      </c>
      <c r="AI47" s="13">
        <v>5307.84</v>
      </c>
      <c r="AJ47" s="13">
        <v>5302.48</v>
      </c>
      <c r="AK47" s="13">
        <v>5297.6</v>
      </c>
      <c r="AL47" s="13">
        <v>5291.28</v>
      </c>
      <c r="AM47" s="13">
        <v>5294.59</v>
      </c>
      <c r="AN47" s="13">
        <v>5295.88</v>
      </c>
      <c r="AO47" s="13">
        <v>5300.48</v>
      </c>
      <c r="AP47" s="13">
        <v>5297.48</v>
      </c>
      <c r="AQ47" s="13">
        <v>5293</v>
      </c>
      <c r="AR47" s="13">
        <v>5289.86</v>
      </c>
      <c r="AS47" s="13">
        <v>5286.46</v>
      </c>
      <c r="AT47" s="13">
        <v>5289.44</v>
      </c>
      <c r="AU47" s="13">
        <v>5288</v>
      </c>
      <c r="AV47" s="13">
        <v>5287.04</v>
      </c>
      <c r="AW47" s="13">
        <v>5286.04</v>
      </c>
      <c r="AX47" s="13">
        <v>5287.6</v>
      </c>
      <c r="AY47" s="13">
        <v>5287.6</v>
      </c>
      <c r="AZ47" s="13">
        <v>5288.52</v>
      </c>
      <c r="BA47" s="13">
        <v>5288.52</v>
      </c>
      <c r="BB47" s="13">
        <v>5284.84</v>
      </c>
      <c r="BC47" s="13">
        <v>5279.03</v>
      </c>
      <c r="BD47" s="13">
        <v>5275.64</v>
      </c>
      <c r="BE47" s="13">
        <v>5282.21</v>
      </c>
      <c r="BF47" s="13">
        <v>5284.96</v>
      </c>
      <c r="BG47" s="13">
        <v>5285.1</v>
      </c>
      <c r="BH47" s="13">
        <v>5289.44</v>
      </c>
      <c r="BI47" s="13">
        <v>5288.79</v>
      </c>
      <c r="BJ47" s="13">
        <v>5290.72</v>
      </c>
      <c r="BK47" s="13">
        <v>5294.16</v>
      </c>
      <c r="BL47" s="13">
        <v>5293.12</v>
      </c>
      <c r="BM47" s="13">
        <v>5292.2</v>
      </c>
      <c r="BN47" s="13">
        <v>5292.2</v>
      </c>
      <c r="BO47" s="13">
        <v>5292.2</v>
      </c>
      <c r="BP47" s="13">
        <v>5292.2</v>
      </c>
      <c r="BQ47" s="13">
        <v>5292.2</v>
      </c>
      <c r="BR47" s="13">
        <v>5294.96</v>
      </c>
      <c r="BS47" s="13">
        <v>5296.8</v>
      </c>
      <c r="BT47" s="13">
        <v>5295.88</v>
      </c>
      <c r="BU47" s="13">
        <v>5296.8</v>
      </c>
      <c r="BV47" s="13">
        <v>5305.08</v>
      </c>
      <c r="BW47" s="13">
        <v>5305.2</v>
      </c>
      <c r="BX47" s="13">
        <v>5296.8</v>
      </c>
      <c r="BY47" s="13">
        <v>5294.96</v>
      </c>
      <c r="BZ47" s="13">
        <v>5294.96</v>
      </c>
      <c r="CA47" s="13">
        <v>5296.8</v>
      </c>
      <c r="CB47" s="13">
        <v>5295.88</v>
      </c>
      <c r="CC47" s="13">
        <v>5299.56</v>
      </c>
      <c r="CD47" s="13">
        <v>5301.4</v>
      </c>
      <c r="CE47" s="13">
        <v>5298.64</v>
      </c>
      <c r="CF47" s="13">
        <v>5296.68</v>
      </c>
      <c r="CG47" s="13">
        <v>5296.68</v>
      </c>
      <c r="CH47" s="13">
        <v>5293.12</v>
      </c>
      <c r="CI47" s="13">
        <v>5294.04</v>
      </c>
      <c r="CJ47" s="13">
        <v>5294.96</v>
      </c>
      <c r="CK47" s="13">
        <v>5294.04</v>
      </c>
      <c r="CL47" s="13">
        <v>5294.04</v>
      </c>
      <c r="CM47" s="13">
        <v>5296.68</v>
      </c>
      <c r="CN47" s="13">
        <v>5297.6</v>
      </c>
      <c r="CO47" s="13">
        <v>5296.68</v>
      </c>
      <c r="CP47" s="13">
        <v>5296.68</v>
      </c>
      <c r="CQ47" s="13">
        <v>5296.8</v>
      </c>
      <c r="CR47" s="13">
        <v>5296.8</v>
      </c>
      <c r="CS47" s="13">
        <v>5294.84</v>
      </c>
      <c r="CT47" s="13">
        <v>5299.56</v>
      </c>
      <c r="CU47" s="13">
        <v>5301.64</v>
      </c>
      <c r="CV47" s="13">
        <v>5304.22</v>
      </c>
      <c r="CW47" s="13">
        <v>5303.64</v>
      </c>
      <c r="CX47" s="13">
        <v>5304.56</v>
      </c>
      <c r="CY47" s="13">
        <v>5303.64</v>
      </c>
      <c r="CZ47" s="13">
        <v>5303.71</v>
      </c>
      <c r="DA47" s="13">
        <v>5298.21</v>
      </c>
      <c r="DB47" s="13">
        <v>5295.52</v>
      </c>
      <c r="DC47" s="13">
        <v>5293.76</v>
      </c>
      <c r="DD47" s="13">
        <v>5293.76</v>
      </c>
      <c r="DE47" s="13">
        <v>5297.28</v>
      </c>
      <c r="DF47" s="13">
        <v>5316.4</v>
      </c>
    </row>
    <row r="48" spans="1:110" ht="15.75" x14ac:dyDescent="0.25">
      <c r="A48" s="14" t="s">
        <v>12</v>
      </c>
      <c r="B48" s="12" t="s">
        <v>10</v>
      </c>
      <c r="C48" s="13">
        <v>5307.43</v>
      </c>
      <c r="D48" s="13">
        <v>5306.26</v>
      </c>
      <c r="E48" s="13">
        <v>5300.07</v>
      </c>
      <c r="F48" s="13">
        <v>5295.03</v>
      </c>
      <c r="G48" s="13">
        <v>5302.77</v>
      </c>
      <c r="H48" s="13">
        <v>5312.85</v>
      </c>
      <c r="I48" s="13">
        <v>5304.7</v>
      </c>
      <c r="J48" s="13">
        <v>5315.83</v>
      </c>
      <c r="K48" s="13">
        <v>5309.03</v>
      </c>
      <c r="L48" s="13">
        <v>5305.3</v>
      </c>
      <c r="M48" s="13">
        <v>5305.4</v>
      </c>
      <c r="N48" s="13">
        <v>5312.93</v>
      </c>
      <c r="O48" s="13">
        <v>5309.37</v>
      </c>
      <c r="P48" s="13">
        <v>5304.37</v>
      </c>
      <c r="Q48" s="13">
        <v>5304.8</v>
      </c>
      <c r="R48" s="13">
        <v>5293.5</v>
      </c>
      <c r="S48" s="13">
        <v>5294.26</v>
      </c>
      <c r="T48" s="13">
        <v>5293</v>
      </c>
      <c r="U48" s="13">
        <v>5289.26</v>
      </c>
      <c r="V48" s="13">
        <v>5288.45</v>
      </c>
      <c r="W48" s="13">
        <v>5285.45</v>
      </c>
      <c r="X48" s="13">
        <v>5287.79</v>
      </c>
      <c r="Y48" s="13">
        <v>5285.71</v>
      </c>
      <c r="Z48" s="13">
        <v>5284.93</v>
      </c>
      <c r="AA48" s="13">
        <v>5287.18</v>
      </c>
      <c r="AB48" s="13">
        <v>5287.92</v>
      </c>
      <c r="AC48" s="13">
        <v>5285.71</v>
      </c>
      <c r="AD48" s="13">
        <v>5289.34</v>
      </c>
      <c r="AE48" s="13">
        <v>5289.26</v>
      </c>
      <c r="AF48" s="13">
        <v>5291.47</v>
      </c>
      <c r="AG48" s="13">
        <v>5292.29</v>
      </c>
      <c r="AH48" s="13">
        <v>5298.92</v>
      </c>
      <c r="AI48" s="13">
        <v>5302.03</v>
      </c>
      <c r="AJ48" s="13">
        <v>5294.59</v>
      </c>
      <c r="AK48" s="13">
        <v>5290.9</v>
      </c>
      <c r="AL48" s="13">
        <v>5287.83</v>
      </c>
      <c r="AM48" s="13">
        <v>5294.59</v>
      </c>
      <c r="AN48" s="13">
        <v>5294.59</v>
      </c>
      <c r="AO48" s="13">
        <v>5300.48</v>
      </c>
      <c r="AP48" s="13">
        <v>5289.59</v>
      </c>
      <c r="AQ48" s="13">
        <v>5289.86</v>
      </c>
      <c r="AR48" s="13">
        <v>5284.34</v>
      </c>
      <c r="AS48" s="13">
        <v>5282.31</v>
      </c>
      <c r="AT48" s="13">
        <v>5287.66</v>
      </c>
      <c r="AU48" s="13">
        <v>5285.72</v>
      </c>
      <c r="AV48" s="13">
        <v>5283.27</v>
      </c>
      <c r="AW48" s="13">
        <v>5282.83</v>
      </c>
      <c r="AX48" s="13">
        <v>5287.6</v>
      </c>
      <c r="AY48" s="13">
        <v>5284.66</v>
      </c>
      <c r="AZ48" s="13">
        <v>5286.69</v>
      </c>
      <c r="BA48" s="13">
        <v>5284.93</v>
      </c>
      <c r="BB48" s="13">
        <v>5278.86</v>
      </c>
      <c r="BC48" s="13">
        <v>5271.41</v>
      </c>
      <c r="BD48" s="13">
        <v>5274.31</v>
      </c>
      <c r="BE48" s="13">
        <v>5282.21</v>
      </c>
      <c r="BF48" s="13">
        <v>5281.34</v>
      </c>
      <c r="BG48" s="13">
        <v>5284.93</v>
      </c>
      <c r="BH48" s="13">
        <v>5288.79</v>
      </c>
      <c r="BI48" s="13">
        <v>5285.9</v>
      </c>
      <c r="BJ48" s="13">
        <v>5287.93</v>
      </c>
      <c r="BK48" s="13">
        <v>5292.2</v>
      </c>
      <c r="BL48" s="13">
        <v>5289.44</v>
      </c>
      <c r="BM48" s="13">
        <v>5292.2</v>
      </c>
      <c r="BN48" s="13">
        <v>5292.2</v>
      </c>
      <c r="BO48" s="13">
        <v>5292.2</v>
      </c>
      <c r="BP48" s="13">
        <v>5292.08</v>
      </c>
      <c r="BQ48" s="13">
        <v>5292.2</v>
      </c>
      <c r="BR48" s="13">
        <v>5294.96</v>
      </c>
      <c r="BS48" s="13">
        <v>5295.88</v>
      </c>
      <c r="BT48" s="13">
        <v>5294.04</v>
      </c>
      <c r="BU48" s="13">
        <v>5294.04</v>
      </c>
      <c r="BV48" s="13">
        <v>5304.28</v>
      </c>
      <c r="BW48" s="13">
        <v>5295.88</v>
      </c>
      <c r="BX48" s="13">
        <v>5294.96</v>
      </c>
      <c r="BY48" s="13">
        <v>5294.96</v>
      </c>
      <c r="BZ48" s="13">
        <v>5293.12</v>
      </c>
      <c r="CA48" s="13">
        <v>5295.64</v>
      </c>
      <c r="CB48" s="13">
        <v>5295.88</v>
      </c>
      <c r="CC48" s="13">
        <v>5299.56</v>
      </c>
      <c r="CD48" s="13">
        <v>5297.72</v>
      </c>
      <c r="CE48" s="13">
        <v>5296.68</v>
      </c>
      <c r="CF48" s="13">
        <v>5296.68</v>
      </c>
      <c r="CG48" s="13">
        <v>5292.2</v>
      </c>
      <c r="CH48" s="13">
        <v>5289.44</v>
      </c>
      <c r="CI48" s="13">
        <v>5294.04</v>
      </c>
      <c r="CJ48" s="13">
        <v>5293.8</v>
      </c>
      <c r="CK48" s="13">
        <v>5294.04</v>
      </c>
      <c r="CL48" s="13">
        <v>5294.04</v>
      </c>
      <c r="CM48" s="13">
        <v>5295.88</v>
      </c>
      <c r="CN48" s="13">
        <v>5295.88</v>
      </c>
      <c r="CO48" s="13">
        <v>5296.68</v>
      </c>
      <c r="CP48" s="13">
        <v>5296.68</v>
      </c>
      <c r="CQ48" s="13">
        <v>5296.8</v>
      </c>
      <c r="CR48" s="13">
        <v>5294.04</v>
      </c>
      <c r="CS48" s="13">
        <v>5294.04</v>
      </c>
      <c r="CT48" s="13">
        <v>5296.68</v>
      </c>
      <c r="CU48" s="13">
        <v>5301.28</v>
      </c>
      <c r="CV48" s="13">
        <v>5302.32</v>
      </c>
      <c r="CW48" s="13">
        <v>5303.64</v>
      </c>
      <c r="CX48" s="13">
        <v>5302.72</v>
      </c>
      <c r="CY48" s="13">
        <v>5303.64</v>
      </c>
      <c r="CZ48" s="13">
        <v>5299.29</v>
      </c>
      <c r="DA48" s="13">
        <v>5295.52</v>
      </c>
      <c r="DB48" s="13">
        <v>5291.92</v>
      </c>
      <c r="DC48" s="13">
        <v>5293.76</v>
      </c>
      <c r="DD48" s="13">
        <v>5291.12</v>
      </c>
      <c r="DE48" s="13">
        <v>5297.28</v>
      </c>
      <c r="DF48" s="13">
        <v>5316.4</v>
      </c>
    </row>
    <row r="49" spans="1:110" ht="15.75" x14ac:dyDescent="0.25">
      <c r="A49" s="14" t="s">
        <v>12</v>
      </c>
      <c r="B49" s="12" t="s">
        <v>9</v>
      </c>
      <c r="C49" s="13">
        <v>5294.77</v>
      </c>
      <c r="D49" s="13">
        <v>5294</v>
      </c>
      <c r="E49" s="13">
        <v>5290.04</v>
      </c>
      <c r="F49" s="13">
        <v>5284.88</v>
      </c>
      <c r="G49" s="13">
        <v>5279.59</v>
      </c>
      <c r="H49" s="13">
        <v>5281.41</v>
      </c>
      <c r="I49" s="13">
        <v>5280.65</v>
      </c>
      <c r="J49" s="13">
        <v>5286.85</v>
      </c>
      <c r="K49" s="13">
        <v>5282.74</v>
      </c>
      <c r="L49" s="13">
        <v>5278.47</v>
      </c>
      <c r="M49" s="13">
        <v>5281.11</v>
      </c>
      <c r="N49" s="13">
        <v>5285.46</v>
      </c>
      <c r="O49" s="13">
        <v>5283.26</v>
      </c>
      <c r="P49" s="13">
        <v>5280.69</v>
      </c>
      <c r="Q49" s="13">
        <v>5280.91</v>
      </c>
      <c r="R49" s="13">
        <v>5271.29</v>
      </c>
      <c r="S49" s="13">
        <v>5272.89</v>
      </c>
      <c r="T49" s="13">
        <v>5271.74</v>
      </c>
      <c r="U49" s="13">
        <v>5269.71</v>
      </c>
      <c r="V49" s="13">
        <v>5269.17</v>
      </c>
      <c r="W49" s="13">
        <v>5265.96</v>
      </c>
      <c r="X49" s="13">
        <v>5267.89</v>
      </c>
      <c r="Y49" s="13">
        <v>5267.11</v>
      </c>
      <c r="Z49" s="13">
        <v>5265</v>
      </c>
      <c r="AA49" s="13">
        <v>5267.81</v>
      </c>
      <c r="AB49" s="13">
        <v>5267.74</v>
      </c>
      <c r="AC49" s="13">
        <v>5272.33</v>
      </c>
      <c r="AD49" s="13">
        <v>5273.77</v>
      </c>
      <c r="AE49" s="13">
        <v>5275.56</v>
      </c>
      <c r="AF49" s="13">
        <v>5277.67</v>
      </c>
      <c r="AG49" s="13">
        <v>5278.15</v>
      </c>
      <c r="AH49" s="13">
        <v>5284.15</v>
      </c>
      <c r="AI49" s="13">
        <v>5283.11</v>
      </c>
      <c r="AJ49" s="13">
        <v>5278.15</v>
      </c>
      <c r="AK49" s="13">
        <v>5275.3</v>
      </c>
      <c r="AL49" s="13">
        <v>5273.67</v>
      </c>
      <c r="AM49" s="13">
        <v>5278.11</v>
      </c>
      <c r="AN49" s="13">
        <v>5277.78</v>
      </c>
      <c r="AO49" s="13">
        <v>5281.3</v>
      </c>
      <c r="AP49" s="13">
        <v>5274.33</v>
      </c>
      <c r="AQ49" s="13">
        <v>5274.33</v>
      </c>
      <c r="AR49" s="13">
        <v>5271.19</v>
      </c>
      <c r="AS49" s="13">
        <v>5270.08</v>
      </c>
      <c r="AT49" s="13">
        <v>5273.63</v>
      </c>
      <c r="AU49" s="13">
        <v>5272.3</v>
      </c>
      <c r="AV49" s="13">
        <v>5269.92</v>
      </c>
      <c r="AW49" s="13">
        <v>5269.8</v>
      </c>
      <c r="AX49" s="13">
        <v>5272.16</v>
      </c>
      <c r="AY49" s="13">
        <v>5271.12</v>
      </c>
      <c r="AZ49" s="13">
        <v>5272.56</v>
      </c>
      <c r="BA49" s="13">
        <v>5270.6</v>
      </c>
      <c r="BB49" s="13">
        <v>5266.8</v>
      </c>
      <c r="BC49" s="13">
        <v>5261.42</v>
      </c>
      <c r="BD49" s="13">
        <v>5262.04</v>
      </c>
      <c r="BE49" s="13">
        <v>5268.04</v>
      </c>
      <c r="BF49" s="13">
        <v>5267.77</v>
      </c>
      <c r="BG49" s="13">
        <v>5269.85</v>
      </c>
      <c r="BH49" s="13">
        <v>5273.12</v>
      </c>
      <c r="BI49" s="13">
        <v>5270.65</v>
      </c>
      <c r="BJ49" s="13">
        <v>5272.26</v>
      </c>
      <c r="BK49" s="13">
        <v>5272.64</v>
      </c>
      <c r="BL49" s="13">
        <v>5270.27</v>
      </c>
      <c r="BM49" s="13">
        <v>5271.45</v>
      </c>
      <c r="BN49" s="13">
        <v>5272.13</v>
      </c>
      <c r="BO49" s="13">
        <v>5272.05</v>
      </c>
      <c r="BP49" s="13">
        <v>5271.32</v>
      </c>
      <c r="BQ49" s="13">
        <v>5271.45</v>
      </c>
      <c r="BR49" s="13">
        <v>5273.82</v>
      </c>
      <c r="BS49" s="13">
        <v>5273.82</v>
      </c>
      <c r="BT49" s="13">
        <v>5273.23</v>
      </c>
      <c r="BU49" s="13">
        <v>5272.77</v>
      </c>
      <c r="BV49" s="13">
        <v>5279.67</v>
      </c>
      <c r="BW49" s="13">
        <v>5274.1</v>
      </c>
      <c r="BX49" s="13">
        <v>5273.81</v>
      </c>
      <c r="BY49" s="13">
        <v>5273.33</v>
      </c>
      <c r="BZ49" s="13">
        <v>5272.86</v>
      </c>
      <c r="CA49" s="13">
        <v>5273.48</v>
      </c>
      <c r="CB49" s="13">
        <v>5273.95</v>
      </c>
      <c r="CC49" s="13">
        <v>5276.43</v>
      </c>
      <c r="CD49" s="13">
        <v>5275.19</v>
      </c>
      <c r="CE49" s="13">
        <v>5274.1</v>
      </c>
      <c r="CF49" s="13">
        <v>5274.24</v>
      </c>
      <c r="CG49" s="13">
        <v>5271.48</v>
      </c>
      <c r="CH49" s="13">
        <v>5270.38</v>
      </c>
      <c r="CI49" s="13">
        <v>5272.24</v>
      </c>
      <c r="CJ49" s="13">
        <v>5272.24</v>
      </c>
      <c r="CK49" s="13">
        <v>5272.24</v>
      </c>
      <c r="CL49" s="13">
        <v>5273.19</v>
      </c>
      <c r="CM49" s="13">
        <v>5273.95</v>
      </c>
      <c r="CN49" s="13">
        <v>5274.1</v>
      </c>
      <c r="CO49" s="13">
        <v>5274.1</v>
      </c>
      <c r="CP49" s="13">
        <v>5274.1</v>
      </c>
      <c r="CQ49" s="13">
        <v>5274.1</v>
      </c>
      <c r="CR49" s="13">
        <v>5272.71</v>
      </c>
      <c r="CS49" s="13">
        <v>5272.1</v>
      </c>
      <c r="CT49" s="13">
        <v>5274.1</v>
      </c>
      <c r="CU49" s="13">
        <v>5277.19</v>
      </c>
      <c r="CV49" s="13">
        <v>5278.29</v>
      </c>
      <c r="CW49" s="13">
        <v>5279.05</v>
      </c>
      <c r="CX49" s="13">
        <v>5278.9</v>
      </c>
      <c r="CY49" s="13">
        <v>5278.9</v>
      </c>
      <c r="CZ49" s="13">
        <v>5276.71</v>
      </c>
      <c r="DA49" s="13">
        <v>5272.85</v>
      </c>
      <c r="DB49" s="13">
        <v>5270.25</v>
      </c>
      <c r="DC49" s="13">
        <v>5271.55</v>
      </c>
      <c r="DD49" s="13">
        <v>5269.67</v>
      </c>
      <c r="DE49" s="13">
        <v>5273.86</v>
      </c>
      <c r="DF49" s="13">
        <v>5255.89</v>
      </c>
    </row>
    <row r="50" spans="1:110" ht="15.75" x14ac:dyDescent="0.25">
      <c r="A50" s="14" t="s">
        <v>12</v>
      </c>
      <c r="B50" s="12" t="s">
        <v>7</v>
      </c>
      <c r="C50" s="13">
        <v>5285</v>
      </c>
      <c r="D50" s="13">
        <v>5292.5</v>
      </c>
      <c r="E50" s="13">
        <v>5288.57</v>
      </c>
      <c r="F50" s="13">
        <v>5283.86</v>
      </c>
      <c r="G50" s="13">
        <v>5277.72</v>
      </c>
      <c r="H50" s="13">
        <v>5279.35</v>
      </c>
      <c r="I50" s="13">
        <v>5274.69</v>
      </c>
      <c r="J50" s="13">
        <v>5278.28</v>
      </c>
      <c r="K50" s="13">
        <v>5280.2</v>
      </c>
      <c r="L50" s="13">
        <v>5278.13</v>
      </c>
      <c r="M50" s="13">
        <v>5278.47</v>
      </c>
      <c r="N50" s="13">
        <v>5280.63</v>
      </c>
      <c r="O50" s="13">
        <v>5281.6</v>
      </c>
      <c r="P50" s="13">
        <v>5279.14</v>
      </c>
      <c r="Q50" s="13">
        <v>5278.57</v>
      </c>
      <c r="R50" s="13">
        <v>5268.3</v>
      </c>
      <c r="S50" s="13">
        <v>5265.68</v>
      </c>
      <c r="T50" s="13">
        <v>5269.23</v>
      </c>
      <c r="U50" s="13">
        <v>5264.64</v>
      </c>
      <c r="V50" s="13">
        <v>5264.04</v>
      </c>
      <c r="W50" s="13">
        <v>5262.91</v>
      </c>
      <c r="X50" s="13">
        <v>5262.35</v>
      </c>
      <c r="Y50" s="13">
        <v>5266</v>
      </c>
      <c r="Z50" s="13">
        <v>5261.27</v>
      </c>
      <c r="AA50" s="13">
        <v>5263.32</v>
      </c>
      <c r="AB50" s="13">
        <v>5266.89</v>
      </c>
      <c r="AC50" s="13">
        <v>5265.68</v>
      </c>
      <c r="AD50" s="13">
        <v>5272.59</v>
      </c>
      <c r="AE50" s="13">
        <v>5272.59</v>
      </c>
      <c r="AF50" s="13">
        <v>5272.59</v>
      </c>
      <c r="AG50" s="13">
        <v>5274.81</v>
      </c>
      <c r="AH50" s="13">
        <v>5279.09</v>
      </c>
      <c r="AI50" s="13">
        <v>5282.33</v>
      </c>
      <c r="AJ50" s="13">
        <v>5277</v>
      </c>
      <c r="AK50" s="13">
        <v>5273.78</v>
      </c>
      <c r="AL50" s="13">
        <v>5271.78</v>
      </c>
      <c r="AM50" s="13">
        <v>5273.19</v>
      </c>
      <c r="AN50" s="13">
        <v>5275.68</v>
      </c>
      <c r="AO50" s="13">
        <v>5276.73</v>
      </c>
      <c r="AP50" s="13">
        <v>5272.59</v>
      </c>
      <c r="AQ50" s="13">
        <v>5274.33</v>
      </c>
      <c r="AR50" s="13">
        <v>5271.19</v>
      </c>
      <c r="AS50" s="13">
        <v>5266.9</v>
      </c>
      <c r="AT50" s="13">
        <v>5270.27</v>
      </c>
      <c r="AU50" s="13">
        <v>5272.3</v>
      </c>
      <c r="AV50" s="13">
        <v>5266</v>
      </c>
      <c r="AW50" s="13">
        <v>5267.04</v>
      </c>
      <c r="AX50" s="13">
        <v>5269.48</v>
      </c>
      <c r="AY50" s="13">
        <v>5269.65</v>
      </c>
      <c r="AZ50" s="13">
        <v>5269.68</v>
      </c>
      <c r="BA50" s="13">
        <v>5270.4</v>
      </c>
      <c r="BB50" s="13">
        <v>5265.75</v>
      </c>
      <c r="BC50" s="13">
        <v>5261.21</v>
      </c>
      <c r="BD50" s="13">
        <v>5260.54</v>
      </c>
      <c r="BE50" s="13">
        <v>5261.35</v>
      </c>
      <c r="BF50" s="13">
        <v>5267.46</v>
      </c>
      <c r="BG50" s="13">
        <v>5265.76</v>
      </c>
      <c r="BH50" s="13">
        <v>5267.29</v>
      </c>
      <c r="BI50" s="13">
        <v>5269.35</v>
      </c>
      <c r="BJ50" s="13">
        <v>5266.05</v>
      </c>
      <c r="BK50" s="13">
        <v>5270.27</v>
      </c>
      <c r="BL50" s="13">
        <v>5269.09</v>
      </c>
      <c r="BM50" s="13">
        <v>5269.68</v>
      </c>
      <c r="BN50" s="13">
        <v>5270.27</v>
      </c>
      <c r="BO50" s="13">
        <v>5270.86</v>
      </c>
      <c r="BP50" s="13">
        <v>5270.86</v>
      </c>
      <c r="BQ50" s="13">
        <v>5270.14</v>
      </c>
      <c r="BR50" s="13">
        <v>5271.32</v>
      </c>
      <c r="BS50" s="13">
        <v>5273.82</v>
      </c>
      <c r="BT50" s="13">
        <v>5269.94</v>
      </c>
      <c r="BU50" s="13">
        <v>5272.77</v>
      </c>
      <c r="BV50" s="13">
        <v>5273.68</v>
      </c>
      <c r="BW50" s="13">
        <v>5274.1</v>
      </c>
      <c r="BX50" s="13">
        <v>5272.86</v>
      </c>
      <c r="BY50" s="13">
        <v>5272.86</v>
      </c>
      <c r="BZ50" s="13">
        <v>5271.48</v>
      </c>
      <c r="CA50" s="13">
        <v>5272.24</v>
      </c>
      <c r="CB50" s="13">
        <v>5273.33</v>
      </c>
      <c r="CC50" s="13">
        <v>5272.86</v>
      </c>
      <c r="CD50" s="13">
        <v>5271.06</v>
      </c>
      <c r="CE50" s="13">
        <v>5274.1</v>
      </c>
      <c r="CF50" s="13">
        <v>5273.48</v>
      </c>
      <c r="CG50" s="13">
        <v>5271.48</v>
      </c>
      <c r="CH50" s="13">
        <v>5270.38</v>
      </c>
      <c r="CI50" s="13">
        <v>5270.24</v>
      </c>
      <c r="CJ50" s="13">
        <v>5272.24</v>
      </c>
      <c r="CK50" s="13">
        <v>5272.24</v>
      </c>
      <c r="CL50" s="13">
        <v>5272.24</v>
      </c>
      <c r="CM50" s="13">
        <v>5273.48</v>
      </c>
      <c r="CN50" s="13">
        <v>5273.95</v>
      </c>
      <c r="CO50" s="13">
        <v>5274.1</v>
      </c>
      <c r="CP50" s="13">
        <v>5274.1</v>
      </c>
      <c r="CQ50" s="13">
        <v>5273.48</v>
      </c>
      <c r="CR50" s="13">
        <v>5272.71</v>
      </c>
      <c r="CS50" s="13">
        <v>5272.1</v>
      </c>
      <c r="CT50" s="13">
        <v>5273.48</v>
      </c>
      <c r="CU50" s="13">
        <v>5272.06</v>
      </c>
      <c r="CV50" s="13">
        <v>5277.19</v>
      </c>
      <c r="CW50" s="13">
        <v>5277.81</v>
      </c>
      <c r="CX50" s="13">
        <v>5278.9</v>
      </c>
      <c r="CY50" s="13">
        <v>5278.29</v>
      </c>
      <c r="CZ50" s="13">
        <v>5275.95</v>
      </c>
      <c r="DA50" s="13">
        <v>5272.25</v>
      </c>
      <c r="DB50" s="13">
        <v>5269.25</v>
      </c>
      <c r="DC50" s="13">
        <v>5270.25</v>
      </c>
      <c r="DD50" s="13">
        <v>5269.25</v>
      </c>
      <c r="DE50" s="13">
        <v>5270.62</v>
      </c>
      <c r="DF50" s="13">
        <v>5255.89</v>
      </c>
    </row>
    <row r="51" spans="1:110" ht="15.75" x14ac:dyDescent="0.25">
      <c r="A51" s="11" t="s">
        <v>5</v>
      </c>
      <c r="B51" s="11" t="s">
        <v>11</v>
      </c>
      <c r="C51" s="15"/>
      <c r="D51" s="15">
        <v>0.38194444444444442</v>
      </c>
      <c r="E51" s="15">
        <v>0.38541666666666669</v>
      </c>
      <c r="F51" s="15">
        <v>0.3888888888888889</v>
      </c>
      <c r="G51" s="15">
        <v>0.3923611111111111</v>
      </c>
      <c r="H51" s="15">
        <v>0.39583333333333331</v>
      </c>
      <c r="I51" s="15">
        <v>0.39930555555555558</v>
      </c>
      <c r="J51" s="15">
        <v>0.40277777777777773</v>
      </c>
      <c r="K51" s="15">
        <v>0.40625</v>
      </c>
      <c r="L51" s="15">
        <v>0.40972222222222227</v>
      </c>
      <c r="M51" s="15">
        <v>0.41319444444444442</v>
      </c>
      <c r="N51" s="15">
        <v>0.41666666666666669</v>
      </c>
      <c r="O51" s="15">
        <v>0.4201388888888889</v>
      </c>
      <c r="P51" s="15">
        <v>0.4236111111111111</v>
      </c>
      <c r="Q51" s="15">
        <v>0.42708333333333331</v>
      </c>
      <c r="R51" s="15">
        <v>0.43055555555555558</v>
      </c>
      <c r="S51" s="15">
        <v>0.43402777777777773</v>
      </c>
      <c r="T51" s="15">
        <v>0.4375</v>
      </c>
      <c r="U51" s="15">
        <v>0.44097222222222227</v>
      </c>
      <c r="V51" s="15">
        <v>0.44444444444444442</v>
      </c>
      <c r="W51" s="15">
        <v>0.44791666666666669</v>
      </c>
      <c r="X51" s="15">
        <v>0.4513888888888889</v>
      </c>
      <c r="Y51" s="15">
        <v>0.4548611111111111</v>
      </c>
      <c r="Z51" s="15">
        <v>0.45833333333333331</v>
      </c>
      <c r="AA51" s="15">
        <v>0.46180555555555558</v>
      </c>
      <c r="AB51" s="15">
        <v>0.46527777777777773</v>
      </c>
      <c r="AC51" s="15">
        <v>0.46875</v>
      </c>
      <c r="AD51" s="15">
        <v>0.47222222222222227</v>
      </c>
      <c r="AE51" s="15">
        <v>0.47569444444444442</v>
      </c>
      <c r="AF51" s="15">
        <v>0.47916666666666669</v>
      </c>
      <c r="AG51" s="15">
        <v>0.4826388888888889</v>
      </c>
      <c r="AH51" s="15">
        <v>0.4861111111111111</v>
      </c>
      <c r="AI51" s="15">
        <v>0.48958333333333331</v>
      </c>
      <c r="AJ51" s="15">
        <v>0.49305555555555558</v>
      </c>
      <c r="AK51" s="15">
        <v>0.49652777777777773</v>
      </c>
      <c r="AL51" s="15">
        <v>0.5</v>
      </c>
      <c r="AM51" s="15">
        <v>0.50347222222222221</v>
      </c>
      <c r="AN51" s="15">
        <v>0.50694444444444442</v>
      </c>
      <c r="AO51" s="15">
        <v>0.51041666666666663</v>
      </c>
      <c r="AP51" s="15">
        <v>0.51388888888888895</v>
      </c>
      <c r="AQ51" s="15">
        <v>0.51736111111111105</v>
      </c>
      <c r="AR51" s="15">
        <v>0.52083333333333337</v>
      </c>
      <c r="AS51" s="15">
        <v>0.52430555555555558</v>
      </c>
      <c r="AT51" s="15">
        <v>0.52777777777777779</v>
      </c>
      <c r="AU51" s="15">
        <v>0.53125</v>
      </c>
      <c r="AV51" s="15">
        <v>0.53472222222222221</v>
      </c>
      <c r="AW51" s="15">
        <v>0.53819444444444442</v>
      </c>
      <c r="AX51" s="15">
        <v>0.54166666666666663</v>
      </c>
      <c r="AY51" s="15">
        <v>0.54513888888888895</v>
      </c>
      <c r="AZ51" s="15">
        <v>0.54861111111111105</v>
      </c>
      <c r="BA51" s="15">
        <v>0.55208333333333337</v>
      </c>
      <c r="BB51" s="15">
        <v>0.55555555555555558</v>
      </c>
      <c r="BC51" s="15">
        <v>0.55902777777777779</v>
      </c>
      <c r="BD51" s="15">
        <v>0.5625</v>
      </c>
      <c r="BE51" s="15">
        <v>0.56597222222222221</v>
      </c>
      <c r="BF51" s="15">
        <v>0.56944444444444442</v>
      </c>
      <c r="BG51" s="15">
        <v>0.57291666666666663</v>
      </c>
      <c r="BH51" s="15">
        <v>0.57638888888888895</v>
      </c>
      <c r="BI51" s="15">
        <v>0.57986111111111105</v>
      </c>
      <c r="BJ51" s="15">
        <v>0.58333333333333337</v>
      </c>
      <c r="BK51" s="15">
        <v>0.58680555555555558</v>
      </c>
      <c r="BL51" s="15">
        <v>0.59027777777777779</v>
      </c>
      <c r="BM51" s="15">
        <v>0.59375</v>
      </c>
      <c r="BN51" s="15">
        <v>0.59722222222222221</v>
      </c>
      <c r="BO51" s="15">
        <v>0.60069444444444442</v>
      </c>
      <c r="BP51" s="15">
        <v>0.60416666666666663</v>
      </c>
      <c r="BQ51" s="15">
        <v>0.60763888888888895</v>
      </c>
      <c r="BR51" s="15">
        <v>0.61111111111111105</v>
      </c>
      <c r="BS51" s="15">
        <v>0.61458333333333337</v>
      </c>
      <c r="BT51" s="15">
        <v>0.61805555555555558</v>
      </c>
      <c r="BU51" s="15">
        <v>0.62152777777777779</v>
      </c>
      <c r="BV51" s="15">
        <v>0.625</v>
      </c>
      <c r="BW51" s="15">
        <v>0.62847222222222221</v>
      </c>
      <c r="BX51" s="15">
        <v>0.63194444444444442</v>
      </c>
      <c r="BY51" s="15">
        <v>0.63541666666666663</v>
      </c>
      <c r="BZ51" s="15">
        <v>0.63888888888888895</v>
      </c>
      <c r="CA51" s="15">
        <v>0.64236111111111105</v>
      </c>
      <c r="CB51" s="15">
        <v>0.64583333333333337</v>
      </c>
      <c r="CC51" s="15">
        <v>0.64930555555555558</v>
      </c>
      <c r="CD51" s="15">
        <v>0.65277777777777779</v>
      </c>
      <c r="CE51" s="15">
        <v>0.65625</v>
      </c>
      <c r="CF51" s="15">
        <v>0.65972222222222221</v>
      </c>
      <c r="CG51" s="15">
        <v>0.66319444444444442</v>
      </c>
      <c r="CH51" s="15">
        <v>0.66666666666666663</v>
      </c>
      <c r="CI51" s="15">
        <v>0.67013888888888884</v>
      </c>
      <c r="CJ51" s="15">
        <v>0.67361111111111116</v>
      </c>
      <c r="CK51" s="15">
        <v>0.67708333333333337</v>
      </c>
      <c r="CL51" s="15">
        <v>0.68055555555555547</v>
      </c>
      <c r="CM51" s="15">
        <v>0.68402777777777779</v>
      </c>
      <c r="CN51" s="15">
        <v>0.6875</v>
      </c>
      <c r="CO51" s="15">
        <v>0.69097222222222221</v>
      </c>
      <c r="CP51" s="15">
        <v>0.69444444444444453</v>
      </c>
      <c r="CQ51" s="15">
        <v>0.69791666666666663</v>
      </c>
      <c r="CR51" s="15">
        <v>0.70138888888888884</v>
      </c>
      <c r="CS51" s="15">
        <v>0.70486111111111116</v>
      </c>
      <c r="CT51" s="15">
        <v>0.70833333333333337</v>
      </c>
      <c r="CU51" s="15">
        <v>0.71180555555555547</v>
      </c>
      <c r="CV51" s="15">
        <v>0.71527777777777779</v>
      </c>
      <c r="CW51" s="15">
        <v>0.71875</v>
      </c>
      <c r="CX51" s="15">
        <v>0.72222222222222221</v>
      </c>
      <c r="CY51" s="15">
        <v>0.72569444444444453</v>
      </c>
      <c r="CZ51" s="15">
        <v>0.72916666666666663</v>
      </c>
      <c r="DA51" s="15">
        <v>0.73263888888888884</v>
      </c>
      <c r="DB51" s="15">
        <v>0.73611111111111116</v>
      </c>
      <c r="DC51" s="15">
        <v>0.73958333333333337</v>
      </c>
      <c r="DD51" s="15">
        <v>0.74305555555555547</v>
      </c>
      <c r="DE51" s="15">
        <v>0.74652777777777779</v>
      </c>
      <c r="DF51" s="15">
        <v>0.75</v>
      </c>
    </row>
    <row r="52" spans="1:110" ht="15.75" x14ac:dyDescent="0.25">
      <c r="A52" s="14">
        <v>44333</v>
      </c>
      <c r="B52" s="12" t="s">
        <v>6</v>
      </c>
      <c r="C52" s="13"/>
      <c r="D52" s="13">
        <v>5330.95</v>
      </c>
      <c r="E52" s="13">
        <v>5329</v>
      </c>
      <c r="F52" s="13">
        <v>5330.91</v>
      </c>
      <c r="G52" s="13">
        <v>5320.41</v>
      </c>
      <c r="H52" s="13">
        <v>5324.92</v>
      </c>
      <c r="I52" s="13">
        <v>5320.24</v>
      </c>
      <c r="J52" s="13">
        <v>5319.21</v>
      </c>
      <c r="K52" s="13">
        <v>5324.96</v>
      </c>
      <c r="L52" s="13">
        <v>5338.24</v>
      </c>
      <c r="M52" s="13">
        <v>5337.88</v>
      </c>
      <c r="N52" s="13">
        <v>5343.15</v>
      </c>
      <c r="O52" s="13">
        <v>5343.31</v>
      </c>
      <c r="P52" s="13">
        <v>5327.11</v>
      </c>
      <c r="Q52" s="13">
        <v>5330.67</v>
      </c>
      <c r="R52" s="13">
        <v>5333.38</v>
      </c>
      <c r="S52" s="13">
        <v>5341.04</v>
      </c>
      <c r="T52" s="13">
        <v>5343.32</v>
      </c>
      <c r="U52" s="13">
        <v>5339.76</v>
      </c>
      <c r="V52" s="13">
        <v>5338.16</v>
      </c>
      <c r="W52" s="13">
        <v>5336.88</v>
      </c>
      <c r="X52" s="13">
        <v>5335.04</v>
      </c>
      <c r="Y52" s="13">
        <v>5337.2</v>
      </c>
      <c r="Z52" s="13">
        <v>5332.28</v>
      </c>
      <c r="AA52" s="13">
        <v>5320.5</v>
      </c>
      <c r="AB52" s="13">
        <v>5320.04</v>
      </c>
      <c r="AC52" s="13">
        <v>5319.4</v>
      </c>
      <c r="AD52" s="13">
        <v>5317.96</v>
      </c>
      <c r="AE52" s="13">
        <v>5311.4</v>
      </c>
      <c r="AF52" s="13">
        <v>5307.44</v>
      </c>
      <c r="AG52" s="13">
        <v>5309.28</v>
      </c>
      <c r="AH52" s="13">
        <v>5306.52</v>
      </c>
      <c r="AI52" s="13">
        <v>5301.72</v>
      </c>
      <c r="AJ52" s="13">
        <v>5302.88</v>
      </c>
      <c r="AK52" s="13">
        <v>5298.46</v>
      </c>
      <c r="AL52" s="13">
        <v>5288.12</v>
      </c>
      <c r="AM52" s="13">
        <v>5289.04</v>
      </c>
      <c r="AN52" s="13">
        <v>5289.96</v>
      </c>
      <c r="AO52" s="13">
        <v>5292.73</v>
      </c>
      <c r="AP52" s="13">
        <v>5288.19</v>
      </c>
      <c r="AQ52" s="13">
        <v>5290.85</v>
      </c>
      <c r="AR52" s="13">
        <v>5292.73</v>
      </c>
      <c r="AS52" s="13">
        <v>5293.6</v>
      </c>
      <c r="AT52" s="13">
        <v>5291.92</v>
      </c>
      <c r="AU52" s="13">
        <v>5288.92</v>
      </c>
      <c r="AV52" s="13">
        <v>5288.08</v>
      </c>
      <c r="AW52" s="13">
        <v>5288</v>
      </c>
      <c r="AX52" s="13">
        <v>5289.76</v>
      </c>
      <c r="AY52" s="13">
        <v>5289.84</v>
      </c>
      <c r="AZ52" s="13">
        <v>5295.19</v>
      </c>
      <c r="BA52" s="13">
        <v>5296</v>
      </c>
      <c r="BB52" s="13">
        <v>5294.48</v>
      </c>
      <c r="BC52" s="13">
        <v>5295.04</v>
      </c>
      <c r="BD52" s="13">
        <v>5295.92</v>
      </c>
      <c r="BE52" s="13">
        <v>5295.04</v>
      </c>
      <c r="BF52" s="13">
        <v>5295.04</v>
      </c>
      <c r="BG52" s="13">
        <v>5295.04</v>
      </c>
      <c r="BH52" s="13">
        <v>5295.04</v>
      </c>
      <c r="BI52" s="13">
        <v>5295.04</v>
      </c>
      <c r="BJ52" s="13">
        <v>5295.92</v>
      </c>
      <c r="BK52" s="13">
        <v>5288.96</v>
      </c>
      <c r="BL52" s="13">
        <v>5281.5</v>
      </c>
      <c r="BM52" s="13">
        <v>5284.15</v>
      </c>
      <c r="BN52" s="13">
        <v>5287.69</v>
      </c>
      <c r="BO52" s="13">
        <v>5289.52</v>
      </c>
      <c r="BP52" s="13">
        <v>5292.96</v>
      </c>
      <c r="BQ52" s="13">
        <v>5295.38</v>
      </c>
      <c r="BR52" s="13">
        <v>5293.69</v>
      </c>
      <c r="BS52" s="13">
        <v>5295.38</v>
      </c>
      <c r="BT52" s="13">
        <v>5292.6</v>
      </c>
      <c r="BU52" s="13">
        <v>5294.54</v>
      </c>
      <c r="BV52" s="13">
        <v>5291.96</v>
      </c>
      <c r="BW52" s="13">
        <v>5289.88</v>
      </c>
      <c r="BX52" s="13">
        <v>5291.44</v>
      </c>
      <c r="BY52" s="13">
        <v>5291.44</v>
      </c>
      <c r="BZ52" s="13">
        <v>5289.68</v>
      </c>
      <c r="CA52" s="13">
        <v>5291.44</v>
      </c>
      <c r="CB52" s="13">
        <v>5288.92</v>
      </c>
      <c r="CC52" s="13">
        <v>5288.8</v>
      </c>
      <c r="CD52" s="13">
        <v>5286.96</v>
      </c>
      <c r="CE52" s="13">
        <v>5288.92</v>
      </c>
      <c r="CF52" s="13">
        <v>5289.68</v>
      </c>
      <c r="CG52" s="13">
        <v>5288.8</v>
      </c>
      <c r="CH52" s="13">
        <v>5287.92</v>
      </c>
      <c r="CI52" s="13">
        <v>5287.92</v>
      </c>
      <c r="CJ52" s="13">
        <v>5288.8</v>
      </c>
      <c r="CK52" s="13">
        <v>5287.92</v>
      </c>
      <c r="CL52" s="13">
        <v>5295.84</v>
      </c>
      <c r="CM52" s="13">
        <v>5297.04</v>
      </c>
      <c r="CN52" s="13">
        <v>5296.18</v>
      </c>
      <c r="CO52" s="13">
        <v>5296.18</v>
      </c>
      <c r="CP52" s="13">
        <v>5296.18</v>
      </c>
      <c r="CQ52" s="13">
        <v>5293.71</v>
      </c>
      <c r="CR52" s="13">
        <v>5295.21</v>
      </c>
      <c r="CS52" s="13">
        <v>5296.18</v>
      </c>
      <c r="CT52" s="13">
        <v>5299.14</v>
      </c>
      <c r="CU52" s="13">
        <v>5297.74</v>
      </c>
      <c r="CV52" s="13">
        <v>5297.74</v>
      </c>
      <c r="CW52" s="13">
        <v>5296.44</v>
      </c>
      <c r="CX52" s="13">
        <v>5298.15</v>
      </c>
      <c r="CY52" s="13">
        <v>5297.19</v>
      </c>
      <c r="CZ52" s="13">
        <v>5296.37</v>
      </c>
      <c r="DA52" s="13">
        <v>5297.19</v>
      </c>
      <c r="DB52" s="13">
        <v>5296.36</v>
      </c>
      <c r="DC52" s="13">
        <v>5291.93</v>
      </c>
      <c r="DD52" s="13">
        <v>5298.15</v>
      </c>
      <c r="DE52" s="13">
        <v>5303.04</v>
      </c>
      <c r="DF52" s="13">
        <v>5304.87</v>
      </c>
    </row>
    <row r="53" spans="1:110" ht="15.75" x14ac:dyDescent="0.25">
      <c r="A53" s="14" t="s">
        <v>12</v>
      </c>
      <c r="B53" s="12" t="s">
        <v>10</v>
      </c>
      <c r="C53" s="13"/>
      <c r="D53" s="13">
        <v>5328.94</v>
      </c>
      <c r="E53" s="13">
        <v>5326.09</v>
      </c>
      <c r="F53" s="13">
        <v>5321.27</v>
      </c>
      <c r="G53" s="13">
        <v>0</v>
      </c>
      <c r="H53" s="13">
        <v>5320.24</v>
      </c>
      <c r="I53" s="13">
        <v>5318.32</v>
      </c>
      <c r="J53" s="13">
        <v>5319.16</v>
      </c>
      <c r="K53" s="13">
        <v>5318.44</v>
      </c>
      <c r="L53" s="13">
        <v>5338.2</v>
      </c>
      <c r="M53" s="13">
        <v>5337.62</v>
      </c>
      <c r="N53" s="13">
        <v>5343.15</v>
      </c>
      <c r="O53" s="13">
        <v>5327.04</v>
      </c>
      <c r="P53" s="13">
        <v>5326.15</v>
      </c>
      <c r="Q53" s="13">
        <v>5327.11</v>
      </c>
      <c r="R53" s="13">
        <v>5333.38</v>
      </c>
      <c r="S53" s="13">
        <v>5341.04</v>
      </c>
      <c r="T53" s="13">
        <v>5339.16</v>
      </c>
      <c r="U53" s="13">
        <v>5337.2</v>
      </c>
      <c r="V53" s="13">
        <v>5334.32</v>
      </c>
      <c r="W53" s="13">
        <v>5334.48</v>
      </c>
      <c r="X53" s="13">
        <v>5329.64</v>
      </c>
      <c r="Y53" s="13">
        <v>5329.76</v>
      </c>
      <c r="Z53" s="13">
        <v>5319.04</v>
      </c>
      <c r="AA53" s="13">
        <v>5315.38</v>
      </c>
      <c r="AB53" s="13">
        <v>5317.04</v>
      </c>
      <c r="AC53" s="13">
        <v>5314.16</v>
      </c>
      <c r="AD53" s="13">
        <v>5310.6</v>
      </c>
      <c r="AE53" s="13">
        <v>5303.88</v>
      </c>
      <c r="AF53" s="13">
        <v>5305.52</v>
      </c>
      <c r="AG53" s="13">
        <v>5306.48</v>
      </c>
      <c r="AH53" s="13">
        <v>5297.88</v>
      </c>
      <c r="AI53" s="13">
        <v>5300.92</v>
      </c>
      <c r="AJ53" s="13">
        <v>5298.81</v>
      </c>
      <c r="AK53" s="13">
        <v>5284.68</v>
      </c>
      <c r="AL53" s="13">
        <v>5279.6</v>
      </c>
      <c r="AM53" s="13">
        <v>5285.48</v>
      </c>
      <c r="AN53" s="13">
        <v>5286.58</v>
      </c>
      <c r="AO53" s="13">
        <v>5287.54</v>
      </c>
      <c r="AP53" s="13">
        <v>5285.58</v>
      </c>
      <c r="AQ53" s="13">
        <v>5288.46</v>
      </c>
      <c r="AR53" s="13">
        <v>5291.58</v>
      </c>
      <c r="AS53" s="13">
        <v>5291.72</v>
      </c>
      <c r="AT53" s="13">
        <v>5288.08</v>
      </c>
      <c r="AU53" s="13">
        <v>5287.12</v>
      </c>
      <c r="AV53" s="13">
        <v>5286.24</v>
      </c>
      <c r="AW53" s="13">
        <v>5286.16</v>
      </c>
      <c r="AX53" s="13">
        <v>5289.76</v>
      </c>
      <c r="AY53" s="13">
        <v>5287.04</v>
      </c>
      <c r="AZ53" s="13">
        <v>5291.64</v>
      </c>
      <c r="BA53" s="13">
        <v>5294.4</v>
      </c>
      <c r="BB53" s="13">
        <v>5288.92</v>
      </c>
      <c r="BC53" s="13">
        <v>5292.56</v>
      </c>
      <c r="BD53" s="13">
        <v>5292.6</v>
      </c>
      <c r="BE53" s="13">
        <v>5292.52</v>
      </c>
      <c r="BF53" s="13">
        <v>5293.52</v>
      </c>
      <c r="BG53" s="13">
        <v>5292.56</v>
      </c>
      <c r="BH53" s="13">
        <v>5292.6</v>
      </c>
      <c r="BI53" s="13">
        <v>5293.48</v>
      </c>
      <c r="BJ53" s="13">
        <v>5288</v>
      </c>
      <c r="BK53" s="13">
        <v>5278.54</v>
      </c>
      <c r="BL53" s="13">
        <v>5276.85</v>
      </c>
      <c r="BM53" s="13">
        <v>5282.23</v>
      </c>
      <c r="BN53" s="13">
        <v>5285</v>
      </c>
      <c r="BO53" s="13">
        <v>5286.96</v>
      </c>
      <c r="BP53" s="13">
        <v>5289.77</v>
      </c>
      <c r="BQ53" s="13">
        <v>5292.92</v>
      </c>
      <c r="BR53" s="13">
        <v>5292.15</v>
      </c>
      <c r="BS53" s="13">
        <v>5292.6</v>
      </c>
      <c r="BT53" s="13">
        <v>5288.62</v>
      </c>
      <c r="BU53" s="13">
        <v>5288.16</v>
      </c>
      <c r="BV53" s="13">
        <v>5289.84</v>
      </c>
      <c r="BW53" s="13">
        <v>5285.28</v>
      </c>
      <c r="BX53" s="13">
        <v>5291.44</v>
      </c>
      <c r="BY53" s="13">
        <v>5288.8</v>
      </c>
      <c r="BZ53" s="13">
        <v>5287.12</v>
      </c>
      <c r="CA53" s="13">
        <v>5288.92</v>
      </c>
      <c r="CB53" s="13">
        <v>5288</v>
      </c>
      <c r="CC53" s="13">
        <v>5286.04</v>
      </c>
      <c r="CD53" s="13">
        <v>5286.04</v>
      </c>
      <c r="CE53" s="13">
        <v>5286.16</v>
      </c>
      <c r="CF53" s="13">
        <v>5288.8</v>
      </c>
      <c r="CG53" s="13">
        <v>5283.28</v>
      </c>
      <c r="CH53" s="13">
        <v>5283.28</v>
      </c>
      <c r="CI53" s="13">
        <v>5285.12</v>
      </c>
      <c r="CJ53" s="13">
        <v>5285.4</v>
      </c>
      <c r="CK53" s="13">
        <v>5285.12</v>
      </c>
      <c r="CL53" s="13">
        <v>5292.62</v>
      </c>
      <c r="CM53" s="13">
        <v>5291.7</v>
      </c>
      <c r="CN53" s="13">
        <v>5294.54</v>
      </c>
      <c r="CO53" s="13">
        <v>5294.04</v>
      </c>
      <c r="CP53" s="13">
        <v>5295.29</v>
      </c>
      <c r="CQ53" s="13">
        <v>5293.68</v>
      </c>
      <c r="CR53" s="13">
        <v>5292.29</v>
      </c>
      <c r="CS53" s="13">
        <v>5296.18</v>
      </c>
      <c r="CT53" s="13">
        <v>5293.07</v>
      </c>
      <c r="CU53" s="13">
        <v>5293.85</v>
      </c>
      <c r="CV53" s="13">
        <v>5295.7</v>
      </c>
      <c r="CW53" s="13">
        <v>5293.22</v>
      </c>
      <c r="CX53" s="13">
        <v>5298.11</v>
      </c>
      <c r="CY53" s="13">
        <v>5294.26</v>
      </c>
      <c r="CZ53" s="13">
        <v>5294.15</v>
      </c>
      <c r="DA53" s="13">
        <v>5294</v>
      </c>
      <c r="DB53" s="13">
        <v>5291.93</v>
      </c>
      <c r="DC53" s="13">
        <v>5291.93</v>
      </c>
      <c r="DD53" s="13">
        <v>5298.15</v>
      </c>
      <c r="DE53" s="13">
        <v>5299.54</v>
      </c>
      <c r="DF53" s="13">
        <v>5304.87</v>
      </c>
    </row>
    <row r="54" spans="1:110" ht="15.75" x14ac:dyDescent="0.25">
      <c r="A54" s="14" t="s">
        <v>12</v>
      </c>
      <c r="B54" s="12" t="s">
        <v>9</v>
      </c>
      <c r="C54" s="13"/>
      <c r="D54" s="13">
        <v>5319.33</v>
      </c>
      <c r="E54" s="13">
        <v>5316.58</v>
      </c>
      <c r="F54" s="13">
        <v>5309.42</v>
      </c>
      <c r="G54" s="13">
        <v>5308.21</v>
      </c>
      <c r="H54" s="13">
        <v>5312.29</v>
      </c>
      <c r="I54" s="13">
        <v>5311.07</v>
      </c>
      <c r="J54" s="13">
        <v>5312.29</v>
      </c>
      <c r="K54" s="13">
        <v>5311.29</v>
      </c>
      <c r="L54" s="13">
        <v>5331.21</v>
      </c>
      <c r="M54" s="13">
        <v>5329.07</v>
      </c>
      <c r="N54" s="13">
        <v>5334.57</v>
      </c>
      <c r="O54" s="13">
        <v>5317.5</v>
      </c>
      <c r="P54" s="13">
        <v>5315.2</v>
      </c>
      <c r="Q54" s="13">
        <v>5318</v>
      </c>
      <c r="R54" s="13">
        <v>5323.4</v>
      </c>
      <c r="S54" s="13">
        <v>5331.07</v>
      </c>
      <c r="T54" s="13">
        <v>5329.27</v>
      </c>
      <c r="U54" s="13">
        <v>5328.2</v>
      </c>
      <c r="V54" s="13">
        <v>5325.4</v>
      </c>
      <c r="W54" s="13">
        <v>5325.47</v>
      </c>
      <c r="X54" s="13">
        <v>5319.87</v>
      </c>
      <c r="Y54" s="13">
        <v>5320</v>
      </c>
      <c r="Z54" s="13">
        <v>5309.69</v>
      </c>
      <c r="AA54" s="13">
        <v>5305.88</v>
      </c>
      <c r="AB54" s="13">
        <v>5307.73</v>
      </c>
      <c r="AC54" s="13">
        <v>5304.93</v>
      </c>
      <c r="AD54" s="13">
        <v>5302.21</v>
      </c>
      <c r="AE54" s="13">
        <v>5292.88</v>
      </c>
      <c r="AF54" s="13">
        <v>5290.35</v>
      </c>
      <c r="AG54" s="13">
        <v>5291.52</v>
      </c>
      <c r="AH54" s="13">
        <v>5285.52</v>
      </c>
      <c r="AI54" s="13">
        <v>5286.67</v>
      </c>
      <c r="AJ54" s="13">
        <v>5285.22</v>
      </c>
      <c r="AK54" s="13">
        <v>5274.94</v>
      </c>
      <c r="AL54" s="13">
        <v>5268.47</v>
      </c>
      <c r="AM54" s="13">
        <v>5271.95</v>
      </c>
      <c r="AN54" s="13">
        <v>5272.81</v>
      </c>
      <c r="AO54" s="13">
        <v>5275.13</v>
      </c>
      <c r="AP54" s="13">
        <v>5272.56</v>
      </c>
      <c r="AQ54" s="13">
        <v>5275.38</v>
      </c>
      <c r="AR54" s="13">
        <v>5277.94</v>
      </c>
      <c r="AS54" s="13">
        <v>5279.87</v>
      </c>
      <c r="AT54" s="13">
        <v>5277.07</v>
      </c>
      <c r="AU54" s="13">
        <v>5274.88</v>
      </c>
      <c r="AV54" s="13">
        <v>5274.5</v>
      </c>
      <c r="AW54" s="13">
        <v>5274.06</v>
      </c>
      <c r="AX54" s="13">
        <v>5274.94</v>
      </c>
      <c r="AY54" s="13">
        <v>5274.69</v>
      </c>
      <c r="AZ54" s="13">
        <v>5279.06</v>
      </c>
      <c r="BA54" s="13">
        <v>5282.31</v>
      </c>
      <c r="BB54" s="13">
        <v>5276.5</v>
      </c>
      <c r="BC54" s="13">
        <v>5279.94</v>
      </c>
      <c r="BD54" s="13">
        <v>5280.19</v>
      </c>
      <c r="BE54" s="13">
        <v>5279.88</v>
      </c>
      <c r="BF54" s="13">
        <v>5281</v>
      </c>
      <c r="BG54" s="13">
        <v>5280.13</v>
      </c>
      <c r="BH54" s="13">
        <v>5280</v>
      </c>
      <c r="BI54" s="13">
        <v>5281</v>
      </c>
      <c r="BJ54" s="13">
        <v>5275.81</v>
      </c>
      <c r="BK54" s="13">
        <v>5266.81</v>
      </c>
      <c r="BL54" s="13">
        <v>5265</v>
      </c>
      <c r="BM54" s="13">
        <v>5266.05</v>
      </c>
      <c r="BN54" s="13">
        <v>5268.42</v>
      </c>
      <c r="BO54" s="13">
        <v>5270.26</v>
      </c>
      <c r="BP54" s="13">
        <v>5272.11</v>
      </c>
      <c r="BQ54" s="13">
        <v>5272.68</v>
      </c>
      <c r="BR54" s="13">
        <v>5271.95</v>
      </c>
      <c r="BS54" s="13">
        <v>5274.32</v>
      </c>
      <c r="BT54" s="13">
        <v>5271.37</v>
      </c>
      <c r="BU54" s="13">
        <v>5271.37</v>
      </c>
      <c r="BV54" s="13">
        <v>5272.11</v>
      </c>
      <c r="BW54" s="13">
        <v>5268.47</v>
      </c>
      <c r="BX54" s="13">
        <v>5271.37</v>
      </c>
      <c r="BY54" s="13">
        <v>5271.21</v>
      </c>
      <c r="BZ54" s="13">
        <v>5269.95</v>
      </c>
      <c r="CA54" s="13">
        <v>5271.21</v>
      </c>
      <c r="CB54" s="13">
        <v>5270.63</v>
      </c>
      <c r="CC54" s="13">
        <v>5269</v>
      </c>
      <c r="CD54" s="13">
        <v>5269.16</v>
      </c>
      <c r="CE54" s="13">
        <v>5269.16</v>
      </c>
      <c r="CF54" s="13">
        <v>5271.25</v>
      </c>
      <c r="CG54" s="13">
        <v>5266.79</v>
      </c>
      <c r="CH54" s="13">
        <v>5267.32</v>
      </c>
      <c r="CI54" s="13">
        <v>5268.38</v>
      </c>
      <c r="CJ54" s="13">
        <v>5269.48</v>
      </c>
      <c r="CK54" s="13">
        <v>5268.19</v>
      </c>
      <c r="CL54" s="13">
        <v>5274.14</v>
      </c>
      <c r="CM54" s="13">
        <v>5274</v>
      </c>
      <c r="CN54" s="13">
        <v>5274.14</v>
      </c>
      <c r="CO54" s="13">
        <v>5275.48</v>
      </c>
      <c r="CP54" s="13">
        <v>5274.64</v>
      </c>
      <c r="CQ54" s="13">
        <v>5272.86</v>
      </c>
      <c r="CR54" s="13">
        <v>5273.52</v>
      </c>
      <c r="CS54" s="13">
        <v>5275.52</v>
      </c>
      <c r="CT54" s="13">
        <v>5274.48</v>
      </c>
      <c r="CU54" s="13">
        <v>5272.81</v>
      </c>
      <c r="CV54" s="13">
        <v>5274.67</v>
      </c>
      <c r="CW54" s="13">
        <v>5274.55</v>
      </c>
      <c r="CX54" s="13">
        <v>5276</v>
      </c>
      <c r="CY54" s="13">
        <v>5274.81</v>
      </c>
      <c r="CZ54" s="13">
        <v>5274.71</v>
      </c>
      <c r="DA54" s="13">
        <v>5274.67</v>
      </c>
      <c r="DB54" s="13">
        <v>5272.25</v>
      </c>
      <c r="DC54" s="13">
        <v>5272.25</v>
      </c>
      <c r="DD54" s="13">
        <v>5275.5</v>
      </c>
      <c r="DE54" s="13">
        <v>5278.85</v>
      </c>
      <c r="DF54" s="13">
        <v>5277.5</v>
      </c>
    </row>
    <row r="55" spans="1:110" ht="15.75" x14ac:dyDescent="0.25">
      <c r="A55" s="14" t="s">
        <v>12</v>
      </c>
      <c r="B55" s="12" t="s">
        <v>7</v>
      </c>
      <c r="C55" s="13"/>
      <c r="D55" s="13">
        <v>5308.92</v>
      </c>
      <c r="E55" s="13">
        <v>5314.67</v>
      </c>
      <c r="F55" s="13">
        <v>5308.5</v>
      </c>
      <c r="G55" s="13">
        <v>5304.92</v>
      </c>
      <c r="H55" s="13">
        <v>5307.5</v>
      </c>
      <c r="I55" s="13">
        <v>5307.29</v>
      </c>
      <c r="J55" s="13">
        <v>5303.29</v>
      </c>
      <c r="K55" s="13">
        <v>5310.29</v>
      </c>
      <c r="L55" s="13">
        <v>5311.79</v>
      </c>
      <c r="M55" s="13">
        <v>5322.29</v>
      </c>
      <c r="N55" s="13">
        <v>5326.29</v>
      </c>
      <c r="O55" s="13">
        <v>5317.5</v>
      </c>
      <c r="P55" s="13">
        <v>5311.47</v>
      </c>
      <c r="Q55" s="13">
        <v>5317.07</v>
      </c>
      <c r="R55" s="13">
        <v>5316.13</v>
      </c>
      <c r="S55" s="13">
        <v>5324.47</v>
      </c>
      <c r="T55" s="13">
        <v>5328.8</v>
      </c>
      <c r="U55" s="13">
        <v>5323.6</v>
      </c>
      <c r="V55" s="13">
        <v>5320.55</v>
      </c>
      <c r="W55" s="13">
        <v>5323.4</v>
      </c>
      <c r="X55" s="13">
        <v>5319</v>
      </c>
      <c r="Y55" s="13">
        <v>5318.93</v>
      </c>
      <c r="Z55" s="13">
        <v>5309.69</v>
      </c>
      <c r="AA55" s="13">
        <v>5304.94</v>
      </c>
      <c r="AB55" s="13">
        <v>5304</v>
      </c>
      <c r="AC55" s="13">
        <v>5303.07</v>
      </c>
      <c r="AD55" s="13">
        <v>5300.93</v>
      </c>
      <c r="AE55" s="13">
        <v>5292.88</v>
      </c>
      <c r="AF55" s="13">
        <v>5288.27</v>
      </c>
      <c r="AG55" s="13">
        <v>5289.61</v>
      </c>
      <c r="AH55" s="13">
        <v>5284.59</v>
      </c>
      <c r="AI55" s="13">
        <v>5285.52</v>
      </c>
      <c r="AJ55" s="13">
        <v>5284.28</v>
      </c>
      <c r="AK55" s="13">
        <v>5274.81</v>
      </c>
      <c r="AL55" s="13">
        <v>5268.4</v>
      </c>
      <c r="AM55" s="13">
        <v>5267.53</v>
      </c>
      <c r="AN55" s="13">
        <v>5270.95</v>
      </c>
      <c r="AO55" s="13">
        <v>5270.95</v>
      </c>
      <c r="AP55" s="13">
        <v>5269.44</v>
      </c>
      <c r="AQ55" s="13">
        <v>5271.44</v>
      </c>
      <c r="AR55" s="13">
        <v>5273.44</v>
      </c>
      <c r="AS55" s="13">
        <v>5275.06</v>
      </c>
      <c r="AT55" s="13">
        <v>5277.07</v>
      </c>
      <c r="AU55" s="13">
        <v>5273.38</v>
      </c>
      <c r="AV55" s="13">
        <v>5273.19</v>
      </c>
      <c r="AW55" s="13">
        <v>5270.56</v>
      </c>
      <c r="AX55" s="13">
        <v>5273.13</v>
      </c>
      <c r="AY55" s="13">
        <v>5273.17</v>
      </c>
      <c r="AZ55" s="13">
        <v>5274.88</v>
      </c>
      <c r="BA55" s="13">
        <v>5278.13</v>
      </c>
      <c r="BB55" s="13">
        <v>5275.25</v>
      </c>
      <c r="BC55" s="13">
        <v>5278.31</v>
      </c>
      <c r="BD55" s="13">
        <v>5279.94</v>
      </c>
      <c r="BE55" s="13">
        <v>5278.2</v>
      </c>
      <c r="BF55" s="13">
        <v>5279.25</v>
      </c>
      <c r="BG55" s="13">
        <v>5280.13</v>
      </c>
      <c r="BH55" s="13">
        <v>5277.5</v>
      </c>
      <c r="BI55" s="13">
        <v>5277.69</v>
      </c>
      <c r="BJ55" s="13">
        <v>5275.69</v>
      </c>
      <c r="BK55" s="13">
        <v>5263.81</v>
      </c>
      <c r="BL55" s="13">
        <v>5262.88</v>
      </c>
      <c r="BM55" s="13">
        <v>5262.37</v>
      </c>
      <c r="BN55" s="13">
        <v>5266.05</v>
      </c>
      <c r="BO55" s="13">
        <v>5267.74</v>
      </c>
      <c r="BP55" s="13">
        <v>5270.14</v>
      </c>
      <c r="BQ55" s="13">
        <v>5270.63</v>
      </c>
      <c r="BR55" s="13">
        <v>5271.32</v>
      </c>
      <c r="BS55" s="13">
        <v>5271.95</v>
      </c>
      <c r="BT55" s="13">
        <v>5269.21</v>
      </c>
      <c r="BU55" s="13">
        <v>5271.37</v>
      </c>
      <c r="BV55" s="13">
        <v>5269.89</v>
      </c>
      <c r="BW55" s="13">
        <v>5267.68</v>
      </c>
      <c r="BX55" s="13">
        <v>5267.47</v>
      </c>
      <c r="BY55" s="13">
        <v>5270.22</v>
      </c>
      <c r="BZ55" s="13">
        <v>5269</v>
      </c>
      <c r="CA55" s="13">
        <v>5269.89</v>
      </c>
      <c r="CB55" s="13">
        <v>5270.47</v>
      </c>
      <c r="CC55" s="13">
        <v>5267.68</v>
      </c>
      <c r="CD55" s="13">
        <v>5268.61</v>
      </c>
      <c r="CE55" s="13">
        <v>5268.78</v>
      </c>
      <c r="CF55" s="13">
        <v>5269.21</v>
      </c>
      <c r="CG55" s="13">
        <v>5265.32</v>
      </c>
      <c r="CH55" s="13">
        <v>5266.21</v>
      </c>
      <c r="CI55" s="13">
        <v>5267</v>
      </c>
      <c r="CJ55" s="13">
        <v>5269.35</v>
      </c>
      <c r="CK55" s="13">
        <v>5267.85</v>
      </c>
      <c r="CL55" s="13">
        <v>5268.19</v>
      </c>
      <c r="CM55" s="13">
        <v>5273.48</v>
      </c>
      <c r="CN55" s="13">
        <v>5274</v>
      </c>
      <c r="CO55" s="13">
        <v>5270.82</v>
      </c>
      <c r="CP55" s="13">
        <v>5272.14</v>
      </c>
      <c r="CQ55" s="13">
        <v>5272.81</v>
      </c>
      <c r="CR55" s="13">
        <v>5272.86</v>
      </c>
      <c r="CS55" s="13">
        <v>5270.95</v>
      </c>
      <c r="CT55" s="13">
        <v>5273.48</v>
      </c>
      <c r="CU55" s="13">
        <v>5272.4</v>
      </c>
      <c r="CV55" s="13">
        <v>5271.48</v>
      </c>
      <c r="CW55" s="13">
        <v>5274.19</v>
      </c>
      <c r="CX55" s="13">
        <v>5273.95</v>
      </c>
      <c r="CY55" s="13">
        <v>5274.81</v>
      </c>
      <c r="CZ55" s="13">
        <v>5274.14</v>
      </c>
      <c r="DA55" s="13">
        <v>5274.35</v>
      </c>
      <c r="DB55" s="13">
        <v>5271.75</v>
      </c>
      <c r="DC55" s="13">
        <v>5272.25</v>
      </c>
      <c r="DD55" s="13">
        <v>5272.25</v>
      </c>
      <c r="DE55" s="13">
        <v>5274.35</v>
      </c>
      <c r="DF55" s="13">
        <v>5277.25</v>
      </c>
    </row>
    <row r="56" spans="1:110" ht="15.75" x14ac:dyDescent="0.25">
      <c r="A56" s="11" t="s">
        <v>5</v>
      </c>
      <c r="B56" s="11" t="s">
        <v>11</v>
      </c>
      <c r="C56" s="15">
        <v>0.37847222222222227</v>
      </c>
      <c r="D56" s="15">
        <v>0.38194444444444442</v>
      </c>
      <c r="E56" s="15">
        <v>0.38541666666666669</v>
      </c>
      <c r="F56" s="15">
        <v>0.3888888888888889</v>
      </c>
      <c r="G56" s="15">
        <v>0.3923611111111111</v>
      </c>
      <c r="H56" s="15">
        <v>0.39583333333333331</v>
      </c>
      <c r="I56" s="15">
        <v>0.39930555555555558</v>
      </c>
      <c r="J56" s="15">
        <v>0.40277777777777773</v>
      </c>
      <c r="K56" s="15">
        <v>0.40625</v>
      </c>
      <c r="L56" s="15">
        <v>0.40972222222222227</v>
      </c>
      <c r="M56" s="15">
        <v>0.41319444444444442</v>
      </c>
      <c r="N56" s="15">
        <v>0.41666666666666669</v>
      </c>
      <c r="O56" s="15">
        <v>0.4201388888888889</v>
      </c>
      <c r="P56" s="15">
        <v>0.4236111111111111</v>
      </c>
      <c r="Q56" s="15">
        <v>0.42708333333333331</v>
      </c>
      <c r="R56" s="15">
        <v>0.43055555555555558</v>
      </c>
      <c r="S56" s="15">
        <v>0.43402777777777773</v>
      </c>
      <c r="T56" s="15">
        <v>0.4375</v>
      </c>
      <c r="U56" s="15">
        <v>0.44097222222222227</v>
      </c>
      <c r="V56" s="15">
        <v>0.44444444444444442</v>
      </c>
      <c r="W56" s="15">
        <v>0.44791666666666669</v>
      </c>
      <c r="X56" s="15">
        <v>0.4513888888888889</v>
      </c>
      <c r="Y56" s="15">
        <v>0.4548611111111111</v>
      </c>
      <c r="Z56" s="15">
        <v>0.45833333333333331</v>
      </c>
      <c r="AA56" s="15">
        <v>0.46180555555555558</v>
      </c>
      <c r="AB56" s="15">
        <v>0.46527777777777773</v>
      </c>
      <c r="AC56" s="15">
        <v>0.46875</v>
      </c>
      <c r="AD56" s="15">
        <v>0.47222222222222227</v>
      </c>
      <c r="AE56" s="15">
        <v>0.47569444444444442</v>
      </c>
      <c r="AF56" s="15">
        <v>0.47916666666666669</v>
      </c>
      <c r="AG56" s="15">
        <v>0.4826388888888889</v>
      </c>
      <c r="AH56" s="15">
        <v>0.4861111111111111</v>
      </c>
      <c r="AI56" s="15">
        <v>0.48958333333333331</v>
      </c>
      <c r="AJ56" s="15">
        <v>0.49305555555555558</v>
      </c>
      <c r="AK56" s="15">
        <v>0.49652777777777773</v>
      </c>
      <c r="AL56" s="15">
        <v>0.5</v>
      </c>
      <c r="AM56" s="15">
        <v>0.50347222222222221</v>
      </c>
      <c r="AN56" s="15">
        <v>0.50694444444444442</v>
      </c>
      <c r="AO56" s="15">
        <v>0.51041666666666663</v>
      </c>
      <c r="AP56" s="15">
        <v>0.51388888888888895</v>
      </c>
      <c r="AQ56" s="15">
        <v>0.51736111111111105</v>
      </c>
      <c r="AR56" s="15">
        <v>0.52083333333333337</v>
      </c>
      <c r="AS56" s="15">
        <v>0.52430555555555558</v>
      </c>
      <c r="AT56" s="15">
        <v>0.52777777777777779</v>
      </c>
      <c r="AU56" s="15">
        <v>0.53125</v>
      </c>
      <c r="AV56" s="15">
        <v>0.53472222222222221</v>
      </c>
      <c r="AW56" s="15">
        <v>0.53819444444444442</v>
      </c>
      <c r="AX56" s="15">
        <v>0.54166666666666663</v>
      </c>
      <c r="AY56" s="15">
        <v>0.54513888888888895</v>
      </c>
      <c r="AZ56" s="15">
        <v>0.54861111111111105</v>
      </c>
      <c r="BA56" s="15">
        <v>0.55208333333333337</v>
      </c>
      <c r="BB56" s="15">
        <v>0.55555555555555558</v>
      </c>
      <c r="BC56" s="15">
        <v>0.55902777777777779</v>
      </c>
      <c r="BD56" s="15">
        <v>0.5625</v>
      </c>
      <c r="BE56" s="15">
        <v>0.56597222222222221</v>
      </c>
      <c r="BF56" s="15">
        <v>0.56944444444444442</v>
      </c>
      <c r="BG56" s="15">
        <v>0.57291666666666663</v>
      </c>
      <c r="BH56" s="15">
        <v>0.57638888888888895</v>
      </c>
      <c r="BI56" s="15">
        <v>0.57986111111111105</v>
      </c>
      <c r="BJ56" s="15">
        <v>0.58333333333333337</v>
      </c>
      <c r="BK56" s="15">
        <v>0.58680555555555558</v>
      </c>
      <c r="BL56" s="15">
        <v>0.59027777777777779</v>
      </c>
      <c r="BM56" s="15">
        <v>0.59375</v>
      </c>
      <c r="BN56" s="15">
        <v>0.59722222222222221</v>
      </c>
      <c r="BO56" s="15">
        <v>0.60069444444444442</v>
      </c>
      <c r="BP56" s="15">
        <v>0.60416666666666663</v>
      </c>
      <c r="BQ56" s="15">
        <v>0.60763888888888895</v>
      </c>
      <c r="BR56" s="15">
        <v>0.61111111111111105</v>
      </c>
      <c r="BS56" s="15">
        <v>0.61458333333333337</v>
      </c>
      <c r="BT56" s="15">
        <v>0.61805555555555558</v>
      </c>
      <c r="BU56" s="15">
        <v>0.62152777777777779</v>
      </c>
      <c r="BV56" s="15">
        <v>0.625</v>
      </c>
      <c r="BW56" s="15">
        <v>0.62847222222222221</v>
      </c>
      <c r="BX56" s="15">
        <v>0.63194444444444442</v>
      </c>
      <c r="BY56" s="15">
        <v>0.63541666666666663</v>
      </c>
      <c r="BZ56" s="15">
        <v>0.63888888888888895</v>
      </c>
      <c r="CA56" s="15">
        <v>0.64236111111111105</v>
      </c>
      <c r="CB56" s="15">
        <v>0.64583333333333337</v>
      </c>
      <c r="CC56" s="15">
        <v>0.64930555555555558</v>
      </c>
      <c r="CD56" s="15">
        <v>0.65277777777777779</v>
      </c>
      <c r="CE56" s="15">
        <v>0.65625</v>
      </c>
      <c r="CF56" s="15">
        <v>0.65972222222222221</v>
      </c>
      <c r="CG56" s="15">
        <v>0.66319444444444442</v>
      </c>
      <c r="CH56" s="15">
        <v>0.66666666666666663</v>
      </c>
      <c r="CI56" s="15">
        <v>0.67013888888888884</v>
      </c>
      <c r="CJ56" s="15">
        <v>0.67361111111111116</v>
      </c>
      <c r="CK56" s="15">
        <v>0.67708333333333337</v>
      </c>
      <c r="CL56" s="15">
        <v>0.68055555555555547</v>
      </c>
      <c r="CM56" s="15">
        <v>0.68402777777777779</v>
      </c>
      <c r="CN56" s="15">
        <v>0.6875</v>
      </c>
      <c r="CO56" s="15">
        <v>0.69097222222222221</v>
      </c>
      <c r="CP56" s="15">
        <v>0.69444444444444453</v>
      </c>
      <c r="CQ56" s="15">
        <v>0.69791666666666663</v>
      </c>
      <c r="CR56" s="15">
        <v>0.70138888888888884</v>
      </c>
      <c r="CS56" s="15">
        <v>0.70486111111111116</v>
      </c>
      <c r="CT56" s="15">
        <v>0.70833333333333337</v>
      </c>
      <c r="CU56" s="15">
        <v>0.71180555555555547</v>
      </c>
      <c r="CV56" s="15">
        <v>0.71527777777777779</v>
      </c>
      <c r="CW56" s="15">
        <v>0.71875</v>
      </c>
      <c r="CX56" s="15">
        <v>0.72222222222222221</v>
      </c>
      <c r="CY56" s="15">
        <v>0.72569444444444453</v>
      </c>
      <c r="CZ56" s="15">
        <v>0.72916666666666663</v>
      </c>
      <c r="DA56" s="15">
        <v>0.73263888888888884</v>
      </c>
      <c r="DB56" s="15">
        <v>0.73611111111111116</v>
      </c>
      <c r="DC56" s="15">
        <v>0.73958333333333337</v>
      </c>
      <c r="DD56" s="15">
        <v>0.74305555555555547</v>
      </c>
      <c r="DE56" s="15">
        <v>0.74652777777777779</v>
      </c>
      <c r="DF56" s="15">
        <v>0.75</v>
      </c>
    </row>
    <row r="57" spans="1:110" ht="15.75" x14ac:dyDescent="0.25">
      <c r="A57" s="14">
        <v>44334</v>
      </c>
      <c r="B57" s="12" t="s">
        <v>6</v>
      </c>
      <c r="C57" s="13">
        <v>5279</v>
      </c>
      <c r="D57" s="13">
        <v>5275.25</v>
      </c>
      <c r="E57" s="13">
        <v>5274</v>
      </c>
      <c r="F57" s="13">
        <v>5272</v>
      </c>
      <c r="G57" s="13">
        <v>5273.79</v>
      </c>
      <c r="H57" s="13">
        <v>5287.71</v>
      </c>
      <c r="I57" s="13">
        <v>5284.43</v>
      </c>
      <c r="J57" s="13">
        <v>5288.71</v>
      </c>
      <c r="K57" s="13">
        <v>5290.5</v>
      </c>
      <c r="L57" s="13">
        <v>5292.59</v>
      </c>
      <c r="M57" s="13">
        <v>5293.54</v>
      </c>
      <c r="N57" s="13">
        <v>5291.59</v>
      </c>
      <c r="O57" s="13">
        <v>5290.41</v>
      </c>
      <c r="P57" s="13">
        <v>5291.53</v>
      </c>
      <c r="Q57" s="13">
        <v>5291.59</v>
      </c>
      <c r="R57" s="13">
        <v>5286.77</v>
      </c>
      <c r="S57" s="13">
        <v>5286.65</v>
      </c>
      <c r="T57" s="13">
        <v>5282.41</v>
      </c>
      <c r="U57" s="13">
        <v>5286.59</v>
      </c>
      <c r="V57" s="13">
        <v>5279.57</v>
      </c>
      <c r="W57" s="13">
        <v>5283.29</v>
      </c>
      <c r="X57" s="13">
        <v>5288.5</v>
      </c>
      <c r="Y57" s="13">
        <v>5288.5</v>
      </c>
      <c r="Z57" s="13">
        <v>5297.8</v>
      </c>
      <c r="AA57" s="13">
        <v>5299.79</v>
      </c>
      <c r="AB57" s="13">
        <v>5302.36</v>
      </c>
      <c r="AC57" s="13">
        <v>5298.09</v>
      </c>
      <c r="AD57" s="13">
        <v>5298.36</v>
      </c>
      <c r="AE57" s="13">
        <v>5301.36</v>
      </c>
      <c r="AF57" s="13">
        <v>5295.36</v>
      </c>
      <c r="AG57" s="13">
        <v>5294.79</v>
      </c>
      <c r="AH57" s="13">
        <v>5297.64</v>
      </c>
      <c r="AI57" s="13">
        <v>5299.36</v>
      </c>
      <c r="AJ57" s="13">
        <v>5297.27</v>
      </c>
      <c r="AK57" s="13">
        <v>5292.45</v>
      </c>
      <c r="AL57" s="13">
        <v>5289.57</v>
      </c>
      <c r="AM57" s="13">
        <v>5286.33</v>
      </c>
      <c r="AN57" s="13">
        <v>5284</v>
      </c>
      <c r="AO57" s="13">
        <v>5273.18</v>
      </c>
      <c r="AP57" s="13">
        <v>5271.17</v>
      </c>
      <c r="AQ57" s="13">
        <v>5273</v>
      </c>
      <c r="AR57" s="13">
        <v>5274.58</v>
      </c>
      <c r="AS57" s="13">
        <v>5275.42</v>
      </c>
      <c r="AT57" s="13">
        <v>5277.58</v>
      </c>
      <c r="AU57" s="13">
        <v>5266.46</v>
      </c>
      <c r="AV57" s="13">
        <v>5263.42</v>
      </c>
      <c r="AW57" s="13">
        <v>5263.08</v>
      </c>
      <c r="AX57" s="13">
        <v>5262.23</v>
      </c>
      <c r="AY57" s="13">
        <v>5272.58</v>
      </c>
      <c r="AZ57" s="13">
        <v>5273.92</v>
      </c>
      <c r="BA57" s="13">
        <v>5276.91</v>
      </c>
      <c r="BB57" s="13">
        <v>5277.73</v>
      </c>
      <c r="BC57" s="13">
        <v>5278.27</v>
      </c>
      <c r="BD57" s="13">
        <v>5273.42</v>
      </c>
      <c r="BE57" s="13">
        <v>5274.25</v>
      </c>
      <c r="BF57" s="13">
        <v>5274.45</v>
      </c>
      <c r="BG57" s="13">
        <v>5271.75</v>
      </c>
      <c r="BH57" s="13">
        <v>5269.25</v>
      </c>
      <c r="BI57" s="13">
        <v>5275</v>
      </c>
      <c r="BJ57" s="13">
        <v>5272.91</v>
      </c>
      <c r="BK57" s="13">
        <v>5269.2</v>
      </c>
      <c r="BL57" s="13">
        <v>5271.92</v>
      </c>
      <c r="BM57" s="13">
        <v>5272.25</v>
      </c>
      <c r="BN57" s="13">
        <v>5273.73</v>
      </c>
      <c r="BO57" s="13">
        <v>5273.83</v>
      </c>
      <c r="BP57" s="13">
        <v>5273.73</v>
      </c>
      <c r="BQ57" s="13">
        <v>5276.83</v>
      </c>
      <c r="BR57" s="13">
        <v>5281.1</v>
      </c>
      <c r="BS57" s="13">
        <v>5284</v>
      </c>
      <c r="BT57" s="13">
        <v>5284.3</v>
      </c>
      <c r="BU57" s="13">
        <v>5283</v>
      </c>
      <c r="BV57" s="13">
        <v>5282.4</v>
      </c>
      <c r="BW57" s="13">
        <v>5284.4</v>
      </c>
      <c r="BX57" s="13">
        <v>5281.3</v>
      </c>
      <c r="BY57" s="13">
        <v>5280.3</v>
      </c>
      <c r="BZ57" s="13">
        <v>5280.4</v>
      </c>
      <c r="CA57" s="13">
        <v>5281.4</v>
      </c>
      <c r="CB57" s="13">
        <v>5283.4</v>
      </c>
      <c r="CC57" s="13">
        <v>5279.4</v>
      </c>
      <c r="CD57" s="13">
        <v>5279.8</v>
      </c>
      <c r="CE57" s="13">
        <v>5279.5</v>
      </c>
      <c r="CF57" s="13">
        <v>5284.4</v>
      </c>
      <c r="CG57" s="13">
        <v>5282.4</v>
      </c>
      <c r="CH57" s="13">
        <v>5276</v>
      </c>
      <c r="CI57" s="13">
        <v>5275.4</v>
      </c>
      <c r="CJ57" s="13">
        <v>5273.4</v>
      </c>
      <c r="CK57" s="13">
        <v>5271.4</v>
      </c>
      <c r="CL57" s="13">
        <v>5270.4</v>
      </c>
      <c r="CM57" s="13">
        <v>5268.4</v>
      </c>
      <c r="CN57" s="13">
        <v>5269.62</v>
      </c>
      <c r="CO57" s="13">
        <v>5269.8</v>
      </c>
      <c r="CP57" s="13">
        <v>5271.64</v>
      </c>
      <c r="CQ57" s="13">
        <v>5271.14</v>
      </c>
      <c r="CR57" s="13">
        <v>5273.46</v>
      </c>
      <c r="CS57" s="13"/>
      <c r="CT57" s="13">
        <v>5274.18</v>
      </c>
      <c r="CU57" s="13">
        <v>5277.9</v>
      </c>
      <c r="CV57" s="13">
        <v>5282.44</v>
      </c>
      <c r="CW57" s="13">
        <v>5282.9</v>
      </c>
      <c r="CX57" s="13">
        <v>5282</v>
      </c>
      <c r="CY57" s="13">
        <v>5281.44</v>
      </c>
      <c r="CZ57" s="13">
        <v>5281.4</v>
      </c>
      <c r="DA57" s="13">
        <v>5279.4</v>
      </c>
      <c r="DB57" s="13"/>
      <c r="DC57" s="13"/>
      <c r="DD57" s="13">
        <v>5312.09</v>
      </c>
      <c r="DE57" s="13">
        <v>5284</v>
      </c>
      <c r="DF57" s="13">
        <v>5283.44</v>
      </c>
    </row>
    <row r="58" spans="1:110" ht="15.75" x14ac:dyDescent="0.25">
      <c r="A58" s="14" t="s">
        <v>12</v>
      </c>
      <c r="B58" s="12" t="s">
        <v>10</v>
      </c>
      <c r="C58" s="13">
        <v>5274.25</v>
      </c>
      <c r="D58" s="13">
        <v>5271</v>
      </c>
      <c r="E58" s="13">
        <v>5265.71</v>
      </c>
      <c r="F58" s="13">
        <v>5267.71</v>
      </c>
      <c r="G58" s="13">
        <v>5273.79</v>
      </c>
      <c r="H58" s="13">
        <v>5277.97</v>
      </c>
      <c r="I58" s="13">
        <v>5279.71</v>
      </c>
      <c r="J58" s="13">
        <v>5285.71</v>
      </c>
      <c r="K58" s="13">
        <v>5290.43</v>
      </c>
      <c r="L58" s="13">
        <v>0</v>
      </c>
      <c r="M58" s="13">
        <v>5289.41</v>
      </c>
      <c r="N58" s="13">
        <v>5285.41</v>
      </c>
      <c r="O58" s="13">
        <v>5284.28</v>
      </c>
      <c r="P58" s="13">
        <v>5287.77</v>
      </c>
      <c r="Q58" s="13">
        <v>5284.76</v>
      </c>
      <c r="R58" s="13">
        <v>5286.53</v>
      </c>
      <c r="S58" s="13">
        <v>5278.53</v>
      </c>
      <c r="T58" s="13">
        <v>5279.76</v>
      </c>
      <c r="U58" s="13">
        <v>5280.71</v>
      </c>
      <c r="V58" s="13">
        <v>5274.5</v>
      </c>
      <c r="W58" s="13">
        <v>5282.5</v>
      </c>
      <c r="X58" s="13">
        <v>5285.43</v>
      </c>
      <c r="Y58" s="13">
        <v>5288.43</v>
      </c>
      <c r="Z58" s="13">
        <v>5293.36</v>
      </c>
      <c r="AA58" s="13">
        <v>5299.45</v>
      </c>
      <c r="AB58" s="13">
        <v>5297.09</v>
      </c>
      <c r="AC58" s="13">
        <v>5293.07</v>
      </c>
      <c r="AD58" s="13">
        <v>5297.09</v>
      </c>
      <c r="AE58" s="13">
        <v>5294.36</v>
      </c>
      <c r="AF58" s="13">
        <v>5292.45</v>
      </c>
      <c r="AG58" s="13">
        <v>5294.73</v>
      </c>
      <c r="AH58" s="13">
        <v>5296.79</v>
      </c>
      <c r="AI58" s="13">
        <v>5297.36</v>
      </c>
      <c r="AJ58" s="13">
        <v>5292.45</v>
      </c>
      <c r="AK58" s="13">
        <v>5289.57</v>
      </c>
      <c r="AL58" s="13">
        <v>5285.83</v>
      </c>
      <c r="AM58" s="13">
        <v>5283.42</v>
      </c>
      <c r="AN58" s="13">
        <v>5273.83</v>
      </c>
      <c r="AO58" s="13">
        <v>5270.17</v>
      </c>
      <c r="AP58" s="13">
        <v>5268.42</v>
      </c>
      <c r="AQ58" s="13">
        <v>5272.25</v>
      </c>
      <c r="AR58" s="13">
        <v>5274.58</v>
      </c>
      <c r="AS58" s="13">
        <v>5272.33</v>
      </c>
      <c r="AT58" s="13">
        <v>5265.23</v>
      </c>
      <c r="AU58" s="13">
        <v>5259.69</v>
      </c>
      <c r="AV58" s="13">
        <v>5261.46</v>
      </c>
      <c r="AW58" s="13">
        <v>5261.62</v>
      </c>
      <c r="AX58" s="13">
        <v>5262.23</v>
      </c>
      <c r="AY58" s="13">
        <v>5272.58</v>
      </c>
      <c r="AZ58" s="13">
        <v>5273.42</v>
      </c>
      <c r="BA58" s="13">
        <v>5276.67</v>
      </c>
      <c r="BB58" s="13">
        <v>5277.5</v>
      </c>
      <c r="BC58" s="13">
        <v>5273.33</v>
      </c>
      <c r="BD58" s="13">
        <v>5271.17</v>
      </c>
      <c r="BE58" s="13">
        <v>5273.58</v>
      </c>
      <c r="BF58" s="13">
        <v>5272.25</v>
      </c>
      <c r="BG58" s="13">
        <v>5269.25</v>
      </c>
      <c r="BH58" s="13">
        <v>5268.42</v>
      </c>
      <c r="BI58" s="13">
        <v>5274.42</v>
      </c>
      <c r="BJ58" s="13">
        <v>5271.64</v>
      </c>
      <c r="BK58" s="13">
        <v>5269</v>
      </c>
      <c r="BL58" s="13">
        <v>5271.92</v>
      </c>
      <c r="BM58" s="13">
        <v>5269.75</v>
      </c>
      <c r="BN58" s="13">
        <v>5273</v>
      </c>
      <c r="BO58" s="13">
        <v>5272.25</v>
      </c>
      <c r="BP58" s="13">
        <v>5273.58</v>
      </c>
      <c r="BQ58" s="13">
        <v>5276.42</v>
      </c>
      <c r="BR58" s="13">
        <v>5281</v>
      </c>
      <c r="BS58" s="13">
        <v>5282.7</v>
      </c>
      <c r="BT58" s="13">
        <v>5284.3</v>
      </c>
      <c r="BU58" s="13">
        <v>5282.3</v>
      </c>
      <c r="BV58" s="13">
        <v>5282.4</v>
      </c>
      <c r="BW58" s="13">
        <v>5281.4</v>
      </c>
      <c r="BX58" s="13">
        <v>5280.4</v>
      </c>
      <c r="BY58" s="13">
        <v>5277.4</v>
      </c>
      <c r="BZ58" s="13">
        <v>5277.3</v>
      </c>
      <c r="CA58" s="13">
        <v>5280.7</v>
      </c>
      <c r="CB58" s="13">
        <v>5278.3</v>
      </c>
      <c r="CC58" s="13">
        <v>5275.4</v>
      </c>
      <c r="CD58" s="13">
        <v>5277.4</v>
      </c>
      <c r="CE58" s="13">
        <v>5278.8</v>
      </c>
      <c r="CF58" s="13">
        <v>5282.4</v>
      </c>
      <c r="CG58" s="13">
        <v>5275.6</v>
      </c>
      <c r="CH58" s="13">
        <v>5274.4</v>
      </c>
      <c r="CI58" s="13">
        <v>5270.4</v>
      </c>
      <c r="CJ58" s="13">
        <v>5270.9</v>
      </c>
      <c r="CK58" s="13">
        <v>5268.4</v>
      </c>
      <c r="CL58" s="13">
        <v>5268.3</v>
      </c>
      <c r="CM58" s="13">
        <v>5267.1</v>
      </c>
      <c r="CN58" s="13">
        <v>5267.4</v>
      </c>
      <c r="CO58" s="13">
        <v>5269.64</v>
      </c>
      <c r="CP58" s="13">
        <v>5270.46</v>
      </c>
      <c r="CQ58" s="13">
        <v>5271.07</v>
      </c>
      <c r="CR58" s="13">
        <v>5273.1</v>
      </c>
      <c r="CS58" s="13"/>
      <c r="CT58" s="13">
        <v>5274.18</v>
      </c>
      <c r="CU58" s="13">
        <v>5277.9</v>
      </c>
      <c r="CV58" s="13">
        <v>5281.2</v>
      </c>
      <c r="CW58" s="13">
        <v>5281.9</v>
      </c>
      <c r="CX58" s="13">
        <v>5281.9</v>
      </c>
      <c r="CY58" s="13">
        <v>5280.3</v>
      </c>
      <c r="CZ58" s="13">
        <v>5279.3</v>
      </c>
      <c r="DA58" s="13">
        <v>5277.4</v>
      </c>
      <c r="DB58" s="13"/>
      <c r="DC58" s="13">
        <v>5283.4</v>
      </c>
      <c r="DD58" s="13">
        <v>5279.1</v>
      </c>
      <c r="DE58" s="13">
        <v>5282.78</v>
      </c>
      <c r="DF58" s="13">
        <v>5282.44</v>
      </c>
    </row>
    <row r="59" spans="1:110" ht="15.75" x14ac:dyDescent="0.25">
      <c r="A59" s="14" t="s">
        <v>12</v>
      </c>
      <c r="B59" s="12" t="s">
        <v>9</v>
      </c>
      <c r="C59" s="13">
        <v>5269.25</v>
      </c>
      <c r="D59" s="13">
        <v>5257.17</v>
      </c>
      <c r="E59" s="13">
        <v>5253.33</v>
      </c>
      <c r="F59" s="13">
        <v>5254.58</v>
      </c>
      <c r="G59" s="13">
        <v>5258.55</v>
      </c>
      <c r="H59" s="13">
        <v>5257.89</v>
      </c>
      <c r="I59" s="13">
        <v>5263.17</v>
      </c>
      <c r="J59" s="13">
        <v>5267.92</v>
      </c>
      <c r="K59" s="13">
        <v>5271.33</v>
      </c>
      <c r="L59" s="13">
        <v>5272.53</v>
      </c>
      <c r="M59" s="13">
        <v>5273.33</v>
      </c>
      <c r="N59" s="13">
        <v>5270.87</v>
      </c>
      <c r="O59" s="13">
        <v>5268.93</v>
      </c>
      <c r="P59" s="13">
        <v>5272.5</v>
      </c>
      <c r="Q59" s="13">
        <v>5269.38</v>
      </c>
      <c r="R59" s="13">
        <v>5270.15</v>
      </c>
      <c r="S59" s="13">
        <v>5263.86</v>
      </c>
      <c r="T59" s="13">
        <v>5264.77</v>
      </c>
      <c r="U59" s="13">
        <v>5266.13</v>
      </c>
      <c r="V59" s="13">
        <v>5262.07</v>
      </c>
      <c r="W59" s="13">
        <v>5267.73</v>
      </c>
      <c r="X59" s="13">
        <v>5265.1</v>
      </c>
      <c r="Y59" s="13">
        <v>5266.9</v>
      </c>
      <c r="Z59" s="13">
        <v>5270.4</v>
      </c>
      <c r="AA59" s="13">
        <v>5271.89</v>
      </c>
      <c r="AB59" s="13">
        <v>5272</v>
      </c>
      <c r="AC59" s="13">
        <v>5269.8</v>
      </c>
      <c r="AD59" s="13">
        <v>5272.3</v>
      </c>
      <c r="AE59" s="13">
        <v>5270.5</v>
      </c>
      <c r="AF59" s="13">
        <v>5269.8</v>
      </c>
      <c r="AG59" s="13">
        <v>5269.56</v>
      </c>
      <c r="AH59" s="13">
        <v>5267.88</v>
      </c>
      <c r="AI59" s="13">
        <v>5268</v>
      </c>
      <c r="AJ59" s="13">
        <v>5266</v>
      </c>
      <c r="AK59" s="13">
        <v>5264.38</v>
      </c>
      <c r="AL59" s="13">
        <v>5265.3</v>
      </c>
      <c r="AM59" s="13">
        <v>5263.9</v>
      </c>
      <c r="AN59" s="13">
        <v>5255.44</v>
      </c>
      <c r="AO59" s="13">
        <v>5253.44</v>
      </c>
      <c r="AP59" s="13">
        <v>5251.56</v>
      </c>
      <c r="AQ59" s="13">
        <v>5254.22</v>
      </c>
      <c r="AR59" s="13">
        <v>5256.78</v>
      </c>
      <c r="AS59" s="13">
        <v>5253.38</v>
      </c>
      <c r="AT59" s="13">
        <v>5247.88</v>
      </c>
      <c r="AU59" s="13">
        <v>5244.25</v>
      </c>
      <c r="AV59" s="13">
        <v>5245.5</v>
      </c>
      <c r="AW59" s="13">
        <v>5245.5</v>
      </c>
      <c r="AX59" s="13">
        <v>5246</v>
      </c>
      <c r="AY59" s="13">
        <v>5256.36</v>
      </c>
      <c r="AZ59" s="13">
        <v>5257</v>
      </c>
      <c r="BA59" s="13">
        <v>5259.82</v>
      </c>
      <c r="BB59" s="13">
        <v>5259.6</v>
      </c>
      <c r="BC59" s="13">
        <v>5256</v>
      </c>
      <c r="BD59" s="13">
        <v>5254.6</v>
      </c>
      <c r="BE59" s="13">
        <v>5256.1</v>
      </c>
      <c r="BF59" s="13">
        <v>5254.89</v>
      </c>
      <c r="BG59" s="13">
        <v>5252.22</v>
      </c>
      <c r="BH59" s="13">
        <v>5251</v>
      </c>
      <c r="BI59" s="13">
        <v>5249.18</v>
      </c>
      <c r="BJ59" s="13">
        <v>5248.55</v>
      </c>
      <c r="BK59" s="13">
        <v>5252.67</v>
      </c>
      <c r="BL59" s="13">
        <v>5255</v>
      </c>
      <c r="BM59" s="13">
        <v>5253.22</v>
      </c>
      <c r="BN59" s="13">
        <v>5255.89</v>
      </c>
      <c r="BO59" s="13">
        <v>5255</v>
      </c>
      <c r="BP59" s="13">
        <v>5256.22</v>
      </c>
      <c r="BQ59" s="13">
        <v>5258.33</v>
      </c>
      <c r="BR59" s="13">
        <v>5260.13</v>
      </c>
      <c r="BS59" s="13">
        <v>5262.33</v>
      </c>
      <c r="BT59" s="13">
        <v>5263.67</v>
      </c>
      <c r="BU59" s="13">
        <v>5260.5</v>
      </c>
      <c r="BV59" s="13">
        <v>5264.3</v>
      </c>
      <c r="BW59" s="13">
        <v>5264</v>
      </c>
      <c r="BX59" s="13">
        <v>5262.3</v>
      </c>
      <c r="BY59" s="13">
        <v>5260.2</v>
      </c>
      <c r="BZ59" s="13">
        <v>5260.1</v>
      </c>
      <c r="CA59" s="13">
        <v>5262.6</v>
      </c>
      <c r="CB59" s="13">
        <v>5260.8</v>
      </c>
      <c r="CC59" s="13">
        <v>5259.5</v>
      </c>
      <c r="CD59" s="13">
        <v>5260.8</v>
      </c>
      <c r="CE59" s="13">
        <v>5261.6</v>
      </c>
      <c r="CF59" s="13">
        <v>5264.4</v>
      </c>
      <c r="CG59" s="13">
        <v>5259.4</v>
      </c>
      <c r="CH59" s="13">
        <v>5258.2</v>
      </c>
      <c r="CI59" s="13">
        <v>5255.3</v>
      </c>
      <c r="CJ59" s="13">
        <v>5255.9</v>
      </c>
      <c r="CK59" s="13">
        <v>5254</v>
      </c>
      <c r="CL59" s="13">
        <v>5254.2</v>
      </c>
      <c r="CM59" s="13">
        <v>5253.5</v>
      </c>
      <c r="CN59" s="13">
        <v>5253.9</v>
      </c>
      <c r="CO59" s="13">
        <v>5255.2</v>
      </c>
      <c r="CP59" s="13">
        <v>5255.9</v>
      </c>
      <c r="CQ59" s="13">
        <v>5255.7</v>
      </c>
      <c r="CR59" s="13">
        <v>5257.4</v>
      </c>
      <c r="CS59" s="13"/>
      <c r="CT59" s="13">
        <v>5257.67</v>
      </c>
      <c r="CU59" s="13">
        <v>5260.9</v>
      </c>
      <c r="CV59" s="13">
        <v>5263.3</v>
      </c>
      <c r="CW59" s="13">
        <v>5263.7</v>
      </c>
      <c r="CX59" s="13">
        <v>5262.22</v>
      </c>
      <c r="CY59" s="13">
        <v>5262.6</v>
      </c>
      <c r="CZ59" s="13">
        <v>5260.89</v>
      </c>
      <c r="DA59" s="13">
        <v>5260.6</v>
      </c>
      <c r="DB59" s="13"/>
      <c r="DC59" s="13">
        <v>5264.7</v>
      </c>
      <c r="DD59" s="13">
        <v>5261.9</v>
      </c>
      <c r="DE59" s="13">
        <v>5262.22</v>
      </c>
      <c r="DF59" s="13">
        <v>5262.89</v>
      </c>
    </row>
    <row r="60" spans="1:110" ht="15.75" x14ac:dyDescent="0.25">
      <c r="A60" s="14" t="s">
        <v>12</v>
      </c>
      <c r="B60" s="12" t="s">
        <v>7</v>
      </c>
      <c r="C60" s="13">
        <v>5267.67</v>
      </c>
      <c r="D60" s="13">
        <v>5257</v>
      </c>
      <c r="E60" s="13">
        <v>5253.33</v>
      </c>
      <c r="F60" s="13">
        <v>5254.58</v>
      </c>
      <c r="G60" s="13">
        <v>5248.93</v>
      </c>
      <c r="H60" s="13">
        <v>5257.22</v>
      </c>
      <c r="I60" s="13">
        <v>5255.79</v>
      </c>
      <c r="J60" s="13">
        <v>5263.17</v>
      </c>
      <c r="K60" s="13">
        <v>5264.64</v>
      </c>
      <c r="L60" s="13">
        <v>5267.22</v>
      </c>
      <c r="M60" s="13">
        <v>5267.86</v>
      </c>
      <c r="N60" s="13">
        <v>5270.21</v>
      </c>
      <c r="O60" s="13">
        <v>5261.06</v>
      </c>
      <c r="P60" s="13">
        <v>5259.63</v>
      </c>
      <c r="Q60" s="13">
        <v>5268.78</v>
      </c>
      <c r="R60" s="13">
        <v>5264.64</v>
      </c>
      <c r="S60" s="13">
        <v>5263.86</v>
      </c>
      <c r="T60" s="13">
        <v>5263</v>
      </c>
      <c r="U60" s="13">
        <v>5263.14</v>
      </c>
      <c r="V60" s="13">
        <v>5259.93</v>
      </c>
      <c r="W60" s="13">
        <v>5264.53</v>
      </c>
      <c r="X60" s="13">
        <v>5262.22</v>
      </c>
      <c r="Y60" s="13">
        <v>5261.38</v>
      </c>
      <c r="Z60" s="13">
        <v>5267.8</v>
      </c>
      <c r="AA60" s="13">
        <v>5267.78</v>
      </c>
      <c r="AB60" s="13">
        <v>5266.14</v>
      </c>
      <c r="AC60" s="13">
        <v>5268.6</v>
      </c>
      <c r="AD60" s="13">
        <v>5269.22</v>
      </c>
      <c r="AE60" s="13">
        <v>5270.4</v>
      </c>
      <c r="AF60" s="13">
        <v>5268.44</v>
      </c>
      <c r="AG60" s="13">
        <v>5267</v>
      </c>
      <c r="AH60" s="13">
        <v>5267</v>
      </c>
      <c r="AI60" s="13">
        <v>5264.14</v>
      </c>
      <c r="AJ60" s="13">
        <v>5261.86</v>
      </c>
      <c r="AK60" s="13">
        <v>5262</v>
      </c>
      <c r="AL60" s="13">
        <v>5251.8</v>
      </c>
      <c r="AM60" s="13">
        <v>5255.08</v>
      </c>
      <c r="AN60" s="13">
        <v>5248.91</v>
      </c>
      <c r="AO60" s="13">
        <v>5252.33</v>
      </c>
      <c r="AP60" s="13">
        <v>5251.44</v>
      </c>
      <c r="AQ60" s="13">
        <v>5248</v>
      </c>
      <c r="AR60" s="13">
        <v>5248.27</v>
      </c>
      <c r="AS60" s="13">
        <v>5248.91</v>
      </c>
      <c r="AT60" s="13">
        <v>5244.27</v>
      </c>
      <c r="AU60" s="13">
        <v>5243.2</v>
      </c>
      <c r="AV60" s="13">
        <v>5240.3999999999996</v>
      </c>
      <c r="AW60" s="13">
        <v>5240.8900000000003</v>
      </c>
      <c r="AX60" s="13">
        <v>5241.6000000000004</v>
      </c>
      <c r="AY60" s="13">
        <v>5245.81</v>
      </c>
      <c r="AZ60" s="13">
        <v>5250.85</v>
      </c>
      <c r="BA60" s="13">
        <v>5252.85</v>
      </c>
      <c r="BB60" s="13">
        <v>5251</v>
      </c>
      <c r="BC60" s="13">
        <v>5251</v>
      </c>
      <c r="BD60" s="13">
        <v>5249</v>
      </c>
      <c r="BE60" s="13">
        <v>5250</v>
      </c>
      <c r="BF60" s="13">
        <v>5248.55</v>
      </c>
      <c r="BG60" s="13">
        <v>5246.73</v>
      </c>
      <c r="BH60" s="13">
        <v>5245.82</v>
      </c>
      <c r="BI60" s="13">
        <v>5246.27</v>
      </c>
      <c r="BJ60" s="13">
        <v>5248.55</v>
      </c>
      <c r="BK60" s="13">
        <v>5247.18</v>
      </c>
      <c r="BL60" s="13">
        <v>5247.36</v>
      </c>
      <c r="BM60" s="13">
        <v>5247.36</v>
      </c>
      <c r="BN60" s="13">
        <v>5249.18</v>
      </c>
      <c r="BO60" s="13">
        <v>5248.73</v>
      </c>
      <c r="BP60" s="13">
        <v>5249</v>
      </c>
      <c r="BQ60" s="13">
        <v>5250.36</v>
      </c>
      <c r="BR60" s="13">
        <v>5251.73</v>
      </c>
      <c r="BS60" s="13">
        <v>5260.5</v>
      </c>
      <c r="BT60" s="13">
        <v>5259.88</v>
      </c>
      <c r="BU60" s="13">
        <v>5260.5</v>
      </c>
      <c r="BV60" s="13">
        <v>5258.86</v>
      </c>
      <c r="BW60" s="13">
        <v>5260.89</v>
      </c>
      <c r="BX60" s="13">
        <v>5261.22</v>
      </c>
      <c r="BY60" s="13">
        <v>5259.56</v>
      </c>
      <c r="BZ60" s="13">
        <v>5259.1</v>
      </c>
      <c r="CA60" s="13">
        <v>5259.8</v>
      </c>
      <c r="CB60" s="13">
        <v>5259.56</v>
      </c>
      <c r="CC60" s="13">
        <v>5257.56</v>
      </c>
      <c r="CD60" s="13">
        <v>5258.22</v>
      </c>
      <c r="CE60" s="13">
        <v>5259.56</v>
      </c>
      <c r="CF60" s="13">
        <v>5262.89</v>
      </c>
      <c r="CG60" s="13">
        <v>5258.22</v>
      </c>
      <c r="CH60" s="13">
        <v>5256.22</v>
      </c>
      <c r="CI60" s="13">
        <v>5254.56</v>
      </c>
      <c r="CJ60" s="13">
        <v>5255.22</v>
      </c>
      <c r="CK60" s="13">
        <v>5252.56</v>
      </c>
      <c r="CL60" s="13">
        <v>5253.56</v>
      </c>
      <c r="CM60" s="13">
        <v>5252.22</v>
      </c>
      <c r="CN60" s="13">
        <v>5252.56</v>
      </c>
      <c r="CO60" s="13">
        <v>5252.56</v>
      </c>
      <c r="CP60" s="13">
        <v>5249.92</v>
      </c>
      <c r="CQ60" s="13">
        <v>5249.5</v>
      </c>
      <c r="CR60" s="13">
        <v>5254.33</v>
      </c>
      <c r="CS60" s="13"/>
      <c r="CT60" s="13">
        <v>5257.67</v>
      </c>
      <c r="CU60" s="13">
        <v>5256.89</v>
      </c>
      <c r="CV60" s="13">
        <v>5260.89</v>
      </c>
      <c r="CW60" s="13">
        <v>5261.22</v>
      </c>
      <c r="CX60" s="13">
        <v>5260.89</v>
      </c>
      <c r="CY60" s="13">
        <v>5260.89</v>
      </c>
      <c r="CZ60" s="13">
        <v>5260.89</v>
      </c>
      <c r="DA60" s="13">
        <v>5259.22</v>
      </c>
      <c r="DB60" s="13"/>
      <c r="DC60" s="13"/>
      <c r="DD60" s="13">
        <v>5169.45</v>
      </c>
      <c r="DE60" s="13">
        <v>5260.89</v>
      </c>
      <c r="DF60" s="13">
        <v>5262.22</v>
      </c>
    </row>
    <row r="61" spans="1:110" ht="15.75" x14ac:dyDescent="0.25">
      <c r="A61" s="11" t="s">
        <v>5</v>
      </c>
      <c r="B61" s="11" t="s">
        <v>11</v>
      </c>
      <c r="C61" s="15">
        <v>0.37847222222222227</v>
      </c>
      <c r="D61" s="15">
        <v>0.38194444444444442</v>
      </c>
      <c r="E61" s="15">
        <v>0.38541666666666669</v>
      </c>
      <c r="F61" s="15">
        <v>0.3888888888888889</v>
      </c>
      <c r="G61" s="15">
        <v>0.3923611111111111</v>
      </c>
      <c r="H61" s="15">
        <v>0.39583333333333331</v>
      </c>
      <c r="I61" s="15">
        <v>0.39930555555555558</v>
      </c>
      <c r="J61" s="15">
        <v>0.40277777777777773</v>
      </c>
      <c r="K61" s="15">
        <v>0.40625</v>
      </c>
      <c r="L61" s="15">
        <v>0.40972222222222227</v>
      </c>
      <c r="M61" s="15">
        <v>0.41319444444444442</v>
      </c>
      <c r="N61" s="15">
        <v>0.41666666666666669</v>
      </c>
      <c r="O61" s="15">
        <v>0.4201388888888889</v>
      </c>
      <c r="P61" s="21">
        <v>0.4236111111111111</v>
      </c>
      <c r="Q61" s="21">
        <v>0.42708333333333331</v>
      </c>
      <c r="R61" s="21">
        <v>0.43055555555555558</v>
      </c>
      <c r="S61" s="21">
        <v>0.43402777777777773</v>
      </c>
      <c r="T61" s="21">
        <v>0.4375</v>
      </c>
      <c r="U61" s="21">
        <v>0.44097222222222227</v>
      </c>
      <c r="V61" s="21">
        <v>0.44444444444444442</v>
      </c>
      <c r="W61" s="21">
        <v>0.44791666666666669</v>
      </c>
      <c r="X61" s="15">
        <v>0.4513888888888889</v>
      </c>
      <c r="Y61" s="15">
        <v>0.4548611111111111</v>
      </c>
      <c r="Z61" s="15">
        <v>0.45833333333333331</v>
      </c>
      <c r="AA61" s="15">
        <v>0.46180555555555558</v>
      </c>
      <c r="AB61" s="15">
        <v>0.46527777777777773</v>
      </c>
      <c r="AC61" s="15">
        <v>0.46875</v>
      </c>
      <c r="AD61" s="15">
        <v>0.47222222222222227</v>
      </c>
      <c r="AE61" s="15">
        <v>0.47569444444444442</v>
      </c>
      <c r="AF61" s="15">
        <v>0.47916666666666669</v>
      </c>
      <c r="AG61" s="15">
        <v>0.4826388888888889</v>
      </c>
      <c r="AH61" s="15">
        <v>0.4861111111111111</v>
      </c>
      <c r="AI61" s="15">
        <v>0.48958333333333331</v>
      </c>
      <c r="AJ61" s="15">
        <v>0.49305555555555558</v>
      </c>
      <c r="AK61" s="15">
        <v>0.49652777777777773</v>
      </c>
      <c r="AL61" s="15">
        <v>0.5</v>
      </c>
      <c r="AM61" s="15">
        <v>0.50347222222222221</v>
      </c>
      <c r="AN61" s="15">
        <v>0.50694444444444442</v>
      </c>
      <c r="AO61" s="15">
        <v>0.51041666666666663</v>
      </c>
      <c r="AP61" s="15">
        <v>0.51388888888888895</v>
      </c>
      <c r="AQ61" s="15">
        <v>0.51736111111111105</v>
      </c>
      <c r="AR61" s="15">
        <v>0.52083333333333337</v>
      </c>
      <c r="AS61" s="15">
        <v>0.52430555555555558</v>
      </c>
      <c r="AT61" s="15">
        <v>0.52777777777777779</v>
      </c>
      <c r="AU61" s="15">
        <v>0.53125</v>
      </c>
      <c r="AV61" s="15">
        <v>0.53472222222222221</v>
      </c>
      <c r="AW61" s="15">
        <v>0.53819444444444442</v>
      </c>
      <c r="AX61" s="15">
        <v>0.54166666666666663</v>
      </c>
      <c r="AY61" s="15">
        <v>0.54513888888888895</v>
      </c>
      <c r="AZ61" s="15">
        <v>0.54861111111111105</v>
      </c>
      <c r="BA61" s="15">
        <v>0.55208333333333337</v>
      </c>
      <c r="BB61" s="15">
        <v>0.55555555555555558</v>
      </c>
      <c r="BC61" s="15">
        <v>0.55902777777777779</v>
      </c>
      <c r="BD61" s="15">
        <v>0.5625</v>
      </c>
      <c r="BE61" s="15">
        <v>0.56597222222222221</v>
      </c>
      <c r="BF61" s="15">
        <v>0.56944444444444442</v>
      </c>
      <c r="BG61" s="15">
        <v>0.57291666666666663</v>
      </c>
      <c r="BH61" s="15">
        <v>0.57638888888888895</v>
      </c>
      <c r="BI61" s="15">
        <v>0.57986111111111105</v>
      </c>
      <c r="BJ61" s="15">
        <v>0.58333333333333337</v>
      </c>
      <c r="BK61" s="15">
        <v>0.58680555555555558</v>
      </c>
      <c r="BL61" s="15">
        <v>0.59027777777777779</v>
      </c>
      <c r="BM61" s="15">
        <v>0.59375</v>
      </c>
      <c r="BN61" s="15">
        <v>0.59722222222222221</v>
      </c>
      <c r="BO61" s="15">
        <v>0.60069444444444442</v>
      </c>
      <c r="BP61" s="15">
        <v>0.60416666666666663</v>
      </c>
      <c r="BQ61" s="15">
        <v>0.60763888888888895</v>
      </c>
      <c r="BR61" s="15">
        <v>0.61111111111111105</v>
      </c>
      <c r="BS61" s="15">
        <v>0.61458333333333337</v>
      </c>
      <c r="BT61" s="15">
        <v>0.61805555555555558</v>
      </c>
      <c r="BU61" s="15">
        <v>0.62152777777777779</v>
      </c>
      <c r="BV61" s="15">
        <v>0.625</v>
      </c>
      <c r="BW61" s="15">
        <v>0.62847222222222221</v>
      </c>
      <c r="BX61" s="15">
        <v>0.63194444444444442</v>
      </c>
      <c r="BY61" s="15">
        <v>0.63541666666666663</v>
      </c>
      <c r="BZ61" s="15">
        <v>0.63888888888888895</v>
      </c>
      <c r="CA61" s="15">
        <v>0.64236111111111105</v>
      </c>
      <c r="CB61" s="15">
        <v>0.64583333333333337</v>
      </c>
      <c r="CC61" s="15">
        <v>0.64930555555555558</v>
      </c>
      <c r="CD61" s="15">
        <v>0.65277777777777779</v>
      </c>
      <c r="CE61" s="15">
        <v>0.65625</v>
      </c>
      <c r="CF61" s="15">
        <v>0.65972222222222221</v>
      </c>
      <c r="CG61" s="15">
        <v>0.66319444444444442</v>
      </c>
      <c r="CH61" s="15">
        <v>0.66666666666666663</v>
      </c>
      <c r="CI61" s="15">
        <v>0.67013888888888884</v>
      </c>
      <c r="CJ61" s="15">
        <v>0.67361111111111116</v>
      </c>
      <c r="CK61" s="15">
        <v>0.67708333333333337</v>
      </c>
      <c r="CL61" s="15">
        <v>0.68055555555555547</v>
      </c>
      <c r="CM61" s="15">
        <v>0.68402777777777779</v>
      </c>
      <c r="CN61" s="15">
        <v>0.6875</v>
      </c>
      <c r="CO61" s="15">
        <v>0.69097222222222221</v>
      </c>
      <c r="CP61" s="15">
        <v>0.69444444444444453</v>
      </c>
      <c r="CQ61" s="15">
        <v>0.69791666666666663</v>
      </c>
      <c r="CR61" s="15">
        <v>0.70138888888888884</v>
      </c>
      <c r="CS61" s="15">
        <v>0.70486111111111116</v>
      </c>
      <c r="CT61" s="15">
        <v>0.70833333333333337</v>
      </c>
      <c r="CU61" s="15">
        <v>0.71180555555555547</v>
      </c>
      <c r="CV61" s="15">
        <v>0.71527777777777779</v>
      </c>
      <c r="CW61" s="15">
        <v>0.71875</v>
      </c>
      <c r="CX61" s="15">
        <v>0.72222222222222221</v>
      </c>
      <c r="CY61" s="15">
        <v>0.72569444444444453</v>
      </c>
      <c r="CZ61" s="15">
        <v>0.72916666666666663</v>
      </c>
      <c r="DA61" s="15">
        <v>0.73263888888888884</v>
      </c>
      <c r="DB61" s="15">
        <v>0.73611111111111116</v>
      </c>
      <c r="DC61" s="15">
        <v>0.73958333333333337</v>
      </c>
      <c r="DD61" s="15">
        <v>0.74305555555555547</v>
      </c>
      <c r="DE61" s="15">
        <v>0.74652777777777779</v>
      </c>
      <c r="DF61" s="15">
        <v>0.75</v>
      </c>
    </row>
    <row r="62" spans="1:110" ht="15.75" x14ac:dyDescent="0.25">
      <c r="A62" s="14">
        <v>44335</v>
      </c>
      <c r="B62" s="12" t="s">
        <v>6</v>
      </c>
      <c r="C62" s="13">
        <v>5330</v>
      </c>
      <c r="D62" s="13">
        <v>5320</v>
      </c>
      <c r="E62" s="13">
        <v>5312.23</v>
      </c>
      <c r="F62" s="13">
        <v>5312.23</v>
      </c>
      <c r="G62" s="13">
        <v>5311.57</v>
      </c>
      <c r="H62" s="13">
        <v>5310.84</v>
      </c>
      <c r="I62" s="13">
        <v>5323.8</v>
      </c>
      <c r="J62" s="13">
        <v>5325.59</v>
      </c>
      <c r="K62" s="13">
        <v>5325.62</v>
      </c>
      <c r="L62" s="13">
        <v>5323.97</v>
      </c>
      <c r="M62" s="13">
        <v>5322.28</v>
      </c>
      <c r="N62" s="13">
        <v>5319.83</v>
      </c>
      <c r="O62" s="13">
        <v>5323.93</v>
      </c>
      <c r="P62" s="13">
        <v>5715.06</v>
      </c>
      <c r="Q62" s="13">
        <v>5715.06</v>
      </c>
      <c r="R62" s="13">
        <v>5715.06</v>
      </c>
      <c r="S62" s="13">
        <v>5715.06</v>
      </c>
      <c r="T62" s="13"/>
      <c r="U62" s="13">
        <v>5715.06</v>
      </c>
      <c r="V62" s="13">
        <v>5715.06</v>
      </c>
      <c r="W62" s="13">
        <v>5715.06</v>
      </c>
      <c r="X62" s="13">
        <v>5305.47</v>
      </c>
      <c r="Y62" s="13">
        <v>5303.68</v>
      </c>
      <c r="Z62" s="13">
        <v>5308.32</v>
      </c>
      <c r="AA62" s="13">
        <v>5314.13</v>
      </c>
      <c r="AB62" s="13">
        <v>5316.53</v>
      </c>
      <c r="AC62" s="13">
        <v>5328.79</v>
      </c>
      <c r="AD62" s="13">
        <v>5327.67</v>
      </c>
      <c r="AE62" s="13">
        <v>5326.53</v>
      </c>
      <c r="AF62" s="13">
        <v>5323.47</v>
      </c>
      <c r="AG62" s="13">
        <v>5319.16</v>
      </c>
      <c r="AH62" s="13">
        <v>5314.71</v>
      </c>
      <c r="AI62" s="13">
        <v>5318.24</v>
      </c>
      <c r="AJ62" s="13">
        <v>5314.94</v>
      </c>
      <c r="AK62" s="13">
        <v>5313.08</v>
      </c>
      <c r="AL62" s="13">
        <v>5317.5</v>
      </c>
      <c r="AM62" s="13">
        <v>5320.08</v>
      </c>
      <c r="AN62" s="13">
        <v>5314.08</v>
      </c>
      <c r="AO62" s="13">
        <v>5307.67</v>
      </c>
      <c r="AP62" s="13">
        <v>5309.5</v>
      </c>
      <c r="AQ62" s="13">
        <v>5309</v>
      </c>
      <c r="AR62" s="13">
        <v>5301.32</v>
      </c>
      <c r="AS62" s="13">
        <v>5299.36</v>
      </c>
      <c r="AT62" s="13">
        <v>5294.76</v>
      </c>
      <c r="AU62" s="13">
        <v>5296.64</v>
      </c>
      <c r="AV62" s="13">
        <v>5301.32</v>
      </c>
      <c r="AW62" s="13">
        <v>5297.19</v>
      </c>
      <c r="AX62" s="13">
        <v>5302.57</v>
      </c>
      <c r="AY62" s="13">
        <v>5293.88</v>
      </c>
      <c r="AZ62" s="13">
        <v>5292.13</v>
      </c>
      <c r="BA62" s="13">
        <v>5292.47</v>
      </c>
      <c r="BB62" s="13">
        <v>5291.27</v>
      </c>
      <c r="BC62" s="13">
        <v>5293.33</v>
      </c>
      <c r="BD62" s="13">
        <v>5293.33</v>
      </c>
      <c r="BE62" s="13">
        <v>5294</v>
      </c>
      <c r="BF62" s="13">
        <v>5298.47</v>
      </c>
      <c r="BG62" s="13">
        <v>5298.47</v>
      </c>
      <c r="BH62" s="13">
        <v>5301.27</v>
      </c>
      <c r="BI62" s="13">
        <v>5301.27</v>
      </c>
      <c r="BJ62" s="13">
        <v>5301.13</v>
      </c>
      <c r="BK62" s="13">
        <v>5299.47</v>
      </c>
      <c r="BL62" s="13">
        <v>5296.6</v>
      </c>
      <c r="BM62" s="13">
        <v>5296.31</v>
      </c>
      <c r="BN62" s="13">
        <v>5298.88</v>
      </c>
      <c r="BO62" s="13">
        <v>5303.25</v>
      </c>
      <c r="BP62" s="13">
        <v>5303.25</v>
      </c>
      <c r="BQ62" s="13">
        <v>5298.88</v>
      </c>
      <c r="BR62" s="13">
        <v>5302.13</v>
      </c>
      <c r="BS62" s="13">
        <v>5300.88</v>
      </c>
      <c r="BT62" s="13">
        <v>5304.44</v>
      </c>
      <c r="BU62" s="13">
        <v>5305.56</v>
      </c>
      <c r="BV62" s="13">
        <v>5303.88</v>
      </c>
      <c r="BW62" s="13">
        <v>5310.04</v>
      </c>
      <c r="BX62" s="13">
        <v>5317.54</v>
      </c>
      <c r="BY62" s="13">
        <v>5329.41</v>
      </c>
      <c r="BZ62" s="13">
        <v>5328.15</v>
      </c>
      <c r="CA62" s="13">
        <v>5321.73</v>
      </c>
      <c r="CB62" s="13">
        <v>5314.46</v>
      </c>
      <c r="CC62" s="13">
        <v>5320.54</v>
      </c>
      <c r="CD62" s="13">
        <v>5352.63</v>
      </c>
      <c r="CE62" s="13">
        <v>5374.09</v>
      </c>
      <c r="CF62" s="13">
        <v>5386.82</v>
      </c>
      <c r="CG62" s="13">
        <v>5404.55</v>
      </c>
      <c r="CH62" s="13">
        <v>5389.68</v>
      </c>
      <c r="CI62" s="13">
        <v>5391.79</v>
      </c>
      <c r="CJ62" s="13">
        <v>5389.06</v>
      </c>
      <c r="CK62" s="13">
        <v>5389.76</v>
      </c>
      <c r="CL62" s="13">
        <v>5385.29</v>
      </c>
      <c r="CM62" s="13">
        <v>5366.88</v>
      </c>
      <c r="CN62" s="13">
        <v>5361.53</v>
      </c>
      <c r="CO62" s="13">
        <v>5361.23</v>
      </c>
      <c r="CP62" s="13">
        <v>5361.82</v>
      </c>
      <c r="CQ62" s="13">
        <v>5367.55</v>
      </c>
      <c r="CR62" s="13">
        <v>5362.41</v>
      </c>
      <c r="CS62" s="13">
        <v>5360.64</v>
      </c>
      <c r="CT62" s="13">
        <v>5360.13</v>
      </c>
      <c r="CU62" s="13">
        <v>5359.46</v>
      </c>
      <c r="CV62" s="13">
        <v>5361.23</v>
      </c>
      <c r="CW62" s="13">
        <v>5370.25</v>
      </c>
      <c r="CX62" s="13">
        <v>5363.53</v>
      </c>
      <c r="CY62" s="13">
        <v>5361.79</v>
      </c>
      <c r="CZ62" s="13">
        <v>5370.04</v>
      </c>
      <c r="DA62" s="13">
        <v>5363</v>
      </c>
      <c r="DB62" s="13">
        <v>5359.45</v>
      </c>
      <c r="DC62" s="13">
        <v>5359.89</v>
      </c>
      <c r="DD62" s="13">
        <v>5359.89</v>
      </c>
      <c r="DE62" s="13">
        <v>5359.37</v>
      </c>
      <c r="DF62" s="13">
        <v>5360.14</v>
      </c>
    </row>
    <row r="63" spans="1:110" ht="15.75" x14ac:dyDescent="0.25">
      <c r="A63" s="14" t="s">
        <v>12</v>
      </c>
      <c r="B63" s="12" t="s">
        <v>10</v>
      </c>
      <c r="C63" s="13">
        <v>5310</v>
      </c>
      <c r="D63" s="13">
        <v>5309.41</v>
      </c>
      <c r="E63" s="13">
        <v>5308.33</v>
      </c>
      <c r="F63" s="13">
        <v>5310.2</v>
      </c>
      <c r="G63" s="13">
        <v>5307.74</v>
      </c>
      <c r="H63" s="13">
        <v>5309.97</v>
      </c>
      <c r="I63" s="13">
        <v>5323</v>
      </c>
      <c r="J63" s="13">
        <v>5324.76</v>
      </c>
      <c r="K63" s="13">
        <v>5319.79</v>
      </c>
      <c r="L63" s="13">
        <v>5319.83</v>
      </c>
      <c r="M63" s="13">
        <v>5319.83</v>
      </c>
      <c r="N63" s="13">
        <v>5319.83</v>
      </c>
      <c r="O63" s="13">
        <v>5322.28</v>
      </c>
      <c r="P63" s="13">
        <v>5715.06</v>
      </c>
      <c r="Q63" s="13">
        <v>5715.06</v>
      </c>
      <c r="R63" s="13">
        <v>5715.06</v>
      </c>
      <c r="S63" s="13">
        <v>5715.06</v>
      </c>
      <c r="T63" s="13"/>
      <c r="U63" s="13">
        <v>5715.06</v>
      </c>
      <c r="V63" s="13">
        <v>5302.23</v>
      </c>
      <c r="W63" s="13">
        <v>5304.6</v>
      </c>
      <c r="X63" s="13">
        <v>5302.87</v>
      </c>
      <c r="Y63" s="13">
        <v>5302.87</v>
      </c>
      <c r="Z63" s="13">
        <v>5308.32</v>
      </c>
      <c r="AA63" s="13">
        <v>5313.33</v>
      </c>
      <c r="AB63" s="13">
        <v>5315.13</v>
      </c>
      <c r="AC63" s="13">
        <v>5322.13</v>
      </c>
      <c r="AD63" s="13">
        <v>5320.63</v>
      </c>
      <c r="AE63" s="13">
        <v>5323.47</v>
      </c>
      <c r="AF63" s="13">
        <v>5318.32</v>
      </c>
      <c r="AG63" s="13">
        <v>5310.84</v>
      </c>
      <c r="AH63" s="13">
        <v>5314.67</v>
      </c>
      <c r="AI63" s="13">
        <v>5314.29</v>
      </c>
      <c r="AJ63" s="13">
        <v>5312.08</v>
      </c>
      <c r="AK63" s="13">
        <v>5310.92</v>
      </c>
      <c r="AL63" s="13">
        <v>5316.08</v>
      </c>
      <c r="AM63" s="13">
        <v>5314.5</v>
      </c>
      <c r="AN63" s="13">
        <v>5305.08</v>
      </c>
      <c r="AO63" s="13">
        <v>5306.04</v>
      </c>
      <c r="AP63" s="13">
        <v>5309</v>
      </c>
      <c r="AQ63" s="13">
        <v>5297.08</v>
      </c>
      <c r="AR63" s="13">
        <v>5299.48</v>
      </c>
      <c r="AS63" s="13">
        <v>5291.84</v>
      </c>
      <c r="AT63" s="13">
        <v>5292.76</v>
      </c>
      <c r="AU63" s="13">
        <v>5295.56</v>
      </c>
      <c r="AV63" s="13">
        <v>5294.28</v>
      </c>
      <c r="AW63" s="13">
        <v>5297.13</v>
      </c>
      <c r="AX63" s="13">
        <v>5292.94</v>
      </c>
      <c r="AY63" s="13">
        <v>5287.4</v>
      </c>
      <c r="AZ63" s="13">
        <v>5291.47</v>
      </c>
      <c r="BA63" s="13">
        <v>5291</v>
      </c>
      <c r="BB63" s="13">
        <v>5291.2</v>
      </c>
      <c r="BC63" s="13">
        <v>5289.87</v>
      </c>
      <c r="BD63" s="13">
        <v>5292.2</v>
      </c>
      <c r="BE63" s="13">
        <v>5293.93</v>
      </c>
      <c r="BF63" s="13">
        <v>5297.67</v>
      </c>
      <c r="BG63" s="13">
        <v>5296.53</v>
      </c>
      <c r="BH63" s="13">
        <v>5301.2</v>
      </c>
      <c r="BI63" s="13">
        <v>5297.47</v>
      </c>
      <c r="BJ63" s="13">
        <v>5299.53</v>
      </c>
      <c r="BK63" s="13">
        <v>5296.53</v>
      </c>
      <c r="BL63" s="13">
        <v>5294.93</v>
      </c>
      <c r="BM63" s="13">
        <v>5296.31</v>
      </c>
      <c r="BN63" s="13">
        <v>5298.25</v>
      </c>
      <c r="BO63" s="13">
        <v>5303.25</v>
      </c>
      <c r="BP63" s="13">
        <v>5296.31</v>
      </c>
      <c r="BQ63" s="13">
        <v>5297.13</v>
      </c>
      <c r="BR63" s="13">
        <v>5297.38</v>
      </c>
      <c r="BS63" s="13">
        <v>0</v>
      </c>
      <c r="BT63" s="13">
        <v>5304.19</v>
      </c>
      <c r="BU63" s="13">
        <v>5300.56</v>
      </c>
      <c r="BV63" s="13">
        <v>5300.44</v>
      </c>
      <c r="BW63" s="13">
        <v>5310</v>
      </c>
      <c r="BX63" s="13">
        <v>5310.04</v>
      </c>
      <c r="BY63" s="13">
        <v>5322.19</v>
      </c>
      <c r="BZ63" s="13">
        <v>5324.58</v>
      </c>
      <c r="CA63" s="13">
        <v>5308.96</v>
      </c>
      <c r="CB63" s="13">
        <v>5311.69</v>
      </c>
      <c r="CC63" s="13">
        <v>5318.81</v>
      </c>
      <c r="CD63" s="13">
        <v>5351.03</v>
      </c>
      <c r="CE63" s="13">
        <v>5354.63</v>
      </c>
      <c r="CF63" s="13">
        <v>5385.5</v>
      </c>
      <c r="CG63" s="13">
        <v>5389.65</v>
      </c>
      <c r="CH63" s="13">
        <v>5367.03</v>
      </c>
      <c r="CI63" s="13">
        <v>5388.44</v>
      </c>
      <c r="CJ63" s="13">
        <v>5368.63</v>
      </c>
      <c r="CK63" s="13">
        <v>5382.87</v>
      </c>
      <c r="CL63" s="13">
        <v>5366.88</v>
      </c>
      <c r="CM63" s="13">
        <v>5361.49</v>
      </c>
      <c r="CN63" s="13">
        <v>5360.32</v>
      </c>
      <c r="CO63" s="13">
        <v>5361.23</v>
      </c>
      <c r="CP63" s="13">
        <v>5360.64</v>
      </c>
      <c r="CQ63" s="13">
        <v>5360.56</v>
      </c>
      <c r="CR63" s="13">
        <v>5360.64</v>
      </c>
      <c r="CS63" s="13">
        <v>5360.64</v>
      </c>
      <c r="CT63" s="13">
        <v>5359.46</v>
      </c>
      <c r="CU63" s="13">
        <v>5359.46</v>
      </c>
      <c r="CV63" s="13">
        <v>5361.23</v>
      </c>
      <c r="CW63" s="13">
        <v>5362.32</v>
      </c>
      <c r="CX63" s="13">
        <v>5361.26</v>
      </c>
      <c r="CY63" s="13">
        <v>5361.79</v>
      </c>
      <c r="CZ63" s="13">
        <v>5363</v>
      </c>
      <c r="DA63" s="13">
        <v>5359.45</v>
      </c>
      <c r="DB63" s="13">
        <v>5359.37</v>
      </c>
      <c r="DC63" s="13">
        <v>5359.37</v>
      </c>
      <c r="DD63" s="13">
        <v>5358.76</v>
      </c>
      <c r="DE63" s="13">
        <v>5358.16</v>
      </c>
      <c r="DF63" s="13">
        <v>5360.14</v>
      </c>
    </row>
    <row r="64" spans="1:110" ht="15.75" x14ac:dyDescent="0.25">
      <c r="A64" s="14" t="s">
        <v>12</v>
      </c>
      <c r="B64" s="12" t="s">
        <v>9</v>
      </c>
      <c r="C64" s="13">
        <v>5284.5</v>
      </c>
      <c r="D64" s="13">
        <v>5298.58</v>
      </c>
      <c r="E64" s="13">
        <v>5295.6</v>
      </c>
      <c r="F64" s="13">
        <v>5299.53</v>
      </c>
      <c r="G64" s="13">
        <v>5297.2</v>
      </c>
      <c r="H64" s="13">
        <v>5299.33</v>
      </c>
      <c r="I64" s="13">
        <v>5303.64</v>
      </c>
      <c r="J64" s="13">
        <v>5312.87</v>
      </c>
      <c r="K64" s="13">
        <v>5306.56</v>
      </c>
      <c r="L64" s="13">
        <v>5306.38</v>
      </c>
      <c r="M64" s="13">
        <v>5305.75</v>
      </c>
      <c r="N64" s="13">
        <v>5306.75</v>
      </c>
      <c r="O64" s="13">
        <v>5308.2</v>
      </c>
      <c r="P64" s="13">
        <v>5724.5</v>
      </c>
      <c r="Q64" s="13">
        <v>5724.5</v>
      </c>
      <c r="R64" s="13">
        <v>5724.5</v>
      </c>
      <c r="S64" s="13">
        <v>5724.5</v>
      </c>
      <c r="T64" s="13"/>
      <c r="U64" s="13">
        <v>5724.5</v>
      </c>
      <c r="V64" s="13">
        <v>5287.07</v>
      </c>
      <c r="W64" s="13">
        <v>5288.93</v>
      </c>
      <c r="X64" s="13">
        <v>5287</v>
      </c>
      <c r="Y64" s="13">
        <v>5286.21</v>
      </c>
      <c r="Z64" s="13">
        <v>5294</v>
      </c>
      <c r="AA64" s="13">
        <v>5299.79</v>
      </c>
      <c r="AB64" s="13">
        <v>5301.93</v>
      </c>
      <c r="AC64" s="13">
        <v>5310.33</v>
      </c>
      <c r="AD64" s="13">
        <v>5306.64</v>
      </c>
      <c r="AE64" s="13">
        <v>5307.08</v>
      </c>
      <c r="AF64" s="13">
        <v>5302.69</v>
      </c>
      <c r="AG64" s="13">
        <v>5301.38</v>
      </c>
      <c r="AH64" s="13">
        <v>5304.46</v>
      </c>
      <c r="AI64" s="13">
        <v>5304.54</v>
      </c>
      <c r="AJ64" s="13">
        <v>5303.78</v>
      </c>
      <c r="AK64" s="13">
        <v>5303</v>
      </c>
      <c r="AL64" s="13">
        <v>5306.94</v>
      </c>
      <c r="AM64" s="13">
        <v>5305.22</v>
      </c>
      <c r="AN64" s="13">
        <v>5298</v>
      </c>
      <c r="AO64" s="13">
        <v>5296.88</v>
      </c>
      <c r="AP64" s="13">
        <v>5298.94</v>
      </c>
      <c r="AQ64" s="13">
        <v>5290.25</v>
      </c>
      <c r="AR64" s="13">
        <v>5290.94</v>
      </c>
      <c r="AS64" s="13">
        <v>5283.8</v>
      </c>
      <c r="AT64" s="13">
        <v>5283.71</v>
      </c>
      <c r="AU64" s="13">
        <v>5286.06</v>
      </c>
      <c r="AV64" s="13">
        <v>5286</v>
      </c>
      <c r="AW64" s="13">
        <v>5285.17</v>
      </c>
      <c r="AX64" s="13">
        <v>5281</v>
      </c>
      <c r="AY64" s="13">
        <v>5278.1</v>
      </c>
      <c r="AZ64" s="13">
        <v>5281.8</v>
      </c>
      <c r="BA64" s="13">
        <v>5281.3</v>
      </c>
      <c r="BB64" s="13">
        <v>5280.9</v>
      </c>
      <c r="BC64" s="13">
        <v>5280.5</v>
      </c>
      <c r="BD64" s="13">
        <v>5283.4</v>
      </c>
      <c r="BE64" s="13">
        <v>5279.87</v>
      </c>
      <c r="BF64" s="13">
        <v>5282.27</v>
      </c>
      <c r="BG64" s="13">
        <v>5281.4</v>
      </c>
      <c r="BH64" s="13">
        <v>5284.6</v>
      </c>
      <c r="BI64" s="13">
        <v>5282</v>
      </c>
      <c r="BJ64" s="13">
        <v>5283.53</v>
      </c>
      <c r="BK64" s="13">
        <v>5281.65</v>
      </c>
      <c r="BL64" s="13">
        <v>5281.12</v>
      </c>
      <c r="BM64" s="13">
        <v>5281.41</v>
      </c>
      <c r="BN64" s="13">
        <v>5282.18</v>
      </c>
      <c r="BO64" s="13">
        <v>5285.06</v>
      </c>
      <c r="BP64" s="13">
        <v>5281.12</v>
      </c>
      <c r="BQ64" s="13">
        <v>5281.65</v>
      </c>
      <c r="BR64" s="13">
        <v>5281.65</v>
      </c>
      <c r="BS64" s="13">
        <v>5284.76</v>
      </c>
      <c r="BT64" s="13">
        <v>5285.88</v>
      </c>
      <c r="BU64" s="13">
        <v>5284.29</v>
      </c>
      <c r="BV64" s="13">
        <v>5287</v>
      </c>
      <c r="BW64" s="13">
        <v>5292.36</v>
      </c>
      <c r="BX64" s="13">
        <v>5292.18</v>
      </c>
      <c r="BY64" s="13">
        <v>5296.74</v>
      </c>
      <c r="BZ64" s="13">
        <v>5297.53</v>
      </c>
      <c r="CA64" s="13">
        <v>5289</v>
      </c>
      <c r="CB64" s="13">
        <v>5289.68</v>
      </c>
      <c r="CC64" s="13">
        <v>5294.58</v>
      </c>
      <c r="CD64" s="13">
        <v>5297.39</v>
      </c>
      <c r="CE64" s="13">
        <v>5300.17</v>
      </c>
      <c r="CF64" s="13">
        <v>5307.33</v>
      </c>
      <c r="CG64" s="13">
        <v>5310.22</v>
      </c>
      <c r="CH64" s="13">
        <v>5308.67</v>
      </c>
      <c r="CI64" s="13">
        <v>5309.78</v>
      </c>
      <c r="CJ64" s="13">
        <v>5309.67</v>
      </c>
      <c r="CK64" s="13">
        <v>5309.28</v>
      </c>
      <c r="CL64" s="13">
        <v>5308.53</v>
      </c>
      <c r="CM64" s="13">
        <v>5305.88</v>
      </c>
      <c r="CN64" s="13">
        <v>5297.55</v>
      </c>
      <c r="CO64" s="13">
        <v>5298.5</v>
      </c>
      <c r="CP64" s="13">
        <v>5297.95</v>
      </c>
      <c r="CQ64" s="13">
        <v>5297.73</v>
      </c>
      <c r="CR64" s="13">
        <v>5297.73</v>
      </c>
      <c r="CS64" s="13">
        <v>5297.73</v>
      </c>
      <c r="CT64" s="13">
        <v>5297.36</v>
      </c>
      <c r="CU64" s="13">
        <v>5296.91</v>
      </c>
      <c r="CV64" s="13">
        <v>5298.36</v>
      </c>
      <c r="CW64" s="13">
        <v>5299.18</v>
      </c>
      <c r="CX64" s="13">
        <v>5298.36</v>
      </c>
      <c r="CY64" s="13">
        <v>5298.5</v>
      </c>
      <c r="CZ64" s="13">
        <v>5299.18</v>
      </c>
      <c r="DA64" s="13">
        <v>5297.14</v>
      </c>
      <c r="DB64" s="13">
        <v>5297.27</v>
      </c>
      <c r="DC64" s="13">
        <v>5296.86</v>
      </c>
      <c r="DD64" s="13">
        <v>5296.45</v>
      </c>
      <c r="DE64" s="13">
        <v>5295.91</v>
      </c>
      <c r="DF64" s="13">
        <v>5286.58</v>
      </c>
    </row>
    <row r="65" spans="1:110" ht="15.75" x14ac:dyDescent="0.25">
      <c r="A65" s="14" t="s">
        <v>12</v>
      </c>
      <c r="B65" s="12" t="s">
        <v>7</v>
      </c>
      <c r="C65" s="13">
        <v>5261</v>
      </c>
      <c r="D65" s="13">
        <v>5261</v>
      </c>
      <c r="E65" s="13">
        <v>5293.93</v>
      </c>
      <c r="F65" s="13">
        <v>5294.13</v>
      </c>
      <c r="G65" s="13">
        <v>5295.87</v>
      </c>
      <c r="H65" s="13">
        <v>5293.93</v>
      </c>
      <c r="I65" s="13">
        <v>5303.64</v>
      </c>
      <c r="J65" s="13">
        <v>5305.2</v>
      </c>
      <c r="K65" s="13">
        <v>5306.56</v>
      </c>
      <c r="L65" s="13">
        <v>5303.94</v>
      </c>
      <c r="M65" s="13">
        <v>5304.53</v>
      </c>
      <c r="N65" s="13">
        <v>5306.75</v>
      </c>
      <c r="O65" s="13">
        <v>5305.94</v>
      </c>
      <c r="P65" s="13">
        <v>5724.5</v>
      </c>
      <c r="Q65" s="13">
        <v>5724.5</v>
      </c>
      <c r="R65" s="13">
        <v>5724.5</v>
      </c>
      <c r="S65" s="13">
        <v>5724.5</v>
      </c>
      <c r="T65" s="13"/>
      <c r="U65" s="13">
        <v>5291.47</v>
      </c>
      <c r="V65" s="13">
        <v>5287.07</v>
      </c>
      <c r="W65" s="13">
        <v>5282.27</v>
      </c>
      <c r="X65" s="13">
        <v>5285.21</v>
      </c>
      <c r="Y65" s="13">
        <v>5282.64</v>
      </c>
      <c r="Z65" s="13">
        <v>5284.29</v>
      </c>
      <c r="AA65" s="13">
        <v>5292.93</v>
      </c>
      <c r="AB65" s="13">
        <v>5299.5</v>
      </c>
      <c r="AC65" s="13">
        <v>5301.93</v>
      </c>
      <c r="AD65" s="13">
        <v>5303.64</v>
      </c>
      <c r="AE65" s="13">
        <v>5305.7</v>
      </c>
      <c r="AF65" s="13">
        <v>5301.62</v>
      </c>
      <c r="AG65" s="13">
        <v>5300.54</v>
      </c>
      <c r="AH65" s="13">
        <v>5300.15</v>
      </c>
      <c r="AI65" s="13">
        <v>5304.54</v>
      </c>
      <c r="AJ65" s="13">
        <v>5301.44</v>
      </c>
      <c r="AK65" s="13">
        <v>5301.44</v>
      </c>
      <c r="AL65" s="13">
        <v>5302.94</v>
      </c>
      <c r="AM65" s="13">
        <v>5305.17</v>
      </c>
      <c r="AN65" s="13">
        <v>5297.94</v>
      </c>
      <c r="AO65" s="13">
        <v>5295.06</v>
      </c>
      <c r="AP65" s="13">
        <v>5295</v>
      </c>
      <c r="AQ65" s="13">
        <v>5287.6</v>
      </c>
      <c r="AR65" s="13">
        <v>5289.44</v>
      </c>
      <c r="AS65" s="13">
        <v>5283.8</v>
      </c>
      <c r="AT65" s="13">
        <v>5283.71</v>
      </c>
      <c r="AU65" s="13">
        <v>5285.06</v>
      </c>
      <c r="AV65" s="13">
        <v>5286</v>
      </c>
      <c r="AW65" s="13">
        <v>5282.06</v>
      </c>
      <c r="AX65" s="13">
        <v>5280.92</v>
      </c>
      <c r="AY65" s="13">
        <v>5275.8</v>
      </c>
      <c r="AZ65" s="13">
        <v>5278.1</v>
      </c>
      <c r="BA65" s="13">
        <v>5280.7</v>
      </c>
      <c r="BB65" s="13">
        <v>5280.9</v>
      </c>
      <c r="BC65" s="13">
        <v>5280.5</v>
      </c>
      <c r="BD65" s="13">
        <v>5279.7</v>
      </c>
      <c r="BE65" s="13">
        <v>5278.27</v>
      </c>
      <c r="BF65" s="13">
        <v>5279.2</v>
      </c>
      <c r="BG65" s="13">
        <v>5281</v>
      </c>
      <c r="BH65" s="13">
        <v>5281.6</v>
      </c>
      <c r="BI65" s="13">
        <v>5282</v>
      </c>
      <c r="BJ65" s="13">
        <v>5281.25</v>
      </c>
      <c r="BK65" s="13">
        <v>5280.59</v>
      </c>
      <c r="BL65" s="13">
        <v>5279.08</v>
      </c>
      <c r="BM65" s="13">
        <v>5279.71</v>
      </c>
      <c r="BN65" s="13">
        <v>5280.75</v>
      </c>
      <c r="BO65" s="13">
        <v>5282.18</v>
      </c>
      <c r="BP65" s="13">
        <v>5281.06</v>
      </c>
      <c r="BQ65" s="13">
        <v>5280.59</v>
      </c>
      <c r="BR65" s="13">
        <v>5280.76</v>
      </c>
      <c r="BS65" s="13">
        <v>5281.65</v>
      </c>
      <c r="BT65" s="13">
        <v>5283.24</v>
      </c>
      <c r="BU65" s="13">
        <v>5284.24</v>
      </c>
      <c r="BV65" s="13">
        <v>5284.35</v>
      </c>
      <c r="BW65" s="13">
        <v>5280.91</v>
      </c>
      <c r="BX65" s="13">
        <v>5291.5</v>
      </c>
      <c r="BY65" s="13">
        <v>5294.55</v>
      </c>
      <c r="BZ65" s="13">
        <v>5296.74</v>
      </c>
      <c r="CA65" s="13">
        <v>5287.05</v>
      </c>
      <c r="CB65" s="13">
        <v>5289.32</v>
      </c>
      <c r="CC65" s="13">
        <v>5289.28</v>
      </c>
      <c r="CD65" s="13">
        <v>5293.32</v>
      </c>
      <c r="CE65" s="13">
        <v>5296.28</v>
      </c>
      <c r="CF65" s="13">
        <v>5301.28</v>
      </c>
      <c r="CG65" s="13">
        <v>5305.82</v>
      </c>
      <c r="CH65" s="13">
        <v>5305.35</v>
      </c>
      <c r="CI65" s="13">
        <v>5308.53</v>
      </c>
      <c r="CJ65" s="13">
        <v>5307.12</v>
      </c>
      <c r="CK65" s="13">
        <v>5309.06</v>
      </c>
      <c r="CL65" s="13">
        <v>5302.86</v>
      </c>
      <c r="CM65" s="13">
        <v>5305.88</v>
      </c>
      <c r="CN65" s="13">
        <v>5296.32</v>
      </c>
      <c r="CO65" s="13">
        <v>5297.14</v>
      </c>
      <c r="CP65" s="13">
        <v>5297.95</v>
      </c>
      <c r="CQ65" s="13">
        <v>5297.55</v>
      </c>
      <c r="CR65" s="13">
        <v>5297.32</v>
      </c>
      <c r="CS65" s="13">
        <v>5296.09</v>
      </c>
      <c r="CT65" s="13">
        <v>5296.73</v>
      </c>
      <c r="CU65" s="13">
        <v>5296.32</v>
      </c>
      <c r="CV65" s="13">
        <v>5297.55</v>
      </c>
      <c r="CW65" s="13">
        <v>5298.36</v>
      </c>
      <c r="CX65" s="13">
        <v>5298.36</v>
      </c>
      <c r="CY65" s="13">
        <v>5297.55</v>
      </c>
      <c r="CZ65" s="13">
        <v>5298.09</v>
      </c>
      <c r="DA65" s="13">
        <v>5297.14</v>
      </c>
      <c r="DB65" s="13">
        <v>5296.32</v>
      </c>
      <c r="DC65" s="13">
        <v>5296.86</v>
      </c>
      <c r="DD65" s="13">
        <v>5296.45</v>
      </c>
      <c r="DE65" s="13">
        <v>5295.91</v>
      </c>
      <c r="DF65" s="13">
        <v>5286.58</v>
      </c>
    </row>
    <row r="66" spans="1:110" ht="15.75" x14ac:dyDescent="0.25">
      <c r="A66" s="11" t="s">
        <v>5</v>
      </c>
      <c r="B66" s="11" t="s">
        <v>11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</row>
    <row r="67" spans="1:110" ht="15.75" x14ac:dyDescent="0.25">
      <c r="A67" s="14">
        <v>44336</v>
      </c>
      <c r="B67" s="12" t="s">
        <v>6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</row>
    <row r="68" spans="1:110" ht="15.75" x14ac:dyDescent="0.25">
      <c r="A68" s="14" t="s">
        <v>12</v>
      </c>
      <c r="B68" s="12" t="s">
        <v>10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</row>
    <row r="69" spans="1:110" ht="15.75" x14ac:dyDescent="0.25">
      <c r="A69" s="14" t="s">
        <v>12</v>
      </c>
      <c r="B69" s="12" t="s">
        <v>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</row>
    <row r="70" spans="1:110" ht="15.75" x14ac:dyDescent="0.25">
      <c r="A70" s="14" t="s">
        <v>12</v>
      </c>
      <c r="B70" s="12" t="s">
        <v>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</row>
    <row r="71" spans="1:110" ht="15.75" x14ac:dyDescent="0.25">
      <c r="A71" s="11" t="s">
        <v>5</v>
      </c>
      <c r="B71" s="11" t="s">
        <v>11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</row>
    <row r="72" spans="1:110" ht="15.75" x14ac:dyDescent="0.25">
      <c r="A72" s="14">
        <v>44337</v>
      </c>
      <c r="B72" s="12" t="s">
        <v>6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</row>
    <row r="73" spans="1:110" ht="15.75" x14ac:dyDescent="0.25">
      <c r="A73" s="14" t="s">
        <v>12</v>
      </c>
      <c r="B73" s="12" t="s">
        <v>10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</row>
    <row r="74" spans="1:110" ht="15.75" x14ac:dyDescent="0.25">
      <c r="A74" s="14" t="s">
        <v>12</v>
      </c>
      <c r="B74" s="12" t="s">
        <v>9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</row>
    <row r="75" spans="1:110" ht="15.75" x14ac:dyDescent="0.25">
      <c r="A75" s="14" t="s">
        <v>12</v>
      </c>
      <c r="B75" s="12" t="s">
        <v>7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</row>
    <row r="76" spans="1:110" ht="15.75" x14ac:dyDescent="0.25">
      <c r="A76" s="11" t="s">
        <v>5</v>
      </c>
      <c r="B76" s="11" t="s">
        <v>11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</row>
    <row r="77" spans="1:110" ht="15.75" x14ac:dyDescent="0.25">
      <c r="A77" s="14">
        <v>44340</v>
      </c>
      <c r="B77" s="12" t="s">
        <v>6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</row>
    <row r="78" spans="1:110" ht="15.75" x14ac:dyDescent="0.25">
      <c r="A78" s="14" t="s">
        <v>12</v>
      </c>
      <c r="B78" s="12" t="s">
        <v>10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</row>
    <row r="79" spans="1:110" ht="15.75" x14ac:dyDescent="0.25">
      <c r="A79" s="14" t="s">
        <v>12</v>
      </c>
      <c r="B79" s="12" t="s">
        <v>9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</row>
    <row r="80" spans="1:110" ht="15.75" x14ac:dyDescent="0.25">
      <c r="A80" s="14" t="s">
        <v>12</v>
      </c>
      <c r="B80" s="12" t="s">
        <v>7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</row>
    <row r="81" spans="1:110" ht="15.75" x14ac:dyDescent="0.25">
      <c r="A81" s="11" t="s">
        <v>5</v>
      </c>
      <c r="B81" s="11" t="s">
        <v>11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</row>
    <row r="82" spans="1:110" ht="15.75" x14ac:dyDescent="0.25">
      <c r="A82" s="14">
        <v>44341</v>
      </c>
      <c r="B82" s="12" t="s">
        <v>6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</row>
    <row r="83" spans="1:110" ht="15.75" x14ac:dyDescent="0.25">
      <c r="A83" s="14" t="s">
        <v>12</v>
      </c>
      <c r="B83" s="12" t="s">
        <v>10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</row>
    <row r="84" spans="1:110" ht="15.75" x14ac:dyDescent="0.25">
      <c r="A84" s="14" t="s">
        <v>12</v>
      </c>
      <c r="B84" s="12" t="s">
        <v>9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</row>
    <row r="85" spans="1:110" ht="15.75" x14ac:dyDescent="0.25">
      <c r="A85" s="14" t="s">
        <v>12</v>
      </c>
      <c r="B85" s="12" t="s">
        <v>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</row>
    <row r="86" spans="1:110" ht="15.75" x14ac:dyDescent="0.25">
      <c r="A86" s="11" t="s">
        <v>5</v>
      </c>
      <c r="B86" s="11" t="s">
        <v>11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</row>
    <row r="87" spans="1:110" ht="15.75" x14ac:dyDescent="0.25">
      <c r="A87" s="14">
        <v>44342</v>
      </c>
      <c r="B87" s="12" t="s">
        <v>6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</row>
    <row r="88" spans="1:110" ht="15.75" x14ac:dyDescent="0.25">
      <c r="A88" s="14" t="s">
        <v>12</v>
      </c>
      <c r="B88" s="12" t="s">
        <v>10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</row>
    <row r="89" spans="1:110" ht="15.75" x14ac:dyDescent="0.25">
      <c r="A89" s="14" t="s">
        <v>12</v>
      </c>
      <c r="B89" s="12" t="s">
        <v>9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</row>
    <row r="90" spans="1:110" ht="15.75" x14ac:dyDescent="0.25">
      <c r="A90" s="14" t="s">
        <v>12</v>
      </c>
      <c r="B90" s="12" t="s">
        <v>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</row>
    <row r="91" spans="1:110" ht="15.75" x14ac:dyDescent="0.25">
      <c r="A91" s="11" t="s">
        <v>5</v>
      </c>
      <c r="B91" s="11" t="s">
        <v>11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</row>
    <row r="92" spans="1:110" ht="15.75" x14ac:dyDescent="0.25">
      <c r="A92" s="14">
        <v>44343</v>
      </c>
      <c r="B92" s="12" t="s">
        <v>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</row>
    <row r="93" spans="1:110" ht="15.75" x14ac:dyDescent="0.25">
      <c r="A93" s="14" t="s">
        <v>12</v>
      </c>
      <c r="B93" s="12" t="s">
        <v>10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</row>
    <row r="94" spans="1:110" ht="15.75" x14ac:dyDescent="0.25">
      <c r="A94" s="14" t="s">
        <v>12</v>
      </c>
      <c r="B94" s="12" t="s">
        <v>9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</row>
    <row r="95" spans="1:110" ht="15.75" x14ac:dyDescent="0.25">
      <c r="A95" s="14" t="s">
        <v>12</v>
      </c>
      <c r="B95" s="12" t="s">
        <v>7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</row>
    <row r="96" spans="1:110" ht="15.75" x14ac:dyDescent="0.25">
      <c r="A96" s="11" t="s">
        <v>5</v>
      </c>
      <c r="B96" s="11" t="s">
        <v>11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</row>
    <row r="97" spans="1:110" ht="15.75" x14ac:dyDescent="0.25">
      <c r="A97" s="14">
        <v>44344</v>
      </c>
      <c r="B97" s="12" t="s">
        <v>6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</row>
    <row r="98" spans="1:110" ht="15.75" x14ac:dyDescent="0.25">
      <c r="A98" s="14" t="s">
        <v>12</v>
      </c>
      <c r="B98" s="12" t="s">
        <v>10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</row>
    <row r="99" spans="1:110" ht="15.75" x14ac:dyDescent="0.25">
      <c r="A99" s="14" t="s">
        <v>12</v>
      </c>
      <c r="B99" s="12" t="s">
        <v>9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</row>
    <row r="100" spans="1:110" ht="15.75" x14ac:dyDescent="0.25">
      <c r="A100" s="14" t="s">
        <v>12</v>
      </c>
      <c r="B100" s="12" t="s">
        <v>7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</row>
    <row r="101" spans="1:110" ht="15.75" x14ac:dyDescent="0.25">
      <c r="A101" s="11" t="s">
        <v>5</v>
      </c>
      <c r="B101" s="11" t="s">
        <v>11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</row>
    <row r="102" spans="1:110" ht="15.75" x14ac:dyDescent="0.25">
      <c r="A102" s="14">
        <v>44347</v>
      </c>
      <c r="B102" s="18" t="s">
        <v>6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</row>
    <row r="103" spans="1:110" ht="15.75" x14ac:dyDescent="0.25">
      <c r="A103" s="14" t="s">
        <v>12</v>
      </c>
      <c r="B103" s="12" t="s">
        <v>10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</row>
    <row r="104" spans="1:110" ht="15.75" x14ac:dyDescent="0.25">
      <c r="A104" s="14" t="s">
        <v>12</v>
      </c>
      <c r="B104" s="12" t="s">
        <v>9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</row>
    <row r="105" spans="1:110" ht="15.75" x14ac:dyDescent="0.25">
      <c r="A105" s="14" t="s">
        <v>12</v>
      </c>
      <c r="B105" s="12" t="s">
        <v>7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1CA0-E2B6-48D9-9312-48F6BB1005B4}">
  <dimension ref="A1:DG131"/>
  <sheetViews>
    <sheetView topLeftCell="A100" workbookViewId="0">
      <selection activeCell="G116" sqref="G116"/>
    </sheetView>
  </sheetViews>
  <sheetFormatPr defaultRowHeight="15" x14ac:dyDescent="0.25"/>
  <cols>
    <col min="1" max="1" width="9.85546875" bestFit="1" customWidth="1"/>
  </cols>
  <sheetData>
    <row r="1" spans="1:110" ht="15.75" x14ac:dyDescent="0.25">
      <c r="A1" s="11" t="s">
        <v>5</v>
      </c>
      <c r="B1" s="11" t="s">
        <v>11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</row>
    <row r="2" spans="1:110" ht="15.75" x14ac:dyDescent="0.25">
      <c r="A2" s="14">
        <v>44348</v>
      </c>
      <c r="B2" s="12" t="s">
        <v>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</row>
    <row r="3" spans="1:110" ht="15.75" x14ac:dyDescent="0.25">
      <c r="A3" s="14"/>
      <c r="B3" s="12" t="s">
        <v>10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</row>
    <row r="4" spans="1:110" ht="15.75" x14ac:dyDescent="0.25">
      <c r="A4" s="14"/>
      <c r="B4" s="12" t="s">
        <v>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</row>
    <row r="5" spans="1:110" ht="15.75" x14ac:dyDescent="0.25">
      <c r="A5" s="14"/>
      <c r="B5" s="12" t="s">
        <v>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</row>
    <row r="6" spans="1:110" ht="15.75" x14ac:dyDescent="0.25">
      <c r="A6" s="14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</row>
    <row r="7" spans="1:110" ht="15.75" x14ac:dyDescent="0.25">
      <c r="A7" s="11"/>
      <c r="B7" s="11" t="s">
        <v>11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</row>
    <row r="8" spans="1:110" ht="15.75" x14ac:dyDescent="0.25">
      <c r="A8" s="14">
        <v>44349</v>
      </c>
      <c r="B8" s="12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</row>
    <row r="9" spans="1:110" ht="15.75" x14ac:dyDescent="0.25">
      <c r="A9" s="14"/>
      <c r="B9" s="12" t="s">
        <v>10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</row>
    <row r="10" spans="1:110" ht="15.75" x14ac:dyDescent="0.25">
      <c r="A10" s="14"/>
      <c r="B10" s="12" t="s">
        <v>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</row>
    <row r="11" spans="1:110" ht="15.75" x14ac:dyDescent="0.25">
      <c r="A11" s="14"/>
      <c r="B11" s="12" t="s">
        <v>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</row>
    <row r="12" spans="1:110" ht="15.75" x14ac:dyDescent="0.25">
      <c r="A12" s="14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</row>
    <row r="13" spans="1:110" ht="15.75" x14ac:dyDescent="0.25">
      <c r="A13" s="11"/>
      <c r="B13" s="11" t="s">
        <v>11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</row>
    <row r="14" spans="1:110" ht="15.75" x14ac:dyDescent="0.25">
      <c r="A14" s="14">
        <v>44350</v>
      </c>
      <c r="B14" s="12" t="s">
        <v>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</row>
    <row r="15" spans="1:110" ht="15.75" x14ac:dyDescent="0.25">
      <c r="A15" s="14"/>
      <c r="B15" s="12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9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</row>
    <row r="16" spans="1:110" ht="15.75" x14ac:dyDescent="0.25">
      <c r="A16" s="14"/>
      <c r="B16" s="12" t="s">
        <v>9</v>
      </c>
      <c r="C16" s="13"/>
      <c r="D16" s="13"/>
      <c r="E16" s="13"/>
      <c r="F16" s="13"/>
      <c r="G16" s="13"/>
      <c r="H16" s="13"/>
      <c r="I16" s="13"/>
      <c r="J16" s="13"/>
      <c r="K16" s="19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</row>
    <row r="17" spans="1:111" ht="15.75" x14ac:dyDescent="0.25">
      <c r="A17" s="14"/>
      <c r="B17" s="12" t="s">
        <v>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</row>
    <row r="18" spans="1:111" ht="15.75" x14ac:dyDescent="0.25">
      <c r="A18" s="14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</row>
    <row r="19" spans="1:111" ht="15.75" x14ac:dyDescent="0.25">
      <c r="A19" s="11"/>
      <c r="B19" s="11" t="s">
        <v>11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</row>
    <row r="20" spans="1:111" ht="15.75" x14ac:dyDescent="0.25">
      <c r="A20" s="14">
        <v>44351</v>
      </c>
      <c r="B20" s="12" t="s">
        <v>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</row>
    <row r="21" spans="1:111" ht="15.75" x14ac:dyDescent="0.25">
      <c r="A21" s="14"/>
      <c r="B21" s="12" t="s">
        <v>10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</row>
    <row r="22" spans="1:111" ht="15.75" x14ac:dyDescent="0.25">
      <c r="A22" s="14"/>
      <c r="B22" s="12" t="s">
        <v>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</row>
    <row r="23" spans="1:111" ht="15.75" x14ac:dyDescent="0.25">
      <c r="A23" s="14"/>
      <c r="B23" s="12" t="s">
        <v>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</row>
    <row r="24" spans="1:111" ht="15.75" x14ac:dyDescent="0.25">
      <c r="A24" s="14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</row>
    <row r="25" spans="1:111" ht="15.75" x14ac:dyDescent="0.25">
      <c r="A25" s="11"/>
      <c r="B25" s="11" t="s">
        <v>11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>
        <v>0.375</v>
      </c>
    </row>
    <row r="26" spans="1:111" ht="15.75" x14ac:dyDescent="0.25">
      <c r="A26" s="14">
        <v>44354</v>
      </c>
      <c r="B26" s="12" t="s">
        <v>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>
        <v>5350</v>
      </c>
    </row>
    <row r="27" spans="1:111" ht="15.75" x14ac:dyDescent="0.25">
      <c r="A27" s="14"/>
      <c r="B27" s="12" t="s">
        <v>10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>
        <v>5350</v>
      </c>
    </row>
    <row r="28" spans="1:111" ht="15.75" x14ac:dyDescent="0.25">
      <c r="A28" s="14"/>
      <c r="B28" s="12" t="s">
        <v>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>
        <v>5290</v>
      </c>
    </row>
    <row r="29" spans="1:111" ht="15.75" x14ac:dyDescent="0.25">
      <c r="A29" s="14"/>
      <c r="B29" s="12" t="s">
        <v>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>
        <v>5290</v>
      </c>
    </row>
    <row r="30" spans="1:111" ht="15.75" x14ac:dyDescent="0.25">
      <c r="A30" s="14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28"/>
    </row>
    <row r="31" spans="1:111" ht="15.75" x14ac:dyDescent="0.25">
      <c r="A31" s="11"/>
      <c r="B31" s="11" t="s">
        <v>11</v>
      </c>
      <c r="C31" s="15">
        <v>0.37847222222222227</v>
      </c>
      <c r="D31" s="15">
        <v>0.38194444444444442</v>
      </c>
      <c r="E31" s="15">
        <v>0.38541666666666669</v>
      </c>
      <c r="F31" s="15">
        <v>0.3888888888888889</v>
      </c>
      <c r="G31" s="15">
        <v>0.3923611111111111</v>
      </c>
      <c r="H31" s="15">
        <v>0.39583333333333331</v>
      </c>
      <c r="I31" s="15">
        <v>0.39930555555555558</v>
      </c>
      <c r="J31" s="15">
        <v>0.40277777777777773</v>
      </c>
      <c r="K31" s="15">
        <v>0.40625</v>
      </c>
      <c r="L31" s="15">
        <v>0.40972222222222227</v>
      </c>
      <c r="M31" s="15">
        <v>0.41319444444444442</v>
      </c>
      <c r="N31" s="15">
        <v>0.41666666666666669</v>
      </c>
      <c r="O31" s="15">
        <v>0.4201388888888889</v>
      </c>
      <c r="P31" s="15">
        <v>0.4236111111111111</v>
      </c>
      <c r="Q31" s="15">
        <v>0.42708333333333331</v>
      </c>
      <c r="R31" s="15">
        <v>0.43055555555555558</v>
      </c>
      <c r="S31" s="15">
        <v>0.43402777777777773</v>
      </c>
      <c r="T31" s="15">
        <v>0.4375</v>
      </c>
      <c r="U31" s="15">
        <v>0.44097222222222227</v>
      </c>
      <c r="V31" s="15">
        <v>0.44444444444444442</v>
      </c>
      <c r="W31" s="15">
        <v>0.44791666666666669</v>
      </c>
      <c r="X31" s="15">
        <v>0.4513888888888889</v>
      </c>
      <c r="Y31" s="15">
        <v>0.4548611111111111</v>
      </c>
      <c r="Z31" s="15">
        <v>0.45833333333333331</v>
      </c>
      <c r="AA31" s="15">
        <v>0.46180555555555558</v>
      </c>
      <c r="AB31" s="15">
        <v>0.46527777777777773</v>
      </c>
      <c r="AC31" s="15">
        <v>0.46875</v>
      </c>
      <c r="AD31" s="15">
        <v>0.47222222222222227</v>
      </c>
      <c r="AE31" s="15">
        <v>0.47569444444444442</v>
      </c>
      <c r="AF31" s="15">
        <v>0.47916666666666669</v>
      </c>
      <c r="AG31" s="15">
        <v>0.4826388888888889</v>
      </c>
      <c r="AH31" s="15">
        <v>0.4861111111111111</v>
      </c>
      <c r="AI31" s="15">
        <v>0.48958333333333331</v>
      </c>
      <c r="AJ31" s="15">
        <v>0.49305555555555558</v>
      </c>
      <c r="AK31" s="15">
        <v>0.49652777777777773</v>
      </c>
      <c r="AL31" s="15">
        <v>0.5</v>
      </c>
      <c r="AM31" s="15">
        <v>0.50347222222222221</v>
      </c>
      <c r="AN31" s="15">
        <v>0.50694444444444442</v>
      </c>
      <c r="AO31" s="15">
        <v>0.51041666666666663</v>
      </c>
      <c r="AP31" s="15">
        <v>0.51388888888888895</v>
      </c>
      <c r="AQ31" s="15">
        <v>0.51736111111111105</v>
      </c>
      <c r="AR31" s="15">
        <v>0.52083333333333337</v>
      </c>
      <c r="AS31" s="15">
        <v>0.52430555555555558</v>
      </c>
      <c r="AT31" s="15">
        <v>0.52777777777777779</v>
      </c>
      <c r="AU31" s="15">
        <v>0.53125</v>
      </c>
      <c r="AV31" s="15">
        <v>0.53472222222222221</v>
      </c>
      <c r="AW31" s="15">
        <v>0.53819444444444442</v>
      </c>
      <c r="AX31" s="15">
        <v>0.54166666666666663</v>
      </c>
      <c r="AY31" s="15">
        <v>0.54513888888888895</v>
      </c>
      <c r="AZ31" s="15">
        <v>0.54861111111111105</v>
      </c>
      <c r="BA31" s="15">
        <v>0.55208333333333337</v>
      </c>
      <c r="BB31" s="15">
        <v>0.55555555555555558</v>
      </c>
      <c r="BC31" s="15">
        <v>0.55902777777777779</v>
      </c>
      <c r="BD31" s="15">
        <v>0.5625</v>
      </c>
      <c r="BE31" s="15">
        <v>0.56597222222222221</v>
      </c>
      <c r="BF31" s="15">
        <v>0.56944444444444442</v>
      </c>
      <c r="BG31" s="15">
        <v>0.57291666666666663</v>
      </c>
      <c r="BH31" s="15">
        <v>0.57638888888888895</v>
      </c>
      <c r="BI31" s="15">
        <v>0.57986111111111105</v>
      </c>
      <c r="BJ31" s="15">
        <v>0.58333333333333337</v>
      </c>
      <c r="BK31" s="15">
        <v>0.58680555555555558</v>
      </c>
      <c r="BL31" s="15">
        <v>0.59027777777777779</v>
      </c>
      <c r="BM31" s="15">
        <v>0.59375</v>
      </c>
      <c r="BN31" s="15">
        <v>0.59722222222222221</v>
      </c>
      <c r="BO31" s="15">
        <v>0.60069444444444442</v>
      </c>
      <c r="BP31" s="15">
        <v>0.60416666666666663</v>
      </c>
      <c r="BQ31" s="15">
        <v>0.60763888888888895</v>
      </c>
      <c r="BR31" s="15">
        <v>0.61111111111111105</v>
      </c>
      <c r="BS31" s="15">
        <v>0.61458333333333337</v>
      </c>
      <c r="BT31" s="15">
        <v>0.61805555555555558</v>
      </c>
      <c r="BU31" s="15">
        <v>0.62152777777777779</v>
      </c>
      <c r="BV31" s="15">
        <v>0.625</v>
      </c>
      <c r="BW31" s="15">
        <v>0.62847222222222221</v>
      </c>
      <c r="BX31" s="15">
        <v>0.63194444444444442</v>
      </c>
      <c r="BY31" s="15">
        <v>0.63541666666666663</v>
      </c>
      <c r="BZ31" s="15">
        <v>0.63888888888888895</v>
      </c>
      <c r="CA31" s="15">
        <v>0.64236111111111105</v>
      </c>
      <c r="CB31" s="15">
        <v>0.64583333333333337</v>
      </c>
      <c r="CC31" s="15">
        <v>0.64930555555555558</v>
      </c>
      <c r="CD31" s="15">
        <v>0.65277777777777779</v>
      </c>
      <c r="CE31" s="15">
        <v>0.65625</v>
      </c>
      <c r="CF31" s="15">
        <v>0.65972222222222221</v>
      </c>
      <c r="CG31" s="15">
        <v>0.66319444444444442</v>
      </c>
      <c r="CH31" s="15">
        <v>0.66666666666666663</v>
      </c>
      <c r="CI31" s="15">
        <v>0.67013888888888884</v>
      </c>
      <c r="CJ31" s="15">
        <v>0.67361111111111116</v>
      </c>
      <c r="CK31" s="15">
        <v>0.67708333333333337</v>
      </c>
      <c r="CL31" s="15">
        <v>0.68055555555555547</v>
      </c>
      <c r="CM31" s="15">
        <v>0.68402777777777779</v>
      </c>
      <c r="CN31" s="15">
        <v>0.6875</v>
      </c>
      <c r="CO31" s="15">
        <v>0.69097222222222221</v>
      </c>
      <c r="CP31" s="15">
        <v>0.69444444444444453</v>
      </c>
      <c r="CQ31" s="15">
        <v>0.69791666666666663</v>
      </c>
      <c r="CR31" s="15">
        <v>0.70138888888888884</v>
      </c>
      <c r="CS31" s="15">
        <v>0.70486111111111116</v>
      </c>
      <c r="CT31" s="15">
        <v>0.70833333333333337</v>
      </c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2" spans="1:111" ht="15.75" x14ac:dyDescent="0.25">
      <c r="A32" s="14">
        <v>44355</v>
      </c>
      <c r="B32" s="12" t="s">
        <v>6</v>
      </c>
      <c r="C32" s="13">
        <v>5071</v>
      </c>
      <c r="D32" s="13">
        <v>5068.54</v>
      </c>
      <c r="E32" s="13">
        <v>5064.3100000000004</v>
      </c>
      <c r="F32" s="13">
        <v>5066.54</v>
      </c>
      <c r="G32" s="13">
        <v>5069.54</v>
      </c>
      <c r="H32" s="13">
        <v>5070.54</v>
      </c>
      <c r="I32" s="13">
        <v>5069.3100000000004</v>
      </c>
      <c r="J32" s="13">
        <v>5068.54</v>
      </c>
      <c r="K32" s="13">
        <v>5072.54</v>
      </c>
      <c r="L32" s="13">
        <v>5083.54</v>
      </c>
      <c r="M32" s="13">
        <v>5083.54</v>
      </c>
      <c r="N32" s="13">
        <v>5085.54</v>
      </c>
      <c r="O32" s="13">
        <v>5085.54</v>
      </c>
      <c r="P32" s="13">
        <v>5089.54</v>
      </c>
      <c r="Q32" s="13">
        <v>5090.54</v>
      </c>
      <c r="R32" s="13">
        <v>5084.7700000000004</v>
      </c>
      <c r="S32" s="13">
        <v>5087.54</v>
      </c>
      <c r="T32" s="13">
        <v>5089.54</v>
      </c>
      <c r="U32" s="13">
        <v>5089.3100000000004</v>
      </c>
      <c r="V32" s="13">
        <v>5092.54</v>
      </c>
      <c r="W32" s="13">
        <v>5093.3100000000004</v>
      </c>
      <c r="X32" s="13">
        <v>5097.54</v>
      </c>
      <c r="Y32" s="13">
        <v>5098.54</v>
      </c>
      <c r="Z32" s="13">
        <v>5098.54</v>
      </c>
      <c r="AA32" s="13">
        <v>5096.54</v>
      </c>
      <c r="AB32" s="13">
        <v>5092.54</v>
      </c>
      <c r="AC32" s="13">
        <v>5090.54</v>
      </c>
      <c r="AD32" s="13">
        <v>5090.3100000000004</v>
      </c>
      <c r="AE32" s="13">
        <v>5087.3100000000004</v>
      </c>
      <c r="AF32" s="13">
        <v>5083.54</v>
      </c>
      <c r="AG32" s="13">
        <v>5085.54</v>
      </c>
      <c r="AH32" s="13">
        <v>5081.54</v>
      </c>
      <c r="AI32" s="13">
        <v>5080.54</v>
      </c>
      <c r="AJ32" s="13">
        <v>5075.54</v>
      </c>
      <c r="AK32" s="13">
        <v>5073.54</v>
      </c>
      <c r="AL32" s="13">
        <v>5066.54</v>
      </c>
      <c r="AM32" s="13">
        <v>5069.7700000000004</v>
      </c>
      <c r="AN32" s="13">
        <v>5065.54</v>
      </c>
      <c r="AO32" s="13">
        <v>5065.54</v>
      </c>
      <c r="AP32" s="13">
        <v>5065.54</v>
      </c>
      <c r="AQ32" s="13">
        <v>5060.54</v>
      </c>
      <c r="AR32" s="13">
        <v>5056.7700000000004</v>
      </c>
      <c r="AS32" s="13">
        <v>5056.54</v>
      </c>
      <c r="AT32" s="13">
        <v>5058.54</v>
      </c>
      <c r="AU32" s="13">
        <v>5057.54</v>
      </c>
      <c r="AV32" s="13">
        <v>5060.54</v>
      </c>
      <c r="AW32" s="13">
        <v>5067.54</v>
      </c>
      <c r="AX32" s="13">
        <v>5069.54</v>
      </c>
      <c r="AY32" s="13">
        <v>5072.54</v>
      </c>
      <c r="AZ32" s="13">
        <v>5075.54</v>
      </c>
      <c r="BA32" s="13">
        <v>5075.54</v>
      </c>
      <c r="BB32" s="13">
        <v>5073.54</v>
      </c>
      <c r="BC32" s="13">
        <v>5071.54</v>
      </c>
      <c r="BD32" s="13">
        <v>5071.54</v>
      </c>
      <c r="BE32" s="13">
        <v>5067.54</v>
      </c>
      <c r="BF32" s="13">
        <v>5068.54</v>
      </c>
      <c r="BG32" s="13">
        <v>5066.54</v>
      </c>
      <c r="BH32" s="13">
        <v>5063.54</v>
      </c>
      <c r="BI32" s="13">
        <v>5065.3100000000004</v>
      </c>
      <c r="BJ32" s="13">
        <v>5067.54</v>
      </c>
      <c r="BK32" s="13">
        <v>5064.7700000000004</v>
      </c>
      <c r="BL32" s="13">
        <v>5065.54</v>
      </c>
      <c r="BM32" s="13">
        <v>5065.54</v>
      </c>
      <c r="BN32" s="13">
        <v>5066.7700000000004</v>
      </c>
      <c r="BO32" s="13">
        <v>5068.54</v>
      </c>
      <c r="BP32" s="13">
        <v>5069.7700000000004</v>
      </c>
      <c r="BQ32" s="13">
        <v>5069.7700000000004</v>
      </c>
      <c r="BR32" s="13">
        <v>5070.54</v>
      </c>
      <c r="BS32" s="13">
        <v>5069.54</v>
      </c>
      <c r="BT32" s="13">
        <v>5066.54</v>
      </c>
      <c r="BU32" s="13">
        <v>5068.54</v>
      </c>
      <c r="BV32" s="13">
        <v>5071.54</v>
      </c>
      <c r="BW32" s="13">
        <v>5065.54</v>
      </c>
      <c r="BX32" s="13">
        <v>5065.54</v>
      </c>
      <c r="BY32" s="13">
        <v>5068.54</v>
      </c>
      <c r="BZ32" s="13">
        <v>5069.54</v>
      </c>
      <c r="CA32" s="13">
        <v>5071.7700000000004</v>
      </c>
      <c r="CB32" s="13">
        <v>5075.54</v>
      </c>
      <c r="CC32" s="13">
        <v>5076.54</v>
      </c>
      <c r="CD32" s="13">
        <v>5076.54</v>
      </c>
      <c r="CE32" s="13">
        <v>5077.54</v>
      </c>
      <c r="CF32" s="13">
        <v>5074.7700000000004</v>
      </c>
      <c r="CG32" s="13">
        <v>5070.7700000000004</v>
      </c>
      <c r="CH32" s="13">
        <v>5068.54</v>
      </c>
      <c r="CI32" s="13">
        <v>5066.54</v>
      </c>
      <c r="CJ32" s="13">
        <v>5066.54</v>
      </c>
      <c r="CK32" s="13">
        <v>5065.54</v>
      </c>
      <c r="CL32" s="13">
        <v>5067.7700000000004</v>
      </c>
      <c r="CM32" s="13">
        <v>5070.54</v>
      </c>
      <c r="CN32" s="13">
        <v>5069</v>
      </c>
      <c r="CO32" s="13">
        <v>5069.54</v>
      </c>
      <c r="CP32" s="13">
        <v>5071.54</v>
      </c>
      <c r="CQ32" s="13">
        <v>5072.54</v>
      </c>
      <c r="CR32" s="13">
        <v>5070.54</v>
      </c>
      <c r="CS32" s="13">
        <v>5070.7700000000004</v>
      </c>
      <c r="CT32" s="13">
        <v>5070.7700000000004</v>
      </c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</row>
    <row r="33" spans="1:110" ht="15.75" x14ac:dyDescent="0.25">
      <c r="A33" s="14"/>
      <c r="B33" s="12" t="s">
        <v>10</v>
      </c>
      <c r="C33" s="13">
        <v>5068.54</v>
      </c>
      <c r="D33" s="13">
        <v>5061.7700000000004</v>
      </c>
      <c r="E33" s="13">
        <v>5063.54</v>
      </c>
      <c r="F33" s="13">
        <v>5059.3100000000004</v>
      </c>
      <c r="G33" s="13">
        <v>5065.54</v>
      </c>
      <c r="H33" s="13">
        <v>5067.54</v>
      </c>
      <c r="I33" s="13">
        <v>5066.3100000000004</v>
      </c>
      <c r="J33" s="13">
        <v>5067.3100000000004</v>
      </c>
      <c r="K33" s="13">
        <v>5072.54</v>
      </c>
      <c r="L33" s="13">
        <v>5081.3100000000004</v>
      </c>
      <c r="M33" s="13">
        <v>5076.3100000000004</v>
      </c>
      <c r="N33" s="13">
        <v>5085.54</v>
      </c>
      <c r="O33" s="13">
        <v>5083</v>
      </c>
      <c r="P33" s="13">
        <v>5089.54</v>
      </c>
      <c r="Q33" s="13">
        <v>5086.3100000000004</v>
      </c>
      <c r="R33" s="13">
        <v>5084.54</v>
      </c>
      <c r="S33" s="13">
        <v>5084.54</v>
      </c>
      <c r="T33" s="13">
        <v>5089.54</v>
      </c>
      <c r="U33" s="13">
        <v>5089.3100000000004</v>
      </c>
      <c r="V33" s="13">
        <v>5088.92</v>
      </c>
      <c r="W33" s="13">
        <v>5092.54</v>
      </c>
      <c r="X33" s="13">
        <v>5095.3100000000004</v>
      </c>
      <c r="Y33" s="13">
        <v>5096.7700000000004</v>
      </c>
      <c r="Z33" s="13">
        <v>5095.54</v>
      </c>
      <c r="AA33" s="13">
        <v>5092.54</v>
      </c>
      <c r="AB33" s="13">
        <v>5086.54</v>
      </c>
      <c r="AC33" s="13">
        <v>5088.54</v>
      </c>
      <c r="AD33" s="13">
        <v>5087.3100000000004</v>
      </c>
      <c r="AE33" s="13">
        <v>5084.3100000000004</v>
      </c>
      <c r="AF33" s="13">
        <v>5083.54</v>
      </c>
      <c r="AG33" s="13">
        <v>5079.54</v>
      </c>
      <c r="AH33" s="13">
        <v>5080.54</v>
      </c>
      <c r="AI33" s="13">
        <v>5076.54</v>
      </c>
      <c r="AJ33" s="13">
        <v>5074</v>
      </c>
      <c r="AK33" s="13">
        <v>5063.3100000000004</v>
      </c>
      <c r="AL33" s="13">
        <v>5066.54</v>
      </c>
      <c r="AM33" s="13">
        <v>5065.54</v>
      </c>
      <c r="AN33" s="13">
        <v>5063.54</v>
      </c>
      <c r="AO33" s="13">
        <v>5064.54</v>
      </c>
      <c r="AP33" s="13">
        <v>5056.54</v>
      </c>
      <c r="AQ33" s="13">
        <v>5056</v>
      </c>
      <c r="AR33" s="13">
        <v>5052.7700000000004</v>
      </c>
      <c r="AS33" s="13">
        <v>5056.54</v>
      </c>
      <c r="AT33" s="13">
        <v>5054.3100000000004</v>
      </c>
      <c r="AU33" s="13">
        <v>5057.54</v>
      </c>
      <c r="AV33" s="13">
        <v>5060.54</v>
      </c>
      <c r="AW33" s="13">
        <v>5067.54</v>
      </c>
      <c r="AX33" s="13">
        <v>5068.7700000000004</v>
      </c>
      <c r="AY33" s="13">
        <v>5072.54</v>
      </c>
      <c r="AZ33" s="13">
        <v>5075.54</v>
      </c>
      <c r="BA33" s="13">
        <v>5072.54</v>
      </c>
      <c r="BB33" s="13">
        <v>5069.54</v>
      </c>
      <c r="BC33" s="13">
        <v>5070.7700000000004</v>
      </c>
      <c r="BD33" s="13">
        <v>5066.7700000000004</v>
      </c>
      <c r="BE33" s="13">
        <v>5067.54</v>
      </c>
      <c r="BF33" s="13">
        <v>5066.54</v>
      </c>
      <c r="BG33" s="13">
        <v>5066.54</v>
      </c>
      <c r="BH33" s="13">
        <v>5063.54</v>
      </c>
      <c r="BI33" s="13">
        <v>5065.3100000000004</v>
      </c>
      <c r="BJ33" s="13">
        <v>5060.54</v>
      </c>
      <c r="BK33" s="13">
        <v>5064.7700000000004</v>
      </c>
      <c r="BL33" s="13">
        <v>5065.54</v>
      </c>
      <c r="BM33" s="13">
        <v>5065.54</v>
      </c>
      <c r="BN33" s="13">
        <v>5066.7700000000004</v>
      </c>
      <c r="BO33" s="13">
        <v>5068.54</v>
      </c>
      <c r="BP33" s="13">
        <v>5069.7700000000004</v>
      </c>
      <c r="BQ33" s="13">
        <v>5068.54</v>
      </c>
      <c r="BR33" s="13">
        <v>5069.54</v>
      </c>
      <c r="BS33" s="13">
        <v>5063.7700000000004</v>
      </c>
      <c r="BT33" s="13">
        <v>5066.54</v>
      </c>
      <c r="BU33" s="13">
        <v>5068.54</v>
      </c>
      <c r="BV33" s="13">
        <v>5064.54</v>
      </c>
      <c r="BW33" s="13">
        <v>5065.54</v>
      </c>
      <c r="BX33" s="13">
        <v>5064.54</v>
      </c>
      <c r="BY33" s="13">
        <v>5068.54</v>
      </c>
      <c r="BZ33" s="13">
        <v>5069.54</v>
      </c>
      <c r="CA33" s="13">
        <v>5070.54</v>
      </c>
      <c r="CB33" s="13">
        <v>5075.54</v>
      </c>
      <c r="CC33" s="13">
        <v>5075.7700000000004</v>
      </c>
      <c r="CD33" s="13">
        <v>5076.54</v>
      </c>
      <c r="CE33" s="13">
        <v>5074.7700000000004</v>
      </c>
      <c r="CF33" s="13">
        <v>5070.7700000000004</v>
      </c>
      <c r="CG33" s="13">
        <v>5068.54</v>
      </c>
      <c r="CH33" s="13">
        <v>5065.54</v>
      </c>
      <c r="CI33" s="13">
        <v>5066.54</v>
      </c>
      <c r="CJ33" s="13">
        <v>5064.7700000000004</v>
      </c>
      <c r="CK33" s="13">
        <v>5065.54</v>
      </c>
      <c r="CL33" s="13">
        <v>5067.7700000000004</v>
      </c>
      <c r="CM33" s="13">
        <v>5069</v>
      </c>
      <c r="CN33" s="13">
        <v>5067.7700000000004</v>
      </c>
      <c r="CO33" s="13">
        <v>5068.7700000000004</v>
      </c>
      <c r="CP33" s="13">
        <v>5071.54</v>
      </c>
      <c r="CQ33" s="13">
        <v>5070.54</v>
      </c>
      <c r="CR33" s="13">
        <v>5069.54</v>
      </c>
      <c r="CS33" s="13">
        <v>5070.7700000000004</v>
      </c>
      <c r="CT33" s="13">
        <v>5064.54</v>
      </c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</row>
    <row r="34" spans="1:110" ht="15.75" x14ac:dyDescent="0.25">
      <c r="A34" s="14"/>
      <c r="B34" s="12" t="s">
        <v>9</v>
      </c>
      <c r="C34" s="13">
        <v>5058.8500000000004</v>
      </c>
      <c r="D34" s="13">
        <v>5053.2299999999996</v>
      </c>
      <c r="E34" s="13">
        <v>5054.8500000000004</v>
      </c>
      <c r="F34" s="13">
        <v>5050.2299999999996</v>
      </c>
      <c r="G34" s="13">
        <v>5057.2299999999996</v>
      </c>
      <c r="H34" s="13">
        <v>5058.2299999999996</v>
      </c>
      <c r="I34" s="13">
        <v>5058.2299999999996</v>
      </c>
      <c r="J34" s="13">
        <v>5058.2299999999996</v>
      </c>
      <c r="K34" s="13">
        <v>5064</v>
      </c>
      <c r="L34" s="13">
        <v>5073</v>
      </c>
      <c r="M34" s="13">
        <v>5067.2299999999996</v>
      </c>
      <c r="N34" s="13">
        <v>5077.2299999999996</v>
      </c>
      <c r="O34" s="13">
        <v>5075.2299999999996</v>
      </c>
      <c r="P34" s="13">
        <v>5080</v>
      </c>
      <c r="Q34" s="13">
        <v>5078</v>
      </c>
      <c r="R34" s="13">
        <v>5076.7700000000004</v>
      </c>
      <c r="S34" s="13">
        <v>5076</v>
      </c>
      <c r="T34" s="13">
        <v>5080.2299999999996</v>
      </c>
      <c r="U34" s="13">
        <v>5080</v>
      </c>
      <c r="V34" s="13">
        <v>5079</v>
      </c>
      <c r="W34" s="13">
        <v>5083.2299999999996</v>
      </c>
      <c r="X34" s="13">
        <v>5086.2299999999996</v>
      </c>
      <c r="Y34" s="13">
        <v>5088.2299999999996</v>
      </c>
      <c r="Z34" s="13">
        <v>5087.2299999999996</v>
      </c>
      <c r="AA34" s="13">
        <v>5083.2299999999996</v>
      </c>
      <c r="AB34" s="13">
        <v>5077.46</v>
      </c>
      <c r="AC34" s="13">
        <v>5079.2299999999996</v>
      </c>
      <c r="AD34" s="13">
        <v>5078.2299999999996</v>
      </c>
      <c r="AE34" s="13">
        <v>5075</v>
      </c>
      <c r="AF34" s="13">
        <v>5074.2299999999996</v>
      </c>
      <c r="AG34" s="13">
        <v>5070.2299999999996</v>
      </c>
      <c r="AH34" s="13">
        <v>5071.2299999999996</v>
      </c>
      <c r="AI34" s="13">
        <v>5067.2299999999996</v>
      </c>
      <c r="AJ34" s="13">
        <v>5065.46</v>
      </c>
      <c r="AK34" s="13">
        <v>5054.2299999999996</v>
      </c>
      <c r="AL34" s="13">
        <v>5058.2299999999996</v>
      </c>
      <c r="AM34" s="13">
        <v>5057</v>
      </c>
      <c r="AN34" s="13">
        <v>5055.7700000000004</v>
      </c>
      <c r="AO34" s="13">
        <v>5056.7700000000004</v>
      </c>
      <c r="AP34" s="13">
        <v>5049.2299999999996</v>
      </c>
      <c r="AQ34" s="13">
        <v>5048.2299999999996</v>
      </c>
      <c r="AR34" s="13">
        <v>5044.2299999999996</v>
      </c>
      <c r="AS34" s="13">
        <v>5048.2299999999996</v>
      </c>
      <c r="AT34" s="13">
        <v>5046.2299999999996</v>
      </c>
      <c r="AU34" s="13">
        <v>5049.46</v>
      </c>
      <c r="AV34" s="13">
        <v>5053</v>
      </c>
      <c r="AW34" s="13">
        <v>5059.46</v>
      </c>
      <c r="AX34" s="13">
        <v>5061.7700000000004</v>
      </c>
      <c r="AY34" s="13">
        <v>5065</v>
      </c>
      <c r="AZ34" s="13">
        <v>5066.2299999999996</v>
      </c>
      <c r="BA34" s="13">
        <v>5063.2299999999996</v>
      </c>
      <c r="BB34" s="13">
        <v>5061.2299999999996</v>
      </c>
      <c r="BC34" s="13">
        <v>5062.2299999999996</v>
      </c>
      <c r="BD34" s="13">
        <v>5058.2299999999996</v>
      </c>
      <c r="BE34" s="13">
        <v>5058.46</v>
      </c>
      <c r="BF34" s="13">
        <v>5058.2299999999996</v>
      </c>
      <c r="BG34" s="13">
        <v>5058.2299999999996</v>
      </c>
      <c r="BH34" s="13">
        <v>5055.2299999999996</v>
      </c>
      <c r="BI34" s="13">
        <v>5057</v>
      </c>
      <c r="BJ34" s="13">
        <v>5053.2299999999996</v>
      </c>
      <c r="BK34" s="13">
        <v>5056.2299999999996</v>
      </c>
      <c r="BL34" s="13">
        <v>5057</v>
      </c>
      <c r="BM34" s="13">
        <v>5057</v>
      </c>
      <c r="BN34" s="13">
        <v>5059.2299999999996</v>
      </c>
      <c r="BO34" s="13">
        <v>5060</v>
      </c>
      <c r="BP34" s="13">
        <v>5061.46</v>
      </c>
      <c r="BQ34" s="13">
        <v>5060.2299999999996</v>
      </c>
      <c r="BR34" s="13">
        <v>5061</v>
      </c>
      <c r="BS34" s="13">
        <v>5055.2299999999996</v>
      </c>
      <c r="BT34" s="13">
        <v>5059.2299999999996</v>
      </c>
      <c r="BU34" s="13">
        <v>5061</v>
      </c>
      <c r="BV34" s="13">
        <v>5056.46</v>
      </c>
      <c r="BW34" s="13">
        <v>5057.46</v>
      </c>
      <c r="BX34" s="13">
        <v>5057.2299999999996</v>
      </c>
      <c r="BY34" s="13">
        <v>5060.2299999999996</v>
      </c>
      <c r="BZ34" s="13">
        <v>5061.46</v>
      </c>
      <c r="CA34" s="13">
        <v>5062.2299999999996</v>
      </c>
      <c r="CB34" s="13">
        <v>5067</v>
      </c>
      <c r="CC34" s="13">
        <v>5067.46</v>
      </c>
      <c r="CD34" s="13">
        <v>5068.2299999999996</v>
      </c>
      <c r="CE34" s="13">
        <v>5067.2299999999996</v>
      </c>
      <c r="CF34" s="13">
        <v>5062.53</v>
      </c>
      <c r="CG34" s="13">
        <v>5060.5</v>
      </c>
      <c r="CH34" s="13">
        <v>5058.2299999999996</v>
      </c>
      <c r="CI34" s="13">
        <v>5058.6400000000003</v>
      </c>
      <c r="CJ34" s="13">
        <v>5056.46</v>
      </c>
      <c r="CK34" s="13">
        <v>5057.2299999999996</v>
      </c>
      <c r="CL34" s="13">
        <v>5059.29</v>
      </c>
      <c r="CM34" s="13">
        <v>5061.2299999999996</v>
      </c>
      <c r="CN34" s="13">
        <v>5059.2299999999996</v>
      </c>
      <c r="CO34" s="13">
        <v>5060.46</v>
      </c>
      <c r="CP34" s="13">
        <v>5062.6400000000003</v>
      </c>
      <c r="CQ34" s="13">
        <v>5061.71</v>
      </c>
      <c r="CR34" s="13">
        <v>5060.46</v>
      </c>
      <c r="CS34" s="13">
        <v>5061.46</v>
      </c>
      <c r="CT34" s="13">
        <v>5056.2299999999996</v>
      </c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</row>
    <row r="35" spans="1:110" ht="15.75" x14ac:dyDescent="0.25">
      <c r="A35" s="14"/>
      <c r="B35" s="12" t="s">
        <v>7</v>
      </c>
      <c r="C35" s="13">
        <v>5057.2299999999996</v>
      </c>
      <c r="D35" s="13">
        <v>5053.2299999999996</v>
      </c>
      <c r="E35" s="13">
        <v>5052.2299999999996</v>
      </c>
      <c r="F35" s="13">
        <v>5050.2299999999996</v>
      </c>
      <c r="G35" s="13">
        <v>5049.8500000000004</v>
      </c>
      <c r="H35" s="13">
        <v>5055.2299999999996</v>
      </c>
      <c r="I35" s="13">
        <v>5054.62</v>
      </c>
      <c r="J35" s="13">
        <v>5054.62</v>
      </c>
      <c r="K35" s="13">
        <v>5058.2299999999996</v>
      </c>
      <c r="L35" s="13">
        <v>5064.2299999999996</v>
      </c>
      <c r="M35" s="13">
        <v>5067.2299999999996</v>
      </c>
      <c r="N35" s="13">
        <v>5065.2299999999996</v>
      </c>
      <c r="O35" s="13">
        <v>5075.2299999999996</v>
      </c>
      <c r="P35" s="13">
        <v>5072.2299999999996</v>
      </c>
      <c r="Q35" s="13">
        <v>5078</v>
      </c>
      <c r="R35" s="13">
        <v>5075</v>
      </c>
      <c r="S35" s="13">
        <v>5074.2299999999996</v>
      </c>
      <c r="T35" s="13">
        <v>5076</v>
      </c>
      <c r="U35" s="13">
        <v>5077</v>
      </c>
      <c r="V35" s="13">
        <v>5079</v>
      </c>
      <c r="W35" s="13">
        <v>5082.2299999999996</v>
      </c>
      <c r="X35" s="13">
        <v>5082.2299999999996</v>
      </c>
      <c r="Y35" s="13">
        <v>5084.2299999999996</v>
      </c>
      <c r="Z35" s="13">
        <v>5087.2299999999996</v>
      </c>
      <c r="AA35" s="13">
        <v>5082.2299999999996</v>
      </c>
      <c r="AB35" s="13">
        <v>5077.46</v>
      </c>
      <c r="AC35" s="13">
        <v>5076.2299999999996</v>
      </c>
      <c r="AD35" s="13">
        <v>5078.2299999999996</v>
      </c>
      <c r="AE35" s="13">
        <v>5073.46</v>
      </c>
      <c r="AF35" s="13">
        <v>5073.46</v>
      </c>
      <c r="AG35" s="13">
        <v>5069.2299999999996</v>
      </c>
      <c r="AH35" s="13">
        <v>5070.2299999999996</v>
      </c>
      <c r="AI35" s="13">
        <v>5067.2299999999996</v>
      </c>
      <c r="AJ35" s="13">
        <v>5064.2299999999996</v>
      </c>
      <c r="AK35" s="13">
        <v>5054.2299999999996</v>
      </c>
      <c r="AL35" s="13">
        <v>5049.2299999999996</v>
      </c>
      <c r="AM35" s="13">
        <v>5055.2299999999996</v>
      </c>
      <c r="AN35" s="13">
        <v>5054.2299999999996</v>
      </c>
      <c r="AO35" s="13">
        <v>5055</v>
      </c>
      <c r="AP35" s="13">
        <v>5047.2299999999996</v>
      </c>
      <c r="AQ35" s="13">
        <v>5048</v>
      </c>
      <c r="AR35" s="13">
        <v>5044.2299999999996</v>
      </c>
      <c r="AS35" s="13">
        <v>5044</v>
      </c>
      <c r="AT35" s="13">
        <v>5046.2299999999996</v>
      </c>
      <c r="AU35" s="13">
        <v>5046.2299999999996</v>
      </c>
      <c r="AV35" s="13">
        <v>5049.2299999999996</v>
      </c>
      <c r="AW35" s="13">
        <v>5053</v>
      </c>
      <c r="AX35" s="13">
        <v>5059.46</v>
      </c>
      <c r="AY35" s="13">
        <v>5061</v>
      </c>
      <c r="AZ35" s="13">
        <v>5064.2299999999996</v>
      </c>
      <c r="BA35" s="13">
        <v>5063.2299999999996</v>
      </c>
      <c r="BB35" s="13">
        <v>5061.2299999999996</v>
      </c>
      <c r="BC35" s="13">
        <v>5060.46</v>
      </c>
      <c r="BD35" s="13">
        <v>5058.2299999999996</v>
      </c>
      <c r="BE35" s="13">
        <v>5056.2299999999996</v>
      </c>
      <c r="BF35" s="13">
        <v>5058.2299999999996</v>
      </c>
      <c r="BG35" s="13">
        <v>5056.2299999999996</v>
      </c>
      <c r="BH35" s="13">
        <v>5053.2299999999996</v>
      </c>
      <c r="BI35" s="13">
        <v>5053.2299999999996</v>
      </c>
      <c r="BJ35" s="13">
        <v>5053.2299999999996</v>
      </c>
      <c r="BK35" s="13">
        <v>5052.2299999999996</v>
      </c>
      <c r="BL35" s="13">
        <v>5056.2299999999996</v>
      </c>
      <c r="BM35" s="13">
        <v>5056.2299999999996</v>
      </c>
      <c r="BN35" s="13">
        <v>5057</v>
      </c>
      <c r="BO35" s="13">
        <v>5057.2299999999996</v>
      </c>
      <c r="BP35" s="13">
        <v>5061.46</v>
      </c>
      <c r="BQ35" s="13">
        <v>5059.46</v>
      </c>
      <c r="BR35" s="13">
        <v>5060.2299999999996</v>
      </c>
      <c r="BS35" s="13">
        <v>5055.2299999999996</v>
      </c>
      <c r="BT35" s="13">
        <v>5055.2299999999996</v>
      </c>
      <c r="BU35" s="13">
        <v>5057.46</v>
      </c>
      <c r="BV35" s="13">
        <v>5056.46</v>
      </c>
      <c r="BW35" s="13">
        <v>5054.2299999999996</v>
      </c>
      <c r="BX35" s="13">
        <v>5055.2299999999996</v>
      </c>
      <c r="BY35" s="13">
        <v>5055.2299999999996</v>
      </c>
      <c r="BZ35" s="13">
        <v>5059.2299999999996</v>
      </c>
      <c r="CA35" s="13">
        <v>5061.46</v>
      </c>
      <c r="CB35" s="13">
        <v>5062.2299999999996</v>
      </c>
      <c r="CC35" s="13">
        <v>5066.2299999999996</v>
      </c>
      <c r="CD35" s="13">
        <v>5064.46</v>
      </c>
      <c r="CE35" s="13">
        <v>5067.2299999999996</v>
      </c>
      <c r="CF35" s="13">
        <v>5061.2299999999996</v>
      </c>
      <c r="CG35" s="13">
        <v>5060.5</v>
      </c>
      <c r="CH35" s="13">
        <v>5058.2299999999996</v>
      </c>
      <c r="CI35" s="13">
        <v>5057.5</v>
      </c>
      <c r="CJ35" s="13">
        <v>5056.46</v>
      </c>
      <c r="CK35" s="13">
        <v>5056.46</v>
      </c>
      <c r="CL35" s="13">
        <v>5057.43</v>
      </c>
      <c r="CM35" s="13">
        <v>5058.3599999999997</v>
      </c>
      <c r="CN35" s="13">
        <v>5059.2299999999996</v>
      </c>
      <c r="CO35" s="13">
        <v>5060.46</v>
      </c>
      <c r="CP35" s="13">
        <v>5060.46</v>
      </c>
      <c r="CQ35" s="13">
        <v>5061.71</v>
      </c>
      <c r="CR35" s="13">
        <v>5060.46</v>
      </c>
      <c r="CS35" s="13">
        <v>5060.46</v>
      </c>
      <c r="CT35" s="13">
        <v>5056.2299999999996</v>
      </c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</row>
    <row r="36" spans="1:110" ht="15.75" x14ac:dyDescent="0.25">
      <c r="A36" s="14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</row>
    <row r="37" spans="1:110" ht="15.75" x14ac:dyDescent="0.25">
      <c r="A37" s="11"/>
      <c r="B37" s="11" t="s">
        <v>11</v>
      </c>
      <c r="C37" s="15">
        <v>0.37847222222222227</v>
      </c>
      <c r="D37" s="15">
        <v>0.38194444444444442</v>
      </c>
      <c r="E37" s="15">
        <v>0.38541666666666669</v>
      </c>
      <c r="F37" s="15">
        <v>0.3888888888888889</v>
      </c>
      <c r="G37" s="15">
        <v>0.3923611111111111</v>
      </c>
      <c r="H37" s="15">
        <v>0.39583333333333331</v>
      </c>
      <c r="I37" s="15">
        <v>0.39930555555555558</v>
      </c>
      <c r="J37" s="15">
        <v>0.40277777777777773</v>
      </c>
      <c r="K37" s="15">
        <v>0.40625</v>
      </c>
      <c r="L37" s="15">
        <v>0.40972222222222227</v>
      </c>
      <c r="M37" s="15">
        <v>0.41319444444444442</v>
      </c>
      <c r="N37" s="15">
        <v>0.41666666666666669</v>
      </c>
      <c r="O37" s="15">
        <v>0.4201388888888889</v>
      </c>
      <c r="P37" s="15">
        <v>0.4236111111111111</v>
      </c>
      <c r="Q37" s="15">
        <v>0.42708333333333331</v>
      </c>
      <c r="R37" s="15">
        <v>0.43055555555555558</v>
      </c>
      <c r="S37" s="15">
        <v>0.43402777777777773</v>
      </c>
      <c r="T37" s="15">
        <v>0.4375</v>
      </c>
      <c r="U37" s="15">
        <v>0.44097222222222227</v>
      </c>
      <c r="V37" s="15">
        <v>0.44444444444444442</v>
      </c>
      <c r="W37" s="15">
        <v>0.44791666666666669</v>
      </c>
      <c r="X37" s="15">
        <v>0.4513888888888889</v>
      </c>
      <c r="Y37" s="15">
        <v>0.4548611111111111</v>
      </c>
      <c r="Z37" s="15">
        <v>0.45833333333333331</v>
      </c>
      <c r="AA37" s="15">
        <v>0.46180555555555558</v>
      </c>
      <c r="AB37" s="15">
        <v>0.46527777777777773</v>
      </c>
      <c r="AC37" s="15">
        <v>0.46875</v>
      </c>
      <c r="AD37" s="15">
        <v>0.47222222222222227</v>
      </c>
      <c r="AE37" s="15">
        <v>0.47569444444444442</v>
      </c>
      <c r="AF37" s="15">
        <v>0.47916666666666669</v>
      </c>
      <c r="AG37" s="15">
        <v>0.4826388888888889</v>
      </c>
      <c r="AH37" s="15">
        <v>0.4861111111111111</v>
      </c>
      <c r="AI37" s="15">
        <v>0.48958333333333331</v>
      </c>
      <c r="AJ37" s="15">
        <v>0.49305555555555558</v>
      </c>
      <c r="AK37" s="15">
        <v>0.49652777777777773</v>
      </c>
      <c r="AL37" s="15">
        <v>0.5</v>
      </c>
      <c r="AM37" s="15">
        <v>0.50347222222222221</v>
      </c>
      <c r="AN37" s="15">
        <v>0.50694444444444442</v>
      </c>
      <c r="AO37" s="15">
        <v>0.51041666666666663</v>
      </c>
      <c r="AP37" s="15">
        <v>0.51388888888888895</v>
      </c>
      <c r="AQ37" s="15">
        <v>0.51736111111111105</v>
      </c>
      <c r="AR37" s="15">
        <v>0.52083333333333337</v>
      </c>
      <c r="AS37" s="15">
        <v>0.52430555555555558</v>
      </c>
      <c r="AT37" s="15">
        <v>0.52777777777777779</v>
      </c>
      <c r="AU37" s="15">
        <v>0.53125</v>
      </c>
      <c r="AV37" s="15">
        <v>0.53472222222222221</v>
      </c>
      <c r="AW37" s="15">
        <v>0.53819444444444442</v>
      </c>
      <c r="AX37" s="15">
        <v>0.54166666666666663</v>
      </c>
      <c r="AY37" s="15">
        <v>0.54513888888888895</v>
      </c>
      <c r="AZ37" s="15">
        <v>0.54861111111111105</v>
      </c>
      <c r="BA37" s="15">
        <v>0.55208333333333337</v>
      </c>
      <c r="BB37" s="15">
        <v>0.55555555555555558</v>
      </c>
      <c r="BC37" s="15">
        <v>0.55902777777777779</v>
      </c>
      <c r="BD37" s="15">
        <v>0.5625</v>
      </c>
      <c r="BE37" s="15">
        <v>0.56597222222222221</v>
      </c>
      <c r="BF37" s="15">
        <v>0.56944444444444442</v>
      </c>
      <c r="BG37" s="15">
        <v>0.57291666666666663</v>
      </c>
      <c r="BH37" s="15">
        <v>0.57638888888888895</v>
      </c>
      <c r="BI37" s="15">
        <v>0.57986111111111105</v>
      </c>
      <c r="BJ37" s="15">
        <v>0.58333333333333337</v>
      </c>
      <c r="BK37" s="15">
        <v>0.58680555555555558</v>
      </c>
      <c r="BL37" s="15">
        <v>0.59027777777777779</v>
      </c>
      <c r="BM37" s="15">
        <v>0.59375</v>
      </c>
      <c r="BN37" s="15">
        <v>0.59722222222222221</v>
      </c>
      <c r="BO37" s="15">
        <v>0.60069444444444442</v>
      </c>
      <c r="BP37" s="15">
        <v>0.60416666666666663</v>
      </c>
      <c r="BQ37" s="15">
        <v>0.60763888888888895</v>
      </c>
      <c r="BR37" s="15">
        <v>0.61111111111111105</v>
      </c>
      <c r="BS37" s="15">
        <v>0.61458333333333337</v>
      </c>
      <c r="BT37" s="15">
        <v>0.61805555555555558</v>
      </c>
      <c r="BU37" s="15">
        <v>0.62152777777777779</v>
      </c>
      <c r="BV37" s="15">
        <v>0.625</v>
      </c>
      <c r="BW37" s="15">
        <v>0.62847222222222221</v>
      </c>
      <c r="BX37" s="15">
        <v>0.63194444444444442</v>
      </c>
      <c r="BY37" s="15">
        <v>0.63541666666666663</v>
      </c>
      <c r="BZ37" s="15">
        <v>0.63888888888888895</v>
      </c>
      <c r="CA37" s="15">
        <v>0.64236111111111105</v>
      </c>
      <c r="CB37" s="15">
        <v>0.64583333333333337</v>
      </c>
      <c r="CC37" s="15">
        <v>0.64930555555555558</v>
      </c>
      <c r="CD37" s="15">
        <v>0.65277777777777779</v>
      </c>
      <c r="CE37" s="15">
        <v>0.65625</v>
      </c>
      <c r="CF37" s="15">
        <v>0.65972222222222221</v>
      </c>
      <c r="CG37" s="15">
        <v>0.66319444444444442</v>
      </c>
      <c r="CH37" s="15">
        <v>0.66666666666666663</v>
      </c>
      <c r="CI37" s="15">
        <v>0.67013888888888884</v>
      </c>
      <c r="CJ37" s="15">
        <v>0.67361111111111116</v>
      </c>
      <c r="CK37" s="15">
        <v>0.67708333333333337</v>
      </c>
      <c r="CL37" s="15">
        <v>0.68055555555555547</v>
      </c>
      <c r="CM37" s="15">
        <v>0.68402777777777779</v>
      </c>
      <c r="CN37" s="15">
        <v>0.6875</v>
      </c>
      <c r="CO37" s="15">
        <v>0.69097222222222221</v>
      </c>
      <c r="CP37" s="15">
        <v>0.69444444444444453</v>
      </c>
      <c r="CQ37" s="15">
        <v>0.69791666666666663</v>
      </c>
      <c r="CR37" s="15">
        <v>0.70138888888888884</v>
      </c>
      <c r="CS37" s="15">
        <v>0.70486111111111116</v>
      </c>
      <c r="CT37" s="15">
        <v>0.70833333333333337</v>
      </c>
      <c r="CU37" s="15">
        <v>0.71180555555555547</v>
      </c>
      <c r="CV37" s="15">
        <v>0.71527777777777779</v>
      </c>
      <c r="CW37" s="15">
        <v>0.71875</v>
      </c>
      <c r="CX37" s="15">
        <v>0.72222222222222221</v>
      </c>
      <c r="CY37" s="15">
        <v>0.72569444444444453</v>
      </c>
      <c r="CZ37" s="15">
        <v>0.72916666666666663</v>
      </c>
      <c r="DA37" s="15">
        <v>0.73263888888888884</v>
      </c>
      <c r="DB37" s="15">
        <v>0.73611111111111116</v>
      </c>
      <c r="DC37" s="15">
        <v>0.73958333333333337</v>
      </c>
      <c r="DD37" s="15">
        <v>0.74305555555555547</v>
      </c>
      <c r="DE37" s="15">
        <v>0.74652777777777779</v>
      </c>
      <c r="DF37" s="15">
        <v>0.75</v>
      </c>
    </row>
    <row r="38" spans="1:110" ht="15.75" x14ac:dyDescent="0.25">
      <c r="A38" s="14">
        <v>44356</v>
      </c>
      <c r="B38" s="12" t="s">
        <v>6</v>
      </c>
      <c r="C38" s="13">
        <v>5057</v>
      </c>
      <c r="D38" s="13">
        <v>5064.1499999999996</v>
      </c>
      <c r="E38" s="13">
        <v>5067.7700000000004</v>
      </c>
      <c r="F38" s="13">
        <v>5062.1499999999996</v>
      </c>
      <c r="G38" s="13">
        <v>5059.1499999999996</v>
      </c>
      <c r="H38" s="13">
        <v>5054.54</v>
      </c>
      <c r="I38" s="13">
        <v>5060.54</v>
      </c>
      <c r="J38" s="13">
        <v>5056.79</v>
      </c>
      <c r="K38" s="13">
        <v>5056.79</v>
      </c>
      <c r="L38" s="13">
        <v>5057.93</v>
      </c>
      <c r="M38" s="13">
        <v>5056.79</v>
      </c>
      <c r="N38" s="13">
        <v>5061.6400000000003</v>
      </c>
      <c r="O38" s="13">
        <v>5068.3900000000003</v>
      </c>
      <c r="P38" s="13">
        <v>5074.33</v>
      </c>
      <c r="Q38" s="13">
        <v>5076.33</v>
      </c>
      <c r="R38" s="13">
        <v>5073.6099999999997</v>
      </c>
      <c r="S38" s="13">
        <v>5090.21</v>
      </c>
      <c r="T38" s="13">
        <v>5083.71</v>
      </c>
      <c r="U38" s="13">
        <v>5122.8</v>
      </c>
      <c r="V38" s="13">
        <v>5091.8599999999997</v>
      </c>
      <c r="W38" s="13">
        <v>5126.2700000000004</v>
      </c>
      <c r="X38" s="13">
        <v>5096.71</v>
      </c>
      <c r="Y38" s="13">
        <v>5098.95</v>
      </c>
      <c r="Z38" s="13">
        <v>5100.25</v>
      </c>
      <c r="AA38" s="13">
        <v>5100.25</v>
      </c>
      <c r="AB38" s="13">
        <v>5084.6499999999996</v>
      </c>
      <c r="AC38" s="13">
        <v>5107.25</v>
      </c>
      <c r="AD38" s="13">
        <v>5106.1000000000004</v>
      </c>
      <c r="AE38" s="13">
        <v>5105.95</v>
      </c>
      <c r="AF38" s="13">
        <v>5112.93</v>
      </c>
      <c r="AG38" s="13">
        <v>5108.7</v>
      </c>
      <c r="AH38" s="13">
        <v>5095.8</v>
      </c>
      <c r="AI38" s="13">
        <v>5095</v>
      </c>
      <c r="AJ38" s="13">
        <v>5094</v>
      </c>
      <c r="AK38" s="13">
        <v>5094.5</v>
      </c>
      <c r="AL38" s="13">
        <v>5095.1499999999996</v>
      </c>
      <c r="AM38" s="13">
        <v>5110.6499999999996</v>
      </c>
      <c r="AN38" s="13">
        <v>5110</v>
      </c>
      <c r="AO38" s="13">
        <v>5112.6000000000004</v>
      </c>
      <c r="AP38" s="13">
        <v>5120</v>
      </c>
      <c r="AQ38" s="13">
        <v>5115.2</v>
      </c>
      <c r="AR38" s="13">
        <v>5115.8500000000004</v>
      </c>
      <c r="AS38" s="13">
        <v>5114.55</v>
      </c>
      <c r="AT38" s="13">
        <v>5113.8999999999996</v>
      </c>
      <c r="AU38" s="13">
        <v>5110.6499999999996</v>
      </c>
      <c r="AV38" s="13">
        <v>5111.8</v>
      </c>
      <c r="AW38" s="13">
        <v>5110.6499999999996</v>
      </c>
      <c r="AX38" s="13">
        <v>5114.3999999999996</v>
      </c>
      <c r="AY38" s="13">
        <v>5116.3500000000004</v>
      </c>
      <c r="AZ38" s="13">
        <v>5118.95</v>
      </c>
      <c r="BA38" s="13">
        <v>5117</v>
      </c>
      <c r="BB38" s="13">
        <v>5118.3</v>
      </c>
      <c r="BC38" s="13">
        <v>5117.8</v>
      </c>
      <c r="BD38" s="13">
        <v>5115.05</v>
      </c>
      <c r="BE38" s="13">
        <v>5120.3999999999996</v>
      </c>
      <c r="BF38" s="13">
        <v>5122.3500000000004</v>
      </c>
      <c r="BG38" s="13">
        <v>5126.25</v>
      </c>
      <c r="BH38" s="13">
        <v>5128.18</v>
      </c>
      <c r="BI38" s="13">
        <v>5125.6000000000004</v>
      </c>
      <c r="BJ38" s="13">
        <v>5123.6499999999996</v>
      </c>
      <c r="BK38" s="13">
        <v>5124.95</v>
      </c>
      <c r="BL38" s="13">
        <v>5128.25</v>
      </c>
      <c r="BM38" s="13">
        <v>5127.6000000000004</v>
      </c>
      <c r="BN38" s="13">
        <v>5126.3</v>
      </c>
      <c r="BO38" s="13">
        <v>5123.7</v>
      </c>
      <c r="BP38" s="13">
        <v>5125.6499999999996</v>
      </c>
      <c r="BQ38" s="13">
        <v>5125.1499999999996</v>
      </c>
      <c r="BR38" s="13">
        <v>5123.7</v>
      </c>
      <c r="BS38" s="13">
        <v>5121.1000000000004</v>
      </c>
      <c r="BT38" s="13">
        <v>5123.05</v>
      </c>
      <c r="BU38" s="13">
        <v>5129.2700000000004</v>
      </c>
      <c r="BV38" s="13">
        <v>5125.6499999999996</v>
      </c>
      <c r="BW38" s="13">
        <v>5122.55</v>
      </c>
      <c r="BX38" s="13">
        <v>5126.2700000000004</v>
      </c>
      <c r="BY38" s="13">
        <v>5121.8999999999996</v>
      </c>
      <c r="BZ38" s="13">
        <v>5121.1000000000004</v>
      </c>
      <c r="CA38" s="13">
        <v>5119.1499999999996</v>
      </c>
      <c r="CB38" s="13">
        <v>5119.1499999999996</v>
      </c>
      <c r="CC38" s="13">
        <v>5126.2700000000004</v>
      </c>
      <c r="CD38" s="13">
        <v>5119.1499999999996</v>
      </c>
      <c r="CE38" s="13">
        <v>5118.6499999999996</v>
      </c>
      <c r="CF38" s="13">
        <v>5117.3500000000004</v>
      </c>
      <c r="CG38" s="13">
        <v>5115.55</v>
      </c>
      <c r="CH38" s="13">
        <v>5115.3999999999996</v>
      </c>
      <c r="CI38" s="13">
        <v>5117.3500000000004</v>
      </c>
      <c r="CJ38" s="13">
        <v>5117.2</v>
      </c>
      <c r="CK38" s="13">
        <v>5118</v>
      </c>
      <c r="CL38" s="13">
        <v>5119.8</v>
      </c>
      <c r="CM38" s="13">
        <v>5119.95</v>
      </c>
      <c r="CN38" s="13">
        <v>5118.6499999999996</v>
      </c>
      <c r="CO38" s="13">
        <v>5118.6499999999996</v>
      </c>
      <c r="CP38" s="13">
        <v>5118.5</v>
      </c>
      <c r="CQ38" s="13">
        <v>5119.3</v>
      </c>
      <c r="CR38" s="13">
        <v>5119.3</v>
      </c>
      <c r="CS38" s="13">
        <v>5120.45</v>
      </c>
      <c r="CT38" s="13">
        <v>5120.6000000000004</v>
      </c>
      <c r="CU38" s="13">
        <v>5118.6499999999996</v>
      </c>
      <c r="CV38" s="13">
        <v>5119.95</v>
      </c>
      <c r="CW38" s="13">
        <v>5119.95</v>
      </c>
      <c r="CX38" s="13">
        <v>5118</v>
      </c>
      <c r="CY38" s="13">
        <v>5118</v>
      </c>
      <c r="CZ38" s="13">
        <v>5119.3</v>
      </c>
      <c r="DA38" s="13">
        <v>5137.7</v>
      </c>
      <c r="DB38" s="13">
        <v>5137.3999999999996</v>
      </c>
      <c r="DC38" s="13">
        <v>5137.3999999999996</v>
      </c>
      <c r="DD38" s="13">
        <v>5137.7</v>
      </c>
      <c r="DE38" s="13">
        <v>5155.57</v>
      </c>
      <c r="DF38" s="13">
        <v>5155.57</v>
      </c>
    </row>
    <row r="39" spans="1:110" ht="15.75" x14ac:dyDescent="0.25">
      <c r="A39" s="14"/>
      <c r="B39" s="12" t="s">
        <v>10</v>
      </c>
      <c r="C39" s="13">
        <v>5057</v>
      </c>
      <c r="D39" s="13">
        <v>5064.1499999999996</v>
      </c>
      <c r="E39" s="13">
        <v>5060.7700000000004</v>
      </c>
      <c r="F39" s="13">
        <v>5058.54</v>
      </c>
      <c r="G39" s="13">
        <v>5052.92</v>
      </c>
      <c r="H39" s="13">
        <v>5054.54</v>
      </c>
      <c r="I39" s="13">
        <v>5054.93</v>
      </c>
      <c r="J39" s="13">
        <v>5056.6000000000004</v>
      </c>
      <c r="K39" s="13">
        <v>5056.07</v>
      </c>
      <c r="L39" s="13">
        <v>5057.71</v>
      </c>
      <c r="M39" s="13">
        <v>5056.79</v>
      </c>
      <c r="N39" s="13">
        <v>5061.6400000000003</v>
      </c>
      <c r="O39" s="13">
        <v>5068.3900000000003</v>
      </c>
      <c r="P39" s="13">
        <v>5074.33</v>
      </c>
      <c r="Q39" s="13">
        <v>5073.6099999999997</v>
      </c>
      <c r="R39" s="13">
        <v>5070</v>
      </c>
      <c r="S39" s="13">
        <v>5083</v>
      </c>
      <c r="T39" s="13">
        <v>5082.79</v>
      </c>
      <c r="U39" s="13">
        <v>5087.43</v>
      </c>
      <c r="V39" s="13">
        <v>5090.3999999999996</v>
      </c>
      <c r="W39" s="13">
        <v>5093</v>
      </c>
      <c r="X39" s="13">
        <v>5093.93</v>
      </c>
      <c r="Y39" s="13">
        <v>5098.95</v>
      </c>
      <c r="Z39" s="13">
        <v>5100.1000000000004</v>
      </c>
      <c r="AA39" s="13">
        <v>5083.5</v>
      </c>
      <c r="AB39" s="13">
        <v>5084.6499999999996</v>
      </c>
      <c r="AC39" s="13">
        <v>5106.1000000000004</v>
      </c>
      <c r="AD39" s="13">
        <v>5105.95</v>
      </c>
      <c r="AE39" s="13">
        <v>5104.1499999999996</v>
      </c>
      <c r="AF39" s="13">
        <v>5103.6499999999996</v>
      </c>
      <c r="AG39" s="13">
        <v>5093.8500000000004</v>
      </c>
      <c r="AH39" s="13">
        <v>5091.8999999999996</v>
      </c>
      <c r="AI39" s="13">
        <v>5095</v>
      </c>
      <c r="AJ39" s="13">
        <v>5091.8999999999996</v>
      </c>
      <c r="AK39" s="13">
        <v>5091.8999999999996</v>
      </c>
      <c r="AL39" s="13">
        <v>5095.1499999999996</v>
      </c>
      <c r="AM39" s="13">
        <v>5109.8500000000004</v>
      </c>
      <c r="AN39" s="13">
        <v>5108.05</v>
      </c>
      <c r="AO39" s="13">
        <v>5111.95</v>
      </c>
      <c r="AP39" s="13">
        <v>5113.8999999999996</v>
      </c>
      <c r="AQ39" s="13">
        <v>5114.55</v>
      </c>
      <c r="AR39" s="13">
        <v>5114.55</v>
      </c>
      <c r="AS39" s="13">
        <v>5112.6000000000004</v>
      </c>
      <c r="AT39" s="13">
        <v>5110.6499999999996</v>
      </c>
      <c r="AU39" s="13">
        <v>5110</v>
      </c>
      <c r="AV39" s="13">
        <v>5110.6499999999996</v>
      </c>
      <c r="AW39" s="13">
        <v>5110.5</v>
      </c>
      <c r="AX39" s="13">
        <v>5114.3999999999996</v>
      </c>
      <c r="AY39" s="13">
        <v>5116.3500000000004</v>
      </c>
      <c r="AZ39" s="13">
        <v>5116.3500000000004</v>
      </c>
      <c r="BA39" s="13">
        <v>5115.05</v>
      </c>
      <c r="BB39" s="13">
        <v>5117.8</v>
      </c>
      <c r="BC39" s="13">
        <v>5114.55</v>
      </c>
      <c r="BD39" s="13">
        <v>5113.8999999999996</v>
      </c>
      <c r="BE39" s="13">
        <v>5120.3999999999996</v>
      </c>
      <c r="BF39" s="13">
        <v>5120.8999999999996</v>
      </c>
      <c r="BG39" s="13">
        <v>5126.25</v>
      </c>
      <c r="BH39" s="13">
        <v>5123.8</v>
      </c>
      <c r="BI39" s="13">
        <v>5123.6499999999996</v>
      </c>
      <c r="BJ39" s="13">
        <v>5122.3500000000004</v>
      </c>
      <c r="BK39" s="13">
        <v>5124.8</v>
      </c>
      <c r="BL39" s="13">
        <v>5126.95</v>
      </c>
      <c r="BM39" s="13">
        <v>5126.3</v>
      </c>
      <c r="BN39" s="13">
        <v>5123.7</v>
      </c>
      <c r="BO39" s="13">
        <v>5122.3999999999996</v>
      </c>
      <c r="BP39" s="13">
        <v>5125.6499999999996</v>
      </c>
      <c r="BQ39" s="13">
        <v>5123.7</v>
      </c>
      <c r="BR39" s="13">
        <v>5120.3</v>
      </c>
      <c r="BS39" s="13">
        <v>5121.1000000000004</v>
      </c>
      <c r="BT39" s="13">
        <v>5123.05</v>
      </c>
      <c r="BU39" s="13">
        <v>5125.1499999999996</v>
      </c>
      <c r="BV39" s="13">
        <v>5123.05</v>
      </c>
      <c r="BW39" s="13">
        <v>5119.1499999999996</v>
      </c>
      <c r="BX39" s="13">
        <v>5121.75</v>
      </c>
      <c r="BY39" s="13">
        <v>5120.45</v>
      </c>
      <c r="BZ39" s="13">
        <v>5120.6000000000004</v>
      </c>
      <c r="CA39" s="13">
        <v>5118.1499999999996</v>
      </c>
      <c r="CB39" s="13">
        <v>5119.1499999999996</v>
      </c>
      <c r="CC39" s="13">
        <v>5120.45</v>
      </c>
      <c r="CD39" s="13">
        <v>5117.5</v>
      </c>
      <c r="CE39" s="13">
        <v>5117.3500000000004</v>
      </c>
      <c r="CF39" s="13">
        <v>5116.55</v>
      </c>
      <c r="CG39" s="13">
        <v>5115.3999999999996</v>
      </c>
      <c r="CH39" s="13">
        <v>5114.25</v>
      </c>
      <c r="CI39" s="13">
        <v>5116.3500000000004</v>
      </c>
      <c r="CJ39" s="13">
        <v>5116.7</v>
      </c>
      <c r="CK39" s="13">
        <v>5118</v>
      </c>
      <c r="CL39" s="13">
        <v>5118.8</v>
      </c>
      <c r="CM39" s="13">
        <v>5118.5</v>
      </c>
      <c r="CN39" s="13">
        <v>5118.6499999999996</v>
      </c>
      <c r="CO39" s="13">
        <v>5117.2</v>
      </c>
      <c r="CP39" s="13">
        <v>5117.5</v>
      </c>
      <c r="CQ39" s="13">
        <v>5118.8</v>
      </c>
      <c r="CR39" s="13">
        <v>5118</v>
      </c>
      <c r="CS39" s="13">
        <v>5120.45</v>
      </c>
      <c r="CT39" s="13">
        <v>5119.3</v>
      </c>
      <c r="CU39" s="13">
        <v>5118.6499999999996</v>
      </c>
      <c r="CV39" s="13">
        <v>5119.95</v>
      </c>
      <c r="CW39" s="13">
        <v>5117.5</v>
      </c>
      <c r="CX39" s="13">
        <v>5118</v>
      </c>
      <c r="CY39" s="13">
        <v>5117.3500000000004</v>
      </c>
      <c r="CZ39" s="13">
        <v>5119.3</v>
      </c>
      <c r="DA39" s="13">
        <v>5137.1000000000004</v>
      </c>
      <c r="DB39" s="13">
        <v>5137.3999999999996</v>
      </c>
      <c r="DC39" s="13">
        <v>5137.3999999999996</v>
      </c>
      <c r="DD39" s="13">
        <v>5136.8</v>
      </c>
      <c r="DE39" s="13">
        <v>5155.57</v>
      </c>
      <c r="DF39" s="13">
        <v>5155.57</v>
      </c>
    </row>
    <row r="40" spans="1:110" ht="15.75" x14ac:dyDescent="0.25">
      <c r="A40" s="14"/>
      <c r="B40" s="12" t="s">
        <v>9</v>
      </c>
      <c r="C40" s="13">
        <v>5052</v>
      </c>
      <c r="D40" s="13">
        <v>5056.46</v>
      </c>
      <c r="E40" s="13">
        <v>5052.2299999999996</v>
      </c>
      <c r="F40" s="13">
        <v>5050.2299999999996</v>
      </c>
      <c r="G40" s="13">
        <v>5045.46</v>
      </c>
      <c r="H40" s="13">
        <v>5046.21</v>
      </c>
      <c r="I40" s="13">
        <v>5045.54</v>
      </c>
      <c r="J40" s="13">
        <v>5048.3100000000004</v>
      </c>
      <c r="K40" s="13">
        <v>5047.2299999999996</v>
      </c>
      <c r="L40" s="13">
        <v>5048.3100000000004</v>
      </c>
      <c r="M40" s="13">
        <v>5046.3100000000004</v>
      </c>
      <c r="N40" s="13">
        <v>5051.8500000000004</v>
      </c>
      <c r="O40" s="13">
        <v>5058.79</v>
      </c>
      <c r="P40" s="13">
        <v>5065.6899999999996</v>
      </c>
      <c r="Q40" s="13">
        <v>5064.7700000000004</v>
      </c>
      <c r="R40" s="13">
        <v>5060.3100000000004</v>
      </c>
      <c r="S40" s="13">
        <v>5051.08</v>
      </c>
      <c r="T40" s="13">
        <v>5051.08</v>
      </c>
      <c r="U40" s="13">
        <v>5055.54</v>
      </c>
      <c r="V40" s="13">
        <v>5059.38</v>
      </c>
      <c r="W40" s="13">
        <v>5061.8500000000004</v>
      </c>
      <c r="X40" s="13">
        <v>5062.1499999999996</v>
      </c>
      <c r="Y40" s="13">
        <v>5060.1499999999996</v>
      </c>
      <c r="Z40" s="13">
        <v>5062</v>
      </c>
      <c r="AA40" s="13">
        <v>5060.6400000000003</v>
      </c>
      <c r="AB40" s="13">
        <v>5059.43</v>
      </c>
      <c r="AC40" s="13">
        <v>5068</v>
      </c>
      <c r="AD40" s="13">
        <v>5068.43</v>
      </c>
      <c r="AE40" s="13">
        <v>5065.29</v>
      </c>
      <c r="AF40" s="13">
        <v>5066.7700000000004</v>
      </c>
      <c r="AG40" s="13">
        <v>5073.2299999999996</v>
      </c>
      <c r="AH40" s="13">
        <v>5070.46</v>
      </c>
      <c r="AI40" s="13">
        <v>5074.92</v>
      </c>
      <c r="AJ40" s="13">
        <v>5070.46</v>
      </c>
      <c r="AK40" s="13">
        <v>5070.46</v>
      </c>
      <c r="AL40" s="13">
        <v>5075.2299999999996</v>
      </c>
      <c r="AM40" s="13">
        <v>5075.8500000000004</v>
      </c>
      <c r="AN40" s="13">
        <v>5073.8500000000004</v>
      </c>
      <c r="AO40" s="13">
        <v>5078.7700000000004</v>
      </c>
      <c r="AP40" s="13">
        <v>5081.54</v>
      </c>
      <c r="AQ40" s="13">
        <v>5082.46</v>
      </c>
      <c r="AR40" s="13">
        <v>5082.3100000000004</v>
      </c>
      <c r="AS40" s="13">
        <v>5081.38</v>
      </c>
      <c r="AT40" s="13">
        <v>5077.33</v>
      </c>
      <c r="AU40" s="13">
        <v>5076.42</v>
      </c>
      <c r="AV40" s="13">
        <v>5076.42</v>
      </c>
      <c r="AW40" s="13">
        <v>5076.42</v>
      </c>
      <c r="AX40" s="13">
        <v>5081.92</v>
      </c>
      <c r="AY40" s="13">
        <v>5085.58</v>
      </c>
      <c r="AZ40" s="13">
        <v>5084.67</v>
      </c>
      <c r="BA40" s="13">
        <v>5082.92</v>
      </c>
      <c r="BB40" s="13">
        <v>5088.25</v>
      </c>
      <c r="BC40" s="13">
        <v>5082.83</v>
      </c>
      <c r="BD40" s="13">
        <v>5081.92</v>
      </c>
      <c r="BE40" s="13">
        <v>5091.17</v>
      </c>
      <c r="BF40" s="13">
        <v>5091.08</v>
      </c>
      <c r="BG40" s="13">
        <v>5099.57</v>
      </c>
      <c r="BH40" s="13">
        <v>5096.57</v>
      </c>
      <c r="BI40" s="13">
        <v>5096.57</v>
      </c>
      <c r="BJ40" s="13">
        <v>5094.93</v>
      </c>
      <c r="BK40" s="13">
        <v>5098.43</v>
      </c>
      <c r="BL40" s="13">
        <v>5098.43</v>
      </c>
      <c r="BM40" s="13">
        <v>5097.5</v>
      </c>
      <c r="BN40" s="13">
        <v>5093.79</v>
      </c>
      <c r="BO40" s="13">
        <v>5091.93</v>
      </c>
      <c r="BP40" s="13">
        <v>5096.79</v>
      </c>
      <c r="BQ40" s="13">
        <v>5094</v>
      </c>
      <c r="BR40" s="13">
        <v>5088.43</v>
      </c>
      <c r="BS40" s="13">
        <v>5090.07</v>
      </c>
      <c r="BT40" s="13">
        <v>5093.79</v>
      </c>
      <c r="BU40" s="13">
        <v>5096.3599999999997</v>
      </c>
      <c r="BV40" s="13">
        <v>5093.57</v>
      </c>
      <c r="BW40" s="13">
        <v>5088.21</v>
      </c>
      <c r="BX40" s="13">
        <v>5092.8599999999997</v>
      </c>
      <c r="BY40" s="13">
        <v>5090.79</v>
      </c>
      <c r="BZ40" s="13">
        <v>5089.8599999999997</v>
      </c>
      <c r="CA40" s="13">
        <v>5086.3599999999997</v>
      </c>
      <c r="CB40" s="13">
        <v>5084.53</v>
      </c>
      <c r="CC40" s="13">
        <v>5089.8599999999997</v>
      </c>
      <c r="CD40" s="13">
        <v>5086.3599999999997</v>
      </c>
      <c r="CE40" s="13">
        <v>5085.93</v>
      </c>
      <c r="CF40" s="13">
        <v>5084.5</v>
      </c>
      <c r="CG40" s="13">
        <v>5082.6400000000003</v>
      </c>
      <c r="CH40" s="13">
        <v>5081.71</v>
      </c>
      <c r="CI40" s="13">
        <v>5084.5</v>
      </c>
      <c r="CJ40" s="13">
        <v>5088.33</v>
      </c>
      <c r="CK40" s="13">
        <v>5088.8900000000003</v>
      </c>
      <c r="CL40" s="13">
        <v>5090.5</v>
      </c>
      <c r="CM40" s="13">
        <v>5089.78</v>
      </c>
      <c r="CN40" s="13">
        <v>5090.5</v>
      </c>
      <c r="CO40" s="13">
        <v>5088.33</v>
      </c>
      <c r="CP40" s="13">
        <v>5088.8900000000003</v>
      </c>
      <c r="CQ40" s="13">
        <v>5089.78</v>
      </c>
      <c r="CR40" s="13">
        <v>5088.8900000000003</v>
      </c>
      <c r="CS40" s="13">
        <v>5091.78</v>
      </c>
      <c r="CT40" s="13">
        <v>5090.5</v>
      </c>
      <c r="CU40" s="13">
        <v>5090.17</v>
      </c>
      <c r="CV40" s="13">
        <v>5091.0600000000004</v>
      </c>
      <c r="CW40" s="13">
        <v>5088.8900000000003</v>
      </c>
      <c r="CX40" s="13">
        <v>5088.8900000000003</v>
      </c>
      <c r="CY40" s="13">
        <v>5088.17</v>
      </c>
      <c r="CZ40" s="13">
        <v>5090.33</v>
      </c>
      <c r="DA40" s="13">
        <v>5088</v>
      </c>
      <c r="DB40" s="13">
        <v>5088</v>
      </c>
      <c r="DC40" s="13">
        <v>5088</v>
      </c>
      <c r="DD40" s="13">
        <v>5086</v>
      </c>
      <c r="DE40" s="13">
        <v>0</v>
      </c>
      <c r="DF40" s="13">
        <v>0</v>
      </c>
    </row>
    <row r="41" spans="1:110" ht="15.75" x14ac:dyDescent="0.25">
      <c r="A41" s="14"/>
      <c r="B41" s="12" t="s">
        <v>7</v>
      </c>
      <c r="C41" s="13">
        <v>5046.38</v>
      </c>
      <c r="D41" s="13">
        <v>5053.46</v>
      </c>
      <c r="E41" s="13">
        <v>5051.46</v>
      </c>
      <c r="F41" s="13">
        <v>5050.2299999999996</v>
      </c>
      <c r="G41" s="13">
        <v>5045.46</v>
      </c>
      <c r="H41" s="13">
        <v>5041.2299999999996</v>
      </c>
      <c r="I41" s="13">
        <v>5044.79</v>
      </c>
      <c r="J41" s="13">
        <v>5043.6899999999996</v>
      </c>
      <c r="K41" s="13">
        <v>5042.7700000000004</v>
      </c>
      <c r="L41" s="13">
        <v>5046.46</v>
      </c>
      <c r="M41" s="13">
        <v>5046.3100000000004</v>
      </c>
      <c r="N41" s="13">
        <v>5046.46</v>
      </c>
      <c r="O41" s="13">
        <v>5049.2299999999996</v>
      </c>
      <c r="P41" s="13">
        <v>5056.46</v>
      </c>
      <c r="Q41" s="13">
        <v>5062.1499999999996</v>
      </c>
      <c r="R41" s="13">
        <v>5060.3100000000004</v>
      </c>
      <c r="S41" s="13">
        <v>5051.08</v>
      </c>
      <c r="T41" s="13">
        <v>5046.46</v>
      </c>
      <c r="U41" s="13">
        <v>5048.3100000000004</v>
      </c>
      <c r="V41" s="13">
        <v>5054.7700000000004</v>
      </c>
      <c r="W41" s="13">
        <v>5059.2299999999996</v>
      </c>
      <c r="X41" s="13">
        <v>5060.3100000000004</v>
      </c>
      <c r="Y41" s="13">
        <v>5059.38</v>
      </c>
      <c r="Z41" s="13">
        <v>5060.1499999999996</v>
      </c>
      <c r="AA41" s="13">
        <v>5060.3100000000004</v>
      </c>
      <c r="AB41" s="13">
        <v>5053.43</v>
      </c>
      <c r="AC41" s="13">
        <v>5058.57</v>
      </c>
      <c r="AD41" s="13">
        <v>5065.29</v>
      </c>
      <c r="AE41" s="13">
        <v>5058.3999999999996</v>
      </c>
      <c r="AF41" s="13">
        <v>5064.57</v>
      </c>
      <c r="AG41" s="13">
        <v>5063.22</v>
      </c>
      <c r="AH41" s="13">
        <v>5070.46</v>
      </c>
      <c r="AI41" s="13">
        <v>5070.46</v>
      </c>
      <c r="AJ41" s="13">
        <v>5068.46</v>
      </c>
      <c r="AK41" s="13">
        <v>5070.46</v>
      </c>
      <c r="AL41" s="13">
        <v>5070.46</v>
      </c>
      <c r="AM41" s="13">
        <v>5075.08</v>
      </c>
      <c r="AN41" s="13">
        <v>5069.1099999999997</v>
      </c>
      <c r="AO41" s="13">
        <v>5073.8500000000004</v>
      </c>
      <c r="AP41" s="13">
        <v>5079.54</v>
      </c>
      <c r="AQ41" s="13">
        <v>5079.6899999999996</v>
      </c>
      <c r="AR41" s="13">
        <v>5082.3100000000004</v>
      </c>
      <c r="AS41" s="13">
        <v>5078.7700000000004</v>
      </c>
      <c r="AT41" s="13">
        <v>5077.33</v>
      </c>
      <c r="AU41" s="13">
        <v>5075.5</v>
      </c>
      <c r="AV41" s="13">
        <v>5076.42</v>
      </c>
      <c r="AW41" s="13">
        <v>5074.67</v>
      </c>
      <c r="AX41" s="13">
        <v>5072</v>
      </c>
      <c r="AY41" s="13">
        <v>5081.92</v>
      </c>
      <c r="AZ41" s="13">
        <v>5084.67</v>
      </c>
      <c r="BA41" s="13">
        <v>5082.83</v>
      </c>
      <c r="BB41" s="13">
        <v>5078.63</v>
      </c>
      <c r="BC41" s="13">
        <v>5075.25</v>
      </c>
      <c r="BD41" s="13">
        <v>5081.08</v>
      </c>
      <c r="BE41" s="13">
        <v>5081.92</v>
      </c>
      <c r="BF41" s="13">
        <v>5091.08</v>
      </c>
      <c r="BG41" s="13">
        <v>5091.92</v>
      </c>
      <c r="BH41" s="13">
        <v>5096.57</v>
      </c>
      <c r="BI41" s="13">
        <v>5096.57</v>
      </c>
      <c r="BJ41" s="13">
        <v>5094.71</v>
      </c>
      <c r="BK41" s="13">
        <v>5094.93</v>
      </c>
      <c r="BL41" s="13">
        <v>5098.43</v>
      </c>
      <c r="BM41" s="13">
        <v>5095.6400000000003</v>
      </c>
      <c r="BN41" s="13">
        <v>5093.79</v>
      </c>
      <c r="BO41" s="13">
        <v>5091.93</v>
      </c>
      <c r="BP41" s="13">
        <v>5091</v>
      </c>
      <c r="BQ41" s="13">
        <v>5094</v>
      </c>
      <c r="BR41" s="13">
        <v>5088.43</v>
      </c>
      <c r="BS41" s="13">
        <v>5086.57</v>
      </c>
      <c r="BT41" s="13">
        <v>5090.07</v>
      </c>
      <c r="BU41" s="13">
        <v>5091</v>
      </c>
      <c r="BV41" s="13">
        <v>5093.57</v>
      </c>
      <c r="BW41" s="13">
        <v>5078.2</v>
      </c>
      <c r="BX41" s="13">
        <v>5088.21</v>
      </c>
      <c r="BY41" s="13">
        <v>5090.79</v>
      </c>
      <c r="BZ41" s="13">
        <v>5089.1400000000003</v>
      </c>
      <c r="CA41" s="13">
        <v>5086.3599999999997</v>
      </c>
      <c r="CB41" s="13">
        <v>5084.53</v>
      </c>
      <c r="CC41" s="13">
        <v>5084.53</v>
      </c>
      <c r="CD41" s="13">
        <v>5085.43</v>
      </c>
      <c r="CE41" s="13">
        <v>5083.57</v>
      </c>
      <c r="CF41" s="13">
        <v>5084.5</v>
      </c>
      <c r="CG41" s="13">
        <v>5082.6400000000003</v>
      </c>
      <c r="CH41" s="13">
        <v>5081.71</v>
      </c>
      <c r="CI41" s="13">
        <v>5080.79</v>
      </c>
      <c r="CJ41" s="13">
        <v>5086.72</v>
      </c>
      <c r="CK41" s="13">
        <v>5086.8900000000003</v>
      </c>
      <c r="CL41" s="13">
        <v>5088.8900000000003</v>
      </c>
      <c r="CM41" s="13">
        <v>5089.78</v>
      </c>
      <c r="CN41" s="13">
        <v>5088.8900000000003</v>
      </c>
      <c r="CO41" s="13">
        <v>5088.33</v>
      </c>
      <c r="CP41" s="13">
        <v>5088.33</v>
      </c>
      <c r="CQ41" s="13">
        <v>5088.8900000000003</v>
      </c>
      <c r="CR41" s="13">
        <v>5088.8900000000003</v>
      </c>
      <c r="CS41" s="13">
        <v>5088.8900000000003</v>
      </c>
      <c r="CT41" s="13">
        <v>5090.5</v>
      </c>
      <c r="CU41" s="13">
        <v>5089.0600000000004</v>
      </c>
      <c r="CV41" s="13">
        <v>5090.5</v>
      </c>
      <c r="CW41" s="13">
        <v>5088.8900000000003</v>
      </c>
      <c r="CX41" s="13">
        <v>5088.8900000000003</v>
      </c>
      <c r="CY41" s="13">
        <v>5088.17</v>
      </c>
      <c r="CZ41" s="13">
        <v>5088.17</v>
      </c>
      <c r="DA41" s="13">
        <v>5087.78</v>
      </c>
      <c r="DB41" s="13">
        <v>5088</v>
      </c>
      <c r="DC41" s="13">
        <v>5088</v>
      </c>
      <c r="DD41" s="13">
        <v>5086</v>
      </c>
      <c r="DE41" s="13">
        <v>5085</v>
      </c>
      <c r="DF41" s="13">
        <v>5080</v>
      </c>
    </row>
    <row r="42" spans="1:110" ht="15.75" x14ac:dyDescent="0.25">
      <c r="A42" s="14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</row>
    <row r="43" spans="1:110" ht="15.75" x14ac:dyDescent="0.25">
      <c r="A43" s="11"/>
      <c r="B43" s="11" t="s">
        <v>11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</row>
    <row r="44" spans="1:110" ht="15.75" x14ac:dyDescent="0.25">
      <c r="A44" s="14">
        <v>44357</v>
      </c>
      <c r="B44" s="12" t="s">
        <v>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</row>
    <row r="45" spans="1:110" ht="15.75" x14ac:dyDescent="0.25">
      <c r="A45" s="14"/>
      <c r="B45" s="12" t="s">
        <v>10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</row>
    <row r="46" spans="1:110" ht="15.75" x14ac:dyDescent="0.25">
      <c r="A46" s="14"/>
      <c r="B46" s="12" t="s">
        <v>9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</row>
    <row r="47" spans="1:110" ht="15.75" x14ac:dyDescent="0.25">
      <c r="A47" s="14"/>
      <c r="B47" s="12" t="s">
        <v>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</row>
    <row r="48" spans="1:110" ht="15.75" x14ac:dyDescent="0.25">
      <c r="A48" s="14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</row>
    <row r="49" spans="1:110" ht="15.75" x14ac:dyDescent="0.25">
      <c r="A49" s="11"/>
      <c r="B49" s="11" t="s">
        <v>11</v>
      </c>
      <c r="C49" s="15">
        <v>0.37847222222222227</v>
      </c>
      <c r="D49" s="15">
        <v>0.38194444444444442</v>
      </c>
      <c r="E49" s="15">
        <v>0.38541666666666669</v>
      </c>
      <c r="F49" s="15">
        <v>0.3888888888888889</v>
      </c>
      <c r="G49" s="15">
        <v>0.3923611111111111</v>
      </c>
      <c r="H49" s="15">
        <v>0.39583333333333331</v>
      </c>
      <c r="I49" s="15">
        <v>0.39930555555555558</v>
      </c>
      <c r="J49" s="15">
        <v>0.40277777777777773</v>
      </c>
      <c r="K49" s="15">
        <v>0.40625</v>
      </c>
      <c r="L49" s="15">
        <v>0.40972222222222227</v>
      </c>
      <c r="M49" s="15">
        <v>0.41319444444444442</v>
      </c>
      <c r="N49" s="15">
        <v>0.41666666666666669</v>
      </c>
      <c r="O49" s="15">
        <v>0.4201388888888889</v>
      </c>
      <c r="P49" s="15">
        <v>0.4236111111111111</v>
      </c>
      <c r="Q49" s="15">
        <v>0.42708333333333331</v>
      </c>
      <c r="R49" s="15">
        <v>0.43055555555555558</v>
      </c>
      <c r="S49" s="15">
        <v>0.43402777777777773</v>
      </c>
      <c r="T49" s="15">
        <v>0.4375</v>
      </c>
      <c r="U49" s="15">
        <v>0.44097222222222227</v>
      </c>
      <c r="V49" s="15">
        <v>0.44444444444444442</v>
      </c>
      <c r="W49" s="15">
        <v>0.44791666666666669</v>
      </c>
      <c r="X49" s="15">
        <v>0.4513888888888889</v>
      </c>
      <c r="Y49" s="15">
        <v>0.4548611111111111</v>
      </c>
      <c r="Z49" s="15">
        <v>0.45833333333333331</v>
      </c>
      <c r="AA49" s="15">
        <v>0.46180555555555558</v>
      </c>
      <c r="AB49" s="15">
        <v>0.46527777777777773</v>
      </c>
      <c r="AC49" s="15">
        <v>0.46875</v>
      </c>
      <c r="AD49" s="15">
        <v>0.47222222222222227</v>
      </c>
      <c r="AE49" s="15">
        <v>0.47569444444444442</v>
      </c>
      <c r="AF49" s="15">
        <v>0.47916666666666669</v>
      </c>
      <c r="AG49" s="15">
        <v>0.4826388888888889</v>
      </c>
      <c r="AH49" s="15">
        <v>0.4861111111111111</v>
      </c>
      <c r="AI49" s="15">
        <v>0.48958333333333331</v>
      </c>
      <c r="AJ49" s="15">
        <v>0.49305555555555558</v>
      </c>
      <c r="AK49" s="15">
        <v>0.49652777777777773</v>
      </c>
      <c r="AL49" s="15">
        <v>0.5</v>
      </c>
      <c r="AM49" s="15">
        <v>0.50347222222222221</v>
      </c>
      <c r="AN49" s="15">
        <v>0.50694444444444442</v>
      </c>
      <c r="AO49" s="15">
        <v>0.51041666666666663</v>
      </c>
      <c r="AP49" s="15">
        <v>0.51388888888888895</v>
      </c>
      <c r="AQ49" s="15">
        <v>0.51736111111111105</v>
      </c>
      <c r="AR49" s="15">
        <v>0.52083333333333337</v>
      </c>
      <c r="AS49" s="15">
        <v>0.52430555555555558</v>
      </c>
      <c r="AT49" s="15">
        <v>0.52777777777777779</v>
      </c>
      <c r="AU49" s="15">
        <v>0.53125</v>
      </c>
      <c r="AV49" s="15">
        <v>0.53472222222222221</v>
      </c>
      <c r="AW49" s="15">
        <v>0.53819444444444442</v>
      </c>
      <c r="AX49" s="15">
        <v>0.54166666666666663</v>
      </c>
      <c r="AY49" s="15">
        <v>0.54513888888888895</v>
      </c>
      <c r="AZ49" s="15">
        <v>0.54861111111111105</v>
      </c>
      <c r="BA49" s="15">
        <v>0.55208333333333337</v>
      </c>
      <c r="BB49" s="15">
        <v>0.55555555555555558</v>
      </c>
      <c r="BC49" s="15">
        <v>0.55902777777777779</v>
      </c>
      <c r="BD49" s="15">
        <v>0.5625</v>
      </c>
      <c r="BE49" s="15">
        <v>0.56597222222222221</v>
      </c>
      <c r="BF49" s="15">
        <v>0.56944444444444442</v>
      </c>
      <c r="BG49" s="15">
        <v>0.57291666666666663</v>
      </c>
      <c r="BH49" s="15">
        <v>0.57638888888888895</v>
      </c>
      <c r="BI49" s="15">
        <v>0.57986111111111105</v>
      </c>
      <c r="BJ49" s="15">
        <v>0.58333333333333337</v>
      </c>
      <c r="BK49" s="15">
        <v>0.58680555555555558</v>
      </c>
      <c r="BL49" s="15">
        <v>0.59027777777777779</v>
      </c>
      <c r="BM49" s="15">
        <v>0.59375</v>
      </c>
      <c r="BN49" s="15">
        <v>0.59722222222222221</v>
      </c>
      <c r="BO49" s="15">
        <v>0.60069444444444442</v>
      </c>
      <c r="BP49" s="15">
        <v>0.60416666666666663</v>
      </c>
      <c r="BQ49" s="15">
        <v>0.60763888888888895</v>
      </c>
      <c r="BR49" s="15">
        <v>0.61111111111111105</v>
      </c>
      <c r="BS49" s="15">
        <v>0.61458333333333337</v>
      </c>
      <c r="BT49" s="15">
        <v>0.61805555555555558</v>
      </c>
      <c r="BU49" s="15">
        <v>0.62152777777777779</v>
      </c>
      <c r="BV49" s="15">
        <v>0.625</v>
      </c>
      <c r="BW49" s="15">
        <v>0.62847222222222221</v>
      </c>
      <c r="BX49" s="15">
        <v>0.63194444444444442</v>
      </c>
      <c r="BY49" s="15">
        <v>0.63541666666666663</v>
      </c>
      <c r="BZ49" s="15">
        <v>0.63888888888888895</v>
      </c>
      <c r="CA49" s="15">
        <v>0.64236111111111105</v>
      </c>
      <c r="CB49" s="15">
        <v>0.64583333333333337</v>
      </c>
      <c r="CC49" s="15">
        <v>0.64930555555555558</v>
      </c>
      <c r="CD49" s="15">
        <v>0.65277777777777779</v>
      </c>
      <c r="CE49" s="15">
        <v>0.65625</v>
      </c>
      <c r="CF49" s="15">
        <v>0.65972222222222221</v>
      </c>
      <c r="CG49" s="15">
        <v>0.66319444444444442</v>
      </c>
      <c r="CH49" s="15">
        <v>0.66666666666666663</v>
      </c>
      <c r="CI49" s="15">
        <v>0.67013888888888884</v>
      </c>
      <c r="CJ49" s="15">
        <v>0.67361111111111116</v>
      </c>
      <c r="CK49" s="15">
        <v>0.67708333333333337</v>
      </c>
      <c r="CL49" s="15">
        <v>0.68055555555555547</v>
      </c>
      <c r="CM49" s="15">
        <v>0.68402777777777779</v>
      </c>
      <c r="CN49" s="15">
        <v>0.6875</v>
      </c>
      <c r="CO49" s="15">
        <v>0.69097222222222221</v>
      </c>
      <c r="CP49" s="15">
        <v>0.69444444444444453</v>
      </c>
      <c r="CQ49" s="15">
        <v>0.69791666666666663</v>
      </c>
      <c r="CR49" s="15">
        <v>0.70138888888888884</v>
      </c>
      <c r="CS49" s="15">
        <v>0.70486111111111116</v>
      </c>
      <c r="CT49" s="15">
        <v>0.70833333333333337</v>
      </c>
      <c r="CU49" s="15">
        <v>0.71180555555555547</v>
      </c>
      <c r="CV49" s="15">
        <v>0.71527777777777779</v>
      </c>
      <c r="CW49" s="15">
        <v>0.71875</v>
      </c>
      <c r="CX49" s="15">
        <v>0.72222222222222221</v>
      </c>
      <c r="CY49" s="15">
        <v>0.72569444444444453</v>
      </c>
      <c r="CZ49" s="15">
        <v>0.72916666666666663</v>
      </c>
      <c r="DA49" s="15">
        <v>0.73263888888888884</v>
      </c>
      <c r="DB49" s="15">
        <v>0.73611111111111116</v>
      </c>
      <c r="DC49" s="15">
        <v>0.73958333333333337</v>
      </c>
      <c r="DD49" s="15">
        <v>0.74305555555555547</v>
      </c>
      <c r="DE49" s="15">
        <v>0.74652777777777779</v>
      </c>
      <c r="DF49" s="15">
        <v>0.75</v>
      </c>
    </row>
    <row r="50" spans="1:110" ht="15.75" x14ac:dyDescent="0.25">
      <c r="A50" s="14">
        <v>44358</v>
      </c>
      <c r="B50" s="12" t="s">
        <v>6</v>
      </c>
      <c r="C50" s="13">
        <v>5096.1499999999996</v>
      </c>
      <c r="D50" s="13">
        <v>5107.71</v>
      </c>
      <c r="E50" s="13">
        <v>5111.8999999999996</v>
      </c>
      <c r="F50" s="13">
        <v>5116.26</v>
      </c>
      <c r="G50" s="13">
        <v>5114.54</v>
      </c>
      <c r="H50" s="13">
        <v>5111.7700000000004</v>
      </c>
      <c r="I50" s="13">
        <v>5114.54</v>
      </c>
      <c r="J50" s="13">
        <v>5126.7700000000004</v>
      </c>
      <c r="K50" s="13">
        <v>5125.54</v>
      </c>
      <c r="L50" s="13">
        <v>5127.54</v>
      </c>
      <c r="M50" s="13">
        <v>5132.3599999999997</v>
      </c>
      <c r="N50" s="13">
        <v>5133.29</v>
      </c>
      <c r="O50" s="13">
        <v>5130.5</v>
      </c>
      <c r="P50" s="13">
        <v>5129.57</v>
      </c>
      <c r="Q50" s="13">
        <v>5123.79</v>
      </c>
      <c r="R50" s="13">
        <v>5120.5</v>
      </c>
      <c r="S50" s="13">
        <v>5120.29</v>
      </c>
      <c r="T50" s="13">
        <v>5117.71</v>
      </c>
      <c r="U50" s="13">
        <v>5118.43</v>
      </c>
      <c r="V50" s="13">
        <v>5120.93</v>
      </c>
      <c r="W50" s="13">
        <v>5123.29</v>
      </c>
      <c r="X50" s="13">
        <v>5127.71</v>
      </c>
      <c r="Y50" s="13">
        <v>5129.79</v>
      </c>
      <c r="Z50" s="13">
        <v>5137.72</v>
      </c>
      <c r="AA50" s="13">
        <v>5140.93</v>
      </c>
      <c r="AB50" s="13">
        <v>5143.93</v>
      </c>
      <c r="AC50" s="13">
        <v>5145.79</v>
      </c>
      <c r="AD50" s="13">
        <v>5152.83</v>
      </c>
      <c r="AE50" s="13">
        <v>5153.2</v>
      </c>
      <c r="AF50" s="13">
        <v>5149.29</v>
      </c>
      <c r="AG50" s="13">
        <v>5156.6499999999996</v>
      </c>
      <c r="AH50" s="13">
        <v>5156</v>
      </c>
      <c r="AI50" s="13">
        <v>5156.6499999999996</v>
      </c>
      <c r="AJ50" s="13">
        <v>5159.1000000000004</v>
      </c>
      <c r="AK50" s="13">
        <v>5155.8500000000004</v>
      </c>
      <c r="AL50" s="13">
        <v>5157.28</v>
      </c>
      <c r="AM50" s="13">
        <v>5157.78</v>
      </c>
      <c r="AN50" s="13">
        <v>5157.6099999999997</v>
      </c>
      <c r="AO50" s="13">
        <v>5157.78</v>
      </c>
      <c r="AP50" s="13">
        <v>5161.6099999999997</v>
      </c>
      <c r="AQ50" s="13">
        <v>5164.33</v>
      </c>
      <c r="AR50" s="13">
        <v>5163.78</v>
      </c>
      <c r="AS50" s="13">
        <v>5165.0600000000004</v>
      </c>
      <c r="AT50" s="13">
        <v>5161.6099999999997</v>
      </c>
      <c r="AU50" s="13">
        <v>5159.28</v>
      </c>
      <c r="AV50" s="13">
        <v>5156.3900000000003</v>
      </c>
      <c r="AW50" s="13">
        <v>5156.3599999999997</v>
      </c>
      <c r="AX50" s="13">
        <v>5158.83</v>
      </c>
      <c r="AY50" s="13">
        <v>5161.17</v>
      </c>
      <c r="AZ50" s="13">
        <v>5161.17</v>
      </c>
      <c r="BA50" s="13">
        <v>5162.4399999999996</v>
      </c>
      <c r="BB50" s="13">
        <v>5158.1099999999997</v>
      </c>
      <c r="BC50" s="13">
        <v>5158.28</v>
      </c>
      <c r="BD50" s="13">
        <v>5158.28</v>
      </c>
      <c r="BE50" s="13">
        <v>5158.28</v>
      </c>
      <c r="BF50" s="13">
        <v>5155.3900000000003</v>
      </c>
      <c r="BG50" s="13">
        <v>5154.67</v>
      </c>
      <c r="BH50" s="13">
        <v>5153.78</v>
      </c>
      <c r="BI50" s="13">
        <v>5152.5</v>
      </c>
      <c r="BJ50" s="13">
        <v>5150.8900000000003</v>
      </c>
      <c r="BK50" s="13">
        <v>5152.5</v>
      </c>
      <c r="BL50" s="13">
        <v>5150.8900000000003</v>
      </c>
      <c r="BM50" s="13">
        <v>5153.0600000000004</v>
      </c>
      <c r="BN50" s="13">
        <v>5150.17</v>
      </c>
      <c r="BO50" s="13">
        <v>5150.17</v>
      </c>
      <c r="BP50" s="13">
        <v>5152.5</v>
      </c>
      <c r="BQ50" s="13">
        <v>5153.57</v>
      </c>
      <c r="BR50" s="13">
        <v>5153.79</v>
      </c>
      <c r="BS50" s="13">
        <v>5152.5</v>
      </c>
      <c r="BT50" s="13">
        <v>5152.29</v>
      </c>
      <c r="BU50" s="13">
        <v>5152.07</v>
      </c>
      <c r="BV50" s="13">
        <v>5152.71</v>
      </c>
      <c r="BW50" s="13">
        <v>5152.29</v>
      </c>
      <c r="BX50" s="13">
        <v>5152.29</v>
      </c>
      <c r="BY50" s="13">
        <v>5152.5</v>
      </c>
      <c r="BZ50" s="13">
        <v>5151.6400000000003</v>
      </c>
      <c r="CA50" s="13">
        <v>5153.57</v>
      </c>
      <c r="CB50" s="13">
        <v>5152.71</v>
      </c>
      <c r="CC50" s="13">
        <v>5152.5</v>
      </c>
      <c r="CD50" s="13">
        <v>5152.5</v>
      </c>
      <c r="CE50" s="13">
        <v>5152.07</v>
      </c>
      <c r="CF50" s="13">
        <v>5151.8599999999997</v>
      </c>
      <c r="CG50" s="13">
        <v>5151.8599999999997</v>
      </c>
      <c r="CH50" s="13">
        <v>5151</v>
      </c>
      <c r="CI50" s="13">
        <v>5151.53</v>
      </c>
      <c r="CJ50" s="13">
        <v>5148.75</v>
      </c>
      <c r="CK50" s="13">
        <v>5149</v>
      </c>
      <c r="CL50" s="13">
        <v>5149.75</v>
      </c>
      <c r="CM50" s="13">
        <v>5150</v>
      </c>
      <c r="CN50" s="13">
        <v>5149.5</v>
      </c>
      <c r="CO50" s="13">
        <v>5149.75</v>
      </c>
      <c r="CP50" s="13">
        <v>5149.25</v>
      </c>
      <c r="CQ50" s="13">
        <v>5149.5</v>
      </c>
      <c r="CR50" s="13">
        <v>5149.5</v>
      </c>
      <c r="CS50" s="13">
        <v>5150.25</v>
      </c>
      <c r="CT50" s="13">
        <v>5150</v>
      </c>
      <c r="CU50" s="13">
        <v>5154.33</v>
      </c>
      <c r="CV50" s="13">
        <v>5153.67</v>
      </c>
      <c r="CW50" s="13">
        <v>5153</v>
      </c>
      <c r="CX50" s="13">
        <v>5152</v>
      </c>
      <c r="CY50" s="13">
        <v>5152</v>
      </c>
      <c r="CZ50" s="13">
        <v>5151</v>
      </c>
      <c r="DA50" s="13">
        <v>5151</v>
      </c>
      <c r="DB50" s="13">
        <v>5150.67</v>
      </c>
      <c r="DC50" s="13">
        <v>5152</v>
      </c>
      <c r="DD50" s="13">
        <v>5151.67</v>
      </c>
      <c r="DE50" s="13">
        <v>5151.33</v>
      </c>
      <c r="DF50" s="13">
        <v>5151.33</v>
      </c>
    </row>
    <row r="51" spans="1:110" ht="15.75" x14ac:dyDescent="0.25">
      <c r="A51" s="14"/>
      <c r="B51" s="12" t="s">
        <v>10</v>
      </c>
      <c r="C51" s="13">
        <v>5096.1499999999996</v>
      </c>
      <c r="D51" s="13">
        <v>5106.07</v>
      </c>
      <c r="E51" s="13">
        <v>5111.8999999999996</v>
      </c>
      <c r="F51" s="13">
        <v>5113.7700000000004</v>
      </c>
      <c r="G51" s="13">
        <v>5112.7700000000004</v>
      </c>
      <c r="H51" s="13">
        <v>5111.7700000000004</v>
      </c>
      <c r="I51" s="13">
        <v>5113.7700000000004</v>
      </c>
      <c r="J51" s="13">
        <v>5125.54</v>
      </c>
      <c r="K51" s="13">
        <v>5121.54</v>
      </c>
      <c r="L51" s="13">
        <v>5126.7700000000004</v>
      </c>
      <c r="M51" s="13">
        <v>5128.6400000000003</v>
      </c>
      <c r="N51" s="13">
        <v>5126.07</v>
      </c>
      <c r="O51" s="13">
        <v>5130.5</v>
      </c>
      <c r="P51" s="13">
        <v>5124.21</v>
      </c>
      <c r="Q51" s="13">
        <v>5121.21</v>
      </c>
      <c r="R51" s="13">
        <v>5119.3599999999997</v>
      </c>
      <c r="S51" s="13">
        <v>5118.43</v>
      </c>
      <c r="T51" s="13">
        <v>5117.71</v>
      </c>
      <c r="U51" s="13">
        <v>5114.93</v>
      </c>
      <c r="V51" s="13">
        <v>5118.6400000000003</v>
      </c>
      <c r="W51" s="13">
        <v>5123.29</v>
      </c>
      <c r="X51" s="13">
        <v>5127.71</v>
      </c>
      <c r="Y51" s="13">
        <v>5129.07</v>
      </c>
      <c r="Z51" s="13">
        <v>5137.72</v>
      </c>
      <c r="AA51" s="13">
        <v>5139.29</v>
      </c>
      <c r="AB51" s="13">
        <v>5140.21</v>
      </c>
      <c r="AC51" s="13">
        <v>5145.79</v>
      </c>
      <c r="AD51" s="13">
        <v>5149.9399999999996</v>
      </c>
      <c r="AE51" s="13">
        <v>5148.2</v>
      </c>
      <c r="AF51" s="13">
        <v>5147.76</v>
      </c>
      <c r="AG51" s="13">
        <v>5154.55</v>
      </c>
      <c r="AH51" s="13">
        <v>5156</v>
      </c>
      <c r="AI51" s="13">
        <v>5156</v>
      </c>
      <c r="AJ51" s="13">
        <v>5155.7</v>
      </c>
      <c r="AK51" s="13">
        <v>5151.95</v>
      </c>
      <c r="AL51" s="13">
        <v>5157.28</v>
      </c>
      <c r="AM51" s="13">
        <v>5157.6099999999997</v>
      </c>
      <c r="AN51" s="13">
        <v>5157.1099999999997</v>
      </c>
      <c r="AO51" s="13">
        <v>5157.78</v>
      </c>
      <c r="AP51" s="13">
        <v>5161.17</v>
      </c>
      <c r="AQ51" s="13">
        <v>5160.72</v>
      </c>
      <c r="AR51" s="13">
        <v>5163.6099999999997</v>
      </c>
      <c r="AS51" s="13">
        <v>5162.17</v>
      </c>
      <c r="AT51" s="13">
        <v>5158.5600000000004</v>
      </c>
      <c r="AU51" s="13">
        <v>5155.67</v>
      </c>
      <c r="AV51" s="13">
        <v>5155.83</v>
      </c>
      <c r="AW51" s="13">
        <v>5154.5</v>
      </c>
      <c r="AX51" s="13">
        <v>5158.83</v>
      </c>
      <c r="AY51" s="13">
        <v>5161.17</v>
      </c>
      <c r="AZ51" s="13">
        <v>5161</v>
      </c>
      <c r="BA51" s="13">
        <v>5158.28</v>
      </c>
      <c r="BB51" s="13">
        <v>5157</v>
      </c>
      <c r="BC51" s="13">
        <v>5158.28</v>
      </c>
      <c r="BD51" s="13">
        <v>5158.28</v>
      </c>
      <c r="BE51" s="13">
        <v>5154.1099999999997</v>
      </c>
      <c r="BF51" s="13">
        <v>5154.67</v>
      </c>
      <c r="BG51" s="13">
        <v>5153.78</v>
      </c>
      <c r="BH51" s="13">
        <v>5152.5</v>
      </c>
      <c r="BI51" s="13">
        <v>5150.8900000000003</v>
      </c>
      <c r="BJ51" s="13">
        <v>5150.33</v>
      </c>
      <c r="BK51" s="13">
        <v>5149.6099999999997</v>
      </c>
      <c r="BL51" s="13">
        <v>5150.8900000000003</v>
      </c>
      <c r="BM51" s="13">
        <v>5149.4399999999996</v>
      </c>
      <c r="BN51" s="13">
        <v>5148.72</v>
      </c>
      <c r="BO51" s="13">
        <v>5150.17</v>
      </c>
      <c r="BP51" s="13">
        <v>5151.8599999999997</v>
      </c>
      <c r="BQ51" s="13">
        <v>5153.57</v>
      </c>
      <c r="BR51" s="13">
        <v>5152.5</v>
      </c>
      <c r="BS51" s="13">
        <v>5152.29</v>
      </c>
      <c r="BT51" s="13">
        <v>5152.07</v>
      </c>
      <c r="BU51" s="13">
        <v>5151.8599999999997</v>
      </c>
      <c r="BV51" s="13">
        <v>5151.43</v>
      </c>
      <c r="BW51" s="13">
        <v>5151.43</v>
      </c>
      <c r="BX51" s="13">
        <v>5152.29</v>
      </c>
      <c r="BY51" s="13">
        <v>5151.6400000000003</v>
      </c>
      <c r="BZ51" s="13">
        <v>5151.6400000000003</v>
      </c>
      <c r="CA51" s="13">
        <v>5152.5</v>
      </c>
      <c r="CB51" s="13">
        <v>5152.07</v>
      </c>
      <c r="CC51" s="13">
        <v>5151.8599999999997</v>
      </c>
      <c r="CD51" s="13">
        <v>5151.8599999999997</v>
      </c>
      <c r="CE51" s="13">
        <v>5151.8599999999997</v>
      </c>
      <c r="CF51" s="13">
        <v>5151.8599999999997</v>
      </c>
      <c r="CG51" s="13">
        <v>5151</v>
      </c>
      <c r="CH51" s="13">
        <v>5150.6499999999996</v>
      </c>
      <c r="CI51" s="13">
        <v>5148.75</v>
      </c>
      <c r="CJ51" s="13">
        <v>5148.25</v>
      </c>
      <c r="CK51" s="13">
        <v>5149</v>
      </c>
      <c r="CL51" s="13">
        <v>5149.25</v>
      </c>
      <c r="CM51" s="13">
        <v>5149.5</v>
      </c>
      <c r="CN51" s="13">
        <v>5149.5</v>
      </c>
      <c r="CO51" s="13">
        <v>5149</v>
      </c>
      <c r="CP51" s="13">
        <v>5149.25</v>
      </c>
      <c r="CQ51" s="13">
        <v>5149.5</v>
      </c>
      <c r="CR51" s="13">
        <v>5149.5</v>
      </c>
      <c r="CS51" s="13">
        <v>5150</v>
      </c>
      <c r="CT51" s="13">
        <v>5149.5</v>
      </c>
      <c r="CU51" s="13">
        <v>5153.67</v>
      </c>
      <c r="CV51" s="13">
        <v>5153</v>
      </c>
      <c r="CW51" s="13">
        <v>5151.67</v>
      </c>
      <c r="CX51" s="13">
        <v>5152</v>
      </c>
      <c r="CY51" s="13">
        <v>5151</v>
      </c>
      <c r="CZ51" s="13">
        <v>5151</v>
      </c>
      <c r="DA51" s="13">
        <v>5149.67</v>
      </c>
      <c r="DB51" s="13">
        <v>5150.67</v>
      </c>
      <c r="DC51" s="13">
        <v>5151</v>
      </c>
      <c r="DD51" s="13">
        <v>5150.67</v>
      </c>
      <c r="DE51" s="13">
        <v>5150.67</v>
      </c>
      <c r="DF51" s="13">
        <v>5150.67</v>
      </c>
    </row>
    <row r="52" spans="1:110" ht="15.75" x14ac:dyDescent="0.25">
      <c r="A52" s="14"/>
      <c r="B52" s="12" t="s">
        <v>9</v>
      </c>
      <c r="C52" s="13">
        <v>5088.2299999999996</v>
      </c>
      <c r="D52" s="13">
        <v>5098.18</v>
      </c>
      <c r="E52" s="13">
        <v>5099.59</v>
      </c>
      <c r="F52" s="13">
        <v>5100.13</v>
      </c>
      <c r="G52" s="13">
        <v>5099.13</v>
      </c>
      <c r="H52" s="13">
        <v>5098.53</v>
      </c>
      <c r="I52" s="13">
        <v>5100.13</v>
      </c>
      <c r="J52" s="13">
        <v>5109.7299999999996</v>
      </c>
      <c r="K52" s="13">
        <v>5106.33</v>
      </c>
      <c r="L52" s="13">
        <v>5110.53</v>
      </c>
      <c r="M52" s="13">
        <v>5112.13</v>
      </c>
      <c r="N52" s="13">
        <v>5109.53</v>
      </c>
      <c r="O52" s="13">
        <v>5113.93</v>
      </c>
      <c r="P52" s="13">
        <v>5108.13</v>
      </c>
      <c r="Q52" s="13">
        <v>5105.7299999999996</v>
      </c>
      <c r="R52" s="13">
        <v>5104.93</v>
      </c>
      <c r="S52" s="13">
        <v>5103.33</v>
      </c>
      <c r="T52" s="13">
        <v>5102.53</v>
      </c>
      <c r="U52" s="13">
        <v>5100.13</v>
      </c>
      <c r="V52" s="13">
        <v>5104.13</v>
      </c>
      <c r="W52" s="13">
        <v>5107.7299999999996</v>
      </c>
      <c r="X52" s="13">
        <v>5111.13</v>
      </c>
      <c r="Y52" s="13">
        <v>5112.13</v>
      </c>
      <c r="Z52" s="13">
        <v>5120.33</v>
      </c>
      <c r="AA52" s="13">
        <v>5120.13</v>
      </c>
      <c r="AB52" s="13">
        <v>5120.7299999999996</v>
      </c>
      <c r="AC52" s="13">
        <v>5125.53</v>
      </c>
      <c r="AD52" s="13">
        <v>5127.8599999999997</v>
      </c>
      <c r="AE52" s="13">
        <v>5127.07</v>
      </c>
      <c r="AF52" s="13">
        <v>5125.6400000000003</v>
      </c>
      <c r="AG52" s="13">
        <v>5131.93</v>
      </c>
      <c r="AH52" s="13">
        <v>5133.5</v>
      </c>
      <c r="AI52" s="13">
        <v>5133.3599999999997</v>
      </c>
      <c r="AJ52" s="13">
        <v>5132.57</v>
      </c>
      <c r="AK52" s="13">
        <v>5128</v>
      </c>
      <c r="AL52" s="13">
        <v>5107.8</v>
      </c>
      <c r="AM52" s="13">
        <v>5108.6000000000004</v>
      </c>
      <c r="AN52" s="13">
        <v>5107.3999999999996</v>
      </c>
      <c r="AO52" s="13">
        <v>5108.6000000000004</v>
      </c>
      <c r="AP52" s="13">
        <v>5139.2700000000004</v>
      </c>
      <c r="AQ52" s="13">
        <v>5138.33</v>
      </c>
      <c r="AR52" s="13">
        <v>5142.47</v>
      </c>
      <c r="AS52" s="13">
        <v>5140.63</v>
      </c>
      <c r="AT52" s="13">
        <v>5136.87</v>
      </c>
      <c r="AU52" s="13">
        <v>5134.33</v>
      </c>
      <c r="AV52" s="13">
        <v>5133.67</v>
      </c>
      <c r="AW52" s="13">
        <v>5132.7299999999996</v>
      </c>
      <c r="AX52" s="13">
        <v>5136.7299999999996</v>
      </c>
      <c r="AY52" s="13">
        <v>5139.13</v>
      </c>
      <c r="AZ52" s="13">
        <v>5139.13</v>
      </c>
      <c r="BA52" s="13">
        <v>5136.07</v>
      </c>
      <c r="BB52" s="13">
        <v>5135.13</v>
      </c>
      <c r="BC52" s="13">
        <v>5135.93</v>
      </c>
      <c r="BD52" s="13">
        <v>5135.93</v>
      </c>
      <c r="BE52" s="13">
        <v>5132.07</v>
      </c>
      <c r="BF52" s="13">
        <v>5132.07</v>
      </c>
      <c r="BG52" s="13">
        <v>5131.13</v>
      </c>
      <c r="BH52" s="13">
        <v>5129.67</v>
      </c>
      <c r="BI52" s="13">
        <v>5129.3100000000004</v>
      </c>
      <c r="BJ52" s="13">
        <v>5128.8100000000004</v>
      </c>
      <c r="BK52" s="13">
        <v>5128.0600000000004</v>
      </c>
      <c r="BL52" s="13">
        <v>5128.07</v>
      </c>
      <c r="BM52" s="13">
        <v>5127.13</v>
      </c>
      <c r="BN52" s="13">
        <v>5125.53</v>
      </c>
      <c r="BO52" s="13">
        <v>5127.13</v>
      </c>
      <c r="BP52" s="13">
        <v>5104.2</v>
      </c>
      <c r="BQ52" s="13">
        <v>5106.6000000000004</v>
      </c>
      <c r="BR52" s="13">
        <v>5105.8</v>
      </c>
      <c r="BS52" s="13">
        <v>5104.6000000000004</v>
      </c>
      <c r="BT52" s="13">
        <v>5104.6000000000004</v>
      </c>
      <c r="BU52" s="13">
        <v>5103.3999999999996</v>
      </c>
      <c r="BV52" s="13">
        <v>5103</v>
      </c>
      <c r="BW52" s="13">
        <v>5103.3999999999996</v>
      </c>
      <c r="BX52" s="13">
        <v>5104.6000000000004</v>
      </c>
      <c r="BY52" s="13">
        <v>5103.3999999999996</v>
      </c>
      <c r="BZ52" s="13">
        <v>5103.3999999999996</v>
      </c>
      <c r="CA52" s="13">
        <v>5105</v>
      </c>
      <c r="CB52" s="13">
        <v>5104.2</v>
      </c>
      <c r="CC52" s="13">
        <v>5104.6000000000004</v>
      </c>
      <c r="CD52" s="13">
        <v>5103.8</v>
      </c>
      <c r="CE52" s="13">
        <v>5103.3999999999996</v>
      </c>
      <c r="CF52" s="13">
        <v>5103.8</v>
      </c>
      <c r="CG52" s="13">
        <v>5102.2</v>
      </c>
      <c r="CH52" s="13">
        <v>5101.3999999999996</v>
      </c>
      <c r="CI52" s="13">
        <v>5103</v>
      </c>
      <c r="CJ52" s="13">
        <v>5102.2</v>
      </c>
      <c r="CK52" s="13">
        <v>5103.8</v>
      </c>
      <c r="CL52" s="13">
        <v>5104.2</v>
      </c>
      <c r="CM52" s="13">
        <v>5103.8</v>
      </c>
      <c r="CN52" s="13">
        <v>5103.8</v>
      </c>
      <c r="CO52" s="13">
        <v>5103.3999999999996</v>
      </c>
      <c r="CP52" s="13">
        <v>5103.3999999999996</v>
      </c>
      <c r="CQ52" s="13">
        <v>5104.6000000000004</v>
      </c>
      <c r="CR52" s="13">
        <v>5104.2</v>
      </c>
      <c r="CS52" s="13">
        <v>5104.6000000000004</v>
      </c>
      <c r="CT52" s="13">
        <v>5104.2</v>
      </c>
      <c r="CU52" s="13">
        <v>5107.3999999999996</v>
      </c>
      <c r="CV52" s="13">
        <v>5106.6000000000004</v>
      </c>
      <c r="CW52" s="13">
        <v>5105.3999999999996</v>
      </c>
      <c r="CX52" s="13">
        <v>5105</v>
      </c>
      <c r="CY52" s="13">
        <v>5104.2</v>
      </c>
      <c r="CZ52" s="13">
        <v>5103.8</v>
      </c>
      <c r="DA52" s="13">
        <v>5102.6000000000004</v>
      </c>
      <c r="DB52" s="13">
        <v>5103.8</v>
      </c>
      <c r="DC52" s="13">
        <v>5105</v>
      </c>
      <c r="DD52" s="13">
        <v>5103.8</v>
      </c>
      <c r="DE52" s="13">
        <v>5103.8</v>
      </c>
      <c r="DF52" s="13">
        <v>5103.8</v>
      </c>
    </row>
    <row r="53" spans="1:110" ht="15.75" x14ac:dyDescent="0.25">
      <c r="A53" s="14"/>
      <c r="B53" s="12" t="s">
        <v>7</v>
      </c>
      <c r="C53" s="13">
        <v>5084</v>
      </c>
      <c r="D53" s="13">
        <v>5088.2299999999996</v>
      </c>
      <c r="E53" s="13">
        <v>5096.76</v>
      </c>
      <c r="F53" s="13">
        <v>5098.53</v>
      </c>
      <c r="G53" s="13">
        <v>5098.53</v>
      </c>
      <c r="H53" s="13">
        <v>5095.53</v>
      </c>
      <c r="I53" s="13">
        <v>5098.53</v>
      </c>
      <c r="J53" s="13">
        <v>5100.13</v>
      </c>
      <c r="K53" s="13">
        <v>5106.33</v>
      </c>
      <c r="L53" s="13">
        <v>5106.33</v>
      </c>
      <c r="M53" s="13">
        <v>5109.7299999999996</v>
      </c>
      <c r="N53" s="13">
        <v>5108.93</v>
      </c>
      <c r="O53" s="13">
        <v>5108.13</v>
      </c>
      <c r="P53" s="13">
        <v>5108.13</v>
      </c>
      <c r="Q53" s="13">
        <v>5101.7299999999996</v>
      </c>
      <c r="R53" s="13">
        <v>5103.33</v>
      </c>
      <c r="S53" s="13">
        <v>5103.33</v>
      </c>
      <c r="T53" s="13">
        <v>5102.53</v>
      </c>
      <c r="U53" s="13">
        <v>5100.13</v>
      </c>
      <c r="V53" s="13">
        <v>5097.92</v>
      </c>
      <c r="W53" s="13">
        <v>5104.13</v>
      </c>
      <c r="X53" s="13">
        <v>5105.7299999999996</v>
      </c>
      <c r="Y53" s="13">
        <v>5109.7299999999996</v>
      </c>
      <c r="Z53" s="13">
        <v>5110.53</v>
      </c>
      <c r="AA53" s="13">
        <v>5116.7299999999996</v>
      </c>
      <c r="AB53" s="13">
        <v>5120.13</v>
      </c>
      <c r="AC53" s="13">
        <v>5116.93</v>
      </c>
      <c r="AD53" s="13">
        <v>5127.33</v>
      </c>
      <c r="AE53" s="13">
        <v>5127.07</v>
      </c>
      <c r="AF53" s="13">
        <v>5121.3999999999996</v>
      </c>
      <c r="AG53" s="13">
        <v>5126.93</v>
      </c>
      <c r="AH53" s="13">
        <v>5131.79</v>
      </c>
      <c r="AI53" s="13">
        <v>5132.71</v>
      </c>
      <c r="AJ53" s="13">
        <v>5131.93</v>
      </c>
      <c r="AK53" s="13">
        <v>5127.8599999999997</v>
      </c>
      <c r="AL53" s="13">
        <v>5107.8</v>
      </c>
      <c r="AM53" s="13">
        <v>5107.8</v>
      </c>
      <c r="AN53" s="13">
        <v>5106.2</v>
      </c>
      <c r="AO53" s="13">
        <v>5107</v>
      </c>
      <c r="AP53" s="13">
        <v>5130.3</v>
      </c>
      <c r="AQ53" s="13">
        <v>5138.33</v>
      </c>
      <c r="AR53" s="13">
        <v>5140.07</v>
      </c>
      <c r="AS53" s="13">
        <v>5134.7</v>
      </c>
      <c r="AT53" s="13">
        <v>5136.87</v>
      </c>
      <c r="AU53" s="13">
        <v>5134.33</v>
      </c>
      <c r="AV53" s="13">
        <v>5132.7299999999996</v>
      </c>
      <c r="AW53" s="13">
        <v>5132.07</v>
      </c>
      <c r="AX53" s="13">
        <v>5132.7299999999996</v>
      </c>
      <c r="AY53" s="13">
        <v>5135.93</v>
      </c>
      <c r="AZ53" s="13">
        <v>5138.33</v>
      </c>
      <c r="BA53" s="13">
        <v>5136.07</v>
      </c>
      <c r="BB53" s="13">
        <v>5135.13</v>
      </c>
      <c r="BC53" s="13">
        <v>5134.33</v>
      </c>
      <c r="BD53" s="13">
        <v>5135.93</v>
      </c>
      <c r="BE53" s="13">
        <v>5132.07</v>
      </c>
      <c r="BF53" s="13">
        <v>5132.07</v>
      </c>
      <c r="BG53" s="13">
        <v>5130.47</v>
      </c>
      <c r="BH53" s="13">
        <v>5129.67</v>
      </c>
      <c r="BI53" s="13">
        <v>5127.2700000000004</v>
      </c>
      <c r="BJ53" s="13">
        <v>5127.3100000000004</v>
      </c>
      <c r="BK53" s="13">
        <v>5128.0600000000004</v>
      </c>
      <c r="BL53" s="13">
        <v>5125.67</v>
      </c>
      <c r="BM53" s="13">
        <v>5127.13</v>
      </c>
      <c r="BN53" s="13">
        <v>5119.3</v>
      </c>
      <c r="BO53" s="13">
        <v>5125.53</v>
      </c>
      <c r="BP53" s="13">
        <v>5104.2</v>
      </c>
      <c r="BQ53" s="13">
        <v>5104.2</v>
      </c>
      <c r="BR53" s="13">
        <v>5105.8</v>
      </c>
      <c r="BS53" s="13">
        <v>5104.6000000000004</v>
      </c>
      <c r="BT53" s="13">
        <v>5103.8</v>
      </c>
      <c r="BU53" s="13">
        <v>5103.3999999999996</v>
      </c>
      <c r="BV53" s="13">
        <v>5103</v>
      </c>
      <c r="BW53" s="13">
        <v>5103</v>
      </c>
      <c r="BX53" s="13">
        <v>5103.3999999999996</v>
      </c>
      <c r="BY53" s="13">
        <v>5103.3999999999996</v>
      </c>
      <c r="BZ53" s="13">
        <v>5103.3999999999996</v>
      </c>
      <c r="CA53" s="13">
        <v>5103.3999999999996</v>
      </c>
      <c r="CB53" s="13">
        <v>5104.2</v>
      </c>
      <c r="CC53" s="13">
        <v>5104.2</v>
      </c>
      <c r="CD53" s="13">
        <v>5103.8</v>
      </c>
      <c r="CE53" s="13">
        <v>5103</v>
      </c>
      <c r="CF53" s="13">
        <v>5103.3999999999996</v>
      </c>
      <c r="CG53" s="13">
        <v>5102.2</v>
      </c>
      <c r="CH53" s="13">
        <v>5101.3999999999996</v>
      </c>
      <c r="CI53" s="13">
        <v>5079.67</v>
      </c>
      <c r="CJ53" s="13">
        <v>5102.2</v>
      </c>
      <c r="CK53" s="13">
        <v>5102.2</v>
      </c>
      <c r="CL53" s="13">
        <v>5103.8</v>
      </c>
      <c r="CM53" s="13">
        <v>5103.8</v>
      </c>
      <c r="CN53" s="13">
        <v>5103.8</v>
      </c>
      <c r="CO53" s="13">
        <v>5103.3999999999996</v>
      </c>
      <c r="CP53" s="13">
        <v>5103.3999999999996</v>
      </c>
      <c r="CQ53" s="13">
        <v>5103.3999999999996</v>
      </c>
      <c r="CR53" s="13">
        <v>5104.2</v>
      </c>
      <c r="CS53" s="13">
        <v>5104.2</v>
      </c>
      <c r="CT53" s="13">
        <v>5104.2</v>
      </c>
      <c r="CU53" s="13">
        <v>5105.3999999999996</v>
      </c>
      <c r="CV53" s="13">
        <v>5106.6000000000004</v>
      </c>
      <c r="CW53" s="13">
        <v>5105.3999999999996</v>
      </c>
      <c r="CX53" s="13">
        <v>5105</v>
      </c>
      <c r="CY53" s="13">
        <v>5104.2</v>
      </c>
      <c r="CZ53" s="13">
        <v>5103.8</v>
      </c>
      <c r="DA53" s="13">
        <v>5102.6000000000004</v>
      </c>
      <c r="DB53" s="13">
        <v>5102.6000000000004</v>
      </c>
      <c r="DC53" s="13">
        <v>5103.8</v>
      </c>
      <c r="DD53" s="13">
        <v>5103.8</v>
      </c>
      <c r="DE53" s="13">
        <v>5103.8</v>
      </c>
      <c r="DF53" s="13">
        <v>5103.8</v>
      </c>
    </row>
    <row r="54" spans="1:110" ht="15.75" x14ac:dyDescent="0.25">
      <c r="A54" s="14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</row>
    <row r="55" spans="1:110" ht="15.75" x14ac:dyDescent="0.25">
      <c r="A55" s="11"/>
      <c r="B55" s="11" t="s">
        <v>11</v>
      </c>
      <c r="C55" s="15">
        <v>0.37847222222222227</v>
      </c>
      <c r="D55" s="15">
        <v>0.38194444444444442</v>
      </c>
      <c r="E55" s="15">
        <v>0.38541666666666669</v>
      </c>
      <c r="F55" s="15">
        <v>0.3888888888888889</v>
      </c>
      <c r="G55" s="15">
        <v>0.3923611111111111</v>
      </c>
      <c r="H55" s="15">
        <v>0.39583333333333331</v>
      </c>
      <c r="I55" s="15">
        <v>0.39930555555555558</v>
      </c>
      <c r="J55" s="15">
        <v>0.40277777777777773</v>
      </c>
      <c r="K55" s="15">
        <v>0.40625</v>
      </c>
      <c r="L55" s="15">
        <v>0.40972222222222227</v>
      </c>
      <c r="M55" s="15">
        <v>0.41319444444444442</v>
      </c>
      <c r="N55" s="15">
        <v>0.41666666666666669</v>
      </c>
      <c r="O55" s="15">
        <v>0.4201388888888889</v>
      </c>
      <c r="P55" s="15">
        <v>0.4236111111111111</v>
      </c>
      <c r="Q55" s="15">
        <v>0.42708333333333331</v>
      </c>
      <c r="R55" s="15">
        <v>0.43055555555555558</v>
      </c>
      <c r="S55" s="15">
        <v>0.43402777777777773</v>
      </c>
      <c r="T55" s="15">
        <v>0.4375</v>
      </c>
      <c r="U55" s="15">
        <v>0.44097222222222227</v>
      </c>
      <c r="V55" s="15">
        <v>0.44444444444444442</v>
      </c>
      <c r="W55" s="15">
        <v>0.44791666666666669</v>
      </c>
      <c r="X55" s="15">
        <v>0.4513888888888889</v>
      </c>
      <c r="Y55" s="15">
        <v>0.4548611111111111</v>
      </c>
      <c r="Z55" s="15">
        <v>0.45833333333333331</v>
      </c>
      <c r="AA55" s="15">
        <v>0.46180555555555558</v>
      </c>
      <c r="AB55" s="15">
        <v>0.46527777777777773</v>
      </c>
      <c r="AC55" s="15">
        <v>0.46875</v>
      </c>
      <c r="AD55" s="15">
        <v>0.47222222222222227</v>
      </c>
      <c r="AE55" s="15">
        <v>0.47569444444444442</v>
      </c>
      <c r="AF55" s="15">
        <v>0.47916666666666669</v>
      </c>
      <c r="AG55" s="15">
        <v>0.4826388888888889</v>
      </c>
      <c r="AH55" s="15">
        <v>0.4861111111111111</v>
      </c>
      <c r="AI55" s="15">
        <v>0.48958333333333331</v>
      </c>
      <c r="AJ55" s="15">
        <v>0.49305555555555558</v>
      </c>
      <c r="AK55" s="15">
        <v>0.49652777777777773</v>
      </c>
      <c r="AL55" s="15">
        <v>0.5</v>
      </c>
      <c r="AM55" s="15">
        <v>0.50347222222222221</v>
      </c>
      <c r="AN55" s="15">
        <v>0.50694444444444442</v>
      </c>
      <c r="AO55" s="15">
        <v>0.51041666666666663</v>
      </c>
      <c r="AP55" s="15">
        <v>0.51388888888888895</v>
      </c>
      <c r="AQ55" s="15">
        <v>0.51736111111111105</v>
      </c>
      <c r="AR55" s="15">
        <v>0.52083333333333337</v>
      </c>
      <c r="AS55" s="15">
        <v>0.52430555555555558</v>
      </c>
      <c r="AT55" s="15">
        <v>0.52777777777777779</v>
      </c>
      <c r="AU55" s="15">
        <v>0.53125</v>
      </c>
      <c r="AV55" s="15">
        <v>0.53472222222222221</v>
      </c>
      <c r="AW55" s="15">
        <v>0.53819444444444442</v>
      </c>
      <c r="AX55" s="15">
        <v>0.54166666666666663</v>
      </c>
      <c r="AY55" s="15">
        <v>0.54513888888888895</v>
      </c>
      <c r="AZ55" s="15">
        <v>0.54861111111111105</v>
      </c>
      <c r="BA55" s="15">
        <v>0.55208333333333337</v>
      </c>
      <c r="BB55" s="15">
        <v>0.55555555555555558</v>
      </c>
      <c r="BC55" s="15">
        <v>0.55902777777777779</v>
      </c>
      <c r="BD55" s="15">
        <v>0.5625</v>
      </c>
      <c r="BE55" s="15">
        <v>0.56597222222222221</v>
      </c>
      <c r="BF55" s="15">
        <v>0.56944444444444442</v>
      </c>
      <c r="BG55" s="15">
        <v>0.57291666666666663</v>
      </c>
      <c r="BH55" s="15">
        <v>0.57638888888888895</v>
      </c>
      <c r="BI55" s="15">
        <v>0.57986111111111105</v>
      </c>
      <c r="BJ55" s="15">
        <v>0.58333333333333337</v>
      </c>
      <c r="BK55" s="15">
        <v>0.58680555555555558</v>
      </c>
      <c r="BL55" s="15">
        <v>0.59027777777777779</v>
      </c>
      <c r="BM55" s="15">
        <v>0.59375</v>
      </c>
      <c r="BN55" s="15">
        <v>0.59722222222222221</v>
      </c>
      <c r="BO55" s="15">
        <v>0.60069444444444442</v>
      </c>
      <c r="BP55" s="15">
        <v>0.60416666666666663</v>
      </c>
      <c r="BQ55" s="15">
        <v>0.60763888888888895</v>
      </c>
      <c r="BR55" s="15">
        <v>0.61111111111111105</v>
      </c>
      <c r="BS55" s="15">
        <v>0.61458333333333337</v>
      </c>
      <c r="BT55" s="15">
        <v>0.61805555555555558</v>
      </c>
      <c r="BU55" s="15">
        <v>0.62152777777777779</v>
      </c>
      <c r="BV55" s="15">
        <v>0.625</v>
      </c>
      <c r="BW55" s="15">
        <v>0.62847222222222221</v>
      </c>
      <c r="BX55" s="15">
        <v>0.63194444444444442</v>
      </c>
      <c r="BY55" s="15">
        <v>0.63541666666666663</v>
      </c>
      <c r="BZ55" s="15">
        <v>0.63888888888888895</v>
      </c>
      <c r="CA55" s="15">
        <v>0.64236111111111105</v>
      </c>
      <c r="CB55" s="15">
        <v>0.64583333333333337</v>
      </c>
      <c r="CC55" s="15">
        <v>0.64930555555555558</v>
      </c>
      <c r="CD55" s="15">
        <v>0.65277777777777779</v>
      </c>
      <c r="CE55" s="15">
        <v>0.65625</v>
      </c>
      <c r="CF55" s="15">
        <v>0.65972222222222221</v>
      </c>
      <c r="CG55" s="15">
        <v>0.66319444444444442</v>
      </c>
      <c r="CH55" s="15">
        <v>0.66666666666666663</v>
      </c>
      <c r="CI55" s="15">
        <v>0.67013888888888884</v>
      </c>
      <c r="CJ55" s="15">
        <v>0.67361111111111116</v>
      </c>
      <c r="CK55" s="15">
        <v>0.67708333333333337</v>
      </c>
      <c r="CL55" s="15">
        <v>0.68055555555555547</v>
      </c>
      <c r="CM55" s="15">
        <v>0.68402777777777779</v>
      </c>
      <c r="CN55" s="15">
        <v>0.6875</v>
      </c>
      <c r="CO55" s="15">
        <v>0.69097222222222221</v>
      </c>
      <c r="CP55" s="15">
        <v>0.69444444444444453</v>
      </c>
      <c r="CQ55" s="15">
        <v>0.69791666666666663</v>
      </c>
      <c r="CR55" s="15">
        <v>0.70138888888888884</v>
      </c>
      <c r="CS55" s="15">
        <v>0.70486111111111116</v>
      </c>
      <c r="CT55" s="15">
        <v>0.70833333333333337</v>
      </c>
      <c r="CU55" s="15">
        <v>0.71180555555555547</v>
      </c>
      <c r="CV55" s="15">
        <v>0.71527777777777779</v>
      </c>
      <c r="CW55" s="15">
        <v>0.71875</v>
      </c>
      <c r="CX55" s="15">
        <v>0.72222222222222221</v>
      </c>
      <c r="CY55" s="15">
        <v>0.72569444444444453</v>
      </c>
      <c r="CZ55" s="15">
        <v>0.72916666666666663</v>
      </c>
      <c r="DA55" s="15">
        <v>0.73263888888888884</v>
      </c>
      <c r="DB55" s="15">
        <v>0.73611111111111116</v>
      </c>
      <c r="DC55" s="15">
        <v>0.73958333333333337</v>
      </c>
      <c r="DD55" s="15">
        <v>0.74305555555555547</v>
      </c>
      <c r="DE55" s="15">
        <v>0.74652777777777779</v>
      </c>
      <c r="DF55" s="15">
        <v>0.75</v>
      </c>
    </row>
    <row r="56" spans="1:110" ht="15.75" x14ac:dyDescent="0.25">
      <c r="A56" s="14">
        <v>44361</v>
      </c>
      <c r="B56" s="12" t="s">
        <v>6</v>
      </c>
      <c r="C56" s="13">
        <v>5133</v>
      </c>
      <c r="D56" s="13">
        <v>5137.1400000000003</v>
      </c>
      <c r="E56" s="13">
        <v>5135</v>
      </c>
      <c r="F56" s="13">
        <v>5137.17</v>
      </c>
      <c r="G56" s="13">
        <v>5137.8900000000003</v>
      </c>
      <c r="H56" s="13">
        <v>5138.17</v>
      </c>
      <c r="I56" s="13">
        <v>5134.5600000000004</v>
      </c>
      <c r="J56" s="13">
        <v>5133.83</v>
      </c>
      <c r="K56" s="13">
        <v>5135.28</v>
      </c>
      <c r="L56" s="13">
        <v>5137.7700000000004</v>
      </c>
      <c r="M56" s="13">
        <v>5136.7700000000004</v>
      </c>
      <c r="N56" s="13">
        <v>5136.5600000000004</v>
      </c>
      <c r="O56" s="13">
        <v>5128.6099999999997</v>
      </c>
      <c r="P56" s="13">
        <v>5115.67</v>
      </c>
      <c r="Q56" s="13">
        <v>5113.93</v>
      </c>
      <c r="R56" s="13"/>
      <c r="S56" s="13"/>
      <c r="T56" s="13"/>
      <c r="U56" s="13">
        <v>5113.07</v>
      </c>
      <c r="V56" s="13">
        <v>5112.2</v>
      </c>
      <c r="W56" s="13">
        <v>5116</v>
      </c>
      <c r="X56" s="13">
        <v>5115</v>
      </c>
      <c r="Y56" s="13">
        <v>5115</v>
      </c>
      <c r="Z56" s="13">
        <v>5113.1499999999996</v>
      </c>
      <c r="AA56" s="13">
        <v>5108.38</v>
      </c>
      <c r="AB56" s="13">
        <v>5113.1499999999996</v>
      </c>
      <c r="AC56" s="13">
        <v>5113</v>
      </c>
      <c r="AD56" s="13">
        <v>5110.83</v>
      </c>
      <c r="AE56" s="13">
        <v>5111.83</v>
      </c>
      <c r="AF56" s="13">
        <v>5112.83</v>
      </c>
      <c r="AG56" s="13">
        <v>5108.83</v>
      </c>
      <c r="AH56" s="13">
        <v>5106</v>
      </c>
      <c r="AI56" s="13">
        <v>5107.83</v>
      </c>
      <c r="AJ56" s="13">
        <v>5107</v>
      </c>
      <c r="AK56" s="13">
        <v>5102.83</v>
      </c>
      <c r="AL56" s="13">
        <v>5096</v>
      </c>
      <c r="AM56" s="13">
        <v>5092.83</v>
      </c>
      <c r="AN56" s="13">
        <v>5090.83</v>
      </c>
      <c r="AO56" s="13">
        <v>5089</v>
      </c>
      <c r="AP56" s="13">
        <v>5089</v>
      </c>
      <c r="AQ56" s="13">
        <v>5090.83</v>
      </c>
      <c r="AR56" s="13">
        <v>5091.83</v>
      </c>
      <c r="AS56" s="13">
        <v>5095.83</v>
      </c>
      <c r="AT56" s="13">
        <v>5095.83</v>
      </c>
      <c r="AU56" s="13">
        <v>5093.83</v>
      </c>
      <c r="AV56" s="13">
        <v>5091.83</v>
      </c>
      <c r="AW56" s="13">
        <v>5089.83</v>
      </c>
      <c r="AX56" s="13">
        <v>5089</v>
      </c>
      <c r="AY56" s="13">
        <v>5087</v>
      </c>
      <c r="AZ56" s="13">
        <v>5091</v>
      </c>
      <c r="BA56" s="13">
        <v>5091.83</v>
      </c>
      <c r="BB56" s="13">
        <v>5091.83</v>
      </c>
      <c r="BC56" s="13">
        <v>5092.83</v>
      </c>
      <c r="BD56" s="13">
        <v>5090.83</v>
      </c>
      <c r="BE56" s="13">
        <v>5093.83</v>
      </c>
      <c r="BF56" s="13">
        <v>5092.83</v>
      </c>
      <c r="BG56" s="13">
        <v>5092.83</v>
      </c>
      <c r="BH56" s="13">
        <v>5092</v>
      </c>
      <c r="BI56" s="13">
        <v>5091</v>
      </c>
      <c r="BJ56" s="13">
        <v>5091.83</v>
      </c>
      <c r="BK56" s="13">
        <v>5091</v>
      </c>
      <c r="BL56" s="13">
        <v>5093.83</v>
      </c>
      <c r="BM56" s="13">
        <v>5093.83</v>
      </c>
      <c r="BN56" s="13">
        <v>5093</v>
      </c>
      <c r="BO56" s="13">
        <v>5092</v>
      </c>
      <c r="BP56" s="13">
        <v>5093.83</v>
      </c>
      <c r="BQ56" s="13">
        <v>5094</v>
      </c>
      <c r="BR56" s="13">
        <v>5094</v>
      </c>
      <c r="BS56" s="13">
        <v>5094</v>
      </c>
      <c r="BT56" s="13">
        <v>5096.83</v>
      </c>
      <c r="BU56" s="13">
        <v>5097.83</v>
      </c>
      <c r="BV56" s="13">
        <v>5103.74</v>
      </c>
      <c r="BW56" s="13">
        <v>5104.63</v>
      </c>
      <c r="BX56" s="13">
        <v>5106.04</v>
      </c>
      <c r="BY56" s="13">
        <v>5108.3999999999996</v>
      </c>
      <c r="BZ56" s="13">
        <v>5108.3999999999996</v>
      </c>
      <c r="CA56" s="13">
        <v>5109.5</v>
      </c>
      <c r="CB56" s="13">
        <v>5109.6000000000004</v>
      </c>
      <c r="CC56" s="13">
        <v>5109.5</v>
      </c>
      <c r="CD56" s="13">
        <v>5107.7</v>
      </c>
      <c r="CE56" s="13">
        <v>5105.8999999999996</v>
      </c>
      <c r="CF56" s="13">
        <v>5105.8999999999996</v>
      </c>
      <c r="CG56" s="13">
        <v>5105.8999999999996</v>
      </c>
      <c r="CH56" s="13">
        <v>5105.3</v>
      </c>
      <c r="CI56" s="13">
        <v>5104.7</v>
      </c>
      <c r="CJ56" s="13">
        <v>5104.7</v>
      </c>
      <c r="CK56" s="13">
        <v>5105.68</v>
      </c>
      <c r="CL56" s="13">
        <v>5106.59</v>
      </c>
      <c r="CM56" s="13">
        <v>5106.59</v>
      </c>
      <c r="CN56" s="13">
        <v>5106.59</v>
      </c>
      <c r="CO56" s="13">
        <v>5106.59</v>
      </c>
      <c r="CP56" s="13">
        <v>5107.6499999999996</v>
      </c>
      <c r="CQ56" s="13">
        <v>5107.76</v>
      </c>
      <c r="CR56" s="13">
        <v>5108.29</v>
      </c>
      <c r="CS56" s="13">
        <v>5108.71</v>
      </c>
      <c r="CT56" s="13">
        <v>5108.13</v>
      </c>
      <c r="CU56" s="13">
        <v>5106.18</v>
      </c>
      <c r="CV56" s="13">
        <v>5105</v>
      </c>
      <c r="CW56" s="13">
        <v>5105</v>
      </c>
      <c r="CX56" s="13">
        <v>5104.59</v>
      </c>
      <c r="CY56" s="13">
        <v>5104.59</v>
      </c>
      <c r="CZ56" s="13">
        <v>5103.41</v>
      </c>
      <c r="DA56" s="13">
        <v>5102.88</v>
      </c>
      <c r="DB56" s="13">
        <v>5102.88</v>
      </c>
      <c r="DC56" s="13">
        <v>5102.88</v>
      </c>
      <c r="DD56" s="13">
        <v>5100.76</v>
      </c>
      <c r="DE56" s="13">
        <v>5101.41</v>
      </c>
      <c r="DF56" s="13">
        <v>5103.63</v>
      </c>
    </row>
    <row r="57" spans="1:110" ht="15.75" x14ac:dyDescent="0.25">
      <c r="A57" s="14"/>
      <c r="B57" s="12" t="s">
        <v>10</v>
      </c>
      <c r="C57" s="13">
        <v>5132.38</v>
      </c>
      <c r="D57" s="13">
        <v>5132.5</v>
      </c>
      <c r="E57" s="13">
        <v>5135</v>
      </c>
      <c r="F57" s="13">
        <v>5135</v>
      </c>
      <c r="G57" s="13">
        <v>5136.72</v>
      </c>
      <c r="H57" s="13">
        <v>5136</v>
      </c>
      <c r="I57" s="13">
        <v>5131.1099999999997</v>
      </c>
      <c r="J57" s="13">
        <v>5132.3900000000003</v>
      </c>
      <c r="K57" s="13">
        <v>5135</v>
      </c>
      <c r="L57" s="13">
        <v>5136.7700000000004</v>
      </c>
      <c r="M57" s="13">
        <v>5132.7700000000004</v>
      </c>
      <c r="N57" s="13">
        <v>5128.6099999999997</v>
      </c>
      <c r="O57" s="13">
        <v>5113.2700000000004</v>
      </c>
      <c r="P57" s="13">
        <v>5111.13</v>
      </c>
      <c r="Q57" s="13">
        <v>5111.8</v>
      </c>
      <c r="R57" s="13"/>
      <c r="S57" s="13"/>
      <c r="T57" s="13"/>
      <c r="U57" s="13">
        <v>5111.33</v>
      </c>
      <c r="V57" s="13">
        <v>5112</v>
      </c>
      <c r="W57" s="13">
        <v>5112.2299999999996</v>
      </c>
      <c r="X57" s="13">
        <v>5115</v>
      </c>
      <c r="Y57" s="13">
        <v>5113.1499999999996</v>
      </c>
      <c r="Z57" s="13">
        <v>5105.92</v>
      </c>
      <c r="AA57" s="13">
        <v>5106.6899999999996</v>
      </c>
      <c r="AB57" s="13">
        <v>5113</v>
      </c>
      <c r="AC57" s="13">
        <v>5110.83</v>
      </c>
      <c r="AD57" s="13">
        <v>5110.83</v>
      </c>
      <c r="AE57" s="13">
        <v>5111.83</v>
      </c>
      <c r="AF57" s="13">
        <v>5107.83</v>
      </c>
      <c r="AG57" s="13">
        <v>5104</v>
      </c>
      <c r="AH57" s="13">
        <v>5106</v>
      </c>
      <c r="AI57" s="13">
        <v>5107</v>
      </c>
      <c r="AJ57" s="13">
        <v>5102.83</v>
      </c>
      <c r="AK57" s="13">
        <v>5096</v>
      </c>
      <c r="AL57" s="13">
        <v>5090.17</v>
      </c>
      <c r="AM57" s="13">
        <v>5090.83</v>
      </c>
      <c r="AN57" s="13">
        <v>5089.83</v>
      </c>
      <c r="AO57" s="13">
        <v>5089</v>
      </c>
      <c r="AP57" s="13">
        <v>5088.83</v>
      </c>
      <c r="AQ57" s="13">
        <v>5090.83</v>
      </c>
      <c r="AR57" s="13">
        <v>5091.83</v>
      </c>
      <c r="AS57" s="13">
        <v>5095.83</v>
      </c>
      <c r="AT57" s="13">
        <v>5093.83</v>
      </c>
      <c r="AU57" s="13">
        <v>5091.83</v>
      </c>
      <c r="AV57" s="13">
        <v>5088.83</v>
      </c>
      <c r="AW57" s="13">
        <v>5088.83</v>
      </c>
      <c r="AX57" s="13">
        <v>5087</v>
      </c>
      <c r="AY57" s="13">
        <v>5087</v>
      </c>
      <c r="AZ57" s="13">
        <v>5091</v>
      </c>
      <c r="BA57" s="13">
        <v>5091.83</v>
      </c>
      <c r="BB57" s="13">
        <v>5090</v>
      </c>
      <c r="BC57" s="13">
        <v>5090.83</v>
      </c>
      <c r="BD57" s="13">
        <v>5090</v>
      </c>
      <c r="BE57" s="13">
        <v>5092.17</v>
      </c>
      <c r="BF57" s="13">
        <v>5092.83</v>
      </c>
      <c r="BG57" s="13">
        <v>5092</v>
      </c>
      <c r="BH57" s="13">
        <v>5090</v>
      </c>
      <c r="BI57" s="13">
        <v>5091</v>
      </c>
      <c r="BJ57" s="13">
        <v>5090.17</v>
      </c>
      <c r="BK57" s="13">
        <v>5089.83</v>
      </c>
      <c r="BL57" s="13">
        <v>5093.83</v>
      </c>
      <c r="BM57" s="13">
        <v>5093</v>
      </c>
      <c r="BN57" s="13">
        <v>5088.83</v>
      </c>
      <c r="BO57" s="13">
        <v>5092</v>
      </c>
      <c r="BP57" s="13">
        <v>5093</v>
      </c>
      <c r="BQ57" s="13">
        <v>5094</v>
      </c>
      <c r="BR57" s="13">
        <v>5094</v>
      </c>
      <c r="BS57" s="13">
        <v>5094</v>
      </c>
      <c r="BT57" s="13">
        <v>5096.83</v>
      </c>
      <c r="BU57" s="13">
        <v>5097.83</v>
      </c>
      <c r="BV57" s="13">
        <v>5103.74</v>
      </c>
      <c r="BW57" s="13">
        <v>5104.63</v>
      </c>
      <c r="BX57" s="13">
        <v>5106.04</v>
      </c>
      <c r="BY57" s="13">
        <v>5108.3999999999996</v>
      </c>
      <c r="BZ57" s="13">
        <v>5108.3999999999996</v>
      </c>
      <c r="CA57" s="13">
        <v>5109.5</v>
      </c>
      <c r="CB57" s="13">
        <v>5108.3999999999996</v>
      </c>
      <c r="CC57" s="13">
        <v>5107.2</v>
      </c>
      <c r="CD57" s="13">
        <v>5104.7</v>
      </c>
      <c r="CE57" s="13">
        <v>5105.3999999999996</v>
      </c>
      <c r="CF57" s="13">
        <v>5105.8999999999996</v>
      </c>
      <c r="CG57" s="13">
        <v>5103.5</v>
      </c>
      <c r="CH57" s="13">
        <v>5105.3</v>
      </c>
      <c r="CI57" s="13">
        <v>5104.7</v>
      </c>
      <c r="CJ57" s="13">
        <v>5104.7</v>
      </c>
      <c r="CK57" s="13">
        <v>5105.68</v>
      </c>
      <c r="CL57" s="13">
        <v>5106.59</v>
      </c>
      <c r="CM57" s="13">
        <v>5106.59</v>
      </c>
      <c r="CN57" s="13">
        <v>5106.0600000000004</v>
      </c>
      <c r="CO57" s="13">
        <v>5106.59</v>
      </c>
      <c r="CP57" s="13">
        <v>5107.6499999999996</v>
      </c>
      <c r="CQ57" s="13">
        <v>5107.76</v>
      </c>
      <c r="CR57" s="13">
        <v>5108.29</v>
      </c>
      <c r="CS57" s="13">
        <v>5107.53</v>
      </c>
      <c r="CT57" s="13">
        <v>5106.18</v>
      </c>
      <c r="CU57" s="13">
        <v>5104.47</v>
      </c>
      <c r="CV57" s="13">
        <v>5105</v>
      </c>
      <c r="CW57" s="13">
        <v>5104.59</v>
      </c>
      <c r="CX57" s="13">
        <v>5104.59</v>
      </c>
      <c r="CY57" s="13">
        <v>5103.41</v>
      </c>
      <c r="CZ57" s="13">
        <v>5102.3500000000004</v>
      </c>
      <c r="DA57" s="13">
        <v>5102.88</v>
      </c>
      <c r="DB57" s="13">
        <v>5102.88</v>
      </c>
      <c r="DC57" s="13">
        <v>5100.6499999999996</v>
      </c>
      <c r="DD57" s="13">
        <v>5100.76</v>
      </c>
      <c r="DE57" s="13">
        <v>5101.41</v>
      </c>
      <c r="DF57" s="13">
        <v>5102.67</v>
      </c>
    </row>
    <row r="58" spans="1:110" ht="15.75" x14ac:dyDescent="0.25">
      <c r="A58" s="14"/>
      <c r="B58" s="12" t="s">
        <v>9</v>
      </c>
      <c r="C58" s="13">
        <v>5124</v>
      </c>
      <c r="D58" s="13">
        <v>5125.2299999999996</v>
      </c>
      <c r="E58" s="13">
        <v>5124.95</v>
      </c>
      <c r="F58" s="13">
        <v>5124.79</v>
      </c>
      <c r="G58" s="13">
        <v>5127</v>
      </c>
      <c r="H58" s="13">
        <v>5125.47</v>
      </c>
      <c r="I58" s="13">
        <v>5121.21</v>
      </c>
      <c r="J58" s="13">
        <v>5122.05</v>
      </c>
      <c r="K58" s="13">
        <v>5124.26</v>
      </c>
      <c r="L58" s="13">
        <v>5126</v>
      </c>
      <c r="M58" s="13">
        <v>5122.78</v>
      </c>
      <c r="N58" s="13">
        <v>5118.67</v>
      </c>
      <c r="O58" s="13">
        <v>5107.3500000000004</v>
      </c>
      <c r="P58" s="13">
        <v>5105.9399999999996</v>
      </c>
      <c r="Q58" s="13">
        <v>5098.93</v>
      </c>
      <c r="R58" s="13"/>
      <c r="S58" s="13"/>
      <c r="T58" s="13"/>
      <c r="U58" s="13">
        <v>5098.93</v>
      </c>
      <c r="V58" s="13">
        <v>5100.5</v>
      </c>
      <c r="W58" s="13">
        <v>5101.5</v>
      </c>
      <c r="X58" s="13">
        <v>5103.07</v>
      </c>
      <c r="Y58" s="13">
        <v>5101.3599999999997</v>
      </c>
      <c r="Z58" s="13">
        <v>5095.5</v>
      </c>
      <c r="AA58" s="13">
        <v>5095.67</v>
      </c>
      <c r="AB58" s="13">
        <v>5101.3599999999997</v>
      </c>
      <c r="AC58" s="13">
        <v>5099.6400000000003</v>
      </c>
      <c r="AD58" s="13">
        <v>5098.79</v>
      </c>
      <c r="AE58" s="13">
        <v>5100.3599999999997</v>
      </c>
      <c r="AF58" s="13">
        <v>5096.21</v>
      </c>
      <c r="AG58" s="13">
        <v>5093.6400000000003</v>
      </c>
      <c r="AH58" s="13">
        <v>5095.5</v>
      </c>
      <c r="AI58" s="13">
        <v>5096.21</v>
      </c>
      <c r="AJ58" s="13">
        <v>5092.79</v>
      </c>
      <c r="AK58" s="13">
        <v>5086.79</v>
      </c>
      <c r="AL58" s="13">
        <v>5083</v>
      </c>
      <c r="AM58" s="13">
        <v>5082.7700000000004</v>
      </c>
      <c r="AN58" s="13">
        <v>5081</v>
      </c>
      <c r="AO58" s="13">
        <v>5081</v>
      </c>
      <c r="AP58" s="13">
        <v>5082</v>
      </c>
      <c r="AQ58" s="13">
        <v>5082</v>
      </c>
      <c r="AR58" s="13">
        <v>5084.54</v>
      </c>
      <c r="AS58" s="13">
        <v>5087</v>
      </c>
      <c r="AT58" s="13">
        <v>5085</v>
      </c>
      <c r="AU58" s="13">
        <v>5083</v>
      </c>
      <c r="AV58" s="13">
        <v>5081</v>
      </c>
      <c r="AW58" s="13">
        <v>5080</v>
      </c>
      <c r="AX58" s="13">
        <v>5079</v>
      </c>
      <c r="AY58" s="13">
        <v>5078.7700000000004</v>
      </c>
      <c r="AZ58" s="13">
        <v>5082.7700000000004</v>
      </c>
      <c r="BA58" s="13">
        <v>5083</v>
      </c>
      <c r="BB58" s="13">
        <v>5081.8599999999997</v>
      </c>
      <c r="BC58" s="13">
        <v>5082.07</v>
      </c>
      <c r="BD58" s="13">
        <v>5080.21</v>
      </c>
      <c r="BE58" s="13">
        <v>5084.4799999999996</v>
      </c>
      <c r="BF58" s="13">
        <v>5084.57</v>
      </c>
      <c r="BG58" s="13">
        <v>5083.57</v>
      </c>
      <c r="BH58" s="13">
        <v>5080.87</v>
      </c>
      <c r="BI58" s="13">
        <v>5079.7</v>
      </c>
      <c r="BJ58" s="13">
        <v>5080.43</v>
      </c>
      <c r="BK58" s="13">
        <v>5079.8100000000004</v>
      </c>
      <c r="BL58" s="13">
        <v>5082.29</v>
      </c>
      <c r="BM58" s="13">
        <v>5081.67</v>
      </c>
      <c r="BN58" s="13">
        <v>5079.33</v>
      </c>
      <c r="BO58" s="13">
        <v>5081.5200000000004</v>
      </c>
      <c r="BP58" s="13">
        <v>5081.1899999999996</v>
      </c>
      <c r="BQ58" s="13">
        <v>5082.29</v>
      </c>
      <c r="BR58" s="13">
        <v>5081.67</v>
      </c>
      <c r="BS58" s="13">
        <v>5082.62</v>
      </c>
      <c r="BT58" s="13">
        <v>5084</v>
      </c>
      <c r="BU58" s="13">
        <v>5084.1400000000003</v>
      </c>
      <c r="BV58" s="13">
        <v>5085.5200000000004</v>
      </c>
      <c r="BW58" s="13">
        <v>5077.93</v>
      </c>
      <c r="BX58" s="13">
        <v>5078.72</v>
      </c>
      <c r="BY58" s="13">
        <v>5078.93</v>
      </c>
      <c r="BZ58" s="13">
        <v>5074.1099999999997</v>
      </c>
      <c r="CA58" s="13">
        <v>5074.59</v>
      </c>
      <c r="CB58" s="13">
        <v>5074.33</v>
      </c>
      <c r="CC58" s="13">
        <v>5073.8999999999996</v>
      </c>
      <c r="CD58" s="13">
        <v>5073.05</v>
      </c>
      <c r="CE58" s="13">
        <v>5073.1000000000004</v>
      </c>
      <c r="CF58" s="13">
        <v>5073.26</v>
      </c>
      <c r="CG58" s="13">
        <v>5072.03</v>
      </c>
      <c r="CH58" s="13">
        <v>5073.1499999999996</v>
      </c>
      <c r="CI58" s="13">
        <v>5073.13</v>
      </c>
      <c r="CJ58" s="13">
        <v>5073.13</v>
      </c>
      <c r="CK58" s="13">
        <v>5073.3100000000004</v>
      </c>
      <c r="CL58" s="13">
        <v>5072.6400000000003</v>
      </c>
      <c r="CM58" s="13">
        <v>5072.6400000000003</v>
      </c>
      <c r="CN58" s="13">
        <v>5072.46</v>
      </c>
      <c r="CO58" s="13">
        <v>5072.6400000000003</v>
      </c>
      <c r="CP58" s="13">
        <v>5073.0200000000004</v>
      </c>
      <c r="CQ58" s="13">
        <v>5073.0200000000004</v>
      </c>
      <c r="CR58" s="13">
        <v>5073.2</v>
      </c>
      <c r="CS58" s="13">
        <v>5073.0200000000004</v>
      </c>
      <c r="CT58" s="13">
        <v>5072.41</v>
      </c>
      <c r="CU58" s="13">
        <v>5071.8500000000004</v>
      </c>
      <c r="CV58" s="13">
        <v>5072.2700000000004</v>
      </c>
      <c r="CW58" s="13">
        <v>5071.8999999999996</v>
      </c>
      <c r="CX58" s="13">
        <v>5071.8999999999996</v>
      </c>
      <c r="CY58" s="13">
        <v>5071.6099999999997</v>
      </c>
      <c r="CZ58" s="13">
        <v>5071.29</v>
      </c>
      <c r="DA58" s="13">
        <v>5071.29</v>
      </c>
      <c r="DB58" s="13">
        <v>5071.29</v>
      </c>
      <c r="DC58" s="13">
        <v>5070.59</v>
      </c>
      <c r="DD58" s="13">
        <v>5070.59</v>
      </c>
      <c r="DE58" s="13">
        <v>5070.53</v>
      </c>
      <c r="DF58" s="13">
        <v>5072.34</v>
      </c>
    </row>
    <row r="59" spans="1:110" ht="15.75" x14ac:dyDescent="0.25">
      <c r="A59" s="14"/>
      <c r="B59" s="12" t="s">
        <v>7</v>
      </c>
      <c r="C59" s="13">
        <v>5121</v>
      </c>
      <c r="D59" s="13">
        <v>5122.2299999999996</v>
      </c>
      <c r="E59" s="13">
        <v>5120</v>
      </c>
      <c r="F59" s="13">
        <v>5122.8900000000003</v>
      </c>
      <c r="G59" s="13">
        <v>5124.79</v>
      </c>
      <c r="H59" s="13">
        <v>5123.58</v>
      </c>
      <c r="I59" s="13">
        <v>5120.16</v>
      </c>
      <c r="J59" s="13">
        <v>5121.21</v>
      </c>
      <c r="K59" s="13">
        <v>5122.05</v>
      </c>
      <c r="L59" s="13">
        <v>5124.26</v>
      </c>
      <c r="M59" s="13">
        <v>5122.78</v>
      </c>
      <c r="N59" s="13">
        <v>5118.67</v>
      </c>
      <c r="O59" s="13">
        <v>5107.3500000000004</v>
      </c>
      <c r="P59" s="13">
        <v>5105.9399999999996</v>
      </c>
      <c r="Q59" s="13">
        <v>5097.21</v>
      </c>
      <c r="R59" s="13"/>
      <c r="S59" s="13"/>
      <c r="T59" s="13"/>
      <c r="U59" s="13">
        <v>5098.93</v>
      </c>
      <c r="V59" s="13">
        <v>5095.3599999999997</v>
      </c>
      <c r="W59" s="13">
        <v>5099.79</v>
      </c>
      <c r="X59" s="13">
        <v>5100.5</v>
      </c>
      <c r="Y59" s="13">
        <v>5101.3599999999997</v>
      </c>
      <c r="Z59" s="13">
        <v>5095.5</v>
      </c>
      <c r="AA59" s="13">
        <v>5094.6400000000003</v>
      </c>
      <c r="AB59" s="13">
        <v>5096.21</v>
      </c>
      <c r="AC59" s="13">
        <v>5097.93</v>
      </c>
      <c r="AD59" s="13">
        <v>5098.79</v>
      </c>
      <c r="AE59" s="13">
        <v>5098.79</v>
      </c>
      <c r="AF59" s="13">
        <v>5096.21</v>
      </c>
      <c r="AG59" s="13">
        <v>5093.6400000000003</v>
      </c>
      <c r="AH59" s="13">
        <v>5093.6400000000003</v>
      </c>
      <c r="AI59" s="13">
        <v>5095.5</v>
      </c>
      <c r="AJ59" s="13">
        <v>5092.79</v>
      </c>
      <c r="AK59" s="13">
        <v>5086.79</v>
      </c>
      <c r="AL59" s="13">
        <v>5083</v>
      </c>
      <c r="AM59" s="13">
        <v>5081</v>
      </c>
      <c r="AN59" s="13">
        <v>5081</v>
      </c>
      <c r="AO59" s="13">
        <v>5077</v>
      </c>
      <c r="AP59" s="13">
        <v>5079</v>
      </c>
      <c r="AQ59" s="13">
        <v>5081.2299999999996</v>
      </c>
      <c r="AR59" s="13">
        <v>5082</v>
      </c>
      <c r="AS59" s="13">
        <v>5085.2299999999996</v>
      </c>
      <c r="AT59" s="13">
        <v>5085</v>
      </c>
      <c r="AU59" s="13">
        <v>5083</v>
      </c>
      <c r="AV59" s="13">
        <v>5081</v>
      </c>
      <c r="AW59" s="13">
        <v>5080</v>
      </c>
      <c r="AX59" s="13">
        <v>5079</v>
      </c>
      <c r="AY59" s="13">
        <v>5078</v>
      </c>
      <c r="AZ59" s="13">
        <v>5078.7700000000004</v>
      </c>
      <c r="BA59" s="13">
        <v>5081.1400000000003</v>
      </c>
      <c r="BB59" s="13">
        <v>5080.43</v>
      </c>
      <c r="BC59" s="13">
        <v>5081.1400000000003</v>
      </c>
      <c r="BD59" s="13">
        <v>5080.21</v>
      </c>
      <c r="BE59" s="13">
        <v>5079.78</v>
      </c>
      <c r="BF59" s="13">
        <v>5083.6899999999996</v>
      </c>
      <c r="BG59" s="13">
        <v>5083.57</v>
      </c>
      <c r="BH59" s="13">
        <v>5079.53</v>
      </c>
      <c r="BI59" s="13">
        <v>5079.3999999999996</v>
      </c>
      <c r="BJ59" s="13">
        <v>5079.7</v>
      </c>
      <c r="BK59" s="13">
        <v>5079.8100000000004</v>
      </c>
      <c r="BL59" s="13">
        <v>5079.8100000000004</v>
      </c>
      <c r="BM59" s="13">
        <v>5081.1899999999996</v>
      </c>
      <c r="BN59" s="13">
        <v>5079.33</v>
      </c>
      <c r="BO59" s="13">
        <v>5079.33</v>
      </c>
      <c r="BP59" s="13">
        <v>5081.1899999999996</v>
      </c>
      <c r="BQ59" s="13">
        <v>5081.1899999999996</v>
      </c>
      <c r="BR59" s="13">
        <v>5081.67</v>
      </c>
      <c r="BS59" s="13">
        <v>5081.67</v>
      </c>
      <c r="BT59" s="13">
        <v>5082.62</v>
      </c>
      <c r="BU59" s="13">
        <v>5084</v>
      </c>
      <c r="BV59" s="13">
        <v>5084.1400000000003</v>
      </c>
      <c r="BW59" s="13">
        <v>5077.3</v>
      </c>
      <c r="BX59" s="13">
        <v>5078.1499999999996</v>
      </c>
      <c r="BY59" s="13">
        <v>5078.72</v>
      </c>
      <c r="BZ59" s="13">
        <v>5074.1099999999997</v>
      </c>
      <c r="CA59" s="13">
        <v>5074.4399999999996</v>
      </c>
      <c r="CB59" s="13">
        <v>5074.33</v>
      </c>
      <c r="CC59" s="13">
        <v>5073.8999999999996</v>
      </c>
      <c r="CD59" s="13">
        <v>5072.62</v>
      </c>
      <c r="CE59" s="13">
        <v>5073.05</v>
      </c>
      <c r="CF59" s="13">
        <v>5073.1000000000004</v>
      </c>
      <c r="CG59" s="13">
        <v>5069.3900000000003</v>
      </c>
      <c r="CH59" s="13">
        <v>5072.03</v>
      </c>
      <c r="CI59" s="13">
        <v>5072.08</v>
      </c>
      <c r="CJ59" s="13">
        <v>5073</v>
      </c>
      <c r="CK59" s="13">
        <v>5072.2700000000004</v>
      </c>
      <c r="CL59" s="13">
        <v>5072.6400000000003</v>
      </c>
      <c r="CM59" s="13">
        <v>5072.6400000000003</v>
      </c>
      <c r="CN59" s="13">
        <v>5072.46</v>
      </c>
      <c r="CO59" s="13">
        <v>5072.2700000000004</v>
      </c>
      <c r="CP59" s="13">
        <v>5072.59</v>
      </c>
      <c r="CQ59" s="13">
        <v>5073.0200000000004</v>
      </c>
      <c r="CR59" s="13">
        <v>5073.0200000000004</v>
      </c>
      <c r="CS59" s="13">
        <v>5073.0200000000004</v>
      </c>
      <c r="CT59" s="13">
        <v>5072.41</v>
      </c>
      <c r="CU59" s="13">
        <v>5071.71</v>
      </c>
      <c r="CV59" s="13">
        <v>5071.8500000000004</v>
      </c>
      <c r="CW59" s="13">
        <v>5071.8999999999996</v>
      </c>
      <c r="CX59" s="13">
        <v>5071.8999999999996</v>
      </c>
      <c r="CY59" s="13">
        <v>5071.34</v>
      </c>
      <c r="CZ59" s="13">
        <v>5070.97</v>
      </c>
      <c r="DA59" s="13">
        <v>5071.1499999999996</v>
      </c>
      <c r="DB59" s="13">
        <v>5071.29</v>
      </c>
      <c r="DC59" s="13">
        <v>5070.59</v>
      </c>
      <c r="DD59" s="13">
        <v>5070.59</v>
      </c>
      <c r="DE59" s="13">
        <v>5069.79</v>
      </c>
      <c r="DF59" s="13">
        <v>5072.34</v>
      </c>
    </row>
    <row r="60" spans="1:110" ht="15.75" x14ac:dyDescent="0.25">
      <c r="A60" s="14"/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</row>
    <row r="61" spans="1:110" ht="15.75" x14ac:dyDescent="0.25">
      <c r="A61" s="11"/>
      <c r="B61" s="11" t="s">
        <v>11</v>
      </c>
      <c r="C61" s="15"/>
      <c r="D61" s="15"/>
      <c r="E61" s="15"/>
      <c r="F61" s="15"/>
      <c r="G61" s="15"/>
      <c r="H61" s="15"/>
      <c r="I61" s="15"/>
      <c r="J61" s="15">
        <v>0.40277777777777773</v>
      </c>
      <c r="K61" s="15">
        <v>0.40625</v>
      </c>
      <c r="L61" s="15">
        <v>0.40972222222222227</v>
      </c>
      <c r="M61" s="15">
        <v>0.41319444444444442</v>
      </c>
      <c r="N61" s="15">
        <v>0.41666666666666669</v>
      </c>
      <c r="O61" s="15">
        <v>0.4201388888888889</v>
      </c>
      <c r="P61" s="15">
        <v>0.4236111111111111</v>
      </c>
      <c r="Q61" s="15">
        <v>0.42708333333333331</v>
      </c>
      <c r="R61" s="15">
        <v>0.43055555555555558</v>
      </c>
      <c r="S61" s="15">
        <v>0.43402777777777773</v>
      </c>
      <c r="T61" s="15">
        <v>0.4375</v>
      </c>
      <c r="U61" s="15">
        <v>0.44097222222222227</v>
      </c>
      <c r="V61" s="15">
        <v>0.44444444444444442</v>
      </c>
      <c r="W61" s="15">
        <v>0.44791666666666669</v>
      </c>
      <c r="X61" s="15">
        <v>0.4513888888888889</v>
      </c>
      <c r="Y61" s="15">
        <v>0.4548611111111111</v>
      </c>
      <c r="Z61" s="15">
        <v>0.45833333333333331</v>
      </c>
      <c r="AA61" s="15">
        <v>0.46180555555555558</v>
      </c>
      <c r="AB61" s="15">
        <v>0.46527777777777773</v>
      </c>
      <c r="AC61" s="15">
        <v>0.46875</v>
      </c>
      <c r="AD61" s="15">
        <v>0.47222222222222227</v>
      </c>
      <c r="AE61" s="15">
        <v>0.47569444444444442</v>
      </c>
      <c r="AF61" s="15">
        <v>0.47916666666666669</v>
      </c>
      <c r="AG61" s="15">
        <v>0.4826388888888889</v>
      </c>
      <c r="AH61" s="15">
        <v>0.4861111111111111</v>
      </c>
      <c r="AI61" s="15">
        <v>0.48958333333333331</v>
      </c>
      <c r="AJ61" s="15">
        <v>0.49305555555555558</v>
      </c>
      <c r="AK61" s="15">
        <v>0.49652777777777773</v>
      </c>
      <c r="AL61" s="15">
        <v>0.5</v>
      </c>
      <c r="AM61" s="15">
        <v>0.50347222222222221</v>
      </c>
      <c r="AN61" s="15">
        <v>0.50694444444444442</v>
      </c>
      <c r="AO61" s="15">
        <v>0.51041666666666663</v>
      </c>
      <c r="AP61" s="15">
        <v>0.51388888888888895</v>
      </c>
      <c r="AQ61" s="15">
        <v>0.51736111111111105</v>
      </c>
      <c r="AR61" s="15">
        <v>0.52083333333333337</v>
      </c>
      <c r="AS61" s="15">
        <v>0.52430555555555558</v>
      </c>
      <c r="AT61" s="15">
        <v>0.52777777777777779</v>
      </c>
      <c r="AU61" s="15">
        <v>0.53125</v>
      </c>
      <c r="AV61" s="15">
        <v>0.53472222222222221</v>
      </c>
      <c r="AW61" s="15">
        <v>0.53819444444444442</v>
      </c>
      <c r="AX61" s="15">
        <v>0.54166666666666663</v>
      </c>
      <c r="AY61" s="15">
        <v>0.54513888888888895</v>
      </c>
      <c r="AZ61" s="15">
        <v>0.54861111111111105</v>
      </c>
      <c r="BA61" s="15">
        <v>0.55208333333333337</v>
      </c>
      <c r="BB61" s="15">
        <v>0.55555555555555558</v>
      </c>
      <c r="BC61" s="15">
        <v>0.55902777777777779</v>
      </c>
      <c r="BD61" s="15">
        <v>0.5625</v>
      </c>
      <c r="BE61" s="15">
        <v>0.56597222222222221</v>
      </c>
      <c r="BF61" s="15">
        <v>0.56944444444444442</v>
      </c>
      <c r="BG61" s="15">
        <v>0.57291666666666663</v>
      </c>
      <c r="BH61" s="15">
        <v>0.57638888888888895</v>
      </c>
      <c r="BI61" s="15">
        <v>0.57986111111111105</v>
      </c>
      <c r="BJ61" s="15">
        <v>0.58333333333333337</v>
      </c>
      <c r="BK61" s="15">
        <v>0.58680555555555558</v>
      </c>
      <c r="BL61" s="15">
        <v>0.59027777777777779</v>
      </c>
      <c r="BM61" s="15">
        <v>0.59375</v>
      </c>
      <c r="BN61" s="15">
        <v>0.59722222222222221</v>
      </c>
      <c r="BO61" s="15">
        <v>0.60069444444444442</v>
      </c>
      <c r="BP61" s="15">
        <v>0.60416666666666663</v>
      </c>
      <c r="BQ61" s="15">
        <v>0.60763888888888895</v>
      </c>
      <c r="BR61" s="15">
        <v>0.61111111111111105</v>
      </c>
      <c r="BS61" s="15">
        <v>0.61458333333333337</v>
      </c>
      <c r="BT61" s="15">
        <v>0.61805555555555558</v>
      </c>
      <c r="BU61" s="15">
        <v>0.62152777777777779</v>
      </c>
      <c r="BV61" s="15">
        <v>0.625</v>
      </c>
      <c r="BW61" s="15">
        <v>0.62847222222222221</v>
      </c>
      <c r="BX61" s="15">
        <v>0.63194444444444442</v>
      </c>
      <c r="BY61" s="15">
        <v>0.63541666666666663</v>
      </c>
      <c r="BZ61" s="15">
        <v>0.63888888888888895</v>
      </c>
      <c r="CA61" s="15">
        <v>0.64236111111111105</v>
      </c>
      <c r="CB61" s="15">
        <v>0.64583333333333337</v>
      </c>
      <c r="CC61" s="15">
        <v>0.64930555555555558</v>
      </c>
      <c r="CD61" s="15">
        <v>0.65277777777777779</v>
      </c>
      <c r="CE61" s="15">
        <v>0.65625</v>
      </c>
      <c r="CF61" s="15">
        <v>0.65972222222222221</v>
      </c>
      <c r="CG61" s="15">
        <v>0.66319444444444442</v>
      </c>
      <c r="CH61" s="15">
        <v>0.66666666666666663</v>
      </c>
      <c r="CI61" s="15">
        <v>0.67013888888888884</v>
      </c>
      <c r="CJ61" s="15">
        <v>0.67361111111111116</v>
      </c>
      <c r="CK61" s="15">
        <v>0.67708333333333337</v>
      </c>
      <c r="CL61" s="15">
        <v>0.68055555555555547</v>
      </c>
      <c r="CM61" s="15">
        <v>0.68402777777777779</v>
      </c>
      <c r="CN61" s="15">
        <v>0.6875</v>
      </c>
      <c r="CO61" s="15">
        <v>0.69097222222222221</v>
      </c>
      <c r="CP61" s="15">
        <v>0.69444444444444453</v>
      </c>
      <c r="CQ61" s="15">
        <v>0.69791666666666663</v>
      </c>
      <c r="CR61" s="15">
        <v>0.70138888888888884</v>
      </c>
      <c r="CS61" s="15">
        <v>0.70486111111111116</v>
      </c>
      <c r="CT61" s="15">
        <v>0.70833333333333337</v>
      </c>
      <c r="CU61" s="15">
        <v>0.71180555555555547</v>
      </c>
      <c r="CV61" s="15">
        <v>0.71527777777777779</v>
      </c>
      <c r="CW61" s="15">
        <v>0.71875</v>
      </c>
      <c r="CX61" s="15">
        <v>0.72222222222222221</v>
      </c>
      <c r="CY61" s="15">
        <v>0.72569444444444453</v>
      </c>
      <c r="CZ61" s="15">
        <v>0.72916666666666663</v>
      </c>
      <c r="DA61" s="15">
        <v>0.73263888888888884</v>
      </c>
      <c r="DB61" s="15">
        <v>0.73611111111111116</v>
      </c>
      <c r="DC61" s="15">
        <v>0.73958333333333337</v>
      </c>
      <c r="DD61" s="15">
        <v>0.74305555555555547</v>
      </c>
      <c r="DE61" s="15">
        <v>0.74652777777777779</v>
      </c>
      <c r="DF61" s="15">
        <v>0.75</v>
      </c>
    </row>
    <row r="62" spans="1:110" ht="15.75" x14ac:dyDescent="0.25">
      <c r="A62" s="14">
        <v>44362</v>
      </c>
      <c r="B62" s="12" t="s">
        <v>6</v>
      </c>
      <c r="C62" s="13"/>
      <c r="D62" s="13"/>
      <c r="E62" s="13"/>
      <c r="F62" s="13"/>
      <c r="G62" s="13"/>
      <c r="H62" s="13"/>
      <c r="I62" s="13"/>
      <c r="J62" s="13">
        <v>5102.7700000000004</v>
      </c>
      <c r="K62" s="13">
        <v>5105</v>
      </c>
      <c r="L62" s="13">
        <v>5107</v>
      </c>
      <c r="M62" s="13">
        <v>5110.7700000000004</v>
      </c>
      <c r="N62" s="13">
        <v>5111</v>
      </c>
      <c r="O62" s="13">
        <v>5112.7700000000004</v>
      </c>
      <c r="P62" s="13">
        <v>5110.83</v>
      </c>
      <c r="Q62" s="13">
        <v>5111.5600000000004</v>
      </c>
      <c r="R62" s="13">
        <v>5107.9399999999996</v>
      </c>
      <c r="S62" s="13">
        <v>5105.9399999999996</v>
      </c>
      <c r="T62" s="13">
        <v>5109.3900000000003</v>
      </c>
      <c r="U62" s="13">
        <v>5113</v>
      </c>
      <c r="V62" s="13">
        <v>5123.8599999999997</v>
      </c>
      <c r="W62" s="13">
        <v>5118.3599999999997</v>
      </c>
      <c r="X62" s="13">
        <v>5131.67</v>
      </c>
      <c r="Y62" s="13">
        <v>5127.1400000000003</v>
      </c>
      <c r="Z62" s="13">
        <v>5134.07</v>
      </c>
      <c r="AA62" s="13">
        <v>5129.04</v>
      </c>
      <c r="AB62" s="13">
        <v>5131.6499999999996</v>
      </c>
      <c r="AC62" s="13">
        <v>5135.04</v>
      </c>
      <c r="AD62" s="13">
        <v>5136.62</v>
      </c>
      <c r="AE62" s="13">
        <v>5135.2299999999996</v>
      </c>
      <c r="AF62" s="13">
        <v>5135.1000000000004</v>
      </c>
      <c r="AG62" s="13">
        <v>5134.3100000000004</v>
      </c>
      <c r="AH62" s="13">
        <v>5133.8599999999997</v>
      </c>
      <c r="AI62" s="13">
        <v>5132.07</v>
      </c>
      <c r="AJ62" s="13">
        <v>5131.17</v>
      </c>
      <c r="AK62" s="13">
        <v>5129.72</v>
      </c>
      <c r="AL62" s="13">
        <v>5130.3100000000004</v>
      </c>
      <c r="AM62" s="13">
        <v>5128.4799999999996</v>
      </c>
      <c r="AN62" s="13">
        <v>5132.03</v>
      </c>
      <c r="AO62" s="13">
        <v>5128.03</v>
      </c>
      <c r="AP62" s="13">
        <v>5125.6899999999996</v>
      </c>
      <c r="AQ62" s="13">
        <v>5125.46</v>
      </c>
      <c r="AR62" s="13">
        <v>5126</v>
      </c>
      <c r="AS62" s="13">
        <v>5126.54</v>
      </c>
      <c r="AT62" s="13">
        <v>5127.63</v>
      </c>
      <c r="AU62" s="13">
        <v>5127.63</v>
      </c>
      <c r="AV62" s="13">
        <v>5134.2</v>
      </c>
      <c r="AW62" s="13">
        <v>5134.72</v>
      </c>
      <c r="AX62" s="13">
        <v>5131.29</v>
      </c>
      <c r="AY62" s="13">
        <v>5131.29</v>
      </c>
      <c r="AZ62" s="13">
        <v>5131.42</v>
      </c>
      <c r="BA62" s="13">
        <v>5129.67</v>
      </c>
      <c r="BB62" s="13">
        <v>5127.63</v>
      </c>
      <c r="BC62" s="13">
        <v>5126.54</v>
      </c>
      <c r="BD62" s="13">
        <v>5127.08</v>
      </c>
      <c r="BE62" s="13">
        <v>5127.63</v>
      </c>
      <c r="BF62" s="13">
        <v>5127.63</v>
      </c>
      <c r="BG62" s="13">
        <v>5126</v>
      </c>
      <c r="BH62" s="13">
        <v>5124.79</v>
      </c>
      <c r="BI62" s="13">
        <v>5127.08</v>
      </c>
      <c r="BJ62" s="13">
        <v>5126.42</v>
      </c>
      <c r="BK62" s="13">
        <v>5126</v>
      </c>
      <c r="BL62" s="13">
        <v>5131.6400000000003</v>
      </c>
      <c r="BM62" s="13">
        <v>5128.17</v>
      </c>
      <c r="BN62" s="13">
        <v>5125.04</v>
      </c>
      <c r="BO62" s="13">
        <v>5123.83</v>
      </c>
      <c r="BP62" s="13">
        <v>5122.63</v>
      </c>
      <c r="BQ62" s="13">
        <v>5122.63</v>
      </c>
      <c r="BR62" s="13">
        <v>5121.67</v>
      </c>
      <c r="BS62" s="13">
        <v>5121</v>
      </c>
      <c r="BT62" s="13">
        <v>5118.96</v>
      </c>
      <c r="BU62" s="13">
        <v>5116.67</v>
      </c>
      <c r="BV62" s="13">
        <v>5119.29</v>
      </c>
      <c r="BW62" s="13">
        <v>5114.5200000000004</v>
      </c>
      <c r="BX62" s="13">
        <v>5112.96</v>
      </c>
      <c r="BY62" s="13">
        <v>5111.28</v>
      </c>
      <c r="BZ62" s="13">
        <v>5110.88</v>
      </c>
      <c r="CA62" s="13">
        <v>5110.3599999999997</v>
      </c>
      <c r="CB62" s="13">
        <v>5110.88</v>
      </c>
      <c r="CC62" s="13">
        <v>5111.3999999999996</v>
      </c>
      <c r="CD62" s="13">
        <v>5111.3999999999996</v>
      </c>
      <c r="CE62" s="13">
        <v>5111.28</v>
      </c>
      <c r="CF62" s="13">
        <v>5110.88</v>
      </c>
      <c r="CG62" s="13">
        <v>5115.71</v>
      </c>
      <c r="CH62" s="13">
        <v>5103.2</v>
      </c>
      <c r="CI62" s="13">
        <v>5094.84</v>
      </c>
      <c r="CJ62" s="13">
        <v>5114</v>
      </c>
      <c r="CK62" s="13">
        <v>5099.43</v>
      </c>
      <c r="CL62" s="13">
        <v>5088.68</v>
      </c>
      <c r="CM62" s="13">
        <v>5087.53</v>
      </c>
      <c r="CN62" s="13">
        <v>5087.53</v>
      </c>
      <c r="CO62" s="13">
        <v>5088.59</v>
      </c>
      <c r="CP62" s="13">
        <v>5088.21</v>
      </c>
      <c r="CQ62" s="13">
        <v>5087.91</v>
      </c>
      <c r="CR62" s="13">
        <v>5087.4399999999996</v>
      </c>
      <c r="CS62" s="13">
        <v>5087.82</v>
      </c>
      <c r="CT62" s="13">
        <v>5087.82</v>
      </c>
      <c r="CU62" s="13">
        <v>5087.4399999999996</v>
      </c>
      <c r="CV62" s="13">
        <v>5087.4399999999996</v>
      </c>
      <c r="CW62" s="13">
        <v>5087.82</v>
      </c>
      <c r="CX62" s="13">
        <v>5087.82</v>
      </c>
      <c r="CY62" s="13">
        <v>5087.82</v>
      </c>
      <c r="CZ62" s="13">
        <v>5087.82</v>
      </c>
      <c r="DA62" s="13">
        <v>5088.59</v>
      </c>
      <c r="DB62" s="13">
        <v>5088.59</v>
      </c>
      <c r="DC62" s="13">
        <v>5088.21</v>
      </c>
      <c r="DD62" s="13">
        <v>5087.09</v>
      </c>
      <c r="DE62" s="13">
        <v>5095.6499999999996</v>
      </c>
      <c r="DF62" s="13">
        <v>5098.6499999999996</v>
      </c>
    </row>
    <row r="63" spans="1:110" ht="15.75" x14ac:dyDescent="0.25">
      <c r="A63" s="14"/>
      <c r="B63" s="12" t="s">
        <v>10</v>
      </c>
      <c r="C63" s="13"/>
      <c r="D63" s="13"/>
      <c r="E63" s="13"/>
      <c r="F63" s="13"/>
      <c r="G63" s="13"/>
      <c r="H63" s="13"/>
      <c r="I63" s="13"/>
      <c r="J63" s="13">
        <v>5102.7700000000004</v>
      </c>
      <c r="K63" s="13">
        <v>5102</v>
      </c>
      <c r="L63" s="13">
        <v>5100.7700000000004</v>
      </c>
      <c r="M63" s="13">
        <v>5107</v>
      </c>
      <c r="N63" s="13">
        <v>5107.7700000000004</v>
      </c>
      <c r="O63" s="13">
        <v>5108.7700000000004</v>
      </c>
      <c r="P63" s="13">
        <v>5110.83</v>
      </c>
      <c r="Q63" s="13">
        <v>5107.9399999999996</v>
      </c>
      <c r="R63" s="13">
        <v>5105.0600000000004</v>
      </c>
      <c r="S63" s="13">
        <v>5102.17</v>
      </c>
      <c r="T63" s="13">
        <v>5109.3900000000003</v>
      </c>
      <c r="U63" s="13">
        <v>5108.83</v>
      </c>
      <c r="V63" s="13">
        <v>5116.71</v>
      </c>
      <c r="W63" s="13">
        <v>5118.3599999999997</v>
      </c>
      <c r="X63" s="13">
        <v>5127.04</v>
      </c>
      <c r="Y63" s="13">
        <v>5127.1400000000003</v>
      </c>
      <c r="Z63" s="13">
        <v>5124.54</v>
      </c>
      <c r="AA63" s="13">
        <v>5128.04</v>
      </c>
      <c r="AB63" s="13">
        <v>5131.6499999999996</v>
      </c>
      <c r="AC63" s="13">
        <v>5135.04</v>
      </c>
      <c r="AD63" s="13">
        <v>5135.62</v>
      </c>
      <c r="AE63" s="13">
        <v>5132.6099999999997</v>
      </c>
      <c r="AF63" s="13">
        <v>5134.3100000000004</v>
      </c>
      <c r="AG63" s="13">
        <v>5132.5200000000004</v>
      </c>
      <c r="AH63" s="13">
        <v>5130.72</v>
      </c>
      <c r="AI63" s="13">
        <v>5131.17</v>
      </c>
      <c r="AJ63" s="13">
        <v>5128.38</v>
      </c>
      <c r="AK63" s="13">
        <v>5127.59</v>
      </c>
      <c r="AL63" s="13">
        <v>5126.59</v>
      </c>
      <c r="AM63" s="13">
        <v>5126.34</v>
      </c>
      <c r="AN63" s="13">
        <v>5127.59</v>
      </c>
      <c r="AO63" s="13">
        <v>5126.6899999999996</v>
      </c>
      <c r="AP63" s="13">
        <v>5122.08</v>
      </c>
      <c r="AQ63" s="13">
        <v>5125.46</v>
      </c>
      <c r="AR63" s="13">
        <v>5126</v>
      </c>
      <c r="AS63" s="13">
        <v>5126.54</v>
      </c>
      <c r="AT63" s="13">
        <v>5126</v>
      </c>
      <c r="AU63" s="13">
        <v>5127.63</v>
      </c>
      <c r="AV63" s="13">
        <v>5131.29</v>
      </c>
      <c r="AW63" s="13">
        <v>5131.29</v>
      </c>
      <c r="AX63" s="13">
        <v>5130.21</v>
      </c>
      <c r="AY63" s="13">
        <v>5130.88</v>
      </c>
      <c r="AZ63" s="13">
        <v>5129.67</v>
      </c>
      <c r="BA63" s="13">
        <v>5127.63</v>
      </c>
      <c r="BB63" s="13">
        <v>5126.83</v>
      </c>
      <c r="BC63" s="13">
        <v>5126</v>
      </c>
      <c r="BD63" s="13">
        <v>5127.08</v>
      </c>
      <c r="BE63" s="13">
        <v>5127.63</v>
      </c>
      <c r="BF63" s="13">
        <v>5125.04</v>
      </c>
      <c r="BG63" s="13">
        <v>5124.79</v>
      </c>
      <c r="BH63" s="13">
        <v>5124.38</v>
      </c>
      <c r="BI63" s="13">
        <v>5126.42</v>
      </c>
      <c r="BJ63" s="13">
        <v>5125.46</v>
      </c>
      <c r="BK63" s="13">
        <v>5125.46</v>
      </c>
      <c r="BL63" s="13">
        <v>5126.54</v>
      </c>
      <c r="BM63" s="13">
        <v>5124.63</v>
      </c>
      <c r="BN63" s="13">
        <v>5123.83</v>
      </c>
      <c r="BO63" s="13">
        <v>5120.17</v>
      </c>
      <c r="BP63" s="13">
        <v>5122.63</v>
      </c>
      <c r="BQ63" s="13">
        <v>5121.67</v>
      </c>
      <c r="BR63" s="13">
        <v>5120.58</v>
      </c>
      <c r="BS63" s="13">
        <v>5118.96</v>
      </c>
      <c r="BT63" s="13">
        <v>5116.67</v>
      </c>
      <c r="BU63" s="13">
        <v>5104.0600000000004</v>
      </c>
      <c r="BV63" s="13">
        <v>5113.4799999999996</v>
      </c>
      <c r="BW63" s="13">
        <v>5112.96</v>
      </c>
      <c r="BX63" s="13">
        <v>5111.28</v>
      </c>
      <c r="BY63" s="13">
        <v>5109.2</v>
      </c>
      <c r="BZ63" s="13">
        <v>5110.3599999999997</v>
      </c>
      <c r="CA63" s="13">
        <v>5108.8</v>
      </c>
      <c r="CB63" s="13">
        <v>5110.88</v>
      </c>
      <c r="CC63" s="13">
        <v>5111.3999999999996</v>
      </c>
      <c r="CD63" s="13">
        <v>5111.28</v>
      </c>
      <c r="CE63" s="13">
        <v>5110.88</v>
      </c>
      <c r="CF63" s="13">
        <v>5107.24</v>
      </c>
      <c r="CG63" s="13">
        <v>5103.6000000000004</v>
      </c>
      <c r="CH63" s="13">
        <v>5093.32</v>
      </c>
      <c r="CI63" s="13">
        <v>5094.84</v>
      </c>
      <c r="CJ63" s="13">
        <v>5093.47</v>
      </c>
      <c r="CK63" s="13">
        <v>5088.68</v>
      </c>
      <c r="CL63" s="13">
        <v>5087.53</v>
      </c>
      <c r="CM63" s="13">
        <v>5087.53</v>
      </c>
      <c r="CN63" s="13">
        <v>5087.1499999999996</v>
      </c>
      <c r="CO63" s="13">
        <v>5088.29</v>
      </c>
      <c r="CP63" s="13">
        <v>5088.21</v>
      </c>
      <c r="CQ63" s="13">
        <v>5087.4399999999996</v>
      </c>
      <c r="CR63" s="13">
        <v>5087.4399999999996</v>
      </c>
      <c r="CS63" s="13">
        <v>5087.53</v>
      </c>
      <c r="CT63" s="13">
        <v>5086.68</v>
      </c>
      <c r="CU63" s="13">
        <v>5087.4399999999996</v>
      </c>
      <c r="CV63" s="13">
        <v>5087.1499999999996</v>
      </c>
      <c r="CW63" s="13">
        <v>5087.53</v>
      </c>
      <c r="CX63" s="13">
        <v>5087.82</v>
      </c>
      <c r="CY63" s="13">
        <v>5087.53</v>
      </c>
      <c r="CZ63" s="13">
        <v>5087.82</v>
      </c>
      <c r="DA63" s="13">
        <v>5088.59</v>
      </c>
      <c r="DB63" s="13">
        <v>5087.91</v>
      </c>
      <c r="DC63" s="13">
        <v>5087.09</v>
      </c>
      <c r="DD63" s="13">
        <v>5086.91</v>
      </c>
      <c r="DE63" s="13">
        <v>5088.59</v>
      </c>
      <c r="DF63" s="13">
        <v>5098.1099999999997</v>
      </c>
    </row>
    <row r="64" spans="1:110" ht="15.75" x14ac:dyDescent="0.25">
      <c r="A64" s="14"/>
      <c r="B64" s="12" t="s">
        <v>9</v>
      </c>
      <c r="C64" s="13"/>
      <c r="D64" s="13"/>
      <c r="E64" s="13"/>
      <c r="F64" s="13"/>
      <c r="G64" s="13"/>
      <c r="H64" s="13"/>
      <c r="I64" s="13"/>
      <c r="J64" s="13">
        <v>5077.9799999999996</v>
      </c>
      <c r="K64" s="13">
        <v>5077.49</v>
      </c>
      <c r="L64" s="13">
        <v>5077.17</v>
      </c>
      <c r="M64" s="13">
        <v>5079.32</v>
      </c>
      <c r="N64" s="13">
        <v>5079.3900000000003</v>
      </c>
      <c r="O64" s="13">
        <v>5079.71</v>
      </c>
      <c r="P64" s="13">
        <v>5080.51</v>
      </c>
      <c r="Q64" s="13">
        <v>5079.07</v>
      </c>
      <c r="R64" s="13">
        <v>5077.8</v>
      </c>
      <c r="S64" s="13">
        <v>5076.54</v>
      </c>
      <c r="T64" s="13">
        <v>5079.95</v>
      </c>
      <c r="U64" s="13">
        <v>5079.3900000000003</v>
      </c>
      <c r="V64" s="13">
        <v>5078.76</v>
      </c>
      <c r="W64" s="13">
        <v>5079.63</v>
      </c>
      <c r="X64" s="13">
        <v>5081.6099999999997</v>
      </c>
      <c r="Y64" s="13">
        <v>5081.6099999999997</v>
      </c>
      <c r="Z64" s="13">
        <v>5080.0200000000004</v>
      </c>
      <c r="AA64" s="13">
        <v>5082.17</v>
      </c>
      <c r="AB64" s="13">
        <v>5084.46</v>
      </c>
      <c r="AC64" s="13">
        <v>5086.6099999999997</v>
      </c>
      <c r="AD64" s="13">
        <v>5086.68</v>
      </c>
      <c r="AE64" s="13">
        <v>5083.97</v>
      </c>
      <c r="AF64" s="13">
        <v>5083.41</v>
      </c>
      <c r="AG64" s="13">
        <v>5083.17</v>
      </c>
      <c r="AH64" s="13">
        <v>5081.83</v>
      </c>
      <c r="AI64" s="13">
        <v>5082.07</v>
      </c>
      <c r="AJ64" s="13">
        <v>5080.22</v>
      </c>
      <c r="AK64" s="13">
        <v>5079.93</v>
      </c>
      <c r="AL64" s="13">
        <v>5078.88</v>
      </c>
      <c r="AM64" s="13">
        <v>5078.6000000000004</v>
      </c>
      <c r="AN64" s="13">
        <v>5079.45</v>
      </c>
      <c r="AO64" s="13">
        <v>5078.88</v>
      </c>
      <c r="AP64" s="13">
        <v>5078.3500000000004</v>
      </c>
      <c r="AQ64" s="13">
        <v>5080</v>
      </c>
      <c r="AR64" s="13">
        <v>5080.25</v>
      </c>
      <c r="AS64" s="13">
        <v>5080.25</v>
      </c>
      <c r="AT64" s="13">
        <v>5080.25</v>
      </c>
      <c r="AU64" s="13">
        <v>5081.08</v>
      </c>
      <c r="AV64" s="13">
        <v>5082.7299999999996</v>
      </c>
      <c r="AW64" s="13">
        <v>5082.75</v>
      </c>
      <c r="AX64" s="13">
        <v>5082.43</v>
      </c>
      <c r="AY64" s="13">
        <v>5082.75</v>
      </c>
      <c r="AZ64" s="13">
        <v>5081.93</v>
      </c>
      <c r="BA64" s="13">
        <v>5081.08</v>
      </c>
      <c r="BB64" s="13">
        <v>5080.55</v>
      </c>
      <c r="BC64" s="13">
        <v>5080.25</v>
      </c>
      <c r="BD64" s="13">
        <v>5080.55</v>
      </c>
      <c r="BE64" s="13">
        <v>5081.05</v>
      </c>
      <c r="BF64" s="13">
        <v>5079.88</v>
      </c>
      <c r="BG64" s="13">
        <v>5079.88</v>
      </c>
      <c r="BH64" s="13">
        <v>5079.6000000000004</v>
      </c>
      <c r="BI64" s="13">
        <v>5080.43</v>
      </c>
      <c r="BJ64" s="13">
        <v>5079.88</v>
      </c>
      <c r="BK64" s="13">
        <v>5079.88</v>
      </c>
      <c r="BL64" s="13">
        <v>5080.68</v>
      </c>
      <c r="BM64" s="13">
        <v>5079.8500000000004</v>
      </c>
      <c r="BN64" s="13">
        <v>5079.05</v>
      </c>
      <c r="BO64" s="13">
        <v>5077.38</v>
      </c>
      <c r="BP64" s="13">
        <v>5078.5</v>
      </c>
      <c r="BQ64" s="13">
        <v>5077.93</v>
      </c>
      <c r="BR64" s="13">
        <v>5077.8500000000004</v>
      </c>
      <c r="BS64" s="13">
        <v>5076.33</v>
      </c>
      <c r="BT64" s="13">
        <v>5075.2</v>
      </c>
      <c r="BU64" s="13">
        <v>5072.34</v>
      </c>
      <c r="BV64" s="13">
        <v>5071.6000000000004</v>
      </c>
      <c r="BW64" s="13">
        <v>5072.17</v>
      </c>
      <c r="BX64" s="13">
        <v>5071.7299999999996</v>
      </c>
      <c r="BY64" s="13">
        <v>5071</v>
      </c>
      <c r="BZ64" s="13">
        <v>5071.4799999999996</v>
      </c>
      <c r="CA64" s="13">
        <v>5069.88</v>
      </c>
      <c r="CB64" s="13">
        <v>5070.7</v>
      </c>
      <c r="CC64" s="13">
        <v>5070.8500000000004</v>
      </c>
      <c r="CD64" s="13">
        <v>5070.96</v>
      </c>
      <c r="CE64" s="13">
        <v>5070.6099999999997</v>
      </c>
      <c r="CF64" s="13">
        <v>5069.25</v>
      </c>
      <c r="CG64" s="13">
        <v>5063.3100000000004</v>
      </c>
      <c r="CH64" s="13">
        <v>5063.5</v>
      </c>
      <c r="CI64" s="13">
        <v>5064.6400000000003</v>
      </c>
      <c r="CJ64" s="13">
        <v>5059.1000000000004</v>
      </c>
      <c r="CK64" s="13">
        <v>5061.3999999999996</v>
      </c>
      <c r="CL64" s="13">
        <v>5059.6000000000004</v>
      </c>
      <c r="CM64" s="13">
        <v>5059.75</v>
      </c>
      <c r="CN64" s="13">
        <v>5058.76</v>
      </c>
      <c r="CO64" s="13">
        <v>5060.62</v>
      </c>
      <c r="CP64" s="13">
        <v>5060.32</v>
      </c>
      <c r="CQ64" s="13">
        <v>5058.76</v>
      </c>
      <c r="CR64" s="13">
        <v>5058.76</v>
      </c>
      <c r="CS64" s="13">
        <v>5058.8999999999996</v>
      </c>
      <c r="CT64" s="13">
        <v>5058.1400000000003</v>
      </c>
      <c r="CU64" s="13">
        <v>5058.76</v>
      </c>
      <c r="CV64" s="13">
        <v>5058.76</v>
      </c>
      <c r="CW64" s="13">
        <v>5059.38</v>
      </c>
      <c r="CX64" s="13">
        <v>5060</v>
      </c>
      <c r="CY64" s="13">
        <v>5059.38</v>
      </c>
      <c r="CZ64" s="13">
        <v>5060.33</v>
      </c>
      <c r="DA64" s="13">
        <v>5060.76</v>
      </c>
      <c r="DB64" s="13">
        <v>5060</v>
      </c>
      <c r="DC64" s="13">
        <v>5060.2299999999996</v>
      </c>
      <c r="DD64" s="13">
        <v>5060.09</v>
      </c>
      <c r="DE64" s="13">
        <v>5060.62</v>
      </c>
      <c r="DF64" s="13">
        <v>5058.6099999999997</v>
      </c>
    </row>
    <row r="65" spans="1:110" ht="15.75" x14ac:dyDescent="0.25">
      <c r="A65" s="14"/>
      <c r="B65" s="12" t="s">
        <v>7</v>
      </c>
      <c r="C65" s="13"/>
      <c r="D65" s="13"/>
      <c r="E65" s="13"/>
      <c r="F65" s="13"/>
      <c r="G65" s="13"/>
      <c r="H65" s="13"/>
      <c r="I65" s="13"/>
      <c r="J65" s="13">
        <v>5073.6099999999997</v>
      </c>
      <c r="K65" s="13">
        <v>5077.49</v>
      </c>
      <c r="L65" s="13">
        <v>5077.17</v>
      </c>
      <c r="M65" s="13">
        <v>5076.8500000000004</v>
      </c>
      <c r="N65" s="13">
        <v>5076.8900000000003</v>
      </c>
      <c r="O65" s="13">
        <v>5073.0600000000004</v>
      </c>
      <c r="P65" s="13">
        <v>5079.3900000000003</v>
      </c>
      <c r="Q65" s="13">
        <v>5077.5</v>
      </c>
      <c r="R65" s="13">
        <v>5077.41</v>
      </c>
      <c r="S65" s="13">
        <v>5076.22</v>
      </c>
      <c r="T65" s="13">
        <v>5077.49</v>
      </c>
      <c r="U65" s="13">
        <v>5079.3900000000003</v>
      </c>
      <c r="V65" s="13">
        <v>5078.37</v>
      </c>
      <c r="W65" s="13">
        <v>5077.8</v>
      </c>
      <c r="X65" s="13">
        <v>5079.71</v>
      </c>
      <c r="Y65" s="13">
        <v>5080.66</v>
      </c>
      <c r="Z65" s="13">
        <v>5080.0200000000004</v>
      </c>
      <c r="AA65" s="13">
        <v>5080.2700000000004</v>
      </c>
      <c r="AB65" s="13">
        <v>5081.8500000000004</v>
      </c>
      <c r="AC65" s="13">
        <v>5084.71</v>
      </c>
      <c r="AD65" s="13">
        <v>5085.9799999999996</v>
      </c>
      <c r="AE65" s="13">
        <v>5083.95</v>
      </c>
      <c r="AF65" s="13">
        <v>5082.8500000000004</v>
      </c>
      <c r="AG65" s="13">
        <v>5081.97</v>
      </c>
      <c r="AH65" s="13">
        <v>5081.83</v>
      </c>
      <c r="AI65" s="13">
        <v>5082.07</v>
      </c>
      <c r="AJ65" s="13">
        <v>5080.22</v>
      </c>
      <c r="AK65" s="13">
        <v>5079.93</v>
      </c>
      <c r="AL65" s="13">
        <v>5077.7700000000004</v>
      </c>
      <c r="AM65" s="13">
        <v>5078.33</v>
      </c>
      <c r="AN65" s="13">
        <v>5078.3500000000004</v>
      </c>
      <c r="AO65" s="13">
        <v>5078.88</v>
      </c>
      <c r="AP65" s="13">
        <v>5070.8599999999997</v>
      </c>
      <c r="AQ65" s="13">
        <v>5078.3500000000004</v>
      </c>
      <c r="AR65" s="13">
        <v>5080</v>
      </c>
      <c r="AS65" s="13">
        <v>5080.25</v>
      </c>
      <c r="AT65" s="13">
        <v>5080.25</v>
      </c>
      <c r="AU65" s="13">
        <v>5079.9799999999996</v>
      </c>
      <c r="AV65" s="13">
        <v>5081.08</v>
      </c>
      <c r="AW65" s="13">
        <v>5082.18</v>
      </c>
      <c r="AX65" s="13">
        <v>5081.6499999999996</v>
      </c>
      <c r="AY65" s="13">
        <v>5081.93</v>
      </c>
      <c r="AZ65" s="13">
        <v>5081.93</v>
      </c>
      <c r="BA65" s="13">
        <v>5081.08</v>
      </c>
      <c r="BB65" s="13">
        <v>5080.55</v>
      </c>
      <c r="BC65" s="13">
        <v>5080</v>
      </c>
      <c r="BD65" s="13">
        <v>5080.25</v>
      </c>
      <c r="BE65" s="13">
        <v>5080.55</v>
      </c>
      <c r="BF65" s="13">
        <v>5076.74</v>
      </c>
      <c r="BG65" s="13">
        <v>5079.88</v>
      </c>
      <c r="BH65" s="13">
        <v>5079.0200000000004</v>
      </c>
      <c r="BI65" s="13">
        <v>5079.6000000000004</v>
      </c>
      <c r="BJ65" s="13">
        <v>5079.88</v>
      </c>
      <c r="BK65" s="13">
        <v>5079.8500000000004</v>
      </c>
      <c r="BL65" s="13">
        <v>5079.88</v>
      </c>
      <c r="BM65" s="13">
        <v>5079.8500000000004</v>
      </c>
      <c r="BN65" s="13">
        <v>5079.05</v>
      </c>
      <c r="BO65" s="13">
        <v>5077.38</v>
      </c>
      <c r="BP65" s="13">
        <v>5077.38</v>
      </c>
      <c r="BQ65" s="13">
        <v>5077.93</v>
      </c>
      <c r="BR65" s="13">
        <v>5077.6499999999996</v>
      </c>
      <c r="BS65" s="13">
        <v>5076.0200000000004</v>
      </c>
      <c r="BT65" s="13">
        <v>5075.2</v>
      </c>
      <c r="BU65" s="13">
        <v>5068.5</v>
      </c>
      <c r="BV65" s="13">
        <v>5069.04</v>
      </c>
      <c r="BW65" s="13">
        <v>5071.4799999999996</v>
      </c>
      <c r="BX65" s="13">
        <v>5071.26</v>
      </c>
      <c r="BY65" s="13">
        <v>5070.9399999999996</v>
      </c>
      <c r="BZ65" s="13">
        <v>5071</v>
      </c>
      <c r="CA65" s="13">
        <v>5069.54</v>
      </c>
      <c r="CB65" s="13">
        <v>5070.1000000000004</v>
      </c>
      <c r="CC65" s="13">
        <v>5070.51</v>
      </c>
      <c r="CD65" s="13">
        <v>5070.66</v>
      </c>
      <c r="CE65" s="13">
        <v>5070.46</v>
      </c>
      <c r="CF65" s="13">
        <v>5069.25</v>
      </c>
      <c r="CG65" s="13">
        <v>5063.3100000000004</v>
      </c>
      <c r="CH65" s="13">
        <v>5060</v>
      </c>
      <c r="CI65" s="13">
        <v>5063</v>
      </c>
      <c r="CJ65" s="13">
        <v>5059.1000000000004</v>
      </c>
      <c r="CK65" s="13">
        <v>5059.1000000000004</v>
      </c>
      <c r="CL65" s="13">
        <v>5059.6000000000004</v>
      </c>
      <c r="CM65" s="13">
        <v>5058.95</v>
      </c>
      <c r="CN65" s="13">
        <v>5057.67</v>
      </c>
      <c r="CO65" s="13">
        <v>5057.5200000000004</v>
      </c>
      <c r="CP65" s="13">
        <v>5059</v>
      </c>
      <c r="CQ65" s="13">
        <v>5058.1400000000003</v>
      </c>
      <c r="CR65" s="13">
        <v>5058.76</v>
      </c>
      <c r="CS65" s="13">
        <v>5058.8999999999996</v>
      </c>
      <c r="CT65" s="13">
        <v>5058.1400000000003</v>
      </c>
      <c r="CU65" s="13">
        <v>5058.1400000000003</v>
      </c>
      <c r="CV65" s="13">
        <v>5058.76</v>
      </c>
      <c r="CW65" s="13">
        <v>5058.76</v>
      </c>
      <c r="CX65" s="13">
        <v>5059.38</v>
      </c>
      <c r="CY65" s="13">
        <v>5059.38</v>
      </c>
      <c r="CZ65" s="13">
        <v>5057.9399999999996</v>
      </c>
      <c r="DA65" s="13">
        <v>5060.76</v>
      </c>
      <c r="DB65" s="13">
        <v>5060</v>
      </c>
      <c r="DC65" s="13">
        <v>5060</v>
      </c>
      <c r="DD65" s="13">
        <v>5059.18</v>
      </c>
      <c r="DE65" s="13">
        <v>5058.3100000000004</v>
      </c>
      <c r="DF65" s="13">
        <v>5058.6099999999997</v>
      </c>
    </row>
    <row r="66" spans="1:110" ht="15.75" x14ac:dyDescent="0.25">
      <c r="A66" s="14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</row>
    <row r="67" spans="1:110" ht="15.75" x14ac:dyDescent="0.25">
      <c r="A67" s="11"/>
      <c r="B67" s="11" t="s">
        <v>11</v>
      </c>
      <c r="C67" s="15">
        <v>0.37847222222222227</v>
      </c>
      <c r="D67" s="15">
        <v>0.38194444444444442</v>
      </c>
      <c r="E67" s="15">
        <v>0.38541666666666669</v>
      </c>
      <c r="F67" s="15">
        <v>0.3888888888888889</v>
      </c>
      <c r="G67" s="15">
        <v>0.3923611111111111</v>
      </c>
      <c r="H67" s="15">
        <v>0.39583333333333331</v>
      </c>
      <c r="I67" s="15">
        <v>0.39930555555555558</v>
      </c>
      <c r="J67" s="15">
        <v>0.40277777777777773</v>
      </c>
      <c r="K67" s="15">
        <v>0.40625</v>
      </c>
      <c r="L67" s="15">
        <v>0.40972222222222227</v>
      </c>
      <c r="M67" s="15">
        <v>0.41319444444444442</v>
      </c>
      <c r="N67" s="15">
        <v>0.41666666666666669</v>
      </c>
      <c r="O67" s="15">
        <v>0.4201388888888889</v>
      </c>
      <c r="P67" s="15">
        <v>0.4236111111111111</v>
      </c>
      <c r="Q67" s="15">
        <v>0.42708333333333331</v>
      </c>
      <c r="R67" s="15">
        <v>0.43055555555555558</v>
      </c>
      <c r="S67" s="15">
        <v>0.43402777777777773</v>
      </c>
      <c r="T67" s="15">
        <v>0.4375</v>
      </c>
      <c r="U67" s="15">
        <v>0.44097222222222227</v>
      </c>
      <c r="V67" s="15">
        <v>0.44444444444444442</v>
      </c>
      <c r="W67" s="15">
        <v>0.44791666666666669</v>
      </c>
      <c r="X67" s="15">
        <v>0.4513888888888889</v>
      </c>
      <c r="Y67" s="15">
        <v>0.4548611111111111</v>
      </c>
      <c r="Z67" s="15">
        <v>0.45833333333333331</v>
      </c>
      <c r="AA67" s="15">
        <v>0.46180555555555558</v>
      </c>
      <c r="AB67" s="15">
        <v>0.46527777777777773</v>
      </c>
      <c r="AC67" s="15">
        <v>0.46875</v>
      </c>
      <c r="AD67" s="15">
        <v>0.47222222222222227</v>
      </c>
      <c r="AE67" s="15">
        <v>0.47569444444444442</v>
      </c>
      <c r="AF67" s="15">
        <v>0.47916666666666669</v>
      </c>
      <c r="AG67" s="15">
        <v>0.4826388888888889</v>
      </c>
      <c r="AH67" s="15">
        <v>0.4861111111111111</v>
      </c>
      <c r="AI67" s="15">
        <v>0.48958333333333331</v>
      </c>
      <c r="AJ67" s="15">
        <v>0.49305555555555558</v>
      </c>
      <c r="AK67" s="15">
        <v>0.49652777777777773</v>
      </c>
      <c r="AL67" s="15">
        <v>0.5</v>
      </c>
      <c r="AM67" s="15">
        <v>0.50347222222222221</v>
      </c>
      <c r="AN67" s="15">
        <v>0.50694444444444442</v>
      </c>
      <c r="AO67" s="15">
        <v>0.51041666666666663</v>
      </c>
      <c r="AP67" s="15">
        <v>0.51388888888888895</v>
      </c>
      <c r="AQ67" s="15">
        <v>0.51736111111111105</v>
      </c>
      <c r="AR67" s="15">
        <v>0.52083333333333337</v>
      </c>
      <c r="AS67" s="15">
        <v>0.52430555555555558</v>
      </c>
      <c r="AT67" s="15">
        <v>0.52777777777777779</v>
      </c>
      <c r="AU67" s="15">
        <v>0.53125</v>
      </c>
      <c r="AV67" s="15">
        <v>0.53472222222222221</v>
      </c>
      <c r="AW67" s="15">
        <v>0.53819444444444442</v>
      </c>
      <c r="AX67" s="15">
        <v>0.54166666666666663</v>
      </c>
      <c r="AY67" s="15">
        <v>0.54513888888888895</v>
      </c>
      <c r="AZ67" s="15">
        <v>0.54861111111111105</v>
      </c>
      <c r="BA67" s="15">
        <v>0.55208333333333337</v>
      </c>
      <c r="BB67" s="15">
        <v>0.55555555555555558</v>
      </c>
      <c r="BC67" s="15">
        <v>0.55902777777777779</v>
      </c>
      <c r="BD67" s="15">
        <v>0.5625</v>
      </c>
      <c r="BE67" s="15">
        <v>0.56597222222222221</v>
      </c>
      <c r="BF67" s="15">
        <v>0.56944444444444442</v>
      </c>
      <c r="BG67" s="15">
        <v>0.57291666666666663</v>
      </c>
      <c r="BH67" s="15">
        <v>0.57638888888888895</v>
      </c>
      <c r="BI67" s="15">
        <v>0.57986111111111105</v>
      </c>
      <c r="BJ67" s="15">
        <v>0.58333333333333337</v>
      </c>
      <c r="BK67" s="15">
        <v>0.58680555555555558</v>
      </c>
      <c r="BL67" s="15">
        <v>0.59027777777777779</v>
      </c>
      <c r="BM67" s="15">
        <v>0.59375</v>
      </c>
      <c r="BN67" s="15">
        <v>0.59722222222222221</v>
      </c>
      <c r="BO67" s="15">
        <v>0.60069444444444442</v>
      </c>
      <c r="BP67" s="15">
        <v>0.60416666666666663</v>
      </c>
      <c r="BQ67" s="15">
        <v>0.60763888888888895</v>
      </c>
      <c r="BR67" s="15">
        <v>0.61111111111111105</v>
      </c>
      <c r="BS67" s="15">
        <v>0.61458333333333337</v>
      </c>
      <c r="BT67" s="15">
        <v>0.61805555555555558</v>
      </c>
      <c r="BU67" s="15">
        <v>0.62152777777777779</v>
      </c>
      <c r="BV67" s="15">
        <v>0.625</v>
      </c>
      <c r="BW67" s="15">
        <v>0.62847222222222221</v>
      </c>
      <c r="BX67" s="15">
        <v>0.63194444444444442</v>
      </c>
      <c r="BY67" s="15">
        <v>0.63541666666666663</v>
      </c>
      <c r="BZ67" s="15">
        <v>0.63888888888888895</v>
      </c>
      <c r="CA67" s="15">
        <v>0.64236111111111105</v>
      </c>
      <c r="CB67" s="15">
        <v>0.64583333333333337</v>
      </c>
      <c r="CC67" s="15">
        <v>0.64930555555555558</v>
      </c>
      <c r="CD67" s="15">
        <v>0.65277777777777779</v>
      </c>
      <c r="CE67" s="15">
        <v>0.65625</v>
      </c>
      <c r="CF67" s="15">
        <v>0.65972222222222221</v>
      </c>
      <c r="CG67" s="15">
        <v>0.66319444444444442</v>
      </c>
      <c r="CH67" s="15">
        <v>0.66666666666666663</v>
      </c>
      <c r="CI67" s="15">
        <v>0.67013888888888884</v>
      </c>
      <c r="CJ67" s="15">
        <v>0.67361111111111116</v>
      </c>
      <c r="CK67" s="15">
        <v>0.67708333333333337</v>
      </c>
      <c r="CL67" s="15">
        <v>0.68055555555555547</v>
      </c>
      <c r="CM67" s="15">
        <v>0.68402777777777779</v>
      </c>
      <c r="CN67" s="15">
        <v>0.6875</v>
      </c>
      <c r="CO67" s="15">
        <v>0.69097222222222221</v>
      </c>
      <c r="CP67" s="15">
        <v>0.69444444444444453</v>
      </c>
      <c r="CQ67" s="15">
        <v>0.69791666666666663</v>
      </c>
      <c r="CR67" s="15">
        <v>0.70138888888888884</v>
      </c>
      <c r="CS67" s="15">
        <v>0.70486111111111116</v>
      </c>
      <c r="CT67" s="15">
        <v>0.70833333333333337</v>
      </c>
      <c r="CU67" s="15">
        <v>0.71180555555555547</v>
      </c>
      <c r="CV67" s="15">
        <v>0.71527777777777779</v>
      </c>
      <c r="CW67" s="15">
        <v>0.71875</v>
      </c>
      <c r="CX67" s="15">
        <v>0.72222222222222221</v>
      </c>
      <c r="CY67" s="15">
        <v>0.72569444444444453</v>
      </c>
      <c r="CZ67" s="15">
        <v>0.72916666666666663</v>
      </c>
      <c r="DA67" s="15">
        <v>0.73263888888888884</v>
      </c>
      <c r="DB67" s="15">
        <v>0.73611111111111116</v>
      </c>
      <c r="DC67" s="15">
        <v>0.73958333333333337</v>
      </c>
      <c r="DD67" s="15">
        <v>0.74305555555555547</v>
      </c>
      <c r="DE67" s="15">
        <v>0.74652777777777779</v>
      </c>
      <c r="DF67" s="15">
        <v>0.75</v>
      </c>
    </row>
    <row r="68" spans="1:110" ht="15.75" x14ac:dyDescent="0.25">
      <c r="A68" s="14">
        <v>44363</v>
      </c>
      <c r="B68" s="12" t="s">
        <v>6</v>
      </c>
      <c r="C68" s="13">
        <v>5076</v>
      </c>
      <c r="D68" s="13">
        <v>5077.93</v>
      </c>
      <c r="E68" s="13">
        <v>5076.18</v>
      </c>
      <c r="F68" s="13">
        <v>5078.8599999999997</v>
      </c>
      <c r="G68" s="13">
        <v>5080.82</v>
      </c>
      <c r="H68" s="13">
        <v>5079.8900000000003</v>
      </c>
      <c r="I68" s="13">
        <v>5080.82</v>
      </c>
      <c r="J68" s="13">
        <v>5080.25</v>
      </c>
      <c r="K68" s="13">
        <v>5080.82</v>
      </c>
      <c r="L68" s="13">
        <v>5080.3599999999997</v>
      </c>
      <c r="M68" s="13">
        <v>5080.5600000000004</v>
      </c>
      <c r="N68" s="13">
        <v>5082.33</v>
      </c>
      <c r="O68" s="13">
        <v>5081.5200000000004</v>
      </c>
      <c r="P68" s="13">
        <v>5080.1099999999997</v>
      </c>
      <c r="Q68" s="13">
        <v>5079.59</v>
      </c>
      <c r="R68" s="13">
        <v>5077.4399999999996</v>
      </c>
      <c r="S68" s="13">
        <v>5078.78</v>
      </c>
      <c r="T68" s="13">
        <v>5079.59</v>
      </c>
      <c r="U68" s="13">
        <v>5077.1099999999997</v>
      </c>
      <c r="V68" s="13">
        <v>5075.6099999999997</v>
      </c>
      <c r="W68" s="13">
        <v>5074.79</v>
      </c>
      <c r="X68" s="13">
        <v>5079.43</v>
      </c>
      <c r="Y68" s="13">
        <v>5074.32</v>
      </c>
      <c r="Z68" s="13">
        <v>5073.8999999999996</v>
      </c>
      <c r="AA68" s="13">
        <v>5073.21</v>
      </c>
      <c r="AB68" s="13">
        <v>5072.3599999999997</v>
      </c>
      <c r="AC68" s="13">
        <v>5073.29</v>
      </c>
      <c r="AD68" s="13">
        <v>5074.21</v>
      </c>
      <c r="AE68" s="13">
        <v>5073.75</v>
      </c>
      <c r="AF68" s="13">
        <v>5074.68</v>
      </c>
      <c r="AG68" s="13">
        <v>5076.3</v>
      </c>
      <c r="AH68" s="13">
        <v>5073.29</v>
      </c>
      <c r="AI68" s="13">
        <v>5073.3900000000003</v>
      </c>
      <c r="AJ68" s="13">
        <v>5072.3599999999997</v>
      </c>
      <c r="AK68" s="13">
        <v>5072.46</v>
      </c>
      <c r="AL68" s="13">
        <v>5071.07</v>
      </c>
      <c r="AM68" s="13">
        <v>5066.79</v>
      </c>
      <c r="AN68" s="13">
        <v>5064.93</v>
      </c>
      <c r="AO68" s="13">
        <v>5064.46</v>
      </c>
      <c r="AP68" s="13">
        <v>5062.25</v>
      </c>
      <c r="AQ68" s="13">
        <v>5081.25</v>
      </c>
      <c r="AR68" s="13">
        <v>5085</v>
      </c>
      <c r="AS68" s="13">
        <v>5082.1899999999996</v>
      </c>
      <c r="AT68" s="13">
        <v>5070.95</v>
      </c>
      <c r="AU68" s="13">
        <v>5086.25</v>
      </c>
      <c r="AV68" s="13">
        <v>5086.25</v>
      </c>
      <c r="AW68" s="13">
        <v>5086.25</v>
      </c>
      <c r="AX68" s="13">
        <v>5086.25</v>
      </c>
      <c r="AY68" s="13">
        <v>5086.25</v>
      </c>
      <c r="AZ68" s="13">
        <v>5086.25</v>
      </c>
      <c r="BA68" s="13">
        <v>5086.25</v>
      </c>
      <c r="BB68" s="13">
        <v>5086.25</v>
      </c>
      <c r="BC68" s="13">
        <v>5086.25</v>
      </c>
      <c r="BD68" s="13">
        <v>5082.8100000000004</v>
      </c>
      <c r="BE68" s="13">
        <v>5082.8100000000004</v>
      </c>
      <c r="BF68" s="13">
        <v>5082.8100000000004</v>
      </c>
      <c r="BG68" s="13">
        <v>5082.8100000000004</v>
      </c>
      <c r="BH68" s="13">
        <v>5082.8100000000004</v>
      </c>
      <c r="BI68" s="13">
        <v>5084.5200000000004</v>
      </c>
      <c r="BJ68" s="13">
        <v>5084.5200000000004</v>
      </c>
      <c r="BK68" s="13">
        <v>5084.5200000000004</v>
      </c>
      <c r="BL68" s="13">
        <v>5084.5200000000004</v>
      </c>
      <c r="BM68" s="13">
        <v>5075.26</v>
      </c>
      <c r="BN68" s="13">
        <v>5079.7</v>
      </c>
      <c r="BO68" s="13">
        <v>5064.93</v>
      </c>
      <c r="BP68" s="13">
        <v>5065.8599999999997</v>
      </c>
      <c r="BQ68" s="13">
        <v>5064.46</v>
      </c>
      <c r="BR68" s="13">
        <v>5063.54</v>
      </c>
      <c r="BS68" s="13">
        <v>5063.43</v>
      </c>
      <c r="BT68" s="13">
        <v>5063.43</v>
      </c>
      <c r="BU68" s="13">
        <v>5063.07</v>
      </c>
      <c r="BV68" s="13">
        <v>5078</v>
      </c>
      <c r="BW68" s="13">
        <v>5083.2</v>
      </c>
      <c r="BX68" s="13">
        <v>5083.75</v>
      </c>
      <c r="BY68" s="13">
        <v>5084</v>
      </c>
      <c r="BZ68" s="13">
        <v>5086.25</v>
      </c>
      <c r="CA68" s="13">
        <v>5086.25</v>
      </c>
      <c r="CB68" s="13">
        <v>5087</v>
      </c>
      <c r="CC68" s="13">
        <v>5085.8999999999996</v>
      </c>
      <c r="CD68" s="13">
        <v>5089.9399999999996</v>
      </c>
      <c r="CE68" s="13">
        <v>5092.33</v>
      </c>
      <c r="CF68" s="13">
        <v>5104.8599999999997</v>
      </c>
      <c r="CG68" s="13">
        <v>5104.8999999999996</v>
      </c>
      <c r="CH68" s="13">
        <v>5105</v>
      </c>
      <c r="CI68" s="13">
        <v>5101.2299999999996</v>
      </c>
      <c r="CJ68" s="13">
        <v>5100.1499999999996</v>
      </c>
      <c r="CK68" s="13">
        <v>5099.38</v>
      </c>
      <c r="CL68" s="13">
        <v>5105</v>
      </c>
      <c r="CM68" s="13">
        <v>5103.38</v>
      </c>
      <c r="CN68" s="13">
        <v>5103.1899999999996</v>
      </c>
      <c r="CO68" s="13">
        <v>5103</v>
      </c>
      <c r="CP68" s="13">
        <v>5102.82</v>
      </c>
      <c r="CQ68" s="13">
        <v>5094</v>
      </c>
      <c r="CR68" s="13">
        <v>5096.8599999999997</v>
      </c>
      <c r="CS68" s="13">
        <v>5102.82</v>
      </c>
      <c r="CT68" s="13">
        <v>5103.18</v>
      </c>
      <c r="CU68" s="13">
        <v>5103.7299999999996</v>
      </c>
      <c r="CV68" s="13">
        <v>5103.45</v>
      </c>
      <c r="CW68" s="13">
        <v>5103.7299999999996</v>
      </c>
      <c r="CX68" s="13">
        <v>5103.55</v>
      </c>
      <c r="CY68" s="13">
        <v>5103.45</v>
      </c>
      <c r="CZ68" s="13">
        <v>5094.88</v>
      </c>
      <c r="DA68" s="13">
        <v>5094.88</v>
      </c>
      <c r="DB68" s="13">
        <v>5097.33</v>
      </c>
      <c r="DC68" s="13">
        <v>5094.43</v>
      </c>
      <c r="DD68" s="13">
        <v>5092.95</v>
      </c>
      <c r="DE68" s="13">
        <v>5092.71</v>
      </c>
      <c r="DF68" s="13">
        <v>5097.8</v>
      </c>
    </row>
    <row r="69" spans="1:110" ht="15.75" x14ac:dyDescent="0.25">
      <c r="A69" s="14"/>
      <c r="B69" s="12" t="s">
        <v>10</v>
      </c>
      <c r="C69" s="13">
        <v>5071.2299999999996</v>
      </c>
      <c r="D69" s="13">
        <v>5075.6099999999997</v>
      </c>
      <c r="E69" s="13">
        <v>5076.18</v>
      </c>
      <c r="F69" s="13">
        <v>5078.5</v>
      </c>
      <c r="G69" s="13">
        <v>5079.43</v>
      </c>
      <c r="H69" s="13">
        <v>5079.07</v>
      </c>
      <c r="I69" s="13">
        <v>5079.43</v>
      </c>
      <c r="J69" s="13">
        <v>5080.25</v>
      </c>
      <c r="K69" s="13">
        <v>5080.3599999999997</v>
      </c>
      <c r="L69" s="13">
        <v>5077.57</v>
      </c>
      <c r="M69" s="13">
        <v>5080.5600000000004</v>
      </c>
      <c r="N69" s="13">
        <v>5081.8900000000003</v>
      </c>
      <c r="O69" s="13">
        <v>5080.04</v>
      </c>
      <c r="P69" s="13">
        <v>5079.59</v>
      </c>
      <c r="Q69" s="13">
        <v>5077</v>
      </c>
      <c r="R69" s="13">
        <v>5076.5600000000004</v>
      </c>
      <c r="S69" s="13">
        <v>5077.07</v>
      </c>
      <c r="T69" s="13">
        <v>5077.1099999999997</v>
      </c>
      <c r="U69" s="13">
        <v>5075.1400000000003</v>
      </c>
      <c r="V69" s="13">
        <v>5074.32</v>
      </c>
      <c r="W69" s="13">
        <v>5074.79</v>
      </c>
      <c r="X69" s="13">
        <v>5073.5</v>
      </c>
      <c r="Y69" s="13">
        <v>5072.3599999999997</v>
      </c>
      <c r="Z69" s="13">
        <v>5073.21</v>
      </c>
      <c r="AA69" s="13">
        <v>5071.66</v>
      </c>
      <c r="AB69" s="13">
        <v>5072.3599999999997</v>
      </c>
      <c r="AC69" s="13">
        <v>5073.29</v>
      </c>
      <c r="AD69" s="13">
        <v>5072.93</v>
      </c>
      <c r="AE69" s="13">
        <v>5073.75</v>
      </c>
      <c r="AF69" s="13">
        <v>5073.3900000000003</v>
      </c>
      <c r="AG69" s="13">
        <v>5071.43</v>
      </c>
      <c r="AH69" s="13">
        <v>5073.29</v>
      </c>
      <c r="AI69" s="13">
        <v>5071.79</v>
      </c>
      <c r="AJ69" s="13">
        <v>5072</v>
      </c>
      <c r="AK69" s="13">
        <v>5071.07</v>
      </c>
      <c r="AL69" s="13">
        <v>5065.5</v>
      </c>
      <c r="AM69" s="13">
        <v>5065.3900000000003</v>
      </c>
      <c r="AN69" s="13">
        <v>5061.07</v>
      </c>
      <c r="AO69" s="13">
        <v>5062.6099999999997</v>
      </c>
      <c r="AP69" s="13">
        <v>5059.82</v>
      </c>
      <c r="AQ69" s="13">
        <v>5081.25</v>
      </c>
      <c r="AR69" s="13">
        <v>5082.1899999999996</v>
      </c>
      <c r="AS69" s="13">
        <v>5070.95</v>
      </c>
      <c r="AT69" s="13">
        <v>5070.4799999999996</v>
      </c>
      <c r="AU69" s="13">
        <v>5086.25</v>
      </c>
      <c r="AV69" s="13">
        <v>5086.25</v>
      </c>
      <c r="AW69" s="13">
        <v>5072.5</v>
      </c>
      <c r="AX69" s="13">
        <v>5086.25</v>
      </c>
      <c r="AY69" s="13">
        <v>5086.25</v>
      </c>
      <c r="AZ69" s="13">
        <v>5086.25</v>
      </c>
      <c r="BA69" s="13">
        <v>5086.25</v>
      </c>
      <c r="BB69" s="13">
        <v>5086.25</v>
      </c>
      <c r="BC69" s="13">
        <v>5082.8100000000004</v>
      </c>
      <c r="BD69" s="13">
        <v>5082.8100000000004</v>
      </c>
      <c r="BE69" s="13">
        <v>5082.8100000000004</v>
      </c>
      <c r="BF69" s="13">
        <v>5082.8100000000004</v>
      </c>
      <c r="BG69" s="13">
        <v>5082.8100000000004</v>
      </c>
      <c r="BH69" s="13">
        <v>5082.8100000000004</v>
      </c>
      <c r="BI69" s="13">
        <v>5084.5200000000004</v>
      </c>
      <c r="BJ69" s="13">
        <v>5084.5200000000004</v>
      </c>
      <c r="BK69" s="13">
        <v>5082.8100000000004</v>
      </c>
      <c r="BL69" s="13">
        <v>5074.63</v>
      </c>
      <c r="BM69" s="13">
        <v>5075.26</v>
      </c>
      <c r="BN69" s="13">
        <v>5062.71</v>
      </c>
      <c r="BO69" s="13">
        <v>5064.93</v>
      </c>
      <c r="BP69" s="13">
        <v>5064.46</v>
      </c>
      <c r="BQ69" s="13">
        <v>5063.54</v>
      </c>
      <c r="BR69" s="13">
        <v>5063.18</v>
      </c>
      <c r="BS69" s="13">
        <v>5063.43</v>
      </c>
      <c r="BT69" s="13">
        <v>5063.07</v>
      </c>
      <c r="BU69" s="13">
        <v>5060.75</v>
      </c>
      <c r="BV69" s="13">
        <v>5078</v>
      </c>
      <c r="BW69" s="13">
        <v>5081.75</v>
      </c>
      <c r="BX69" s="13">
        <v>5079.75</v>
      </c>
      <c r="BY69" s="13">
        <v>5083.75</v>
      </c>
      <c r="BZ69" s="13">
        <v>5086.25</v>
      </c>
      <c r="CA69" s="13">
        <v>5086.25</v>
      </c>
      <c r="CB69" s="13">
        <v>5085.57</v>
      </c>
      <c r="CC69" s="13">
        <v>5085.71</v>
      </c>
      <c r="CD69" s="13">
        <v>5089.88</v>
      </c>
      <c r="CE69" s="13">
        <v>5092</v>
      </c>
      <c r="CF69" s="13">
        <v>5104.28</v>
      </c>
      <c r="CG69" s="13">
        <v>5103.9399999999996</v>
      </c>
      <c r="CH69" s="13">
        <v>5100.8500000000004</v>
      </c>
      <c r="CI69" s="13">
        <v>5099.46</v>
      </c>
      <c r="CJ69" s="13">
        <v>5097.92</v>
      </c>
      <c r="CK69" s="13">
        <v>5098.92</v>
      </c>
      <c r="CL69" s="13">
        <v>5103.1899999999996</v>
      </c>
      <c r="CM69" s="13">
        <v>5103.1899999999996</v>
      </c>
      <c r="CN69" s="13">
        <v>5103</v>
      </c>
      <c r="CO69" s="13">
        <v>5096.1400000000003</v>
      </c>
      <c r="CP69" s="13">
        <v>5093.5</v>
      </c>
      <c r="CQ69" s="13">
        <v>5094</v>
      </c>
      <c r="CR69" s="13">
        <v>5092</v>
      </c>
      <c r="CS69" s="13">
        <v>5095.75</v>
      </c>
      <c r="CT69" s="13">
        <v>5098.29</v>
      </c>
      <c r="CU69" s="13">
        <v>5103.2700000000004</v>
      </c>
      <c r="CV69" s="13">
        <v>5103.45</v>
      </c>
      <c r="CW69" s="13">
        <v>5103.45</v>
      </c>
      <c r="CX69" s="13">
        <v>5103.3599999999997</v>
      </c>
      <c r="CY69" s="13">
        <v>5094.63</v>
      </c>
      <c r="CZ69" s="13">
        <v>5094.88</v>
      </c>
      <c r="DA69" s="13">
        <v>5093.24</v>
      </c>
      <c r="DB69" s="13">
        <v>5093.5200000000004</v>
      </c>
      <c r="DC69" s="13">
        <v>5093.57</v>
      </c>
      <c r="DD69" s="13">
        <v>5091.95</v>
      </c>
      <c r="DE69" s="13">
        <v>5092.43</v>
      </c>
      <c r="DF69" s="13">
        <v>5097.8</v>
      </c>
    </row>
    <row r="70" spans="1:110" ht="15.75" x14ac:dyDescent="0.25">
      <c r="A70" s="14"/>
      <c r="B70" s="12" t="s">
        <v>9</v>
      </c>
      <c r="C70" s="13">
        <v>5062.7299999999996</v>
      </c>
      <c r="D70" s="13">
        <v>5055.75</v>
      </c>
      <c r="E70" s="13">
        <v>5057.0600000000004</v>
      </c>
      <c r="F70" s="13">
        <v>5060.9399999999996</v>
      </c>
      <c r="G70" s="13">
        <v>5062.25</v>
      </c>
      <c r="H70" s="13">
        <v>5061.9399999999996</v>
      </c>
      <c r="I70" s="13">
        <v>5062.25</v>
      </c>
      <c r="J70" s="13">
        <v>5063.6899999999996</v>
      </c>
      <c r="K70" s="13">
        <v>5064.8</v>
      </c>
      <c r="L70" s="13">
        <v>5059.6000000000004</v>
      </c>
      <c r="M70" s="13">
        <v>5064.5</v>
      </c>
      <c r="N70" s="13">
        <v>5067</v>
      </c>
      <c r="O70" s="13">
        <v>5062.57</v>
      </c>
      <c r="P70" s="13">
        <v>5061.8599999999997</v>
      </c>
      <c r="Q70" s="13">
        <v>5057.1400000000003</v>
      </c>
      <c r="R70" s="13">
        <v>5057.8100000000004</v>
      </c>
      <c r="S70" s="13">
        <v>5058.8100000000004</v>
      </c>
      <c r="T70" s="13">
        <v>5058.53</v>
      </c>
      <c r="U70" s="13">
        <v>5055.2700000000004</v>
      </c>
      <c r="V70" s="13">
        <v>5054.4399999999996</v>
      </c>
      <c r="W70" s="13">
        <v>5054.63</v>
      </c>
      <c r="X70" s="13">
        <v>5052.38</v>
      </c>
      <c r="Y70" s="13">
        <v>5050.75</v>
      </c>
      <c r="Z70" s="13">
        <v>5052.38</v>
      </c>
      <c r="AA70" s="13">
        <v>5049.13</v>
      </c>
      <c r="AB70" s="13">
        <v>5048.55</v>
      </c>
      <c r="AC70" s="13">
        <v>5050.3500000000004</v>
      </c>
      <c r="AD70" s="13">
        <v>5050.3500000000004</v>
      </c>
      <c r="AE70" s="13">
        <v>5050.7299999999996</v>
      </c>
      <c r="AF70" s="13">
        <v>5042.1899999999996</v>
      </c>
      <c r="AG70" s="13">
        <v>5039.18</v>
      </c>
      <c r="AH70" s="13">
        <v>5041.41</v>
      </c>
      <c r="AI70" s="13">
        <v>5039.32</v>
      </c>
      <c r="AJ70" s="13">
        <v>5039.32</v>
      </c>
      <c r="AK70" s="13">
        <v>5036.6499999999996</v>
      </c>
      <c r="AL70" s="13">
        <v>5028.3500000000004</v>
      </c>
      <c r="AM70" s="13">
        <v>5028.62</v>
      </c>
      <c r="AN70" s="13">
        <v>5022.43</v>
      </c>
      <c r="AO70" s="13">
        <v>5024.29</v>
      </c>
      <c r="AP70" s="13">
        <v>5020.57</v>
      </c>
      <c r="AQ70" s="13">
        <v>5014.82</v>
      </c>
      <c r="AR70" s="13">
        <v>5010.62</v>
      </c>
      <c r="AS70" s="13">
        <v>5008.4399999999996</v>
      </c>
      <c r="AT70" s="13">
        <v>5008.4399999999996</v>
      </c>
      <c r="AU70" s="13">
        <v>5011.8599999999997</v>
      </c>
      <c r="AV70" s="13">
        <v>5011</v>
      </c>
      <c r="AW70" s="13">
        <v>5011.38</v>
      </c>
      <c r="AX70" s="13">
        <v>5016.04</v>
      </c>
      <c r="AY70" s="13">
        <v>5016.22</v>
      </c>
      <c r="AZ70" s="13">
        <v>5016.59</v>
      </c>
      <c r="BA70" s="13">
        <v>5017.6000000000004</v>
      </c>
      <c r="BB70" s="13">
        <v>5018.1000000000004</v>
      </c>
      <c r="BC70" s="13">
        <v>5018.2700000000004</v>
      </c>
      <c r="BD70" s="13">
        <v>5018.43</v>
      </c>
      <c r="BE70" s="13">
        <v>5018.43</v>
      </c>
      <c r="BF70" s="13">
        <v>5018.7700000000004</v>
      </c>
      <c r="BG70" s="13">
        <v>5018.6000000000004</v>
      </c>
      <c r="BH70" s="13">
        <v>5016.41</v>
      </c>
      <c r="BI70" s="13">
        <v>5016.6400000000003</v>
      </c>
      <c r="BJ70" s="13">
        <v>5016.5200000000004</v>
      </c>
      <c r="BK70" s="13">
        <v>5017.7</v>
      </c>
      <c r="BL70" s="13">
        <v>5018.17</v>
      </c>
      <c r="BM70" s="13">
        <v>5019.13</v>
      </c>
      <c r="BN70" s="13">
        <v>5019.5</v>
      </c>
      <c r="BO70" s="13">
        <v>5020.8999999999996</v>
      </c>
      <c r="BP70" s="13">
        <v>5019.57</v>
      </c>
      <c r="BQ70" s="13">
        <v>5018.93</v>
      </c>
      <c r="BR70" s="13">
        <v>5017.62</v>
      </c>
      <c r="BS70" s="13">
        <v>5016.38</v>
      </c>
      <c r="BT70" s="13">
        <v>5016.2700000000004</v>
      </c>
      <c r="BU70" s="13">
        <v>5015.8100000000004</v>
      </c>
      <c r="BV70" s="13">
        <v>5020.6099999999997</v>
      </c>
      <c r="BW70" s="13">
        <v>5016.58</v>
      </c>
      <c r="BX70" s="13">
        <v>5022.07</v>
      </c>
      <c r="BY70" s="13">
        <v>5021.78</v>
      </c>
      <c r="BZ70" s="13">
        <v>5031.3100000000004</v>
      </c>
      <c r="CA70" s="13">
        <v>5030.62</v>
      </c>
      <c r="CB70" s="13">
        <v>5019</v>
      </c>
      <c r="CC70" s="13">
        <v>5017.57</v>
      </c>
      <c r="CD70" s="13">
        <v>5018.17</v>
      </c>
      <c r="CE70" s="13">
        <v>5018.87</v>
      </c>
      <c r="CF70" s="13">
        <v>5018.87</v>
      </c>
      <c r="CG70" s="13">
        <v>5018.26</v>
      </c>
      <c r="CH70" s="13">
        <v>5018.22</v>
      </c>
      <c r="CI70" s="13">
        <v>5018</v>
      </c>
      <c r="CJ70" s="13">
        <v>5018.21</v>
      </c>
      <c r="CK70" s="13">
        <v>5021.7299999999996</v>
      </c>
      <c r="CL70" s="13">
        <v>5021.5</v>
      </c>
      <c r="CM70" s="13">
        <v>5021.5</v>
      </c>
      <c r="CN70" s="13">
        <v>5021.3599999999997</v>
      </c>
      <c r="CO70" s="13">
        <v>5019.4799999999996</v>
      </c>
      <c r="CP70" s="13">
        <v>5021.33</v>
      </c>
      <c r="CQ70" s="13">
        <v>5021.42</v>
      </c>
      <c r="CR70" s="13">
        <v>5021.38</v>
      </c>
      <c r="CS70" s="13">
        <v>5021.58</v>
      </c>
      <c r="CT70" s="13">
        <v>5021.63</v>
      </c>
      <c r="CU70" s="13">
        <v>5021.79</v>
      </c>
      <c r="CV70" s="13">
        <v>5021.83</v>
      </c>
      <c r="CW70" s="13">
        <v>5021.79</v>
      </c>
      <c r="CX70" s="13">
        <v>5021.75</v>
      </c>
      <c r="CY70" s="13">
        <v>5021.63</v>
      </c>
      <c r="CZ70" s="13">
        <v>5021.75</v>
      </c>
      <c r="DA70" s="13">
        <v>5031.79</v>
      </c>
      <c r="DB70" s="13">
        <v>5032</v>
      </c>
      <c r="DC70" s="13">
        <v>5032</v>
      </c>
      <c r="DD70" s="13">
        <v>5031.17</v>
      </c>
      <c r="DE70" s="13">
        <v>5031</v>
      </c>
      <c r="DF70" s="13">
        <v>5019.26</v>
      </c>
    </row>
    <row r="71" spans="1:110" ht="15.75" x14ac:dyDescent="0.25">
      <c r="A71" s="14"/>
      <c r="B71" s="12" t="s">
        <v>7</v>
      </c>
      <c r="C71" s="13">
        <v>5050.5</v>
      </c>
      <c r="D71" s="13">
        <v>5055.75</v>
      </c>
      <c r="E71" s="13">
        <v>5053.3100000000004</v>
      </c>
      <c r="F71" s="13">
        <v>5057.38</v>
      </c>
      <c r="G71" s="13">
        <v>5059.8100000000004</v>
      </c>
      <c r="H71" s="13">
        <v>5060.9399999999996</v>
      </c>
      <c r="I71" s="13">
        <v>5060.9399999999996</v>
      </c>
      <c r="J71" s="13">
        <v>5058.1899999999996</v>
      </c>
      <c r="K71" s="13">
        <v>5061.13</v>
      </c>
      <c r="L71" s="13">
        <v>5059.6000000000004</v>
      </c>
      <c r="M71" s="13">
        <v>5057</v>
      </c>
      <c r="N71" s="13">
        <v>5064.5</v>
      </c>
      <c r="O71" s="13">
        <v>5059.5</v>
      </c>
      <c r="P71" s="13">
        <v>5057.8999999999996</v>
      </c>
      <c r="Q71" s="13">
        <v>5057.1400000000003</v>
      </c>
      <c r="R71" s="13">
        <v>5054.75</v>
      </c>
      <c r="S71" s="13">
        <v>5057.1899999999996</v>
      </c>
      <c r="T71" s="13">
        <v>5056.38</v>
      </c>
      <c r="U71" s="13">
        <v>5055.2700000000004</v>
      </c>
      <c r="V71" s="13">
        <v>5051.5600000000004</v>
      </c>
      <c r="W71" s="13">
        <v>5053.1899999999996</v>
      </c>
      <c r="X71" s="13">
        <v>5049.9399999999996</v>
      </c>
      <c r="Y71" s="13">
        <v>5050.75</v>
      </c>
      <c r="Z71" s="13">
        <v>5049.13</v>
      </c>
      <c r="AA71" s="13">
        <v>5046.6899999999996</v>
      </c>
      <c r="AB71" s="13">
        <v>5045.7299999999996</v>
      </c>
      <c r="AC71" s="13">
        <v>5048.09</v>
      </c>
      <c r="AD71" s="13">
        <v>5048.8500000000004</v>
      </c>
      <c r="AE71" s="13">
        <v>5049.8500000000004</v>
      </c>
      <c r="AF71" s="13">
        <v>5042.1899999999996</v>
      </c>
      <c r="AG71" s="13">
        <v>5037.55</v>
      </c>
      <c r="AH71" s="13">
        <v>5039.18</v>
      </c>
      <c r="AI71" s="13">
        <v>5039.32</v>
      </c>
      <c r="AJ71" s="13">
        <v>5039.32</v>
      </c>
      <c r="AK71" s="13">
        <v>5036.6499999999996</v>
      </c>
      <c r="AL71" s="13">
        <v>5028.3500000000004</v>
      </c>
      <c r="AM71" s="13">
        <v>5027.38</v>
      </c>
      <c r="AN71" s="13">
        <v>5022.43</v>
      </c>
      <c r="AO71" s="13">
        <v>5023.67</v>
      </c>
      <c r="AP71" s="13">
        <v>5020.57</v>
      </c>
      <c r="AQ71" s="13">
        <v>5014.82</v>
      </c>
      <c r="AR71" s="13">
        <v>5010.62</v>
      </c>
      <c r="AS71" s="13">
        <v>5008.4399999999996</v>
      </c>
      <c r="AT71" s="13">
        <v>5008.4399999999996</v>
      </c>
      <c r="AU71" s="13">
        <v>5008.4399999999996</v>
      </c>
      <c r="AV71" s="13">
        <v>5009.46</v>
      </c>
      <c r="AW71" s="13">
        <v>5010.62</v>
      </c>
      <c r="AX71" s="13">
        <v>5011.7700000000004</v>
      </c>
      <c r="AY71" s="13">
        <v>5015.67</v>
      </c>
      <c r="AZ71" s="13">
        <v>5016.04</v>
      </c>
      <c r="BA71" s="13">
        <v>5016.41</v>
      </c>
      <c r="BB71" s="13">
        <v>5017.6000000000004</v>
      </c>
      <c r="BC71" s="13">
        <v>5016.5200000000004</v>
      </c>
      <c r="BD71" s="13">
        <v>5016.5200000000004</v>
      </c>
      <c r="BE71" s="13">
        <v>5018.42</v>
      </c>
      <c r="BF71" s="13">
        <v>5017.59</v>
      </c>
      <c r="BG71" s="13">
        <v>5017</v>
      </c>
      <c r="BH71" s="13">
        <v>5016.22</v>
      </c>
      <c r="BI71" s="13">
        <v>5015.3599999999997</v>
      </c>
      <c r="BJ71" s="13">
        <v>5016.5200000000004</v>
      </c>
      <c r="BK71" s="13">
        <v>5015.3599999999997</v>
      </c>
      <c r="BL71" s="13">
        <v>5015.3599999999997</v>
      </c>
      <c r="BM71" s="13">
        <v>5017.8999999999996</v>
      </c>
      <c r="BN71" s="13">
        <v>5016.76</v>
      </c>
      <c r="BO71" s="13">
        <v>5019.3999999999996</v>
      </c>
      <c r="BP71" s="13">
        <v>5019.57</v>
      </c>
      <c r="BQ71" s="13">
        <v>5016.5</v>
      </c>
      <c r="BR71" s="13">
        <v>5016.38</v>
      </c>
      <c r="BS71" s="13">
        <v>5016.04</v>
      </c>
      <c r="BT71" s="13">
        <v>5016.04</v>
      </c>
      <c r="BU71" s="13">
        <v>5015.8100000000004</v>
      </c>
      <c r="BV71" s="13">
        <v>5015.78</v>
      </c>
      <c r="BW71" s="13">
        <v>5015.3599999999997</v>
      </c>
      <c r="BX71" s="13">
        <v>5016</v>
      </c>
      <c r="BY71" s="13">
        <v>5021.71</v>
      </c>
      <c r="BZ71" s="13">
        <v>5021.78</v>
      </c>
      <c r="CA71" s="13">
        <v>5029.79</v>
      </c>
      <c r="CB71" s="13">
        <v>5015.59</v>
      </c>
      <c r="CC71" s="13">
        <v>5017.3500000000004</v>
      </c>
      <c r="CD71" s="13">
        <v>5017.5200000000004</v>
      </c>
      <c r="CE71" s="13">
        <v>5018.26</v>
      </c>
      <c r="CF71" s="13">
        <v>5018.6099999999997</v>
      </c>
      <c r="CG71" s="13">
        <v>5018.17</v>
      </c>
      <c r="CH71" s="13">
        <v>5018</v>
      </c>
      <c r="CI71" s="13">
        <v>5017.83</v>
      </c>
      <c r="CJ71" s="13">
        <v>5017.87</v>
      </c>
      <c r="CK71" s="13">
        <v>5018.04</v>
      </c>
      <c r="CL71" s="13">
        <v>5021.5</v>
      </c>
      <c r="CM71" s="13">
        <v>5021.5</v>
      </c>
      <c r="CN71" s="13">
        <v>5021.3599999999997</v>
      </c>
      <c r="CO71" s="13">
        <v>5019.1000000000004</v>
      </c>
      <c r="CP71" s="13">
        <v>5019.57</v>
      </c>
      <c r="CQ71" s="13">
        <v>5021.17</v>
      </c>
      <c r="CR71" s="13">
        <v>5021.38</v>
      </c>
      <c r="CS71" s="13">
        <v>5021.38</v>
      </c>
      <c r="CT71" s="13">
        <v>5021.58</v>
      </c>
      <c r="CU71" s="13">
        <v>5021.79</v>
      </c>
      <c r="CV71" s="13">
        <v>5021.67</v>
      </c>
      <c r="CW71" s="13">
        <v>5021.79</v>
      </c>
      <c r="CX71" s="13">
        <v>5021.75</v>
      </c>
      <c r="CY71" s="13">
        <v>5021.54</v>
      </c>
      <c r="CZ71" s="13">
        <v>5021.63</v>
      </c>
      <c r="DA71" s="13">
        <v>5021.67</v>
      </c>
      <c r="DB71" s="13">
        <v>5031.41</v>
      </c>
      <c r="DC71" s="13">
        <v>5032</v>
      </c>
      <c r="DD71" s="13">
        <v>5031.17</v>
      </c>
      <c r="DE71" s="13">
        <v>5030.97</v>
      </c>
      <c r="DF71" s="13">
        <v>5019.26</v>
      </c>
    </row>
    <row r="72" spans="1:110" ht="15.75" x14ac:dyDescent="0.25">
      <c r="A72" s="14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</row>
    <row r="73" spans="1:110" ht="15.75" x14ac:dyDescent="0.25">
      <c r="A73" s="11"/>
      <c r="B73" s="11" t="s">
        <v>11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>
        <v>0.4826388888888889</v>
      </c>
      <c r="AH73" s="15">
        <v>0.4861111111111111</v>
      </c>
      <c r="AI73" s="15">
        <v>0.48958333333333331</v>
      </c>
      <c r="AJ73" s="15">
        <v>0.49305555555555558</v>
      </c>
      <c r="AK73" s="15">
        <v>0.49652777777777773</v>
      </c>
      <c r="AL73" s="15">
        <v>0.5</v>
      </c>
      <c r="AM73" s="15">
        <v>0.50347222222222221</v>
      </c>
      <c r="AN73" s="15">
        <v>0.50694444444444442</v>
      </c>
      <c r="AO73" s="15">
        <v>0.51041666666666663</v>
      </c>
      <c r="AP73" s="15">
        <v>0.51388888888888895</v>
      </c>
      <c r="AQ73" s="15">
        <v>0.51736111111111105</v>
      </c>
      <c r="AR73" s="15">
        <v>0.52083333333333337</v>
      </c>
      <c r="AS73" s="15">
        <v>0.52430555555555558</v>
      </c>
      <c r="AT73" s="15">
        <v>0.52777777777777779</v>
      </c>
      <c r="AU73" s="15">
        <v>0.53125</v>
      </c>
      <c r="AV73" s="15">
        <v>0.53472222222222221</v>
      </c>
      <c r="AW73" s="15">
        <v>0.53819444444444442</v>
      </c>
      <c r="AX73" s="15">
        <v>0.54166666666666663</v>
      </c>
      <c r="AY73" s="15">
        <v>0.54513888888888895</v>
      </c>
      <c r="AZ73" s="15">
        <v>0.54861111111111105</v>
      </c>
      <c r="BA73" s="15">
        <v>0.55208333333333337</v>
      </c>
      <c r="BB73" s="15">
        <v>0.55555555555555558</v>
      </c>
      <c r="BC73" s="15">
        <v>0.55902777777777779</v>
      </c>
      <c r="BD73" s="15">
        <v>0.5625</v>
      </c>
      <c r="BE73" s="15">
        <v>0.56597222222222221</v>
      </c>
      <c r="BF73" s="15">
        <v>0.56944444444444442</v>
      </c>
      <c r="BG73" s="15">
        <v>0.57291666666666663</v>
      </c>
      <c r="BH73" s="15">
        <v>0.57638888888888895</v>
      </c>
      <c r="BI73" s="15">
        <v>0.57986111111111105</v>
      </c>
      <c r="BJ73" s="15">
        <v>0.58333333333333337</v>
      </c>
      <c r="BK73" s="15">
        <v>0.58680555555555558</v>
      </c>
      <c r="BL73" s="15">
        <v>0.59027777777777779</v>
      </c>
      <c r="BM73" s="15">
        <v>0.59375</v>
      </c>
      <c r="BN73" s="15">
        <v>0.59722222222222221</v>
      </c>
      <c r="BO73" s="15">
        <v>0.60069444444444442</v>
      </c>
      <c r="BP73" s="15">
        <v>0.60416666666666663</v>
      </c>
      <c r="BQ73" s="15">
        <v>0.60763888888888895</v>
      </c>
      <c r="BR73" s="15">
        <v>0.61111111111111105</v>
      </c>
      <c r="BS73" s="15">
        <v>0.61458333333333337</v>
      </c>
      <c r="BT73" s="15">
        <v>0.61805555555555558</v>
      </c>
      <c r="BU73" s="15">
        <v>0.62152777777777779</v>
      </c>
      <c r="BV73" s="15">
        <v>0.625</v>
      </c>
      <c r="BW73" s="15">
        <v>0.62847222222222221</v>
      </c>
      <c r="BX73" s="15">
        <v>0.63194444444444442</v>
      </c>
      <c r="BY73" s="15">
        <v>0.63541666666666663</v>
      </c>
      <c r="BZ73" s="15">
        <v>0.63888888888888895</v>
      </c>
      <c r="CA73" s="15">
        <v>0.64236111111111105</v>
      </c>
      <c r="CB73" s="15">
        <v>0.64583333333333337</v>
      </c>
      <c r="CC73" s="15">
        <v>0.64930555555555558</v>
      </c>
      <c r="CD73" s="15">
        <v>0.65277777777777779</v>
      </c>
      <c r="CE73" s="15">
        <v>0.65625</v>
      </c>
      <c r="CF73" s="15">
        <v>0.65972222222222221</v>
      </c>
      <c r="CG73" s="15">
        <v>0.66319444444444442</v>
      </c>
      <c r="CH73" s="15">
        <v>0.66666666666666663</v>
      </c>
      <c r="CI73" s="15">
        <v>0.67013888888888884</v>
      </c>
      <c r="CJ73" s="15">
        <v>0.67361111111111116</v>
      </c>
      <c r="CK73" s="15">
        <v>0.67708333333333337</v>
      </c>
      <c r="CL73" s="15">
        <v>0.68055555555555547</v>
      </c>
      <c r="CM73" s="15">
        <v>0.68402777777777779</v>
      </c>
      <c r="CN73" s="15">
        <v>0.6875</v>
      </c>
      <c r="CO73" s="15">
        <v>0.69097222222222221</v>
      </c>
      <c r="CP73" s="15">
        <v>0.69444444444444453</v>
      </c>
      <c r="CQ73" s="15">
        <v>0.69791666666666663</v>
      </c>
      <c r="CR73" s="15">
        <v>0.70138888888888884</v>
      </c>
      <c r="CS73" s="15">
        <v>0.70486111111111116</v>
      </c>
      <c r="CT73" s="15">
        <v>0.70833333333333337</v>
      </c>
      <c r="CU73" s="15">
        <v>0.71180555555555547</v>
      </c>
      <c r="CV73" s="15">
        <v>0.71527777777777779</v>
      </c>
      <c r="CW73" s="15">
        <v>0.71875</v>
      </c>
      <c r="CX73" s="15">
        <v>0.72222222222222221</v>
      </c>
      <c r="CY73" s="15">
        <v>0.72569444444444453</v>
      </c>
      <c r="CZ73" s="15">
        <v>0.72916666666666663</v>
      </c>
      <c r="DA73" s="15">
        <v>0.73263888888888884</v>
      </c>
      <c r="DB73" s="15">
        <v>0.73611111111111116</v>
      </c>
      <c r="DC73" s="15">
        <v>0.73958333333333337</v>
      </c>
      <c r="DD73" s="15">
        <v>0.74305555555555547</v>
      </c>
      <c r="DE73" s="15">
        <v>0.74652777777777779</v>
      </c>
      <c r="DF73" s="15">
        <v>0.75</v>
      </c>
    </row>
    <row r="74" spans="1:110" ht="15.75" x14ac:dyDescent="0.25">
      <c r="A74" s="14">
        <v>44364</v>
      </c>
      <c r="B74" s="12" t="s">
        <v>6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>
        <v>5061</v>
      </c>
      <c r="AH74" s="13">
        <v>5064.22</v>
      </c>
      <c r="AI74" s="13">
        <v>5066.3900000000003</v>
      </c>
      <c r="AJ74" s="13">
        <v>5062.7</v>
      </c>
      <c r="AK74" s="13">
        <v>5063.8900000000003</v>
      </c>
      <c r="AL74" s="13">
        <v>5067.0600000000004</v>
      </c>
      <c r="AM74" s="13">
        <v>5064.62</v>
      </c>
      <c r="AN74" s="13">
        <v>5067.43</v>
      </c>
      <c r="AO74" s="13">
        <v>5076.87</v>
      </c>
      <c r="AP74" s="13">
        <v>5074.43</v>
      </c>
      <c r="AQ74" s="13">
        <v>5073.18</v>
      </c>
      <c r="AR74" s="13">
        <v>5072.5200000000004</v>
      </c>
      <c r="AS74" s="13">
        <v>5064.2299999999996</v>
      </c>
      <c r="AT74" s="13">
        <v>5060.93</v>
      </c>
      <c r="AU74" s="13">
        <v>5063.28</v>
      </c>
      <c r="AV74" s="13">
        <v>5066.62</v>
      </c>
      <c r="AW74" s="13">
        <v>5063.67</v>
      </c>
      <c r="AX74" s="13">
        <v>5067.3100000000004</v>
      </c>
      <c r="AY74" s="13">
        <v>5065.47</v>
      </c>
      <c r="AZ74" s="13">
        <v>5066.08</v>
      </c>
      <c r="BA74" s="13">
        <v>5066.3999999999996</v>
      </c>
      <c r="BB74" s="13">
        <v>5064.47</v>
      </c>
      <c r="BC74" s="13">
        <v>5070.7700000000004</v>
      </c>
      <c r="BD74" s="13">
        <v>5068.1000000000004</v>
      </c>
      <c r="BE74" s="13">
        <v>5068.25</v>
      </c>
      <c r="BF74" s="13">
        <v>5066.7</v>
      </c>
      <c r="BG74" s="13">
        <v>5071.9799999999996</v>
      </c>
      <c r="BH74" s="13">
        <v>5070.5200000000004</v>
      </c>
      <c r="BI74" s="13">
        <v>5070.3900000000003</v>
      </c>
      <c r="BJ74" s="13">
        <v>5073.3999999999996</v>
      </c>
      <c r="BK74" s="13">
        <v>5072.88</v>
      </c>
      <c r="BL74" s="13">
        <v>5072.2</v>
      </c>
      <c r="BM74" s="13">
        <v>5073.18</v>
      </c>
      <c r="BN74" s="13">
        <v>5073.1000000000004</v>
      </c>
      <c r="BO74" s="13">
        <v>5072.8</v>
      </c>
      <c r="BP74" s="13">
        <v>5071.8999999999996</v>
      </c>
      <c r="BQ74" s="13">
        <v>5068.9799999999996</v>
      </c>
      <c r="BR74" s="13">
        <v>5070.18</v>
      </c>
      <c r="BS74" s="13">
        <v>5070</v>
      </c>
      <c r="BT74" s="13">
        <v>5069.2299999999996</v>
      </c>
      <c r="BU74" s="13">
        <v>5068.84</v>
      </c>
      <c r="BV74" s="13">
        <v>5068.49</v>
      </c>
      <c r="BW74" s="13">
        <v>5066.9799999999996</v>
      </c>
      <c r="BX74" s="13">
        <v>5073.6099999999997</v>
      </c>
      <c r="BY74" s="13">
        <v>5068.7299999999996</v>
      </c>
      <c r="BZ74" s="13">
        <v>5070.74</v>
      </c>
      <c r="CA74" s="13">
        <v>5069.57</v>
      </c>
      <c r="CB74" s="13">
        <v>5071.38</v>
      </c>
      <c r="CC74" s="13">
        <v>5068.41</v>
      </c>
      <c r="CD74" s="13">
        <v>5069.3100000000004</v>
      </c>
      <c r="CE74" s="13">
        <v>5067.45</v>
      </c>
      <c r="CF74" s="13">
        <v>5067.41</v>
      </c>
      <c r="CG74" s="13">
        <v>5074.9799999999996</v>
      </c>
      <c r="CH74" s="13">
        <v>5069.8</v>
      </c>
      <c r="CI74" s="13">
        <v>5072.72</v>
      </c>
      <c r="CJ74" s="13">
        <v>5067.3999999999996</v>
      </c>
      <c r="CK74" s="13">
        <v>5067.3999999999996</v>
      </c>
      <c r="CL74" s="13">
        <v>5068.79</v>
      </c>
      <c r="CM74" s="13">
        <v>5066.9799999999996</v>
      </c>
      <c r="CN74" s="13">
        <v>5064.5</v>
      </c>
      <c r="CO74" s="13">
        <v>5065.3</v>
      </c>
      <c r="CP74" s="13">
        <v>5066.7</v>
      </c>
      <c r="CQ74" s="13">
        <v>5065.75</v>
      </c>
      <c r="CR74" s="13">
        <v>5063.7</v>
      </c>
      <c r="CS74" s="13">
        <v>5064.13</v>
      </c>
      <c r="CT74" s="13">
        <v>5064.13</v>
      </c>
      <c r="CU74" s="13">
        <v>5062.9799999999996</v>
      </c>
      <c r="CV74" s="13">
        <v>5065.4799999999996</v>
      </c>
      <c r="CW74" s="13">
        <v>5062.9799999999996</v>
      </c>
      <c r="CX74" s="13">
        <v>5065.3999999999996</v>
      </c>
      <c r="CY74" s="13">
        <v>5064.49</v>
      </c>
      <c r="CZ74" s="13">
        <v>5063.6899999999996</v>
      </c>
      <c r="DA74" s="13">
        <v>5063.63</v>
      </c>
      <c r="DB74" s="13">
        <v>5063.34</v>
      </c>
      <c r="DC74" s="13">
        <v>5063.49</v>
      </c>
      <c r="DD74" s="13">
        <v>5062.3</v>
      </c>
      <c r="DE74" s="13">
        <v>5062.8100000000004</v>
      </c>
      <c r="DF74" s="13">
        <v>5063.09</v>
      </c>
    </row>
    <row r="75" spans="1:110" ht="15.75" x14ac:dyDescent="0.25">
      <c r="A75" s="14"/>
      <c r="B75" s="12" t="s">
        <v>10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>
        <v>5059.43</v>
      </c>
      <c r="AH75" s="13">
        <v>5058.3100000000004</v>
      </c>
      <c r="AI75" s="13">
        <v>5062.6099999999997</v>
      </c>
      <c r="AJ75" s="13">
        <v>5062.6099999999997</v>
      </c>
      <c r="AK75" s="13">
        <v>5062.6099999999997</v>
      </c>
      <c r="AL75" s="13">
        <v>5061.74</v>
      </c>
      <c r="AM75" s="13">
        <v>5062.6099999999997</v>
      </c>
      <c r="AN75" s="13">
        <v>5067.43</v>
      </c>
      <c r="AO75" s="13">
        <v>5074.43</v>
      </c>
      <c r="AP75" s="13">
        <v>5066.33</v>
      </c>
      <c r="AQ75" s="13">
        <v>5069.8</v>
      </c>
      <c r="AR75" s="13">
        <v>5064.07</v>
      </c>
      <c r="AS75" s="13">
        <v>5057.96</v>
      </c>
      <c r="AT75" s="13">
        <v>5059.0200000000004</v>
      </c>
      <c r="AU75" s="13">
        <v>5062.8100000000004</v>
      </c>
      <c r="AV75" s="13">
        <v>5063.95</v>
      </c>
      <c r="AW75" s="13">
        <v>5063.67</v>
      </c>
      <c r="AX75" s="13">
        <v>5064.53</v>
      </c>
      <c r="AY75" s="13">
        <v>5065.1400000000003</v>
      </c>
      <c r="AZ75" s="13">
        <v>5064.95</v>
      </c>
      <c r="BA75" s="13">
        <v>5063.3500000000004</v>
      </c>
      <c r="BB75" s="13">
        <v>5064.07</v>
      </c>
      <c r="BC75" s="13">
        <v>5066.32</v>
      </c>
      <c r="BD75" s="13">
        <v>5067.09</v>
      </c>
      <c r="BE75" s="13">
        <v>5066.91</v>
      </c>
      <c r="BF75" s="13">
        <v>5066.7</v>
      </c>
      <c r="BG75" s="13">
        <v>5068.95</v>
      </c>
      <c r="BH75" s="13">
        <v>5070.3900000000003</v>
      </c>
      <c r="BI75" s="13">
        <v>5070.3900000000003</v>
      </c>
      <c r="BJ75" s="13">
        <v>5068.84</v>
      </c>
      <c r="BK75" s="13">
        <v>5068.34</v>
      </c>
      <c r="BL75" s="13">
        <v>5067.95</v>
      </c>
      <c r="BM75" s="13">
        <v>5069.3</v>
      </c>
      <c r="BN75" s="13">
        <v>5068.2</v>
      </c>
      <c r="BO75" s="13">
        <v>5068.2</v>
      </c>
      <c r="BP75" s="13">
        <v>5068.1400000000003</v>
      </c>
      <c r="BQ75" s="13">
        <v>5068.9799999999996</v>
      </c>
      <c r="BR75" s="13">
        <v>5069.5</v>
      </c>
      <c r="BS75" s="13">
        <v>5068.7</v>
      </c>
      <c r="BT75" s="13">
        <v>5068.2</v>
      </c>
      <c r="BU75" s="13">
        <v>5068.1400000000003</v>
      </c>
      <c r="BV75" s="13">
        <v>5065.7</v>
      </c>
      <c r="BW75" s="13">
        <v>5066.32</v>
      </c>
      <c r="BX75" s="13">
        <v>5068.78</v>
      </c>
      <c r="BY75" s="13">
        <v>5067.6000000000004</v>
      </c>
      <c r="BZ75" s="13">
        <v>5068.7299999999996</v>
      </c>
      <c r="CA75" s="13">
        <v>5066.3599999999997</v>
      </c>
      <c r="CB75" s="13">
        <v>5066.9799999999996</v>
      </c>
      <c r="CC75" s="13">
        <v>5066.3599999999997</v>
      </c>
      <c r="CD75" s="13">
        <v>5067.34</v>
      </c>
      <c r="CE75" s="13">
        <v>5066.57</v>
      </c>
      <c r="CF75" s="13">
        <v>5066.8599999999997</v>
      </c>
      <c r="CG75" s="13">
        <v>5068.4399999999996</v>
      </c>
      <c r="CH75" s="13">
        <v>5068.7700000000004</v>
      </c>
      <c r="CI75" s="13">
        <v>5067.2299999999996</v>
      </c>
      <c r="CJ75" s="13">
        <v>5066.3999999999996</v>
      </c>
      <c r="CK75" s="13">
        <v>5065.93</v>
      </c>
      <c r="CL75" s="13">
        <v>5065.84</v>
      </c>
      <c r="CM75" s="13">
        <v>5065.51</v>
      </c>
      <c r="CN75" s="13">
        <v>5063.53</v>
      </c>
      <c r="CO75" s="13">
        <v>5064.76</v>
      </c>
      <c r="CP75" s="13">
        <v>5065.6899999999996</v>
      </c>
      <c r="CQ75" s="13">
        <v>5063.25</v>
      </c>
      <c r="CR75" s="13">
        <v>5062.6499999999996</v>
      </c>
      <c r="CS75" s="13">
        <v>5063.2</v>
      </c>
      <c r="CT75" s="13">
        <v>5062.92</v>
      </c>
      <c r="CU75" s="13">
        <v>5061.4799999999996</v>
      </c>
      <c r="CV75" s="13">
        <v>5062.71</v>
      </c>
      <c r="CW75" s="13">
        <v>5060.71</v>
      </c>
      <c r="CX75" s="13">
        <v>5062.57</v>
      </c>
      <c r="CY75" s="13">
        <v>5061.84</v>
      </c>
      <c r="CZ75" s="13">
        <v>5060.54</v>
      </c>
      <c r="DA75" s="13">
        <v>5062.5</v>
      </c>
      <c r="DB75" s="13">
        <v>5061.59</v>
      </c>
      <c r="DC75" s="13">
        <v>5061.9799999999996</v>
      </c>
      <c r="DD75" s="13">
        <v>5061.2</v>
      </c>
      <c r="DE75" s="13">
        <v>5062.8100000000004</v>
      </c>
      <c r="DF75" s="13">
        <v>0</v>
      </c>
    </row>
    <row r="76" spans="1:110" ht="15.75" x14ac:dyDescent="0.25">
      <c r="A76" s="14"/>
      <c r="B76" s="12" t="s">
        <v>9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>
        <v>5029.6000000000004</v>
      </c>
      <c r="AH76" s="13">
        <v>5030.88</v>
      </c>
      <c r="AI76" s="13">
        <v>5034.88</v>
      </c>
      <c r="AJ76" s="13">
        <v>5035</v>
      </c>
      <c r="AK76" s="13">
        <v>5035.08</v>
      </c>
      <c r="AL76" s="13">
        <v>5032.63</v>
      </c>
      <c r="AM76" s="13">
        <v>5033.41</v>
      </c>
      <c r="AN76" s="13">
        <v>5037.8900000000003</v>
      </c>
      <c r="AO76" s="13">
        <v>5044.07</v>
      </c>
      <c r="AP76" s="13">
        <v>5039.22</v>
      </c>
      <c r="AQ76" s="13">
        <v>5041.41</v>
      </c>
      <c r="AR76" s="13">
        <v>5031.41</v>
      </c>
      <c r="AS76" s="13">
        <v>5018.13</v>
      </c>
      <c r="AT76" s="13">
        <v>5019.96</v>
      </c>
      <c r="AU76" s="13">
        <v>5031.42</v>
      </c>
      <c r="AV76" s="13">
        <v>5032.79</v>
      </c>
      <c r="AW76" s="13">
        <v>5032.92</v>
      </c>
      <c r="AX76" s="13">
        <v>5034.54</v>
      </c>
      <c r="AY76" s="13">
        <v>5035.17</v>
      </c>
      <c r="AZ76" s="13">
        <v>5034.42</v>
      </c>
      <c r="BA76" s="13">
        <v>5032.17</v>
      </c>
      <c r="BB76" s="13">
        <v>5034.74</v>
      </c>
      <c r="BC76" s="13">
        <v>5034.2299999999996</v>
      </c>
      <c r="BD76" s="13">
        <v>5035.5600000000004</v>
      </c>
      <c r="BE76" s="13">
        <v>5035.03</v>
      </c>
      <c r="BF76" s="13">
        <v>5034.6899999999996</v>
      </c>
      <c r="BG76" s="13">
        <v>5037.21</v>
      </c>
      <c r="BH76" s="13">
        <v>5038.41</v>
      </c>
      <c r="BI76" s="13">
        <v>5038.74</v>
      </c>
      <c r="BJ76" s="13">
        <v>5036.8999999999996</v>
      </c>
      <c r="BK76" s="13">
        <v>5036.05</v>
      </c>
      <c r="BL76" s="13">
        <v>5035.8500000000004</v>
      </c>
      <c r="BM76" s="13">
        <v>5037.3599999999997</v>
      </c>
      <c r="BN76" s="13">
        <v>5035.97</v>
      </c>
      <c r="BO76" s="13">
        <v>5036.34</v>
      </c>
      <c r="BP76" s="13">
        <v>5035.8500000000004</v>
      </c>
      <c r="BQ76" s="13">
        <v>5037.1499999999996</v>
      </c>
      <c r="BR76" s="13">
        <v>5037.3500000000004</v>
      </c>
      <c r="BS76" s="13">
        <v>5036.83</v>
      </c>
      <c r="BT76" s="13">
        <v>5036.25</v>
      </c>
      <c r="BU76" s="13">
        <v>5035.6000000000004</v>
      </c>
      <c r="BV76" s="13">
        <v>5033.1000000000004</v>
      </c>
      <c r="BW76" s="13">
        <v>5033.7</v>
      </c>
      <c r="BX76" s="13">
        <v>5036.21</v>
      </c>
      <c r="BY76" s="13">
        <v>5030.63</v>
      </c>
      <c r="BZ76" s="13">
        <v>5032.75</v>
      </c>
      <c r="CA76" s="13">
        <v>5032.25</v>
      </c>
      <c r="CB76" s="13">
        <v>5033.46</v>
      </c>
      <c r="CC76" s="13">
        <v>5032.3900000000003</v>
      </c>
      <c r="CD76" s="13">
        <v>5034.13</v>
      </c>
      <c r="CE76" s="13">
        <v>5032.3900000000003</v>
      </c>
      <c r="CF76" s="13">
        <v>5033.04</v>
      </c>
      <c r="CG76" s="13">
        <v>5035.4799999999996</v>
      </c>
      <c r="CH76" s="13">
        <v>5036.22</v>
      </c>
      <c r="CI76" s="13">
        <v>5036.09</v>
      </c>
      <c r="CJ76" s="13">
        <v>5036.96</v>
      </c>
      <c r="CK76" s="13">
        <v>5039.5600000000004</v>
      </c>
      <c r="CL76" s="13">
        <v>5037.63</v>
      </c>
      <c r="CM76" s="13">
        <v>5037.04</v>
      </c>
      <c r="CN76" s="13">
        <v>5033.04</v>
      </c>
      <c r="CO76" s="13">
        <v>5032.58</v>
      </c>
      <c r="CP76" s="13">
        <v>5034.96</v>
      </c>
      <c r="CQ76" s="13">
        <v>5034.46</v>
      </c>
      <c r="CR76" s="13">
        <v>5020.42</v>
      </c>
      <c r="CS76" s="13">
        <v>5022.04</v>
      </c>
      <c r="CT76" s="13">
        <v>5021.38</v>
      </c>
      <c r="CU76" s="13">
        <v>5019.38</v>
      </c>
      <c r="CV76" s="13">
        <v>5019.25</v>
      </c>
      <c r="CW76" s="13">
        <v>5016.79</v>
      </c>
      <c r="CX76" s="13">
        <v>5030</v>
      </c>
      <c r="CY76" s="13">
        <v>5020.3</v>
      </c>
      <c r="CZ76" s="13">
        <v>5012.5200000000004</v>
      </c>
      <c r="DA76" s="13">
        <v>5019.91</v>
      </c>
      <c r="DB76" s="13">
        <v>5026.6499999999996</v>
      </c>
      <c r="DC76" s="13">
        <v>5013.67</v>
      </c>
      <c r="DD76" s="13">
        <v>5013.6499999999996</v>
      </c>
      <c r="DE76" s="13">
        <v>5018.5</v>
      </c>
      <c r="DF76" s="13">
        <v>5025.93</v>
      </c>
    </row>
    <row r="77" spans="1:110" ht="15.75" x14ac:dyDescent="0.25">
      <c r="A77" s="14"/>
      <c r="B77" s="12" t="s">
        <v>7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>
        <v>5029.1000000000004</v>
      </c>
      <c r="AH77" s="13">
        <v>5029.75</v>
      </c>
      <c r="AI77" s="13">
        <v>5029.6000000000004</v>
      </c>
      <c r="AJ77" s="13">
        <v>5030.3999999999996</v>
      </c>
      <c r="AK77" s="13">
        <v>5030.3999999999996</v>
      </c>
      <c r="AL77" s="13">
        <v>5032.07</v>
      </c>
      <c r="AM77" s="13">
        <v>5032.4399999999996</v>
      </c>
      <c r="AN77" s="13">
        <v>5037.8900000000003</v>
      </c>
      <c r="AO77" s="13">
        <v>5037.8900000000003</v>
      </c>
      <c r="AP77" s="13">
        <v>5039.22</v>
      </c>
      <c r="AQ77" s="13">
        <v>5037.76</v>
      </c>
      <c r="AR77" s="13">
        <v>5029.45</v>
      </c>
      <c r="AS77" s="13">
        <v>5011.8999999999996</v>
      </c>
      <c r="AT77" s="13">
        <v>5015.05</v>
      </c>
      <c r="AU77" s="13">
        <v>5021</v>
      </c>
      <c r="AV77" s="13">
        <v>5030.33</v>
      </c>
      <c r="AW77" s="13">
        <v>5032.92</v>
      </c>
      <c r="AX77" s="13">
        <v>5032.71</v>
      </c>
      <c r="AY77" s="13">
        <v>5031.6499999999996</v>
      </c>
      <c r="AZ77" s="13">
        <v>5032.3</v>
      </c>
      <c r="BA77" s="13">
        <v>5032.17</v>
      </c>
      <c r="BB77" s="13">
        <v>5032.38</v>
      </c>
      <c r="BC77" s="13">
        <v>5032.72</v>
      </c>
      <c r="BD77" s="13">
        <v>5032.79</v>
      </c>
      <c r="BE77" s="13">
        <v>5034.49</v>
      </c>
      <c r="BF77" s="13">
        <v>5033.3599999999997</v>
      </c>
      <c r="BG77" s="13">
        <v>5034.6899999999996</v>
      </c>
      <c r="BH77" s="13">
        <v>5036.63</v>
      </c>
      <c r="BI77" s="13">
        <v>5038.74</v>
      </c>
      <c r="BJ77" s="13">
        <v>5036.7700000000004</v>
      </c>
      <c r="BK77" s="13">
        <v>5034.29</v>
      </c>
      <c r="BL77" s="13">
        <v>5033.8</v>
      </c>
      <c r="BM77" s="13">
        <v>5034.6000000000004</v>
      </c>
      <c r="BN77" s="13">
        <v>5034.3500000000004</v>
      </c>
      <c r="BO77" s="13">
        <v>5034.2299999999996</v>
      </c>
      <c r="BP77" s="13">
        <v>5034.1099999999997</v>
      </c>
      <c r="BQ77" s="13">
        <v>5037.1499999999996</v>
      </c>
      <c r="BR77" s="13">
        <v>5036.1400000000003</v>
      </c>
      <c r="BS77" s="13">
        <v>5036.7</v>
      </c>
      <c r="BT77" s="13">
        <v>5036.25</v>
      </c>
      <c r="BU77" s="13">
        <v>5035.2700000000004</v>
      </c>
      <c r="BV77" s="13">
        <v>5031.97</v>
      </c>
      <c r="BW77" s="13">
        <v>5030.6499999999996</v>
      </c>
      <c r="BX77" s="13">
        <v>5033.8</v>
      </c>
      <c r="BY77" s="13">
        <v>5030.42</v>
      </c>
      <c r="BZ77" s="13">
        <v>5030.63</v>
      </c>
      <c r="CA77" s="13">
        <v>5022.55</v>
      </c>
      <c r="CB77" s="13">
        <v>5032.25</v>
      </c>
      <c r="CC77" s="13">
        <v>5031.17</v>
      </c>
      <c r="CD77" s="13">
        <v>5032.3900000000003</v>
      </c>
      <c r="CE77" s="13">
        <v>5029.95</v>
      </c>
      <c r="CF77" s="13">
        <v>5023</v>
      </c>
      <c r="CG77" s="13">
        <v>5026.75</v>
      </c>
      <c r="CH77" s="13">
        <v>5034.74</v>
      </c>
      <c r="CI77" s="13">
        <v>5035.4799999999996</v>
      </c>
      <c r="CJ77" s="13">
        <v>5036.09</v>
      </c>
      <c r="CK77" s="13">
        <v>5024.1400000000003</v>
      </c>
      <c r="CL77" s="13">
        <v>5023.75</v>
      </c>
      <c r="CM77" s="13">
        <v>5028.57</v>
      </c>
      <c r="CN77" s="13">
        <v>5019</v>
      </c>
      <c r="CO77" s="13">
        <v>5022.95</v>
      </c>
      <c r="CP77" s="13">
        <v>5023.95</v>
      </c>
      <c r="CQ77" s="13">
        <v>5033.88</v>
      </c>
      <c r="CR77" s="13">
        <v>5008.3500000000004</v>
      </c>
      <c r="CS77" s="13">
        <v>5016.8</v>
      </c>
      <c r="CT77" s="13">
        <v>5009.8</v>
      </c>
      <c r="CU77" s="13">
        <v>5008.25</v>
      </c>
      <c r="CV77" s="13">
        <v>5016.33</v>
      </c>
      <c r="CW77" s="13">
        <v>5015.46</v>
      </c>
      <c r="CX77" s="13">
        <v>5016.79</v>
      </c>
      <c r="CY77" s="13">
        <v>5010.05</v>
      </c>
      <c r="CZ77" s="13">
        <v>5007.26</v>
      </c>
      <c r="DA77" s="13">
        <v>5008.79</v>
      </c>
      <c r="DB77" s="13">
        <v>5020.13</v>
      </c>
      <c r="DC77" s="13">
        <v>5013.67</v>
      </c>
      <c r="DD77" s="13">
        <v>5013.6499999999996</v>
      </c>
      <c r="DE77" s="13">
        <v>5013.1000000000004</v>
      </c>
      <c r="DF77" s="13">
        <v>5018</v>
      </c>
    </row>
    <row r="78" spans="1:110" ht="15.75" x14ac:dyDescent="0.25">
      <c r="A78" s="14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</row>
    <row r="79" spans="1:110" ht="15.75" x14ac:dyDescent="0.25">
      <c r="A79" s="11"/>
      <c r="B79" s="11" t="s">
        <v>11</v>
      </c>
      <c r="C79" s="15">
        <v>0.37847222222222227</v>
      </c>
      <c r="D79" s="15">
        <v>0.38194444444444442</v>
      </c>
      <c r="E79" s="15">
        <v>0.38541666666666669</v>
      </c>
      <c r="F79" s="15">
        <v>0.3888888888888889</v>
      </c>
      <c r="G79" s="15">
        <v>0.3923611111111111</v>
      </c>
      <c r="H79" s="15">
        <v>0.39583333333333331</v>
      </c>
      <c r="I79" s="15">
        <v>0.39930555555555558</v>
      </c>
      <c r="J79" s="15">
        <v>0.40277777777777773</v>
      </c>
      <c r="K79" s="15">
        <v>0.40625</v>
      </c>
      <c r="L79" s="15">
        <v>0.40972222222222227</v>
      </c>
      <c r="M79" s="15">
        <v>0.41319444444444442</v>
      </c>
      <c r="N79" s="15">
        <v>0.41666666666666669</v>
      </c>
      <c r="O79" s="15">
        <v>0.4201388888888889</v>
      </c>
      <c r="P79" s="15">
        <v>0.4236111111111111</v>
      </c>
      <c r="Q79" s="15">
        <v>0.42708333333333331</v>
      </c>
      <c r="R79" s="15">
        <v>0.43055555555555558</v>
      </c>
      <c r="S79" s="15">
        <v>0.43402777777777773</v>
      </c>
      <c r="T79" s="15">
        <v>0.4375</v>
      </c>
      <c r="U79" s="15">
        <v>0.44097222222222227</v>
      </c>
      <c r="V79" s="15">
        <v>0.44444444444444442</v>
      </c>
      <c r="W79" s="15">
        <v>0.44791666666666669</v>
      </c>
      <c r="X79" s="15">
        <v>0.4513888888888889</v>
      </c>
      <c r="Y79" s="15">
        <v>0.4548611111111111</v>
      </c>
      <c r="Z79" s="15">
        <v>0.45833333333333331</v>
      </c>
      <c r="AA79" s="15">
        <v>0.46180555555555558</v>
      </c>
      <c r="AB79" s="15">
        <v>0.46527777777777773</v>
      </c>
      <c r="AC79" s="15">
        <v>0.46875</v>
      </c>
      <c r="AD79" s="15">
        <v>0.47222222222222227</v>
      </c>
      <c r="AE79" s="15">
        <v>0.47569444444444442</v>
      </c>
      <c r="AF79" s="15">
        <v>0.47916666666666669</v>
      </c>
      <c r="AG79" s="15">
        <v>0.4826388888888889</v>
      </c>
      <c r="AH79" s="15">
        <v>0.4861111111111111</v>
      </c>
      <c r="AI79" s="15">
        <v>0.48958333333333331</v>
      </c>
      <c r="AJ79" s="15">
        <v>0.49305555555555558</v>
      </c>
      <c r="AK79" s="15">
        <v>0.49652777777777773</v>
      </c>
      <c r="AL79" s="15">
        <v>0.5</v>
      </c>
      <c r="AM79" s="15">
        <v>0.50347222222222221</v>
      </c>
      <c r="AN79" s="15">
        <v>0.50694444444444442</v>
      </c>
      <c r="AO79" s="15">
        <v>0.51041666666666663</v>
      </c>
      <c r="AP79" s="15">
        <v>0.51388888888888895</v>
      </c>
      <c r="AQ79" s="15">
        <v>0.51736111111111105</v>
      </c>
      <c r="AR79" s="15">
        <v>0.52083333333333337</v>
      </c>
      <c r="AS79" s="15">
        <v>0.52430555555555558</v>
      </c>
      <c r="AT79" s="15">
        <v>0.52777777777777779</v>
      </c>
      <c r="AU79" s="15">
        <v>0.53125</v>
      </c>
      <c r="AV79" s="15">
        <v>0.53472222222222221</v>
      </c>
      <c r="AW79" s="15">
        <v>0.53819444444444442</v>
      </c>
      <c r="AX79" s="15">
        <v>0.54166666666666663</v>
      </c>
      <c r="AY79" s="15">
        <v>0.54513888888888895</v>
      </c>
      <c r="AZ79" s="15">
        <v>0.54861111111111105</v>
      </c>
      <c r="BA79" s="15">
        <v>0.55208333333333337</v>
      </c>
      <c r="BB79" s="15">
        <v>0.55555555555555558</v>
      </c>
      <c r="BC79" s="15">
        <v>0.55902777777777779</v>
      </c>
      <c r="BD79" s="15">
        <v>0.5625</v>
      </c>
      <c r="BE79" s="15">
        <v>0.56597222222222221</v>
      </c>
      <c r="BF79" s="15">
        <v>0.56944444444444442</v>
      </c>
      <c r="BG79" s="15">
        <v>0.57291666666666663</v>
      </c>
      <c r="BH79" s="15">
        <v>0.57638888888888895</v>
      </c>
      <c r="BI79" s="15">
        <v>0.57986111111111105</v>
      </c>
      <c r="BJ79" s="15">
        <v>0.58333333333333337</v>
      </c>
      <c r="BK79" s="15">
        <v>0.58680555555555558</v>
      </c>
      <c r="BL79" s="15">
        <v>0.59027777777777779</v>
      </c>
      <c r="BM79" s="15">
        <v>0.59375</v>
      </c>
      <c r="BN79" s="15">
        <v>0.59722222222222221</v>
      </c>
      <c r="BO79" s="15">
        <v>0.60069444444444442</v>
      </c>
      <c r="BP79" s="15">
        <v>0.60416666666666663</v>
      </c>
      <c r="BQ79" s="15">
        <v>0.60763888888888895</v>
      </c>
      <c r="BR79" s="15">
        <v>0.61111111111111105</v>
      </c>
      <c r="BS79" s="15">
        <v>0.61458333333333337</v>
      </c>
      <c r="BT79" s="15">
        <v>0.61805555555555558</v>
      </c>
      <c r="BU79" s="15">
        <v>0.62152777777777779</v>
      </c>
      <c r="BV79" s="15">
        <v>0.625</v>
      </c>
      <c r="BW79" s="15">
        <v>0.62847222222222221</v>
      </c>
      <c r="BX79" s="15">
        <v>0.63194444444444442</v>
      </c>
      <c r="BY79" s="15">
        <v>0.63541666666666663</v>
      </c>
      <c r="BZ79" s="15">
        <v>0.63888888888888895</v>
      </c>
      <c r="CA79" s="15">
        <v>0.64236111111111105</v>
      </c>
      <c r="CB79" s="15">
        <v>0.64583333333333337</v>
      </c>
      <c r="CC79" s="15">
        <v>0.64930555555555558</v>
      </c>
      <c r="CD79" s="15">
        <v>0.65277777777777779</v>
      </c>
      <c r="CE79" s="15">
        <v>0.65625</v>
      </c>
      <c r="CF79" s="15">
        <v>0.65972222222222221</v>
      </c>
      <c r="CG79" s="15">
        <v>0.66319444444444442</v>
      </c>
      <c r="CH79" s="15">
        <v>0.66666666666666663</v>
      </c>
      <c r="CI79" s="15">
        <v>0.67013888888888884</v>
      </c>
      <c r="CJ79" s="15">
        <v>0.67361111111111116</v>
      </c>
      <c r="CK79" s="15">
        <v>0.67708333333333337</v>
      </c>
      <c r="CL79" s="15">
        <v>0.68055555555555547</v>
      </c>
      <c r="CM79" s="15">
        <v>0.68402777777777779</v>
      </c>
      <c r="CN79" s="15">
        <v>0.6875</v>
      </c>
      <c r="CO79" s="15">
        <v>0.69097222222222221</v>
      </c>
      <c r="CP79" s="15">
        <v>0.69444444444444453</v>
      </c>
      <c r="CQ79" s="15">
        <v>0.69791666666666663</v>
      </c>
      <c r="CR79" s="15">
        <v>0.70138888888888884</v>
      </c>
      <c r="CS79" s="15">
        <v>0.70486111111111116</v>
      </c>
      <c r="CT79" s="15">
        <v>0.70833333333333337</v>
      </c>
      <c r="CU79" s="15">
        <v>0.71180555555555547</v>
      </c>
      <c r="CV79" s="15">
        <v>0.71527777777777779</v>
      </c>
      <c r="CW79" s="15">
        <v>0.71875</v>
      </c>
      <c r="CX79" s="15">
        <v>0.72222222222222221</v>
      </c>
      <c r="CY79" s="15">
        <v>0.72569444444444453</v>
      </c>
      <c r="CZ79" s="15">
        <v>0.72916666666666663</v>
      </c>
      <c r="DA79" s="15">
        <v>0.73263888888888884</v>
      </c>
      <c r="DB79" s="15">
        <v>0.73611111111111116</v>
      </c>
      <c r="DC79" s="15">
        <v>0.73958333333333337</v>
      </c>
      <c r="DD79" s="15">
        <v>0.74305555555555547</v>
      </c>
      <c r="DE79" s="15">
        <v>0.74652777777777779</v>
      </c>
      <c r="DF79" s="15">
        <v>0.75</v>
      </c>
    </row>
    <row r="80" spans="1:110" ht="15.75" x14ac:dyDescent="0.25">
      <c r="A80" s="14">
        <v>44365</v>
      </c>
      <c r="B80" s="12" t="s">
        <v>6</v>
      </c>
      <c r="C80" s="13">
        <v>5086.3500000000004</v>
      </c>
      <c r="D80" s="13">
        <v>5080.79</v>
      </c>
      <c r="E80" s="13">
        <v>5077.67</v>
      </c>
      <c r="F80" s="13">
        <v>5075.43</v>
      </c>
      <c r="G80" s="13">
        <v>5077.7700000000004</v>
      </c>
      <c r="H80" s="13">
        <v>5082.17</v>
      </c>
      <c r="I80" s="13">
        <v>5076</v>
      </c>
      <c r="J80" s="13">
        <v>5078.3999999999996</v>
      </c>
      <c r="K80" s="13">
        <v>5077.3999999999996</v>
      </c>
      <c r="L80" s="13">
        <v>5078.79</v>
      </c>
      <c r="M80" s="13">
        <v>5075.2700000000004</v>
      </c>
      <c r="N80" s="13">
        <v>5072.63</v>
      </c>
      <c r="O80" s="13">
        <v>5074.6000000000004</v>
      </c>
      <c r="P80" s="13">
        <v>5074.32</v>
      </c>
      <c r="Q80" s="13">
        <v>5074.57</v>
      </c>
      <c r="R80" s="13">
        <v>5069.04</v>
      </c>
      <c r="S80" s="13">
        <v>5067.92</v>
      </c>
      <c r="T80" s="13">
        <v>5071.28</v>
      </c>
      <c r="U80" s="13">
        <v>5068.67</v>
      </c>
      <c r="V80" s="13">
        <v>5071.38</v>
      </c>
      <c r="W80" s="13">
        <v>5070.8999999999996</v>
      </c>
      <c r="X80" s="13">
        <v>5075.6400000000003</v>
      </c>
      <c r="Y80" s="13">
        <v>5077.0200000000004</v>
      </c>
      <c r="Z80" s="13">
        <v>5079.2299999999996</v>
      </c>
      <c r="AA80" s="13">
        <v>5082.24</v>
      </c>
      <c r="AB80" s="13">
        <v>5085.22</v>
      </c>
      <c r="AC80" s="13">
        <v>5085.47</v>
      </c>
      <c r="AD80" s="13">
        <v>5090.8500000000004</v>
      </c>
      <c r="AE80" s="13">
        <v>5094.72</v>
      </c>
      <c r="AF80" s="13">
        <v>5094.62</v>
      </c>
      <c r="AG80" s="13">
        <v>5093.74</v>
      </c>
      <c r="AH80" s="13">
        <v>5074.4399999999996</v>
      </c>
      <c r="AI80" s="13">
        <v>5070.34</v>
      </c>
      <c r="AJ80" s="13">
        <v>5072.97</v>
      </c>
      <c r="AK80" s="13">
        <v>5072.09</v>
      </c>
      <c r="AL80" s="13">
        <v>5072.07</v>
      </c>
      <c r="AM80" s="13">
        <v>5077.41</v>
      </c>
      <c r="AN80" s="13">
        <v>5077.7299999999996</v>
      </c>
      <c r="AO80" s="13">
        <v>5080.9399999999996</v>
      </c>
      <c r="AP80" s="13">
        <v>5080.3599999999997</v>
      </c>
      <c r="AQ80" s="13">
        <v>5073.59</v>
      </c>
      <c r="AR80" s="13">
        <v>5079.5</v>
      </c>
      <c r="AS80" s="13">
        <v>5077.83</v>
      </c>
      <c r="AT80" s="13">
        <v>5079.1400000000003</v>
      </c>
      <c r="AU80" s="13">
        <v>5077.38</v>
      </c>
      <c r="AV80" s="13">
        <v>5078.74</v>
      </c>
      <c r="AW80" s="13">
        <v>5076.5</v>
      </c>
      <c r="AX80" s="13">
        <v>5075.04</v>
      </c>
      <c r="AY80" s="13">
        <v>5075.71</v>
      </c>
      <c r="AZ80" s="13">
        <v>5076.8999999999996</v>
      </c>
      <c r="BA80" s="13">
        <v>5076.5</v>
      </c>
      <c r="BB80" s="13">
        <v>5080.5</v>
      </c>
      <c r="BC80" s="13">
        <v>5089.25</v>
      </c>
      <c r="BD80" s="13">
        <v>5097</v>
      </c>
      <c r="BE80" s="13">
        <v>5102.74</v>
      </c>
      <c r="BF80" s="13">
        <v>5100.79</v>
      </c>
      <c r="BG80" s="13">
        <v>5100.24</v>
      </c>
      <c r="BH80" s="13">
        <v>5096.59</v>
      </c>
      <c r="BI80" s="13">
        <v>5099.68</v>
      </c>
      <c r="BJ80" s="13">
        <v>5109.38</v>
      </c>
      <c r="BK80" s="13">
        <v>5112.32</v>
      </c>
      <c r="BL80" s="13">
        <v>5111.68</v>
      </c>
      <c r="BM80" s="13">
        <v>5109.79</v>
      </c>
      <c r="BN80" s="13">
        <v>5105.37</v>
      </c>
      <c r="BO80" s="13">
        <v>5099.45</v>
      </c>
      <c r="BP80" s="13">
        <v>5098.71</v>
      </c>
      <c r="BQ80" s="13">
        <v>5097.3599999999997</v>
      </c>
      <c r="BR80" s="13">
        <v>5096.3900000000003</v>
      </c>
      <c r="BS80" s="13">
        <v>5097.22</v>
      </c>
      <c r="BT80" s="13">
        <v>5096.3900000000003</v>
      </c>
      <c r="BU80" s="13">
        <v>5095.8900000000003</v>
      </c>
      <c r="BV80" s="13">
        <v>5098.37</v>
      </c>
      <c r="BW80" s="13">
        <v>5098.1400000000003</v>
      </c>
      <c r="BX80" s="13">
        <v>5098.53</v>
      </c>
      <c r="BY80" s="13">
        <v>5097.3599999999997</v>
      </c>
      <c r="BZ80" s="13">
        <v>5101.22</v>
      </c>
      <c r="CA80" s="13">
        <v>5095.18</v>
      </c>
      <c r="CB80" s="13">
        <v>5095.18</v>
      </c>
      <c r="CC80" s="13">
        <v>5098.5600000000004</v>
      </c>
      <c r="CD80" s="13">
        <v>5095.72</v>
      </c>
      <c r="CE80" s="13">
        <v>5094.1099999999997</v>
      </c>
      <c r="CF80" s="13">
        <v>5095.82</v>
      </c>
      <c r="CG80" s="13">
        <v>5095.58</v>
      </c>
      <c r="CH80" s="13">
        <v>5101.0600000000004</v>
      </c>
      <c r="CI80" s="13">
        <v>5102.5600000000004</v>
      </c>
      <c r="CJ80" s="13">
        <v>5103.22</v>
      </c>
      <c r="CK80" s="13">
        <v>5099.8900000000003</v>
      </c>
      <c r="CL80" s="13">
        <v>5099.8900000000003</v>
      </c>
      <c r="CM80" s="13">
        <v>5099.0600000000004</v>
      </c>
      <c r="CN80" s="13">
        <v>5101.72</v>
      </c>
      <c r="CO80" s="13">
        <v>5105.09</v>
      </c>
      <c r="CP80" s="13">
        <v>5105.22</v>
      </c>
      <c r="CQ80" s="13">
        <v>5104.5600000000004</v>
      </c>
      <c r="CR80" s="13">
        <v>5101</v>
      </c>
      <c r="CS80" s="13">
        <v>5102.5600000000004</v>
      </c>
      <c r="CT80" s="13">
        <v>5103.72</v>
      </c>
      <c r="CU80" s="13">
        <v>5103.72</v>
      </c>
      <c r="CV80" s="13">
        <v>5102.9399999999996</v>
      </c>
      <c r="CW80" s="13">
        <v>5113</v>
      </c>
      <c r="CX80" s="13">
        <v>5118.33</v>
      </c>
      <c r="CY80" s="13">
        <v>5118.33</v>
      </c>
      <c r="CZ80" s="13">
        <v>5118.33</v>
      </c>
      <c r="DA80" s="13">
        <v>5124.32</v>
      </c>
      <c r="DB80" s="13">
        <v>5126.5</v>
      </c>
      <c r="DC80" s="13">
        <v>5135.3999999999996</v>
      </c>
      <c r="DD80" s="13">
        <v>5132.21</v>
      </c>
      <c r="DE80" s="13">
        <v>5131.3999999999996</v>
      </c>
      <c r="DF80" s="13">
        <v>5135</v>
      </c>
    </row>
    <row r="81" spans="1:110" ht="15.75" x14ac:dyDescent="0.25">
      <c r="A81" s="14"/>
      <c r="B81" s="12" t="s">
        <v>10</v>
      </c>
      <c r="C81" s="13">
        <v>5074.68</v>
      </c>
      <c r="D81" s="13">
        <v>5075.82</v>
      </c>
      <c r="E81" s="13">
        <v>5071.38</v>
      </c>
      <c r="F81" s="13">
        <v>5072.26</v>
      </c>
      <c r="G81" s="13">
        <v>5075.26</v>
      </c>
      <c r="H81" s="13">
        <v>5076.55</v>
      </c>
      <c r="I81" s="13">
        <v>5073.04</v>
      </c>
      <c r="J81" s="13">
        <v>5073.66</v>
      </c>
      <c r="K81" s="13">
        <v>5074.8500000000004</v>
      </c>
      <c r="L81" s="13">
        <v>5073.8</v>
      </c>
      <c r="M81" s="13">
        <v>5071.8999999999996</v>
      </c>
      <c r="N81" s="13">
        <v>5068.8</v>
      </c>
      <c r="O81" s="13">
        <v>5068.8</v>
      </c>
      <c r="P81" s="13">
        <v>5074.0600000000004</v>
      </c>
      <c r="Q81" s="13">
        <v>5069.3100000000004</v>
      </c>
      <c r="R81" s="13">
        <v>5064.5200000000004</v>
      </c>
      <c r="S81" s="13">
        <v>5065.16</v>
      </c>
      <c r="T81" s="13">
        <v>5063.58</v>
      </c>
      <c r="U81" s="13">
        <v>5063.04</v>
      </c>
      <c r="V81" s="13">
        <v>5066.72</v>
      </c>
      <c r="W81" s="13">
        <v>5066.91</v>
      </c>
      <c r="X81" s="13">
        <v>5071.63</v>
      </c>
      <c r="Y81" s="13">
        <v>5077.0200000000004</v>
      </c>
      <c r="Z81" s="13">
        <v>5074.87</v>
      </c>
      <c r="AA81" s="13">
        <v>5082.24</v>
      </c>
      <c r="AB81" s="13">
        <v>5081.92</v>
      </c>
      <c r="AC81" s="13">
        <v>5081.7</v>
      </c>
      <c r="AD81" s="13">
        <v>5089.18</v>
      </c>
      <c r="AE81" s="13">
        <v>5093.09</v>
      </c>
      <c r="AF81" s="13">
        <v>5091.88</v>
      </c>
      <c r="AG81" s="13">
        <v>5074.88</v>
      </c>
      <c r="AH81" s="13">
        <v>5069.66</v>
      </c>
      <c r="AI81" s="13">
        <v>5067.71</v>
      </c>
      <c r="AJ81" s="13">
        <v>5069.97</v>
      </c>
      <c r="AK81" s="13">
        <v>5069.91</v>
      </c>
      <c r="AL81" s="13">
        <v>5068.22</v>
      </c>
      <c r="AM81" s="13">
        <v>5077.41</v>
      </c>
      <c r="AN81" s="13">
        <v>5077.41</v>
      </c>
      <c r="AO81" s="13">
        <v>5079.05</v>
      </c>
      <c r="AP81" s="13">
        <v>5072.6400000000003</v>
      </c>
      <c r="AQ81" s="13">
        <v>5070.18</v>
      </c>
      <c r="AR81" s="13">
        <v>5076.43</v>
      </c>
      <c r="AS81" s="13">
        <v>5072.83</v>
      </c>
      <c r="AT81" s="13">
        <v>5075.17</v>
      </c>
      <c r="AU81" s="13">
        <v>5077.38</v>
      </c>
      <c r="AV81" s="13">
        <v>5073.38</v>
      </c>
      <c r="AW81" s="13">
        <v>5074.83</v>
      </c>
      <c r="AX81" s="13">
        <v>5074.29</v>
      </c>
      <c r="AY81" s="13">
        <v>5074.5</v>
      </c>
      <c r="AZ81" s="13">
        <v>5070.83</v>
      </c>
      <c r="BA81" s="13">
        <v>5075.63</v>
      </c>
      <c r="BB81" s="13">
        <v>5078.96</v>
      </c>
      <c r="BC81" s="13">
        <v>5089.25</v>
      </c>
      <c r="BD81" s="13">
        <v>5095.1499999999996</v>
      </c>
      <c r="BE81" s="13">
        <v>5100.05</v>
      </c>
      <c r="BF81" s="13">
        <v>5099.32</v>
      </c>
      <c r="BG81" s="13">
        <v>5094.82</v>
      </c>
      <c r="BH81" s="13">
        <v>5096.59</v>
      </c>
      <c r="BI81" s="13">
        <v>5099.67</v>
      </c>
      <c r="BJ81" s="13">
        <v>5107.38</v>
      </c>
      <c r="BK81" s="13">
        <v>5110.1899999999996</v>
      </c>
      <c r="BL81" s="13">
        <v>5108</v>
      </c>
      <c r="BM81" s="13">
        <v>5102.76</v>
      </c>
      <c r="BN81" s="13">
        <v>5096.59</v>
      </c>
      <c r="BO81" s="13">
        <v>5097.1400000000003</v>
      </c>
      <c r="BP81" s="13">
        <v>5098.2700000000004</v>
      </c>
      <c r="BQ81" s="13">
        <v>5094.18</v>
      </c>
      <c r="BR81" s="13">
        <v>5094.82</v>
      </c>
      <c r="BS81" s="13">
        <v>5094.05</v>
      </c>
      <c r="BT81" s="13">
        <v>5093.2700000000004</v>
      </c>
      <c r="BU81" s="13">
        <v>5093.5</v>
      </c>
      <c r="BV81" s="13">
        <v>5095.3900000000003</v>
      </c>
      <c r="BW81" s="13">
        <v>5097.91</v>
      </c>
      <c r="BX81" s="13">
        <v>5092.7299999999996</v>
      </c>
      <c r="BY81" s="13">
        <v>5096.7299999999996</v>
      </c>
      <c r="BZ81" s="13">
        <v>5097.8599999999997</v>
      </c>
      <c r="CA81" s="13">
        <v>5095.18</v>
      </c>
      <c r="CB81" s="13">
        <v>5091.8599999999997</v>
      </c>
      <c r="CC81" s="13">
        <v>5094.95</v>
      </c>
      <c r="CD81" s="13">
        <v>5090.41</v>
      </c>
      <c r="CE81" s="13">
        <v>5093.8599999999997</v>
      </c>
      <c r="CF81" s="13">
        <v>5094.18</v>
      </c>
      <c r="CG81" s="13">
        <v>5094.41</v>
      </c>
      <c r="CH81" s="13">
        <v>5098.1400000000003</v>
      </c>
      <c r="CI81" s="13">
        <v>5100.45</v>
      </c>
      <c r="CJ81" s="13">
        <v>5098.7700000000004</v>
      </c>
      <c r="CK81" s="13">
        <v>5096.7299999999996</v>
      </c>
      <c r="CL81" s="13">
        <v>5092.6400000000003</v>
      </c>
      <c r="CM81" s="13">
        <v>5095.95</v>
      </c>
      <c r="CN81" s="13">
        <v>5100.59</v>
      </c>
      <c r="CO81" s="13">
        <v>5102.2700000000004</v>
      </c>
      <c r="CP81" s="13">
        <v>5103.68</v>
      </c>
      <c r="CQ81" s="13">
        <v>5100.2299999999996</v>
      </c>
      <c r="CR81" s="13">
        <v>5099.18</v>
      </c>
      <c r="CS81" s="13">
        <v>5099.82</v>
      </c>
      <c r="CT81" s="13">
        <v>5102</v>
      </c>
      <c r="CU81" s="13">
        <v>5099.82</v>
      </c>
      <c r="CV81" s="13">
        <v>5101.3900000000003</v>
      </c>
      <c r="CW81" s="13">
        <v>5110.07</v>
      </c>
      <c r="CX81" s="13">
        <v>5117.7700000000004</v>
      </c>
      <c r="CY81" s="13">
        <v>5117.6899999999996</v>
      </c>
      <c r="CZ81" s="13">
        <v>5118.3100000000004</v>
      </c>
      <c r="DA81" s="13">
        <v>5123.9399999999996</v>
      </c>
      <c r="DB81" s="13">
        <v>5126</v>
      </c>
      <c r="DC81" s="13">
        <v>5131.5</v>
      </c>
      <c r="DD81" s="13">
        <v>5128.3999999999996</v>
      </c>
      <c r="DE81" s="13">
        <v>5129.8</v>
      </c>
      <c r="DF81" s="13">
        <v>5135</v>
      </c>
    </row>
    <row r="82" spans="1:110" ht="15.75" x14ac:dyDescent="0.25">
      <c r="A82" s="14"/>
      <c r="B82" s="12" t="s">
        <v>9</v>
      </c>
      <c r="C82" s="13">
        <v>5027</v>
      </c>
      <c r="D82" s="13">
        <v>5030.67</v>
      </c>
      <c r="E82" s="13">
        <v>5025.28</v>
      </c>
      <c r="F82" s="13">
        <v>5027.5600000000004</v>
      </c>
      <c r="G82" s="13">
        <v>5034</v>
      </c>
      <c r="H82" s="13">
        <v>5038.63</v>
      </c>
      <c r="I82" s="13">
        <v>5029.28</v>
      </c>
      <c r="J82" s="13">
        <v>5030.83</v>
      </c>
      <c r="K82" s="13">
        <v>5034.67</v>
      </c>
      <c r="L82" s="13">
        <v>5032.8599999999997</v>
      </c>
      <c r="M82" s="13">
        <v>5028.1000000000004</v>
      </c>
      <c r="N82" s="13">
        <v>5019.38</v>
      </c>
      <c r="O82" s="13">
        <v>5019.8599999999997</v>
      </c>
      <c r="P82" s="13">
        <v>5024.1400000000003</v>
      </c>
      <c r="Q82" s="13">
        <v>5022.8100000000004</v>
      </c>
      <c r="R82" s="13">
        <v>5010.71</v>
      </c>
      <c r="S82" s="13">
        <v>5009.1000000000004</v>
      </c>
      <c r="T82" s="13">
        <v>5006.78</v>
      </c>
      <c r="U82" s="13">
        <v>5005.43</v>
      </c>
      <c r="V82" s="13">
        <v>5015.26</v>
      </c>
      <c r="W82" s="13">
        <v>5016.21</v>
      </c>
      <c r="X82" s="13">
        <v>5026.3900000000003</v>
      </c>
      <c r="Y82" s="13">
        <v>0</v>
      </c>
      <c r="Z82" s="13">
        <v>5036.12</v>
      </c>
      <c r="AA82" s="13">
        <v>5049.7</v>
      </c>
      <c r="AB82" s="13">
        <v>5050.54</v>
      </c>
      <c r="AC82" s="13">
        <v>5046.1000000000004</v>
      </c>
      <c r="AD82" s="13">
        <v>5062.63</v>
      </c>
      <c r="AE82" s="13">
        <v>5061.9399999999996</v>
      </c>
      <c r="AF82" s="13">
        <v>5058.8100000000004</v>
      </c>
      <c r="AG82" s="13">
        <v>5060</v>
      </c>
      <c r="AH82" s="13">
        <v>5049.1899999999996</v>
      </c>
      <c r="AI82" s="13">
        <v>5048</v>
      </c>
      <c r="AJ82" s="13">
        <v>5051.63</v>
      </c>
      <c r="AK82" s="13">
        <v>5052</v>
      </c>
      <c r="AL82" s="13">
        <v>5047.75</v>
      </c>
      <c r="AM82" s="13">
        <v>5062.8100000000004</v>
      </c>
      <c r="AN82" s="13">
        <v>5063.1899999999996</v>
      </c>
      <c r="AO82" s="13">
        <v>5068.33</v>
      </c>
      <c r="AP82" s="13">
        <v>5059.2</v>
      </c>
      <c r="AQ82" s="13">
        <v>5056.7299999999996</v>
      </c>
      <c r="AR82" s="13">
        <v>5059.38</v>
      </c>
      <c r="AS82" s="13">
        <v>5050.9399999999996</v>
      </c>
      <c r="AT82" s="13">
        <v>5054.25</v>
      </c>
      <c r="AU82" s="13">
        <v>5057.25</v>
      </c>
      <c r="AV82" s="13">
        <v>5052.6899999999996</v>
      </c>
      <c r="AW82" s="13">
        <v>5053.5600000000004</v>
      </c>
      <c r="AX82" s="13">
        <v>5052.88</v>
      </c>
      <c r="AY82" s="13">
        <v>5053.5600000000004</v>
      </c>
      <c r="AZ82" s="13">
        <v>5048.4399999999996</v>
      </c>
      <c r="BA82" s="13">
        <v>5055</v>
      </c>
      <c r="BB82" s="13">
        <v>5056.0600000000004</v>
      </c>
      <c r="BC82" s="13">
        <v>5063.3599999999997</v>
      </c>
      <c r="BD82" s="13">
        <v>5068.79</v>
      </c>
      <c r="BE82" s="13">
        <v>5084.83</v>
      </c>
      <c r="BF82" s="13">
        <v>5071.43</v>
      </c>
      <c r="BG82" s="13">
        <v>5068.6099999999997</v>
      </c>
      <c r="BH82" s="13">
        <v>5069.83</v>
      </c>
      <c r="BI82" s="13">
        <v>5072.7</v>
      </c>
      <c r="BJ82" s="13">
        <v>5085.1000000000004</v>
      </c>
      <c r="BK82" s="13">
        <v>5086.5200000000004</v>
      </c>
      <c r="BL82" s="13">
        <v>5084.83</v>
      </c>
      <c r="BM82" s="13">
        <v>5080.83</v>
      </c>
      <c r="BN82" s="13">
        <v>5075.34</v>
      </c>
      <c r="BO82" s="13">
        <v>5075.97</v>
      </c>
      <c r="BP82" s="13">
        <v>5069.82</v>
      </c>
      <c r="BQ82" s="13">
        <v>5067.9799999999996</v>
      </c>
      <c r="BR82" s="13">
        <v>5068.29</v>
      </c>
      <c r="BS82" s="13">
        <v>5067.1000000000004</v>
      </c>
      <c r="BT82" s="13">
        <v>5067</v>
      </c>
      <c r="BU82" s="13">
        <v>5067</v>
      </c>
      <c r="BV82" s="13">
        <v>5068.42</v>
      </c>
      <c r="BW82" s="13">
        <v>5068.8999999999996</v>
      </c>
      <c r="BX82" s="13">
        <v>5066.43</v>
      </c>
      <c r="BY82" s="13">
        <v>5068.47</v>
      </c>
      <c r="BZ82" s="13">
        <v>5069.2</v>
      </c>
      <c r="CA82" s="13">
        <v>5067.7299999999996</v>
      </c>
      <c r="CB82" s="13">
        <v>5066.2700000000004</v>
      </c>
      <c r="CC82" s="13">
        <v>5067.43</v>
      </c>
      <c r="CD82" s="13">
        <v>5065.8</v>
      </c>
      <c r="CE82" s="13">
        <v>5067.1000000000004</v>
      </c>
      <c r="CF82" s="13">
        <v>5067.2700000000004</v>
      </c>
      <c r="CG82" s="13">
        <v>5067.47</v>
      </c>
      <c r="CH82" s="13">
        <v>5069.1400000000003</v>
      </c>
      <c r="CI82" s="13">
        <v>5070.3100000000004</v>
      </c>
      <c r="CJ82" s="13">
        <v>5069.63</v>
      </c>
      <c r="CK82" s="13">
        <v>5068.63</v>
      </c>
      <c r="CL82" s="13">
        <v>5066.53</v>
      </c>
      <c r="CM82" s="13">
        <v>5068.47</v>
      </c>
      <c r="CN82" s="13">
        <v>5070.1400000000003</v>
      </c>
      <c r="CO82" s="13">
        <v>5071.3100000000004</v>
      </c>
      <c r="CP82" s="13">
        <v>5071.71</v>
      </c>
      <c r="CQ82" s="13">
        <v>5067.09</v>
      </c>
      <c r="CR82" s="13">
        <v>5066.51</v>
      </c>
      <c r="CS82" s="13">
        <v>5070.57</v>
      </c>
      <c r="CT82" s="13">
        <v>5071.04</v>
      </c>
      <c r="CU82" s="13">
        <v>5070.3100000000004</v>
      </c>
      <c r="CV82" s="13">
        <v>5070.9399999999996</v>
      </c>
      <c r="CW82" s="13">
        <v>5067.95</v>
      </c>
      <c r="CX82" s="13">
        <v>5070.41</v>
      </c>
      <c r="CY82" s="13">
        <v>5070.08</v>
      </c>
      <c r="CZ82" s="13">
        <v>5070.41</v>
      </c>
      <c r="DA82" s="13">
        <v>5071.79</v>
      </c>
      <c r="DB82" s="13">
        <v>5072.33</v>
      </c>
      <c r="DC82" s="13">
        <v>5073.2299999999996</v>
      </c>
      <c r="DD82" s="13">
        <v>5072.21</v>
      </c>
      <c r="DE82" s="13">
        <v>5064.82</v>
      </c>
      <c r="DF82" s="13">
        <v>5059.87</v>
      </c>
    </row>
    <row r="83" spans="1:110" ht="15.75" x14ac:dyDescent="0.25">
      <c r="A83" s="14"/>
      <c r="B83" s="12" t="s">
        <v>7</v>
      </c>
      <c r="C83" s="13">
        <v>5021</v>
      </c>
      <c r="D83" s="13">
        <v>5021.67</v>
      </c>
      <c r="E83" s="13">
        <v>5022.28</v>
      </c>
      <c r="F83" s="13">
        <v>5025</v>
      </c>
      <c r="G83" s="13">
        <v>5028.28</v>
      </c>
      <c r="H83" s="13">
        <v>5034.28</v>
      </c>
      <c r="I83" s="13">
        <v>5028.79</v>
      </c>
      <c r="J83" s="13">
        <v>5030.28</v>
      </c>
      <c r="K83" s="13">
        <v>5031</v>
      </c>
      <c r="L83" s="13">
        <v>5030.43</v>
      </c>
      <c r="M83" s="13">
        <v>5027</v>
      </c>
      <c r="N83" s="13">
        <v>5018.29</v>
      </c>
      <c r="O83" s="13">
        <v>5018.67</v>
      </c>
      <c r="P83" s="13">
        <v>5015.57</v>
      </c>
      <c r="Q83" s="13">
        <v>5019.29</v>
      </c>
      <c r="R83" s="13">
        <v>5010.71</v>
      </c>
      <c r="S83" s="13">
        <v>5009</v>
      </c>
      <c r="T83" s="13">
        <v>5004.43</v>
      </c>
      <c r="U83" s="13">
        <v>5002.09</v>
      </c>
      <c r="V83" s="13">
        <v>5007.53</v>
      </c>
      <c r="W83" s="13">
        <v>5009.13</v>
      </c>
      <c r="X83" s="13">
        <v>5016.21</v>
      </c>
      <c r="Y83" s="13">
        <v>5024.22</v>
      </c>
      <c r="Z83" s="13">
        <v>5024.8900000000003</v>
      </c>
      <c r="AA83" s="13">
        <v>5038.83</v>
      </c>
      <c r="AB83" s="13">
        <v>5046.55</v>
      </c>
      <c r="AC83" s="13">
        <v>5044.8999999999996</v>
      </c>
      <c r="AD83" s="13">
        <v>5048.6499999999996</v>
      </c>
      <c r="AE83" s="13">
        <v>5054.71</v>
      </c>
      <c r="AF83" s="13">
        <v>5058.8100000000004</v>
      </c>
      <c r="AG83" s="13">
        <v>5051.75</v>
      </c>
      <c r="AH83" s="13">
        <v>5048.25</v>
      </c>
      <c r="AI83" s="13">
        <v>5045.6899999999996</v>
      </c>
      <c r="AJ83" s="13">
        <v>5048.3100000000004</v>
      </c>
      <c r="AK83" s="13">
        <v>5048.62</v>
      </c>
      <c r="AL83" s="13">
        <v>5043.9399999999996</v>
      </c>
      <c r="AM83" s="13">
        <v>5044.5</v>
      </c>
      <c r="AN83" s="13">
        <v>5054.92</v>
      </c>
      <c r="AO83" s="13">
        <v>5063.88</v>
      </c>
      <c r="AP83" s="13">
        <v>5058</v>
      </c>
      <c r="AQ83" s="13">
        <v>5052.3599999999997</v>
      </c>
      <c r="AR83" s="13">
        <v>5054.38</v>
      </c>
      <c r="AS83" s="13">
        <v>5050.63</v>
      </c>
      <c r="AT83" s="13">
        <v>5048.42</v>
      </c>
      <c r="AU83" s="13">
        <v>5052.6899999999996</v>
      </c>
      <c r="AV83" s="13">
        <v>5051.62</v>
      </c>
      <c r="AW83" s="13">
        <v>5051.3100000000004</v>
      </c>
      <c r="AX83" s="13">
        <v>5046.5</v>
      </c>
      <c r="AY83" s="13">
        <v>5051.5</v>
      </c>
      <c r="AZ83" s="13">
        <v>5047.4399999999996</v>
      </c>
      <c r="BA83" s="13">
        <v>5047.25</v>
      </c>
      <c r="BB83" s="13">
        <v>5053.76</v>
      </c>
      <c r="BC83" s="13">
        <v>5063.3599999999997</v>
      </c>
      <c r="BD83" s="13">
        <v>5061.3599999999997</v>
      </c>
      <c r="BE83" s="13">
        <v>5065.71</v>
      </c>
      <c r="BF83" s="13">
        <v>5068.26</v>
      </c>
      <c r="BG83" s="13">
        <v>5067.42</v>
      </c>
      <c r="BH83" s="13">
        <v>5062.63</v>
      </c>
      <c r="BI83" s="13">
        <v>5069.3</v>
      </c>
      <c r="BJ83" s="13">
        <v>5071.4799999999996</v>
      </c>
      <c r="BK83" s="13">
        <v>5083.8</v>
      </c>
      <c r="BL83" s="13">
        <v>5084.03</v>
      </c>
      <c r="BM83" s="13">
        <v>5078.88</v>
      </c>
      <c r="BN83" s="13">
        <v>5073.04</v>
      </c>
      <c r="BO83" s="13">
        <v>5075.34</v>
      </c>
      <c r="BP83" s="13">
        <v>5068.88</v>
      </c>
      <c r="BQ83" s="13">
        <v>5067.83</v>
      </c>
      <c r="BR83" s="13">
        <v>5064.58</v>
      </c>
      <c r="BS83" s="13">
        <v>5065.3100000000004</v>
      </c>
      <c r="BT83" s="13">
        <v>5063.62</v>
      </c>
      <c r="BU83" s="13">
        <v>5066.4799999999996</v>
      </c>
      <c r="BV83" s="13">
        <v>5065.4799999999996</v>
      </c>
      <c r="BW83" s="13">
        <v>5065.5</v>
      </c>
      <c r="BX83" s="13">
        <v>5061.7</v>
      </c>
      <c r="BY83" s="13">
        <v>5065.42</v>
      </c>
      <c r="BZ83" s="13">
        <v>5065.3599999999997</v>
      </c>
      <c r="CA83" s="13">
        <v>5067.7299999999996</v>
      </c>
      <c r="CB83" s="13">
        <v>5065.8999999999996</v>
      </c>
      <c r="CC83" s="13">
        <v>5064.53</v>
      </c>
      <c r="CD83" s="13">
        <v>5063.33</v>
      </c>
      <c r="CE83" s="13">
        <v>5064.6899999999996</v>
      </c>
      <c r="CF83" s="13">
        <v>5066.7299999999996</v>
      </c>
      <c r="CG83" s="13">
        <v>5066.8999999999996</v>
      </c>
      <c r="CH83" s="13">
        <v>5065.07</v>
      </c>
      <c r="CI83" s="13">
        <v>5065.71</v>
      </c>
      <c r="CJ83" s="13">
        <v>5062.8999999999996</v>
      </c>
      <c r="CK83" s="13">
        <v>5067.7299999999996</v>
      </c>
      <c r="CL83" s="13">
        <v>5063.9799999999996</v>
      </c>
      <c r="CM83" s="13">
        <v>5065.24</v>
      </c>
      <c r="CN83" s="13">
        <v>5069.0200000000004</v>
      </c>
      <c r="CO83" s="13">
        <v>5069.57</v>
      </c>
      <c r="CP83" s="13">
        <v>5071.04</v>
      </c>
      <c r="CQ83" s="13">
        <v>5067.09</v>
      </c>
      <c r="CR83" s="13">
        <v>5066.51</v>
      </c>
      <c r="CS83" s="13">
        <v>5069.0200000000004</v>
      </c>
      <c r="CT83" s="13">
        <v>5067.96</v>
      </c>
      <c r="CU83" s="13">
        <v>5068.9799999999996</v>
      </c>
      <c r="CV83" s="13">
        <v>5069.09</v>
      </c>
      <c r="CW83" s="13">
        <v>5065.88</v>
      </c>
      <c r="CX83" s="13">
        <v>5066.1899999999996</v>
      </c>
      <c r="CY83" s="13">
        <v>5065.51</v>
      </c>
      <c r="CZ83" s="13">
        <v>5065.43</v>
      </c>
      <c r="DA83" s="13">
        <v>5066.2299999999996</v>
      </c>
      <c r="DB83" s="13">
        <v>5065</v>
      </c>
      <c r="DC83" s="13">
        <v>5065.18</v>
      </c>
      <c r="DD83" s="13">
        <v>5068.97</v>
      </c>
      <c r="DE83" s="13">
        <v>5064.38</v>
      </c>
      <c r="DF83" s="13">
        <v>5059.87</v>
      </c>
    </row>
    <row r="84" spans="1:110" ht="15.75" x14ac:dyDescent="0.25">
      <c r="A84" s="14"/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</row>
    <row r="85" spans="1:110" ht="15.75" x14ac:dyDescent="0.25">
      <c r="A85" s="11"/>
      <c r="B85" s="11" t="s">
        <v>11</v>
      </c>
      <c r="C85" s="15">
        <v>0.37847222222222227</v>
      </c>
      <c r="D85" s="15">
        <v>0.38194444444444442</v>
      </c>
      <c r="E85" s="15">
        <v>0.38541666666666669</v>
      </c>
      <c r="F85" s="15">
        <v>0.3888888888888889</v>
      </c>
      <c r="G85" s="15">
        <v>0.3923611111111111</v>
      </c>
      <c r="H85" s="15">
        <v>0.39583333333333331</v>
      </c>
      <c r="I85" s="15">
        <v>0.39930555555555558</v>
      </c>
      <c r="J85" s="15">
        <v>0.40277777777777773</v>
      </c>
      <c r="K85" s="15">
        <v>0.40625</v>
      </c>
      <c r="L85" s="15">
        <v>0.40972222222222227</v>
      </c>
      <c r="M85" s="15">
        <v>0.41319444444444442</v>
      </c>
      <c r="N85" s="15">
        <v>0.41666666666666669</v>
      </c>
      <c r="O85" s="15">
        <v>0.4201388888888889</v>
      </c>
      <c r="P85" s="15">
        <v>0.4236111111111111</v>
      </c>
      <c r="Q85" s="15">
        <v>0.42708333333333331</v>
      </c>
      <c r="R85" s="15">
        <v>0.43055555555555558</v>
      </c>
      <c r="S85" s="15">
        <v>0.43402777777777773</v>
      </c>
      <c r="T85" s="15">
        <v>0.4375</v>
      </c>
      <c r="U85" s="15">
        <v>0.44097222222222227</v>
      </c>
      <c r="V85" s="15">
        <v>0.44444444444444442</v>
      </c>
      <c r="W85" s="15">
        <v>0.44791666666666669</v>
      </c>
      <c r="X85" s="15">
        <v>0.4513888888888889</v>
      </c>
      <c r="Y85" s="15">
        <v>0.4548611111111111</v>
      </c>
      <c r="Z85" s="15">
        <v>0.45833333333333331</v>
      </c>
      <c r="AA85" s="15">
        <v>0.46180555555555558</v>
      </c>
      <c r="AB85" s="15">
        <v>0.46527777777777773</v>
      </c>
      <c r="AC85" s="15">
        <v>0.46875</v>
      </c>
      <c r="AD85" s="15">
        <v>0.47222222222222227</v>
      </c>
      <c r="AE85" s="15">
        <v>0.47569444444444442</v>
      </c>
      <c r="AF85" s="15">
        <v>0.47916666666666669</v>
      </c>
      <c r="AG85" s="15">
        <v>0.4826388888888889</v>
      </c>
      <c r="AH85" s="15">
        <v>0.4861111111111111</v>
      </c>
      <c r="AI85" s="15">
        <v>0.48958333333333331</v>
      </c>
      <c r="AJ85" s="15">
        <v>0.49305555555555558</v>
      </c>
      <c r="AK85" s="15">
        <v>0.49652777777777773</v>
      </c>
      <c r="AL85" s="15">
        <v>0.5</v>
      </c>
      <c r="AM85" s="15">
        <v>0.50347222222222221</v>
      </c>
      <c r="AN85" s="15">
        <v>0.50694444444444442</v>
      </c>
      <c r="AO85" s="15">
        <v>0.51041666666666663</v>
      </c>
      <c r="AP85" s="15">
        <v>0.51388888888888895</v>
      </c>
      <c r="AQ85" s="15">
        <v>0.51736111111111105</v>
      </c>
      <c r="AR85" s="15">
        <v>0.52083333333333337</v>
      </c>
      <c r="AS85" s="15">
        <v>0.52430555555555558</v>
      </c>
      <c r="AT85" s="15">
        <v>0.52777777777777779</v>
      </c>
      <c r="AU85" s="15">
        <v>0.53125</v>
      </c>
      <c r="AV85" s="15">
        <v>0.53472222222222221</v>
      </c>
      <c r="AW85" s="15">
        <v>0.53819444444444442</v>
      </c>
      <c r="AX85" s="15">
        <v>0.54166666666666663</v>
      </c>
      <c r="AY85" s="15">
        <v>0.54513888888888895</v>
      </c>
      <c r="AZ85" s="15">
        <v>0.54861111111111105</v>
      </c>
      <c r="BA85" s="15">
        <v>0.55208333333333337</v>
      </c>
      <c r="BB85" s="15">
        <v>0.55555555555555558</v>
      </c>
      <c r="BC85" s="15">
        <v>0.55902777777777779</v>
      </c>
      <c r="BD85" s="15">
        <v>0.5625</v>
      </c>
      <c r="BE85" s="15">
        <v>0.56597222222222221</v>
      </c>
      <c r="BF85" s="15">
        <v>0.56944444444444442</v>
      </c>
      <c r="BG85" s="15">
        <v>0.57291666666666663</v>
      </c>
      <c r="BH85" s="15">
        <v>0.57638888888888895</v>
      </c>
      <c r="BI85" s="15">
        <v>0.57986111111111105</v>
      </c>
      <c r="BJ85" s="15">
        <v>0.58333333333333337</v>
      </c>
      <c r="BK85" s="15">
        <v>0.58680555555555558</v>
      </c>
      <c r="BL85" s="15">
        <v>0.59027777777777779</v>
      </c>
      <c r="BM85" s="15">
        <v>0.59375</v>
      </c>
      <c r="BN85" s="15">
        <v>0.59722222222222221</v>
      </c>
      <c r="BO85" s="15">
        <v>0.60069444444444442</v>
      </c>
      <c r="BP85" s="15">
        <v>0.60416666666666663</v>
      </c>
      <c r="BQ85" s="15">
        <v>0.60763888888888895</v>
      </c>
      <c r="BR85" s="15">
        <v>0.61111111111111105</v>
      </c>
      <c r="BS85" s="15">
        <v>0.61458333333333337</v>
      </c>
      <c r="BT85" s="15">
        <v>0.61805555555555558</v>
      </c>
      <c r="BU85" s="15">
        <v>0.62152777777777779</v>
      </c>
      <c r="BV85" s="15">
        <v>0.625</v>
      </c>
      <c r="BW85" s="15">
        <v>0.62847222222222221</v>
      </c>
      <c r="BX85" s="15">
        <v>0.63194444444444442</v>
      </c>
      <c r="BY85" s="15">
        <v>0.63541666666666663</v>
      </c>
      <c r="BZ85" s="15">
        <v>0.63888888888888895</v>
      </c>
      <c r="CA85" s="15">
        <v>0.64236111111111105</v>
      </c>
      <c r="CB85" s="15">
        <v>0.64583333333333337</v>
      </c>
      <c r="CC85" s="15">
        <v>0.64930555555555558</v>
      </c>
      <c r="CD85" s="15">
        <v>0.65277777777777779</v>
      </c>
      <c r="CE85" s="15">
        <v>0.65625</v>
      </c>
      <c r="CF85" s="15">
        <v>0.65972222222222221</v>
      </c>
      <c r="CG85" s="15">
        <v>0.66319444444444442</v>
      </c>
      <c r="CH85" s="15">
        <v>0.66666666666666663</v>
      </c>
      <c r="CI85" s="15">
        <v>0.67013888888888884</v>
      </c>
      <c r="CJ85" s="15">
        <v>0.67361111111111116</v>
      </c>
      <c r="CK85" s="15">
        <v>0.67708333333333337</v>
      </c>
      <c r="CL85" s="15">
        <v>0.68055555555555547</v>
      </c>
      <c r="CM85" s="15">
        <v>0.68402777777777779</v>
      </c>
      <c r="CN85" s="15">
        <v>0.6875</v>
      </c>
      <c r="CO85" s="15">
        <v>0.69097222222222221</v>
      </c>
      <c r="CP85" s="15">
        <v>0.69444444444444453</v>
      </c>
      <c r="CQ85" s="15">
        <v>0.69791666666666663</v>
      </c>
      <c r="CR85" s="15">
        <v>0.70138888888888884</v>
      </c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</row>
    <row r="86" spans="1:110" ht="15.75" x14ac:dyDescent="0.25">
      <c r="A86" s="14">
        <v>44368</v>
      </c>
      <c r="B86" s="12" t="s">
        <v>6</v>
      </c>
      <c r="C86" s="13">
        <v>5107.3599999999997</v>
      </c>
      <c r="D86" s="13">
        <v>5104.79</v>
      </c>
      <c r="E86" s="13">
        <v>5099.84</v>
      </c>
      <c r="F86" s="13">
        <v>5091.05</v>
      </c>
      <c r="G86" s="13">
        <v>5087.93</v>
      </c>
      <c r="H86" s="13">
        <v>5139</v>
      </c>
      <c r="I86" s="13">
        <v>5138.04</v>
      </c>
      <c r="J86" s="13">
        <v>5129.53</v>
      </c>
      <c r="K86" s="13">
        <v>5134.46</v>
      </c>
      <c r="L86" s="13">
        <v>5137.5600000000004</v>
      </c>
      <c r="M86" s="13">
        <v>5135.25</v>
      </c>
      <c r="N86" s="13">
        <v>5141.59</v>
      </c>
      <c r="O86" s="13">
        <v>5134.7</v>
      </c>
      <c r="P86" s="13">
        <v>5140.32</v>
      </c>
      <c r="Q86" s="13">
        <v>5143.21</v>
      </c>
      <c r="R86" s="13">
        <v>5137.38</v>
      </c>
      <c r="S86" s="13">
        <v>5135.2299999999996</v>
      </c>
      <c r="T86" s="13">
        <v>5143.82</v>
      </c>
      <c r="U86" s="13">
        <v>5135.1400000000003</v>
      </c>
      <c r="V86" s="13">
        <v>5135.1400000000003</v>
      </c>
      <c r="W86" s="13">
        <v>5135.43</v>
      </c>
      <c r="X86" s="13">
        <v>5143.6499999999996</v>
      </c>
      <c r="Y86" s="13">
        <v>5144.68</v>
      </c>
      <c r="Z86" s="13">
        <v>5144.84</v>
      </c>
      <c r="AA86" s="13">
        <v>5138.03</v>
      </c>
      <c r="AB86" s="13">
        <v>5129.8599999999997</v>
      </c>
      <c r="AC86" s="13">
        <v>5134.09</v>
      </c>
      <c r="AD86" s="13">
        <v>5141.74</v>
      </c>
      <c r="AE86" s="13">
        <v>5143.3900000000003</v>
      </c>
      <c r="AF86" s="13">
        <v>5139.2700000000004</v>
      </c>
      <c r="AG86" s="13">
        <v>5142</v>
      </c>
      <c r="AH86" s="13">
        <v>5139.75</v>
      </c>
      <c r="AI86" s="13">
        <v>5141.2299999999996</v>
      </c>
      <c r="AJ86" s="13">
        <v>5141.74</v>
      </c>
      <c r="AK86" s="13">
        <v>5141.68</v>
      </c>
      <c r="AL86" s="13">
        <v>5139.47</v>
      </c>
      <c r="AM86" s="13">
        <v>5140.8100000000004</v>
      </c>
      <c r="AN86" s="13">
        <v>5140.8100000000004</v>
      </c>
      <c r="AO86" s="13">
        <v>5141.58</v>
      </c>
      <c r="AP86" s="13">
        <v>5141.32</v>
      </c>
      <c r="AQ86" s="13">
        <v>5131.3100000000004</v>
      </c>
      <c r="AR86" s="13">
        <v>5131.8100000000004</v>
      </c>
      <c r="AS86" s="13">
        <v>5142.1000000000004</v>
      </c>
      <c r="AT86" s="13">
        <v>5141.74</v>
      </c>
      <c r="AU86" s="13">
        <v>5131.08</v>
      </c>
      <c r="AV86" s="13">
        <v>5136.91</v>
      </c>
      <c r="AW86" s="13">
        <v>5141.16</v>
      </c>
      <c r="AX86" s="13">
        <v>5131.67</v>
      </c>
      <c r="AY86" s="13">
        <v>5123.67</v>
      </c>
      <c r="AZ86" s="13">
        <v>5112.16</v>
      </c>
      <c r="BA86" s="13">
        <v>5112.3</v>
      </c>
      <c r="BB86" s="13">
        <v>5112.16</v>
      </c>
      <c r="BC86" s="13">
        <v>5112.72</v>
      </c>
      <c r="BD86" s="13">
        <v>5113</v>
      </c>
      <c r="BE86" s="13">
        <v>5112.58</v>
      </c>
      <c r="BF86" s="13">
        <v>5111.51</v>
      </c>
      <c r="BG86" s="13">
        <v>5111.51</v>
      </c>
      <c r="BH86" s="13">
        <v>5111.21</v>
      </c>
      <c r="BI86" s="13">
        <v>5110.7700000000004</v>
      </c>
      <c r="BJ86" s="13">
        <v>5110.92</v>
      </c>
      <c r="BK86" s="13">
        <v>5106.2299999999996</v>
      </c>
      <c r="BL86" s="13">
        <v>5109.3599999999997</v>
      </c>
      <c r="BM86" s="13">
        <v>5112.54</v>
      </c>
      <c r="BN86" s="13">
        <v>5112.3999999999996</v>
      </c>
      <c r="BO86" s="13">
        <v>5111.8999999999996</v>
      </c>
      <c r="BP86" s="13">
        <v>5102.7299999999996</v>
      </c>
      <c r="BQ86" s="13">
        <v>5104.2</v>
      </c>
      <c r="BR86" s="13">
        <v>5104.2700000000004</v>
      </c>
      <c r="BS86" s="13">
        <v>5103.9799999999996</v>
      </c>
      <c r="BT86" s="13">
        <v>5103.7299999999996</v>
      </c>
      <c r="BU86" s="13">
        <v>5099.72</v>
      </c>
      <c r="BV86" s="13">
        <v>5103.57</v>
      </c>
      <c r="BW86" s="13">
        <v>5102.9799999999996</v>
      </c>
      <c r="BX86" s="13">
        <v>5103.1000000000004</v>
      </c>
      <c r="BY86" s="13">
        <v>5103.22</v>
      </c>
      <c r="BZ86" s="13">
        <v>5102.5200000000004</v>
      </c>
      <c r="CA86" s="13">
        <v>5102.63</v>
      </c>
      <c r="CB86" s="13">
        <v>5102.75</v>
      </c>
      <c r="CC86" s="13">
        <v>5097.92</v>
      </c>
      <c r="CD86" s="13">
        <v>5102.5200000000004</v>
      </c>
      <c r="CE86" s="13">
        <v>5102.28</v>
      </c>
      <c r="CF86" s="13">
        <v>5098.29</v>
      </c>
      <c r="CG86" s="13">
        <v>5101.18</v>
      </c>
      <c r="CH86" s="13">
        <v>5102.22</v>
      </c>
      <c r="CI86" s="13">
        <v>5102.22</v>
      </c>
      <c r="CJ86" s="13">
        <v>5096.58</v>
      </c>
      <c r="CK86" s="13">
        <v>5099.43</v>
      </c>
      <c r="CL86" s="13">
        <v>5096.13</v>
      </c>
      <c r="CM86" s="13">
        <v>5096.43</v>
      </c>
      <c r="CN86" s="13">
        <v>5100.82</v>
      </c>
      <c r="CO86" s="13">
        <v>5100.82</v>
      </c>
      <c r="CP86" s="13">
        <v>5100.87</v>
      </c>
      <c r="CQ86" s="13">
        <v>5097.13</v>
      </c>
      <c r="CR86" s="13">
        <v>5097.13</v>
      </c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</row>
    <row r="87" spans="1:110" ht="15.75" x14ac:dyDescent="0.25">
      <c r="A87" s="14"/>
      <c r="B87" s="12" t="s">
        <v>10</v>
      </c>
      <c r="C87" s="13">
        <v>5100.26</v>
      </c>
      <c r="D87" s="13">
        <v>5099.84</v>
      </c>
      <c r="E87" s="13">
        <v>5089.3999999999996</v>
      </c>
      <c r="F87" s="13">
        <v>5084.95</v>
      </c>
      <c r="G87" s="13">
        <v>5085.37</v>
      </c>
      <c r="H87" s="13">
        <v>5132.03</v>
      </c>
      <c r="I87" s="13">
        <v>5129.6899999999996</v>
      </c>
      <c r="J87" s="13">
        <v>5126.78</v>
      </c>
      <c r="K87" s="13">
        <v>5127.28</v>
      </c>
      <c r="L87" s="13">
        <v>5137.4399999999996</v>
      </c>
      <c r="M87" s="13">
        <v>5126.97</v>
      </c>
      <c r="N87" s="13">
        <v>5120.71</v>
      </c>
      <c r="O87" s="13">
        <v>5129.7</v>
      </c>
      <c r="P87" s="13">
        <v>5128.5200000000004</v>
      </c>
      <c r="Q87" s="13">
        <v>5115</v>
      </c>
      <c r="R87" s="13">
        <v>5112</v>
      </c>
      <c r="S87" s="13">
        <v>5111.93</v>
      </c>
      <c r="T87" s="13">
        <v>5123.7</v>
      </c>
      <c r="U87" s="13">
        <v>5113.34</v>
      </c>
      <c r="V87" s="13">
        <v>5117.5200000000004</v>
      </c>
      <c r="W87" s="13">
        <v>5113.41</v>
      </c>
      <c r="X87" s="13">
        <v>5133.83</v>
      </c>
      <c r="Y87" s="13">
        <v>5135.1400000000003</v>
      </c>
      <c r="Z87" s="13">
        <v>5133.33</v>
      </c>
      <c r="AA87" s="13">
        <v>5129.3599999999997</v>
      </c>
      <c r="AB87" s="13">
        <v>5129.28</v>
      </c>
      <c r="AC87" s="13">
        <v>5131.75</v>
      </c>
      <c r="AD87" s="13">
        <v>5131.4399999999996</v>
      </c>
      <c r="AE87" s="13">
        <v>5133.47</v>
      </c>
      <c r="AF87" s="13">
        <v>5132.17</v>
      </c>
      <c r="AG87" s="13">
        <v>5131.22</v>
      </c>
      <c r="AH87" s="13">
        <v>5139.75</v>
      </c>
      <c r="AI87" s="13">
        <v>5130.8100000000004</v>
      </c>
      <c r="AJ87" s="13">
        <v>5131.08</v>
      </c>
      <c r="AK87" s="13">
        <v>5141.32</v>
      </c>
      <c r="AL87" s="13">
        <v>5129.8599999999997</v>
      </c>
      <c r="AM87" s="13">
        <v>5130.1400000000003</v>
      </c>
      <c r="AN87" s="13">
        <v>5130.22</v>
      </c>
      <c r="AO87" s="13">
        <v>5130.9399999999996</v>
      </c>
      <c r="AP87" s="13">
        <v>5139.4399999999996</v>
      </c>
      <c r="AQ87" s="13">
        <v>5131.08</v>
      </c>
      <c r="AR87" s="13">
        <v>5131.08</v>
      </c>
      <c r="AS87" s="13">
        <v>5131.53</v>
      </c>
      <c r="AT87" s="13">
        <v>5130.8100000000004</v>
      </c>
      <c r="AU87" s="13">
        <v>5131.08</v>
      </c>
      <c r="AV87" s="13">
        <v>5132.2299999999996</v>
      </c>
      <c r="AW87" s="13">
        <v>5125.7700000000004</v>
      </c>
      <c r="AX87" s="13">
        <v>5122.88</v>
      </c>
      <c r="AY87" s="13">
        <v>5106.24</v>
      </c>
      <c r="AZ87" s="13">
        <v>5107.05</v>
      </c>
      <c r="BA87" s="13">
        <v>5106.96</v>
      </c>
      <c r="BB87" s="13">
        <v>5107.2700000000004</v>
      </c>
      <c r="BC87" s="13">
        <v>5111.57</v>
      </c>
      <c r="BD87" s="13">
        <v>5108.05</v>
      </c>
      <c r="BE87" s="13">
        <v>5107.71</v>
      </c>
      <c r="BF87" s="13">
        <v>5106.7299999999996</v>
      </c>
      <c r="BG87" s="13">
        <v>5105.87</v>
      </c>
      <c r="BH87" s="13">
        <v>5105.87</v>
      </c>
      <c r="BI87" s="13">
        <v>5105.42</v>
      </c>
      <c r="BJ87" s="13">
        <v>5105.6400000000003</v>
      </c>
      <c r="BK87" s="13">
        <v>5106.2299999999996</v>
      </c>
      <c r="BL87" s="13">
        <v>5106.7700000000004</v>
      </c>
      <c r="BM87" s="13">
        <v>5112.04</v>
      </c>
      <c r="BN87" s="13">
        <v>5111.79</v>
      </c>
      <c r="BO87" s="13">
        <v>5100.75</v>
      </c>
      <c r="BP87" s="13">
        <v>5100.51</v>
      </c>
      <c r="BQ87" s="13">
        <v>5100.8599999999997</v>
      </c>
      <c r="BR87" s="13">
        <v>5100.9399999999996</v>
      </c>
      <c r="BS87" s="13">
        <v>5099.32</v>
      </c>
      <c r="BT87" s="13">
        <v>5099.58</v>
      </c>
      <c r="BU87" s="13">
        <v>5099.58</v>
      </c>
      <c r="BV87" s="13">
        <v>5098.9399999999996</v>
      </c>
      <c r="BW87" s="13">
        <v>5098.9799999999996</v>
      </c>
      <c r="BX87" s="13">
        <v>5099.17</v>
      </c>
      <c r="BY87" s="13">
        <v>5098.0600000000004</v>
      </c>
      <c r="BZ87" s="13">
        <v>5097.88</v>
      </c>
      <c r="CA87" s="13">
        <v>5098.3500000000004</v>
      </c>
      <c r="CB87" s="13">
        <v>5097.8500000000004</v>
      </c>
      <c r="CC87" s="13">
        <v>5097.51</v>
      </c>
      <c r="CD87" s="13">
        <v>5097.97</v>
      </c>
      <c r="CE87" s="13">
        <v>5097.74</v>
      </c>
      <c r="CF87" s="13">
        <v>5098.22</v>
      </c>
      <c r="CG87" s="13">
        <v>5101.03</v>
      </c>
      <c r="CH87" s="13">
        <v>5097.74</v>
      </c>
      <c r="CI87" s="13">
        <v>5097.37</v>
      </c>
      <c r="CJ87" s="13">
        <v>5095.97</v>
      </c>
      <c r="CK87" s="13">
        <v>5096.09</v>
      </c>
      <c r="CL87" s="13">
        <v>5096.13</v>
      </c>
      <c r="CM87" s="13">
        <v>5096.43</v>
      </c>
      <c r="CN87" s="13">
        <v>5096.7299999999996</v>
      </c>
      <c r="CO87" s="13">
        <v>5096.8500000000004</v>
      </c>
      <c r="CP87" s="13">
        <v>5096.93</v>
      </c>
      <c r="CQ87" s="13">
        <v>5097.0600000000004</v>
      </c>
      <c r="CR87" s="13">
        <v>5091.37</v>
      </c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</row>
    <row r="88" spans="1:110" ht="15.75" x14ac:dyDescent="0.25">
      <c r="A88" s="14"/>
      <c r="B88" s="12" t="s">
        <v>9</v>
      </c>
      <c r="C88" s="13">
        <v>5093.13</v>
      </c>
      <c r="D88" s="13">
        <v>5092.28</v>
      </c>
      <c r="E88" s="13">
        <v>5079.5200000000004</v>
      </c>
      <c r="F88" s="13">
        <v>5076.1099999999997</v>
      </c>
      <c r="G88" s="13">
        <v>5071.3999999999996</v>
      </c>
      <c r="H88" s="13">
        <v>5073.96</v>
      </c>
      <c r="I88" s="13">
        <v>5070.5200000000004</v>
      </c>
      <c r="J88" s="13">
        <v>5066.5200000000004</v>
      </c>
      <c r="K88" s="13">
        <v>5067.17</v>
      </c>
      <c r="L88" s="13">
        <v>5068.17</v>
      </c>
      <c r="M88" s="13">
        <v>5065.29</v>
      </c>
      <c r="N88" s="13">
        <v>5066.05</v>
      </c>
      <c r="O88" s="13">
        <v>5056.13</v>
      </c>
      <c r="P88" s="13">
        <v>5055</v>
      </c>
      <c r="Q88" s="13">
        <v>5059.2</v>
      </c>
      <c r="R88" s="13">
        <v>5054.6000000000004</v>
      </c>
      <c r="S88" s="13">
        <v>5054.75</v>
      </c>
      <c r="T88" s="13">
        <v>5053.1499999999996</v>
      </c>
      <c r="U88" s="13">
        <v>5055.3999999999996</v>
      </c>
      <c r="V88" s="13">
        <v>5056.1000000000004</v>
      </c>
      <c r="W88" s="13">
        <v>5050.9399999999996</v>
      </c>
      <c r="X88" s="13">
        <v>5059.8500000000004</v>
      </c>
      <c r="Y88" s="13">
        <v>5062.6499999999996</v>
      </c>
      <c r="Z88" s="13">
        <v>5059.1499999999996</v>
      </c>
      <c r="AA88" s="13">
        <v>5048.13</v>
      </c>
      <c r="AB88" s="13">
        <v>5050.2</v>
      </c>
      <c r="AC88" s="13">
        <v>5055.05</v>
      </c>
      <c r="AD88" s="13">
        <v>5052.1499999999996</v>
      </c>
      <c r="AE88" s="13">
        <v>5056.45</v>
      </c>
      <c r="AF88" s="13">
        <v>5053.1000000000004</v>
      </c>
      <c r="AG88" s="13">
        <v>5047.97</v>
      </c>
      <c r="AH88" s="13">
        <v>5051.3500000000004</v>
      </c>
      <c r="AI88" s="13">
        <v>5048.1400000000003</v>
      </c>
      <c r="AJ88" s="13">
        <v>5045.88</v>
      </c>
      <c r="AK88" s="13">
        <v>5048.1099999999997</v>
      </c>
      <c r="AL88" s="13">
        <v>5047.58</v>
      </c>
      <c r="AM88" s="13">
        <v>5047.33</v>
      </c>
      <c r="AN88" s="13">
        <v>5047.8100000000004</v>
      </c>
      <c r="AO88" s="13">
        <v>5048.75</v>
      </c>
      <c r="AP88" s="13">
        <v>5049.63</v>
      </c>
      <c r="AQ88" s="13">
        <v>5051.53</v>
      </c>
      <c r="AR88" s="13">
        <v>5050.83</v>
      </c>
      <c r="AS88" s="13">
        <v>5050.9799999999996</v>
      </c>
      <c r="AT88" s="13">
        <v>5051.22</v>
      </c>
      <c r="AU88" s="13">
        <v>5051.33</v>
      </c>
      <c r="AV88" s="13">
        <v>5050.91</v>
      </c>
      <c r="AW88" s="13">
        <v>5051.53</v>
      </c>
      <c r="AX88" s="13">
        <v>5043.25</v>
      </c>
      <c r="AY88" s="13">
        <v>5035.2700000000004</v>
      </c>
      <c r="AZ88" s="13">
        <v>5037.68</v>
      </c>
      <c r="BA88" s="13">
        <v>5038.05</v>
      </c>
      <c r="BB88" s="13">
        <v>5040.5200000000004</v>
      </c>
      <c r="BC88" s="13">
        <v>5040.57</v>
      </c>
      <c r="BD88" s="13">
        <v>5040.95</v>
      </c>
      <c r="BE88" s="13">
        <v>5039.95</v>
      </c>
      <c r="BF88" s="13">
        <v>5040.5200000000004</v>
      </c>
      <c r="BG88" s="13">
        <v>5037.4799999999996</v>
      </c>
      <c r="BH88" s="13">
        <v>5038.1000000000004</v>
      </c>
      <c r="BI88" s="13">
        <v>5036.1000000000004</v>
      </c>
      <c r="BJ88" s="13">
        <v>5036.8599999999997</v>
      </c>
      <c r="BK88" s="13">
        <v>5038.24</v>
      </c>
      <c r="BL88" s="13">
        <v>5040.05</v>
      </c>
      <c r="BM88" s="13">
        <v>5040.95</v>
      </c>
      <c r="BN88" s="13">
        <v>5041.76</v>
      </c>
      <c r="BO88" s="13">
        <v>5042</v>
      </c>
      <c r="BP88" s="13">
        <v>5041.1000000000004</v>
      </c>
      <c r="BQ88" s="13">
        <v>5042</v>
      </c>
      <c r="BR88" s="13">
        <v>5041.6000000000004</v>
      </c>
      <c r="BS88" s="13">
        <v>5032.13</v>
      </c>
      <c r="BT88" s="13">
        <v>5035.8999999999996</v>
      </c>
      <c r="BU88" s="13">
        <v>5036</v>
      </c>
      <c r="BV88" s="13">
        <v>5035.05</v>
      </c>
      <c r="BW88" s="13">
        <v>5034.8599999999997</v>
      </c>
      <c r="BX88" s="13">
        <v>5035.5</v>
      </c>
      <c r="BY88" s="13">
        <v>5031.55</v>
      </c>
      <c r="BZ88" s="13">
        <v>5031.18</v>
      </c>
      <c r="CA88" s="13">
        <v>5032.95</v>
      </c>
      <c r="CB88" s="13">
        <v>5030.91</v>
      </c>
      <c r="CC88" s="13">
        <v>5030.1400000000003</v>
      </c>
      <c r="CD88" s="13">
        <v>5031.45</v>
      </c>
      <c r="CE88" s="13">
        <v>5028.67</v>
      </c>
      <c r="CF88" s="13">
        <v>5033.59</v>
      </c>
      <c r="CG88" s="13">
        <v>5030.1000000000004</v>
      </c>
      <c r="CH88" s="13">
        <v>5030.8999999999996</v>
      </c>
      <c r="CI88" s="13">
        <v>5027.28</v>
      </c>
      <c r="CJ88" s="13">
        <v>5030.76</v>
      </c>
      <c r="CK88" s="13">
        <v>5030.67</v>
      </c>
      <c r="CL88" s="13">
        <v>5030.76</v>
      </c>
      <c r="CM88" s="13">
        <v>5029.12</v>
      </c>
      <c r="CN88" s="13">
        <v>5033.05</v>
      </c>
      <c r="CO88" s="13">
        <v>5033.38</v>
      </c>
      <c r="CP88" s="13">
        <v>5033.76</v>
      </c>
      <c r="CQ88" s="13">
        <v>5033.76</v>
      </c>
      <c r="CR88" s="13">
        <v>5033.38</v>
      </c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</row>
    <row r="89" spans="1:110" ht="15.75" x14ac:dyDescent="0.25">
      <c r="A89" s="14"/>
      <c r="B89" s="12" t="s">
        <v>7</v>
      </c>
      <c r="C89" s="13">
        <v>5080</v>
      </c>
      <c r="D89" s="13">
        <v>5085.28</v>
      </c>
      <c r="E89" s="13">
        <v>5079.5200000000004</v>
      </c>
      <c r="F89" s="13">
        <v>5074</v>
      </c>
      <c r="G89" s="13">
        <v>5069.04</v>
      </c>
      <c r="H89" s="13">
        <v>5069.96</v>
      </c>
      <c r="I89" s="13">
        <v>5068.5</v>
      </c>
      <c r="J89" s="13">
        <v>5063.37</v>
      </c>
      <c r="K89" s="13">
        <v>5065.55</v>
      </c>
      <c r="L89" s="13">
        <v>5065.17</v>
      </c>
      <c r="M89" s="13">
        <v>5064.04</v>
      </c>
      <c r="N89" s="13">
        <v>5058.9399999999996</v>
      </c>
      <c r="O89" s="13">
        <v>5056.13</v>
      </c>
      <c r="P89" s="13">
        <v>5052.88</v>
      </c>
      <c r="Q89" s="13">
        <v>5054.75</v>
      </c>
      <c r="R89" s="13">
        <v>5053.8100000000004</v>
      </c>
      <c r="S89" s="13">
        <v>5051.5600000000004</v>
      </c>
      <c r="T89" s="13">
        <v>5049.8100000000004</v>
      </c>
      <c r="U89" s="13">
        <v>5050.38</v>
      </c>
      <c r="V89" s="13">
        <v>5050.38</v>
      </c>
      <c r="W89" s="13">
        <v>5050.9399999999996</v>
      </c>
      <c r="X89" s="13">
        <v>5054.88</v>
      </c>
      <c r="Y89" s="13">
        <v>5054.3100000000004</v>
      </c>
      <c r="Z89" s="13">
        <v>5054.88</v>
      </c>
      <c r="AA89" s="13">
        <v>5048.13</v>
      </c>
      <c r="AB89" s="13">
        <v>5045.0600000000004</v>
      </c>
      <c r="AC89" s="13">
        <v>5046.57</v>
      </c>
      <c r="AD89" s="13">
        <v>5046.3100000000004</v>
      </c>
      <c r="AE89" s="13">
        <v>5046.88</v>
      </c>
      <c r="AF89" s="13">
        <v>5048.38</v>
      </c>
      <c r="AG89" s="13">
        <v>5047.97</v>
      </c>
      <c r="AH89" s="13">
        <v>5046.7700000000004</v>
      </c>
      <c r="AI89" s="13">
        <v>5045.59</v>
      </c>
      <c r="AJ89" s="13">
        <v>5045.78</v>
      </c>
      <c r="AK89" s="13">
        <v>5045.41</v>
      </c>
      <c r="AL89" s="13">
        <v>5045.22</v>
      </c>
      <c r="AM89" s="13">
        <v>5044.84</v>
      </c>
      <c r="AN89" s="13">
        <v>5044.9399999999996</v>
      </c>
      <c r="AO89" s="13">
        <v>5045.41</v>
      </c>
      <c r="AP89" s="13">
        <v>5045.22</v>
      </c>
      <c r="AQ89" s="13">
        <v>5049.41</v>
      </c>
      <c r="AR89" s="13">
        <v>5049.93</v>
      </c>
      <c r="AS89" s="13">
        <v>5050.76</v>
      </c>
      <c r="AT89" s="13">
        <v>5049.41</v>
      </c>
      <c r="AU89" s="13">
        <v>5049.41</v>
      </c>
      <c r="AV89" s="13">
        <v>5048.76</v>
      </c>
      <c r="AW89" s="13">
        <v>5049.2</v>
      </c>
      <c r="AX89" s="13">
        <v>5043.25</v>
      </c>
      <c r="AY89" s="13">
        <v>5031.17</v>
      </c>
      <c r="AZ89" s="13">
        <v>5031.8900000000003</v>
      </c>
      <c r="BA89" s="13">
        <v>5033.41</v>
      </c>
      <c r="BB89" s="13">
        <v>5033.0600000000004</v>
      </c>
      <c r="BC89" s="13">
        <v>5035.41</v>
      </c>
      <c r="BD89" s="13">
        <v>5035.88</v>
      </c>
      <c r="BE89" s="13">
        <v>5035.24</v>
      </c>
      <c r="BF89" s="13">
        <v>5035.6499999999996</v>
      </c>
      <c r="BG89" s="13">
        <v>5035.24</v>
      </c>
      <c r="BH89" s="13">
        <v>5032.9399999999996</v>
      </c>
      <c r="BI89" s="13">
        <v>5031.6499999999996</v>
      </c>
      <c r="BJ89" s="13">
        <v>5032</v>
      </c>
      <c r="BK89" s="13">
        <v>5032.29</v>
      </c>
      <c r="BL89" s="13">
        <v>5033.24</v>
      </c>
      <c r="BM89" s="13">
        <v>5035.59</v>
      </c>
      <c r="BN89" s="13">
        <v>5035.59</v>
      </c>
      <c r="BO89" s="13">
        <v>5041.76</v>
      </c>
      <c r="BP89" s="13">
        <v>5036.88</v>
      </c>
      <c r="BQ89" s="13">
        <v>5035.76</v>
      </c>
      <c r="BR89" s="13">
        <v>5035.75</v>
      </c>
      <c r="BS89" s="13">
        <v>5032.13</v>
      </c>
      <c r="BT89" s="13">
        <v>5030.8100000000004</v>
      </c>
      <c r="BU89" s="13">
        <v>5030</v>
      </c>
      <c r="BV89" s="13">
        <v>5030.38</v>
      </c>
      <c r="BW89" s="13">
        <v>5031</v>
      </c>
      <c r="BX89" s="13">
        <v>5030.8900000000003</v>
      </c>
      <c r="BY89" s="13">
        <v>5029.5600000000004</v>
      </c>
      <c r="BZ89" s="13">
        <v>5028.0600000000004</v>
      </c>
      <c r="CA89" s="13">
        <v>5029.0600000000004</v>
      </c>
      <c r="CB89" s="13">
        <v>5028.0600000000004</v>
      </c>
      <c r="CC89" s="13">
        <v>5027.5600000000004</v>
      </c>
      <c r="CD89" s="13">
        <v>5028.3900000000003</v>
      </c>
      <c r="CE89" s="13">
        <v>5027.72</v>
      </c>
      <c r="CF89" s="13">
        <v>5029.3900000000003</v>
      </c>
      <c r="CG89" s="13">
        <v>5028</v>
      </c>
      <c r="CH89" s="13">
        <v>5027.13</v>
      </c>
      <c r="CI89" s="13">
        <v>5027.28</v>
      </c>
      <c r="CJ89" s="13">
        <v>5027.24</v>
      </c>
      <c r="CK89" s="13">
        <v>5027.88</v>
      </c>
      <c r="CL89" s="13">
        <v>5028</v>
      </c>
      <c r="CM89" s="13">
        <v>5029.12</v>
      </c>
      <c r="CN89" s="13">
        <v>5029.12</v>
      </c>
      <c r="CO89" s="13">
        <v>5033.05</v>
      </c>
      <c r="CP89" s="13">
        <v>5029.9399999999996</v>
      </c>
      <c r="CQ89" s="13">
        <v>5033.3</v>
      </c>
      <c r="CR89" s="13">
        <v>5030.0600000000004</v>
      </c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</row>
    <row r="90" spans="1:110" ht="15.75" x14ac:dyDescent="0.25">
      <c r="A90" s="14"/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</row>
    <row r="91" spans="1:110" ht="15.75" x14ac:dyDescent="0.25">
      <c r="A91" s="11"/>
      <c r="B91" s="11" t="s">
        <v>11</v>
      </c>
      <c r="C91" s="15">
        <v>0.37847222222222227</v>
      </c>
      <c r="D91" s="15">
        <v>0.38194444444444442</v>
      </c>
      <c r="E91" s="15">
        <v>0.38541666666666669</v>
      </c>
      <c r="F91" s="15">
        <v>0.3888888888888889</v>
      </c>
      <c r="G91" s="15">
        <v>0.3923611111111111</v>
      </c>
      <c r="H91" s="15">
        <v>0.39583333333333331</v>
      </c>
      <c r="I91" s="15">
        <v>0.39930555555555558</v>
      </c>
      <c r="J91" s="15">
        <v>0.40277777777777773</v>
      </c>
      <c r="K91" s="15">
        <v>0.40625</v>
      </c>
      <c r="L91" s="15">
        <v>0.40972222222222227</v>
      </c>
      <c r="M91" s="15">
        <v>0.41319444444444442</v>
      </c>
      <c r="N91" s="15">
        <v>0.41666666666666669</v>
      </c>
      <c r="O91" s="15">
        <v>0.4201388888888889</v>
      </c>
      <c r="P91" s="15">
        <v>0.4236111111111111</v>
      </c>
      <c r="Q91" s="15">
        <v>0.42708333333333331</v>
      </c>
      <c r="R91" s="15">
        <v>0.43055555555555558</v>
      </c>
      <c r="S91" s="15">
        <v>0.43402777777777773</v>
      </c>
      <c r="T91" s="15">
        <v>0.4375</v>
      </c>
      <c r="U91" s="15">
        <v>0.44097222222222227</v>
      </c>
      <c r="V91" s="15">
        <v>0.44444444444444442</v>
      </c>
      <c r="W91" s="15">
        <v>0.44791666666666669</v>
      </c>
      <c r="X91" s="15">
        <v>0.4513888888888889</v>
      </c>
      <c r="Y91" s="15">
        <v>0.4548611111111111</v>
      </c>
      <c r="Z91" s="15">
        <v>0.45833333333333331</v>
      </c>
      <c r="AA91" s="15">
        <v>0.46180555555555558</v>
      </c>
      <c r="AB91" s="15">
        <v>0.46527777777777773</v>
      </c>
      <c r="AC91" s="15">
        <v>0.46875</v>
      </c>
      <c r="AD91" s="15">
        <v>0.47222222222222227</v>
      </c>
      <c r="AE91" s="15">
        <v>0.47569444444444442</v>
      </c>
      <c r="AF91" s="15">
        <v>0.47916666666666669</v>
      </c>
      <c r="AG91" s="15">
        <v>0.4826388888888889</v>
      </c>
      <c r="AH91" s="15">
        <v>0.4861111111111111</v>
      </c>
      <c r="AI91" s="15">
        <v>0.48958333333333331</v>
      </c>
      <c r="AJ91" s="15">
        <v>0.49305555555555558</v>
      </c>
      <c r="AK91" s="15">
        <v>0.49652777777777773</v>
      </c>
      <c r="AL91" s="15">
        <v>0.5</v>
      </c>
      <c r="AM91" s="15">
        <v>0.50347222222222221</v>
      </c>
      <c r="AN91" s="15">
        <v>0.50694444444444442</v>
      </c>
      <c r="AO91" s="15">
        <v>0.51041666666666663</v>
      </c>
      <c r="AP91" s="15">
        <v>0.51388888888888895</v>
      </c>
      <c r="AQ91" s="15">
        <v>0.51736111111111105</v>
      </c>
      <c r="AR91" s="15">
        <v>0.52083333333333337</v>
      </c>
      <c r="AS91" s="15">
        <v>0.52430555555555558</v>
      </c>
      <c r="AT91" s="15">
        <v>0.52777777777777779</v>
      </c>
      <c r="AU91" s="15">
        <v>0.53125</v>
      </c>
      <c r="AV91" s="15">
        <v>0.53472222222222221</v>
      </c>
      <c r="AW91" s="15">
        <v>0.53819444444444442</v>
      </c>
      <c r="AX91" s="15">
        <v>0.54166666666666663</v>
      </c>
      <c r="AY91" s="15">
        <v>0.54513888888888895</v>
      </c>
      <c r="AZ91" s="15">
        <v>0.54861111111111105</v>
      </c>
      <c r="BA91" s="15">
        <v>0.55208333333333337</v>
      </c>
      <c r="BB91" s="15">
        <v>0.55555555555555558</v>
      </c>
      <c r="BC91" s="15">
        <v>0.55902777777777779</v>
      </c>
      <c r="BD91" s="15">
        <v>0.5625</v>
      </c>
      <c r="BE91" s="15">
        <v>0.56597222222222221</v>
      </c>
      <c r="BF91" s="15">
        <v>0.56944444444444442</v>
      </c>
      <c r="BG91" s="15">
        <v>0.57291666666666663</v>
      </c>
      <c r="BH91" s="15">
        <v>0.57638888888888895</v>
      </c>
      <c r="BI91" s="15">
        <v>0.57986111111111105</v>
      </c>
      <c r="BJ91" s="15">
        <v>0.58333333333333337</v>
      </c>
      <c r="BK91" s="15">
        <v>0.58680555555555558</v>
      </c>
      <c r="BL91" s="15">
        <v>0.59027777777777779</v>
      </c>
      <c r="BM91" s="15">
        <v>0.59375</v>
      </c>
      <c r="BN91" s="15">
        <v>0.59722222222222221</v>
      </c>
      <c r="BO91" s="15">
        <v>0.60069444444444442</v>
      </c>
      <c r="BP91" s="15">
        <v>0.60416666666666663</v>
      </c>
      <c r="BQ91" s="15">
        <v>0.60763888888888895</v>
      </c>
      <c r="BR91" s="15">
        <v>0.61111111111111105</v>
      </c>
      <c r="BS91" s="15">
        <v>0.61458333333333337</v>
      </c>
      <c r="BT91" s="15">
        <v>0.61805555555555558</v>
      </c>
      <c r="BU91" s="15">
        <v>0.62152777777777779</v>
      </c>
      <c r="BV91" s="15">
        <v>0.625</v>
      </c>
      <c r="BW91" s="15">
        <v>0.62847222222222221</v>
      </c>
      <c r="BX91" s="15">
        <v>0.63194444444444442</v>
      </c>
      <c r="BY91" s="15">
        <v>0.63541666666666663</v>
      </c>
      <c r="BZ91" s="15">
        <v>0.63888888888888895</v>
      </c>
      <c r="CA91" s="15">
        <v>0.64236111111111105</v>
      </c>
      <c r="CB91" s="15">
        <v>0.64583333333333337</v>
      </c>
      <c r="CC91" s="15">
        <v>0.64930555555555558</v>
      </c>
      <c r="CD91" s="15">
        <v>0.65277777777777779</v>
      </c>
      <c r="CE91" s="15">
        <v>0.65625</v>
      </c>
      <c r="CF91" s="15">
        <v>0.65972222222222221</v>
      </c>
      <c r="CG91" s="15">
        <v>0.66319444444444442</v>
      </c>
      <c r="CH91" s="15">
        <v>0.66666666666666663</v>
      </c>
      <c r="CI91" s="15">
        <v>0.67013888888888884</v>
      </c>
      <c r="CJ91" s="15">
        <v>0.67361111111111116</v>
      </c>
      <c r="CK91" s="15">
        <v>0.67708333333333337</v>
      </c>
      <c r="CL91" s="15">
        <v>0.68055555555555547</v>
      </c>
      <c r="CM91" s="15">
        <v>0.68402777777777779</v>
      </c>
      <c r="CN91" s="15">
        <v>0.6875</v>
      </c>
      <c r="CO91" s="15">
        <v>0.69097222222222221</v>
      </c>
      <c r="CP91" s="15">
        <v>0.69444444444444453</v>
      </c>
      <c r="CQ91" s="15">
        <v>0.69791666666666663</v>
      </c>
      <c r="CR91" s="15">
        <v>0.70138888888888884</v>
      </c>
      <c r="CS91" s="15">
        <v>0.70486111111111116</v>
      </c>
      <c r="CT91" s="15">
        <v>0.70833333333333337</v>
      </c>
      <c r="CU91" s="15">
        <v>0.71180555555555547</v>
      </c>
      <c r="CV91" s="15">
        <v>0.71527777777777779</v>
      </c>
      <c r="CW91" s="15">
        <v>0.71875</v>
      </c>
      <c r="CX91" s="15">
        <v>0.72222222222222221</v>
      </c>
      <c r="CY91" s="15">
        <v>0.72569444444444453</v>
      </c>
      <c r="CZ91" s="15">
        <v>0.72916666666666663</v>
      </c>
      <c r="DA91" s="15">
        <v>0.73263888888888884</v>
      </c>
      <c r="DB91" s="15">
        <v>0.73611111111111116</v>
      </c>
      <c r="DC91" s="15">
        <v>0.73958333333333337</v>
      </c>
      <c r="DD91" s="15">
        <v>0.74305555555555547</v>
      </c>
      <c r="DE91" s="15">
        <v>0.74652777777777779</v>
      </c>
      <c r="DF91" s="15">
        <v>0.75</v>
      </c>
    </row>
    <row r="92" spans="1:110" ht="15.75" x14ac:dyDescent="0.25">
      <c r="A92" s="14">
        <v>44369</v>
      </c>
      <c r="B92" s="12" t="s">
        <v>6</v>
      </c>
      <c r="C92" s="13">
        <v>5008.67</v>
      </c>
      <c r="D92" s="13">
        <v>5002.68</v>
      </c>
      <c r="E92" s="13">
        <v>4999.16</v>
      </c>
      <c r="F92" s="13">
        <v>4990.72</v>
      </c>
      <c r="G92" s="13">
        <v>4990.3100000000004</v>
      </c>
      <c r="H92" s="13">
        <v>4990.67</v>
      </c>
      <c r="I92" s="13">
        <v>4990.26</v>
      </c>
      <c r="J92" s="13">
        <v>4990.55</v>
      </c>
      <c r="K92" s="13">
        <v>4990.7</v>
      </c>
      <c r="L92" s="13">
        <v>4994.25</v>
      </c>
      <c r="M92" s="13">
        <v>5003.8900000000003</v>
      </c>
      <c r="N92" s="13">
        <v>4991.79</v>
      </c>
      <c r="O92" s="13">
        <v>4993.28</v>
      </c>
      <c r="P92" s="13">
        <v>4992.0200000000004</v>
      </c>
      <c r="Q92" s="13">
        <v>5003.17</v>
      </c>
      <c r="R92" s="13">
        <v>4998.5200000000004</v>
      </c>
      <c r="S92" s="13">
        <v>4999.47</v>
      </c>
      <c r="T92" s="13">
        <v>5003.3900000000003</v>
      </c>
      <c r="U92" s="13">
        <v>5002.7299999999996</v>
      </c>
      <c r="V92" s="13">
        <v>5001.8500000000004</v>
      </c>
      <c r="W92" s="13">
        <v>5001.3599999999997</v>
      </c>
      <c r="X92" s="13">
        <v>5000.3599999999997</v>
      </c>
      <c r="Y92" s="13">
        <v>4995.2700000000004</v>
      </c>
      <c r="Z92" s="13">
        <v>4995.43</v>
      </c>
      <c r="AA92" s="13">
        <v>4995.29</v>
      </c>
      <c r="AB92" s="13">
        <v>4997.6899999999996</v>
      </c>
      <c r="AC92" s="13">
        <v>4997.6499999999996</v>
      </c>
      <c r="AD92" s="13">
        <v>4994.78</v>
      </c>
      <c r="AE92" s="13"/>
      <c r="AF92" s="13">
        <v>5007.53</v>
      </c>
      <c r="AG92" s="13">
        <v>5010.3</v>
      </c>
      <c r="AH92" s="13">
        <v>5023.08</v>
      </c>
      <c r="AI92" s="13">
        <v>5028</v>
      </c>
      <c r="AJ92" s="13">
        <v>5027.96</v>
      </c>
      <c r="AK92" s="13">
        <v>5027.6899999999996</v>
      </c>
      <c r="AL92" s="13">
        <v>5025.18</v>
      </c>
      <c r="AM92" s="13">
        <v>5020.13</v>
      </c>
      <c r="AN92" s="13">
        <v>5020.5200000000004</v>
      </c>
      <c r="AO92" s="13">
        <v>5020.6000000000004</v>
      </c>
      <c r="AP92" s="13">
        <v>5020.6499999999996</v>
      </c>
      <c r="AQ92" s="13">
        <v>5020.17</v>
      </c>
      <c r="AR92" s="13">
        <v>5016.8100000000004</v>
      </c>
      <c r="AS92" s="13">
        <v>5020.7</v>
      </c>
      <c r="AT92" s="13">
        <v>5020.8999999999996</v>
      </c>
      <c r="AU92" s="13">
        <v>5020.21</v>
      </c>
      <c r="AV92" s="13">
        <v>5018.3</v>
      </c>
      <c r="AW92" s="13">
        <v>5018.3</v>
      </c>
      <c r="AX92" s="13">
        <v>5017.3999999999996</v>
      </c>
      <c r="AY92" s="13">
        <v>5013.0600000000004</v>
      </c>
      <c r="AZ92" s="13">
        <v>5016.7299999999996</v>
      </c>
      <c r="BA92" s="13">
        <v>5004.55</v>
      </c>
      <c r="BB92" s="13">
        <v>4997.87</v>
      </c>
      <c r="BC92" s="13">
        <v>4997.2299999999996</v>
      </c>
      <c r="BD92" s="13">
        <v>4992.4399999999996</v>
      </c>
      <c r="BE92" s="13">
        <v>4998.42</v>
      </c>
      <c r="BF92" s="13">
        <v>4999.41</v>
      </c>
      <c r="BG92" s="13">
        <v>4999.32</v>
      </c>
      <c r="BH92" s="13">
        <v>4999.3999999999996</v>
      </c>
      <c r="BI92" s="13">
        <v>4999.42</v>
      </c>
      <c r="BJ92" s="13">
        <v>5006.26</v>
      </c>
      <c r="BK92" s="13">
        <v>5006.43</v>
      </c>
      <c r="BL92" s="13">
        <v>5006.46</v>
      </c>
      <c r="BM92" s="13">
        <v>5006.49</v>
      </c>
      <c r="BN92" s="13">
        <v>5006.0600000000004</v>
      </c>
      <c r="BO92" s="13">
        <v>5005.95</v>
      </c>
      <c r="BP92" s="13">
        <v>5007.78</v>
      </c>
      <c r="BQ92" s="13">
        <v>5005.82</v>
      </c>
      <c r="BR92" s="13">
        <v>5006.04</v>
      </c>
      <c r="BS92" s="13">
        <v>5007.12</v>
      </c>
      <c r="BT92" s="13">
        <v>5008.63</v>
      </c>
      <c r="BU92" s="13">
        <v>5009.08</v>
      </c>
      <c r="BV92" s="13">
        <v>5006.1499999999996</v>
      </c>
      <c r="BW92" s="13">
        <v>5008.7</v>
      </c>
      <c r="BX92" s="13">
        <v>5009.03</v>
      </c>
      <c r="BY92" s="13">
        <v>5010.67</v>
      </c>
      <c r="BZ92" s="13">
        <v>5011.18</v>
      </c>
      <c r="CA92" s="13">
        <v>5010.8900000000003</v>
      </c>
      <c r="CB92" s="13">
        <v>5010.66</v>
      </c>
      <c r="CC92" s="13">
        <v>5021.55</v>
      </c>
      <c r="CD92" s="13">
        <v>5027.8900000000003</v>
      </c>
      <c r="CE92" s="13">
        <v>5015.3100000000004</v>
      </c>
      <c r="CF92" s="13">
        <v>5012.97</v>
      </c>
      <c r="CG92" s="13">
        <v>5012.8</v>
      </c>
      <c r="CH92" s="13">
        <v>5012.8</v>
      </c>
      <c r="CI92" s="13">
        <v>5012.5</v>
      </c>
      <c r="CJ92" s="13">
        <v>5012.6899999999996</v>
      </c>
      <c r="CK92" s="13">
        <v>5012.41</v>
      </c>
      <c r="CL92" s="13">
        <v>5013.92</v>
      </c>
      <c r="CM92" s="13">
        <v>5014.71</v>
      </c>
      <c r="CN92" s="13">
        <v>5013.4799999999996</v>
      </c>
      <c r="CO92" s="13">
        <v>5012.8999999999996</v>
      </c>
      <c r="CP92" s="13">
        <v>5012.38</v>
      </c>
      <c r="CQ92" s="13">
        <v>5012.88</v>
      </c>
      <c r="CR92" s="13">
        <v>5012.41</v>
      </c>
      <c r="CS92" s="13">
        <v>5012.8599999999997</v>
      </c>
      <c r="CT92" s="13">
        <v>5011.6099999999997</v>
      </c>
      <c r="CU92" s="13">
        <v>5010.63</v>
      </c>
      <c r="CV92" s="13">
        <v>5011.5600000000004</v>
      </c>
      <c r="CW92" s="13">
        <v>5013.5600000000004</v>
      </c>
      <c r="CX92" s="13">
        <v>5012.8100000000004</v>
      </c>
      <c r="CY92" s="13">
        <v>5012.8100000000004</v>
      </c>
      <c r="CZ92" s="13">
        <v>5011.03</v>
      </c>
      <c r="DA92" s="13">
        <v>5010.7299999999996</v>
      </c>
      <c r="DB92" s="13">
        <v>5014.07</v>
      </c>
      <c r="DC92" s="13">
        <v>5013.32</v>
      </c>
      <c r="DD92" s="13">
        <v>5014.1000000000004</v>
      </c>
      <c r="DE92" s="13">
        <v>5006.1499999999996</v>
      </c>
      <c r="DF92" s="13">
        <v>5014.22</v>
      </c>
    </row>
    <row r="93" spans="1:110" ht="15.75" x14ac:dyDescent="0.25">
      <c r="A93" s="14"/>
      <c r="B93" s="12" t="s">
        <v>10</v>
      </c>
      <c r="C93" s="13">
        <v>5001.54</v>
      </c>
      <c r="D93" s="13">
        <v>4998.88</v>
      </c>
      <c r="E93" s="13">
        <v>4990.3999999999996</v>
      </c>
      <c r="F93" s="13">
        <v>4988.93</v>
      </c>
      <c r="G93" s="13">
        <v>4990.05</v>
      </c>
      <c r="H93" s="13">
        <v>4990.1000000000004</v>
      </c>
      <c r="I93" s="13">
        <v>4990.0600000000004</v>
      </c>
      <c r="J93" s="13">
        <v>4990.37</v>
      </c>
      <c r="K93" s="13">
        <v>4990.7</v>
      </c>
      <c r="L93" s="13">
        <v>4991.5</v>
      </c>
      <c r="M93" s="13">
        <v>4990.2</v>
      </c>
      <c r="N93" s="13">
        <v>4989.7</v>
      </c>
      <c r="O93" s="13">
        <v>4988.95</v>
      </c>
      <c r="P93" s="13">
        <v>4990.1899999999996</v>
      </c>
      <c r="Q93" s="13">
        <v>4996.21</v>
      </c>
      <c r="R93" s="13">
        <v>4997.9799999999996</v>
      </c>
      <c r="S93" s="13">
        <v>4996.58</v>
      </c>
      <c r="T93" s="13">
        <v>5001.9399999999996</v>
      </c>
      <c r="U93" s="13">
        <v>5000.83</v>
      </c>
      <c r="V93" s="13">
        <v>5001.46</v>
      </c>
      <c r="W93" s="13">
        <v>4999.66</v>
      </c>
      <c r="X93" s="13">
        <v>4994.75</v>
      </c>
      <c r="Y93" s="13">
        <v>4995.2700000000004</v>
      </c>
      <c r="Z93" s="13">
        <v>4994.1899999999996</v>
      </c>
      <c r="AA93" s="13">
        <v>4989.3</v>
      </c>
      <c r="AB93" s="13">
        <v>4994.33</v>
      </c>
      <c r="AC93" s="13">
        <v>4994.8999999999996</v>
      </c>
      <c r="AD93" s="13">
        <v>4994.78</v>
      </c>
      <c r="AE93" s="13">
        <v>4994.9799999999996</v>
      </c>
      <c r="AF93" s="13">
        <v>5004.33</v>
      </c>
      <c r="AG93" s="13">
        <v>5007.4799999999996</v>
      </c>
      <c r="AH93" s="13">
        <v>5018.76</v>
      </c>
      <c r="AI93" s="13">
        <v>5023.63</v>
      </c>
      <c r="AJ93" s="13">
        <v>5023.7299999999996</v>
      </c>
      <c r="AK93" s="13">
        <v>5020.6499999999996</v>
      </c>
      <c r="AL93" s="13">
        <v>5020</v>
      </c>
      <c r="AM93" s="13">
        <v>5015.08</v>
      </c>
      <c r="AN93" s="13">
        <v>5016.3500000000004</v>
      </c>
      <c r="AO93" s="13">
        <v>5016.4399999999996</v>
      </c>
      <c r="AP93" s="13">
        <v>5013.0200000000004</v>
      </c>
      <c r="AQ93" s="13">
        <v>5012.3500000000004</v>
      </c>
      <c r="AR93" s="13">
        <v>5012.8</v>
      </c>
      <c r="AS93" s="13">
        <v>5016.4399999999996</v>
      </c>
      <c r="AT93" s="13">
        <v>5016.5200000000004</v>
      </c>
      <c r="AU93" s="13">
        <v>5012.79</v>
      </c>
      <c r="AV93" s="13">
        <v>5013.68</v>
      </c>
      <c r="AW93" s="13">
        <v>5012.63</v>
      </c>
      <c r="AX93" s="13">
        <v>5011.6099999999997</v>
      </c>
      <c r="AY93" s="13">
        <v>5013.0600000000004</v>
      </c>
      <c r="AZ93" s="13">
        <v>5003.3100000000004</v>
      </c>
      <c r="BA93" s="13">
        <v>4996.9399999999996</v>
      </c>
      <c r="BB93" s="13">
        <v>4997.2299999999996</v>
      </c>
      <c r="BC93" s="13">
        <v>4991.75</v>
      </c>
      <c r="BD93" s="13">
        <v>4989.75</v>
      </c>
      <c r="BE93" s="13">
        <v>4997.75</v>
      </c>
      <c r="BF93" s="13">
        <v>4998.8599999999997</v>
      </c>
      <c r="BG93" s="13">
        <v>4998.72</v>
      </c>
      <c r="BH93" s="13">
        <v>4998.8900000000003</v>
      </c>
      <c r="BI93" s="13">
        <v>4998.59</v>
      </c>
      <c r="BJ93" s="13">
        <v>5004.03</v>
      </c>
      <c r="BK93" s="13">
        <v>5005.68</v>
      </c>
      <c r="BL93" s="13">
        <v>5005.76</v>
      </c>
      <c r="BM93" s="13">
        <v>5005.1099999999997</v>
      </c>
      <c r="BN93" s="13">
        <v>5005.41</v>
      </c>
      <c r="BO93" s="13">
        <v>5004.7700000000004</v>
      </c>
      <c r="BP93" s="13">
        <v>5004.79</v>
      </c>
      <c r="BQ93" s="13">
        <v>5005.24</v>
      </c>
      <c r="BR93" s="13">
        <v>5006.04</v>
      </c>
      <c r="BS93" s="13">
        <v>5005.97</v>
      </c>
      <c r="BT93" s="13">
        <v>5006.1099999999997</v>
      </c>
      <c r="BU93" s="13">
        <v>5005.3999999999996</v>
      </c>
      <c r="BV93" s="13">
        <v>5005.6000000000004</v>
      </c>
      <c r="BW93" s="13">
        <v>5005.7299999999996</v>
      </c>
      <c r="BX93" s="13">
        <v>5006.37</v>
      </c>
      <c r="BY93" s="13">
        <v>5008.24</v>
      </c>
      <c r="BZ93" s="13">
        <v>5010.6000000000004</v>
      </c>
      <c r="CA93" s="13">
        <v>5010.49</v>
      </c>
      <c r="CB93" s="13">
        <v>5010.66</v>
      </c>
      <c r="CC93" s="13">
        <v>5019.5600000000004</v>
      </c>
      <c r="CD93" s="13">
        <v>5009.8500000000004</v>
      </c>
      <c r="CE93" s="13">
        <v>5009.63</v>
      </c>
      <c r="CF93" s="13">
        <v>5009.3500000000004</v>
      </c>
      <c r="CG93" s="13">
        <v>5012.8</v>
      </c>
      <c r="CH93" s="13">
        <v>5008.51</v>
      </c>
      <c r="CI93" s="13">
        <v>5008.74</v>
      </c>
      <c r="CJ93" s="13">
        <v>5012.3599999999997</v>
      </c>
      <c r="CK93" s="13">
        <v>5008.08</v>
      </c>
      <c r="CL93" s="13">
        <v>5008.72</v>
      </c>
      <c r="CM93" s="13">
        <v>5011.93</v>
      </c>
      <c r="CN93" s="13">
        <v>5008.3500000000004</v>
      </c>
      <c r="CO93" s="13">
        <v>5007.8999999999996</v>
      </c>
      <c r="CP93" s="13">
        <v>5007.5200000000004</v>
      </c>
      <c r="CQ93" s="13">
        <v>5008.01</v>
      </c>
      <c r="CR93" s="13">
        <v>5008.0600000000004</v>
      </c>
      <c r="CS93" s="13">
        <v>5007.33</v>
      </c>
      <c r="CT93" s="13">
        <v>5010.99</v>
      </c>
      <c r="CU93" s="13">
        <v>5010.0200000000004</v>
      </c>
      <c r="CV93" s="13">
        <v>5010.37</v>
      </c>
      <c r="CW93" s="13">
        <v>5010.62</v>
      </c>
      <c r="CX93" s="13">
        <v>5010.12</v>
      </c>
      <c r="CY93" s="13">
        <v>5010.12</v>
      </c>
      <c r="CZ93" s="13">
        <v>5010.43</v>
      </c>
      <c r="DA93" s="13">
        <v>5010.24</v>
      </c>
      <c r="DB93" s="13">
        <v>5013.2299999999996</v>
      </c>
      <c r="DC93" s="13">
        <v>5011.82</v>
      </c>
      <c r="DD93" s="13">
        <v>5005.2299999999996</v>
      </c>
      <c r="DE93" s="13">
        <v>5006.0200000000004</v>
      </c>
      <c r="DF93" s="13">
        <v>5013.49</v>
      </c>
    </row>
    <row r="94" spans="1:110" ht="15.75" x14ac:dyDescent="0.25">
      <c r="A94" s="14"/>
      <c r="B94" s="12" t="s">
        <v>9</v>
      </c>
      <c r="C94" s="13">
        <v>4975.7700000000004</v>
      </c>
      <c r="D94" s="13">
        <v>4949.3900000000003</v>
      </c>
      <c r="E94" s="13">
        <v>4949.2700000000004</v>
      </c>
      <c r="F94" s="13">
        <v>4945.1000000000004</v>
      </c>
      <c r="G94" s="13">
        <v>4947.1499999999996</v>
      </c>
      <c r="H94" s="13">
        <v>4946.7700000000004</v>
      </c>
      <c r="I94" s="13">
        <v>4947.3599999999997</v>
      </c>
      <c r="J94" s="13">
        <v>4948.5</v>
      </c>
      <c r="K94" s="13">
        <v>4949.3100000000004</v>
      </c>
      <c r="L94" s="13">
        <v>4950.93</v>
      </c>
      <c r="M94" s="13">
        <v>4947.93</v>
      </c>
      <c r="N94" s="13">
        <v>4945.7</v>
      </c>
      <c r="O94" s="13">
        <v>4945.96</v>
      </c>
      <c r="P94" s="13">
        <v>4948.55</v>
      </c>
      <c r="Q94" s="13">
        <v>4961.92</v>
      </c>
      <c r="R94" s="13">
        <v>4961.55</v>
      </c>
      <c r="S94" s="13">
        <v>4961.43</v>
      </c>
      <c r="T94" s="13">
        <v>4961.1899999999996</v>
      </c>
      <c r="U94" s="13">
        <v>4960.12</v>
      </c>
      <c r="V94" s="13">
        <v>4959.88</v>
      </c>
      <c r="W94" s="13">
        <v>4944.0200000000004</v>
      </c>
      <c r="X94" s="13">
        <v>4946.13</v>
      </c>
      <c r="Y94" s="13">
        <v>4941.22</v>
      </c>
      <c r="Z94" s="13">
        <v>4942.4399999999996</v>
      </c>
      <c r="AA94" s="13">
        <v>4941.3100000000004</v>
      </c>
      <c r="AB94" s="13">
        <v>4952.82</v>
      </c>
      <c r="AC94" s="13">
        <v>4953.84</v>
      </c>
      <c r="AD94" s="13">
        <v>4953.66</v>
      </c>
      <c r="AE94" s="13">
        <v>4954.47</v>
      </c>
      <c r="AF94" s="13">
        <v>4961.3</v>
      </c>
      <c r="AG94" s="13">
        <v>4961.16</v>
      </c>
      <c r="AH94" s="13">
        <v>4966.26</v>
      </c>
      <c r="AI94" s="13">
        <v>4966.41</v>
      </c>
      <c r="AJ94" s="13">
        <v>4966.46</v>
      </c>
      <c r="AK94" s="13">
        <v>4965.6499999999996</v>
      </c>
      <c r="AL94" s="13">
        <v>4965.93</v>
      </c>
      <c r="AM94" s="13">
        <v>4965.83</v>
      </c>
      <c r="AN94" s="13">
        <v>4965.96</v>
      </c>
      <c r="AO94" s="13">
        <v>4965.99</v>
      </c>
      <c r="AP94" s="13">
        <v>4965.91</v>
      </c>
      <c r="AQ94" s="13">
        <v>4965.6499999999996</v>
      </c>
      <c r="AR94" s="13">
        <v>4965.82</v>
      </c>
      <c r="AS94" s="13">
        <v>4965.8599999999997</v>
      </c>
      <c r="AT94" s="13">
        <v>4966.0200000000004</v>
      </c>
      <c r="AU94" s="13">
        <v>4965.6099999999997</v>
      </c>
      <c r="AV94" s="13">
        <v>4965.75</v>
      </c>
      <c r="AW94" s="13">
        <v>4959.8900000000003</v>
      </c>
      <c r="AX94" s="13">
        <v>4959.3999999999996</v>
      </c>
      <c r="AY94" s="13">
        <v>4953.45</v>
      </c>
      <c r="AZ94" s="13">
        <v>4952.9399999999996</v>
      </c>
      <c r="BA94" s="13">
        <v>4950.66</v>
      </c>
      <c r="BB94" s="13">
        <v>4932.8900000000003</v>
      </c>
      <c r="BC94" s="13">
        <v>4938.09</v>
      </c>
      <c r="BD94" s="13">
        <v>4948.21</v>
      </c>
      <c r="BE94" s="13">
        <v>4953.18</v>
      </c>
      <c r="BF94" s="13">
        <v>4953.63</v>
      </c>
      <c r="BG94" s="13">
        <v>4953.68</v>
      </c>
      <c r="BH94" s="13">
        <v>4954.4799999999996</v>
      </c>
      <c r="BI94" s="13">
        <v>4953.5200000000004</v>
      </c>
      <c r="BJ94" s="13">
        <v>4956.93</v>
      </c>
      <c r="BK94" s="13">
        <v>4957.22</v>
      </c>
      <c r="BL94" s="13">
        <v>4957.5200000000004</v>
      </c>
      <c r="BM94" s="13">
        <v>4957.05</v>
      </c>
      <c r="BN94" s="13">
        <v>4956.8100000000004</v>
      </c>
      <c r="BO94" s="13">
        <v>4956.3999999999996</v>
      </c>
      <c r="BP94" s="13">
        <v>4956.42</v>
      </c>
      <c r="BQ94" s="13">
        <v>4955.71</v>
      </c>
      <c r="BR94" s="13">
        <v>4956.01</v>
      </c>
      <c r="BS94" s="13">
        <v>4956.24</v>
      </c>
      <c r="BT94" s="13">
        <v>4956.84</v>
      </c>
      <c r="BU94" s="13">
        <v>4956.96</v>
      </c>
      <c r="BV94" s="13">
        <v>4957.09</v>
      </c>
      <c r="BW94" s="13">
        <v>4957.08</v>
      </c>
      <c r="BX94" s="13">
        <v>4957.5</v>
      </c>
      <c r="BY94" s="13">
        <v>4957.68</v>
      </c>
      <c r="BZ94" s="13">
        <v>4962.5600000000004</v>
      </c>
      <c r="CA94" s="13">
        <v>4962.5</v>
      </c>
      <c r="CB94" s="13">
        <v>4962.59</v>
      </c>
      <c r="CC94" s="13">
        <v>4965.6499999999996</v>
      </c>
      <c r="CD94" s="13">
        <v>4963.25</v>
      </c>
      <c r="CE94" s="13">
        <v>4962.66</v>
      </c>
      <c r="CF94" s="13">
        <v>4962.87</v>
      </c>
      <c r="CG94" s="13">
        <v>4962.8999999999996</v>
      </c>
      <c r="CH94" s="13">
        <v>4962.3900000000003</v>
      </c>
      <c r="CI94" s="13">
        <v>4962.8</v>
      </c>
      <c r="CJ94" s="13">
        <v>4962.74</v>
      </c>
      <c r="CK94" s="13">
        <v>4962.4399999999996</v>
      </c>
      <c r="CL94" s="13">
        <v>4962.5200000000004</v>
      </c>
      <c r="CM94" s="13">
        <v>4962.38</v>
      </c>
      <c r="CN94" s="13">
        <v>4962.3500000000004</v>
      </c>
      <c r="CO94" s="13">
        <v>4962.25</v>
      </c>
      <c r="CP94" s="13">
        <v>4962.66</v>
      </c>
      <c r="CQ94" s="13">
        <v>4962.6499999999996</v>
      </c>
      <c r="CR94" s="13">
        <v>4962.72</v>
      </c>
      <c r="CS94" s="13">
        <v>4962.7</v>
      </c>
      <c r="CT94" s="13">
        <v>4962.5200000000004</v>
      </c>
      <c r="CU94" s="13">
        <v>4962.3</v>
      </c>
      <c r="CV94" s="13">
        <v>4962.49</v>
      </c>
      <c r="CW94" s="13">
        <v>4962.29</v>
      </c>
      <c r="CX94" s="13">
        <v>4962.3100000000004</v>
      </c>
      <c r="CY94" s="13">
        <v>4962.3100000000004</v>
      </c>
      <c r="CZ94" s="13">
        <v>4962.3500000000004</v>
      </c>
      <c r="DA94" s="13">
        <v>4962.2700000000004</v>
      </c>
      <c r="DB94" s="13">
        <v>4962.46</v>
      </c>
      <c r="DC94" s="13">
        <v>4962.58</v>
      </c>
      <c r="DD94" s="13">
        <v>4962.84</v>
      </c>
      <c r="DE94" s="13">
        <v>4962.5200000000004</v>
      </c>
      <c r="DF94" s="13">
        <v>4961.76</v>
      </c>
    </row>
    <row r="95" spans="1:110" ht="15.75" x14ac:dyDescent="0.25">
      <c r="A95" s="14"/>
      <c r="B95" s="12" t="s">
        <v>7</v>
      </c>
      <c r="C95" s="13">
        <v>4957.5</v>
      </c>
      <c r="D95" s="13">
        <v>4941.1000000000004</v>
      </c>
      <c r="E95" s="13">
        <v>4937.47</v>
      </c>
      <c r="F95" s="13">
        <v>4939.13</v>
      </c>
      <c r="G95" s="13">
        <v>4938.83</v>
      </c>
      <c r="H95" s="13">
        <v>4938.2</v>
      </c>
      <c r="I95" s="13">
        <v>4935.13</v>
      </c>
      <c r="J95" s="13">
        <v>4938.96</v>
      </c>
      <c r="K95" s="13">
        <v>4939.54</v>
      </c>
      <c r="L95" s="13">
        <v>4940.51</v>
      </c>
      <c r="M95" s="13">
        <v>4945.6400000000003</v>
      </c>
      <c r="N95" s="13">
        <v>4939.58</v>
      </c>
      <c r="O95" s="13">
        <v>4939.84</v>
      </c>
      <c r="P95" s="13">
        <v>4935.97</v>
      </c>
      <c r="Q95" s="13">
        <v>4946.08</v>
      </c>
      <c r="R95" s="13">
        <v>4960.59</v>
      </c>
      <c r="S95" s="13">
        <v>4960.1000000000004</v>
      </c>
      <c r="T95" s="13">
        <v>4954.9799999999996</v>
      </c>
      <c r="U95" s="13">
        <v>4955.07</v>
      </c>
      <c r="V95" s="13">
        <v>4958.47</v>
      </c>
      <c r="W95" s="13">
        <v>4944.0200000000004</v>
      </c>
      <c r="X95" s="13">
        <v>4942.4399999999996</v>
      </c>
      <c r="Y95" s="13">
        <v>4939.5600000000004</v>
      </c>
      <c r="Z95" s="13">
        <v>4939.71</v>
      </c>
      <c r="AA95" s="13">
        <v>4935.33</v>
      </c>
      <c r="AB95" s="13">
        <v>4938.18</v>
      </c>
      <c r="AC95" s="13">
        <v>4951.8999999999996</v>
      </c>
      <c r="AD95" s="13">
        <v>4952.49</v>
      </c>
      <c r="AE95" s="13">
        <v>4951.95</v>
      </c>
      <c r="AF95" s="13">
        <v>4953.78</v>
      </c>
      <c r="AG95" s="13">
        <v>4959.79</v>
      </c>
      <c r="AH95" s="13">
        <v>4960.2</v>
      </c>
      <c r="AI95" s="13">
        <v>4965.6499999999996</v>
      </c>
      <c r="AJ95" s="13">
        <v>4965.8599999999997</v>
      </c>
      <c r="AK95" s="13">
        <v>4965.6499999999996</v>
      </c>
      <c r="AL95" s="13">
        <v>4965.63</v>
      </c>
      <c r="AM95" s="13">
        <v>4965.0600000000004</v>
      </c>
      <c r="AN95" s="13">
        <v>4964.97</v>
      </c>
      <c r="AO95" s="13">
        <v>4965.22</v>
      </c>
      <c r="AP95" s="13">
        <v>4965.2299999999996</v>
      </c>
      <c r="AQ95" s="13">
        <v>4965.1899999999996</v>
      </c>
      <c r="AR95" s="13">
        <v>4965</v>
      </c>
      <c r="AS95" s="13">
        <v>4965.09</v>
      </c>
      <c r="AT95" s="13">
        <v>4965.1499999999996</v>
      </c>
      <c r="AU95" s="13">
        <v>4965.0600000000004</v>
      </c>
      <c r="AV95" s="13">
        <v>4965.01</v>
      </c>
      <c r="AW95" s="13">
        <v>4959.8100000000004</v>
      </c>
      <c r="AX95" s="13">
        <v>4958.76</v>
      </c>
      <c r="AY95" s="13">
        <v>4952.1000000000004</v>
      </c>
      <c r="AZ95" s="13">
        <v>4952.43</v>
      </c>
      <c r="BA95" s="13">
        <v>4949.5600000000004</v>
      </c>
      <c r="BB95" s="13">
        <v>4932.26</v>
      </c>
      <c r="BC95" s="13">
        <v>4930.6499999999996</v>
      </c>
      <c r="BD95" s="13">
        <v>4934.25</v>
      </c>
      <c r="BE95" s="13">
        <v>4947.07</v>
      </c>
      <c r="BF95" s="13">
        <v>4952.1499999999996</v>
      </c>
      <c r="BG95" s="13">
        <v>4952.3900000000003</v>
      </c>
      <c r="BH95" s="13">
        <v>4953.07</v>
      </c>
      <c r="BI95" s="13">
        <v>4952.63</v>
      </c>
      <c r="BJ95" s="13">
        <v>4952.6899999999996</v>
      </c>
      <c r="BK95" s="13">
        <v>4956.24</v>
      </c>
      <c r="BL95" s="13">
        <v>4956.24</v>
      </c>
      <c r="BM95" s="13">
        <v>4956.28</v>
      </c>
      <c r="BN95" s="13">
        <v>4956.1400000000003</v>
      </c>
      <c r="BO95" s="13">
        <v>4955.87</v>
      </c>
      <c r="BP95" s="13">
        <v>4955.78</v>
      </c>
      <c r="BQ95" s="13">
        <v>4955.63</v>
      </c>
      <c r="BR95" s="13">
        <v>4955.2299999999996</v>
      </c>
      <c r="BS95" s="13">
        <v>4955.5600000000004</v>
      </c>
      <c r="BT95" s="13">
        <v>4955.63</v>
      </c>
      <c r="BU95" s="13">
        <v>4956.1099999999997</v>
      </c>
      <c r="BV95" s="13">
        <v>4956.33</v>
      </c>
      <c r="BW95" s="13">
        <v>4956.3999999999996</v>
      </c>
      <c r="BX95" s="13">
        <v>4957.07</v>
      </c>
      <c r="BY95" s="13">
        <v>4956.78</v>
      </c>
      <c r="BZ95" s="13">
        <v>4957.71</v>
      </c>
      <c r="CA95" s="13">
        <v>4962.0200000000004</v>
      </c>
      <c r="CB95" s="13">
        <v>4962.59</v>
      </c>
      <c r="CC95" s="13">
        <v>4962.21</v>
      </c>
      <c r="CD95" s="13">
        <v>4962.7700000000004</v>
      </c>
      <c r="CE95" s="13">
        <v>4962.46</v>
      </c>
      <c r="CF95" s="13">
        <v>4962.3999999999996</v>
      </c>
      <c r="CG95" s="13">
        <v>4962.83</v>
      </c>
      <c r="CH95" s="13">
        <v>4962.3900000000003</v>
      </c>
      <c r="CI95" s="13">
        <v>4962.3900000000003</v>
      </c>
      <c r="CJ95" s="13">
        <v>4962.3900000000003</v>
      </c>
      <c r="CK95" s="13">
        <v>4962.4399999999996</v>
      </c>
      <c r="CL95" s="13">
        <v>4962.0600000000004</v>
      </c>
      <c r="CM95" s="13">
        <v>4962.09</v>
      </c>
      <c r="CN95" s="13">
        <v>4962.0600000000004</v>
      </c>
      <c r="CO95" s="13">
        <v>4962.0200000000004</v>
      </c>
      <c r="CP95" s="13">
        <v>4962.18</v>
      </c>
      <c r="CQ95" s="13">
        <v>4962.34</v>
      </c>
      <c r="CR95" s="13">
        <v>4962.62</v>
      </c>
      <c r="CS95" s="13">
        <v>4962.6899999999996</v>
      </c>
      <c r="CT95" s="13">
        <v>4962.2700000000004</v>
      </c>
      <c r="CU95" s="13">
        <v>4961.95</v>
      </c>
      <c r="CV95" s="13">
        <v>4961.88</v>
      </c>
      <c r="CW95" s="13">
        <v>4962.1400000000003</v>
      </c>
      <c r="CX95" s="13">
        <v>4962.05</v>
      </c>
      <c r="CY95" s="13">
        <v>4962.04</v>
      </c>
      <c r="CZ95" s="13">
        <v>4961.8500000000004</v>
      </c>
      <c r="DA95" s="13">
        <v>4961.84</v>
      </c>
      <c r="DB95" s="13">
        <v>4961.84</v>
      </c>
      <c r="DC95" s="13">
        <v>4962.01</v>
      </c>
      <c r="DD95" s="13">
        <v>4962.1899999999996</v>
      </c>
      <c r="DE95" s="13">
        <v>4962.04</v>
      </c>
      <c r="DF95" s="13">
        <v>4961.76</v>
      </c>
    </row>
    <row r="96" spans="1:110" ht="15.75" x14ac:dyDescent="0.25">
      <c r="A96" s="14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</row>
    <row r="97" spans="1:110" ht="15.75" x14ac:dyDescent="0.25">
      <c r="A97" s="11"/>
      <c r="B97" s="11" t="s">
        <v>11</v>
      </c>
      <c r="C97" s="15">
        <v>0.37847222222222227</v>
      </c>
      <c r="D97" s="15">
        <v>0.38194444444444442</v>
      </c>
      <c r="E97" s="15">
        <v>0.38541666666666669</v>
      </c>
      <c r="F97" s="15">
        <v>0.3888888888888889</v>
      </c>
      <c r="G97" s="15">
        <v>0.3923611111111111</v>
      </c>
      <c r="H97" s="15">
        <v>0.39583333333333331</v>
      </c>
      <c r="I97" s="15">
        <v>0.39930555555555558</v>
      </c>
      <c r="J97" s="15">
        <v>0.40277777777777773</v>
      </c>
      <c r="K97" s="15">
        <v>0.40625</v>
      </c>
      <c r="L97" s="15">
        <v>0.40972222222222227</v>
      </c>
      <c r="M97" s="15">
        <v>0.41319444444444442</v>
      </c>
      <c r="N97" s="15">
        <v>0.41666666666666669</v>
      </c>
      <c r="O97" s="15">
        <v>0.4201388888888889</v>
      </c>
      <c r="P97" s="15">
        <v>0.4236111111111111</v>
      </c>
      <c r="Q97" s="15">
        <v>0.42708333333333331</v>
      </c>
      <c r="R97" s="15">
        <v>0.43055555555555558</v>
      </c>
      <c r="S97" s="15">
        <v>0.43402777777777773</v>
      </c>
      <c r="T97" s="15">
        <v>0.4375</v>
      </c>
      <c r="U97" s="15">
        <v>0.44097222222222227</v>
      </c>
      <c r="V97" s="15">
        <v>0.44444444444444442</v>
      </c>
      <c r="W97" s="15">
        <v>0.44791666666666669</v>
      </c>
      <c r="X97" s="15">
        <v>0.4513888888888889</v>
      </c>
      <c r="Y97" s="15">
        <v>0.4548611111111111</v>
      </c>
      <c r="Z97" s="15">
        <v>0.45833333333333331</v>
      </c>
      <c r="AA97" s="15">
        <v>0.46180555555555558</v>
      </c>
      <c r="AB97" s="15">
        <v>0.46527777777777773</v>
      </c>
      <c r="AC97" s="15">
        <v>0.46875</v>
      </c>
      <c r="AD97" s="15">
        <v>0.47222222222222227</v>
      </c>
      <c r="AE97" s="15">
        <v>0.47569444444444442</v>
      </c>
      <c r="AF97" s="15">
        <v>0.47916666666666669</v>
      </c>
      <c r="AG97" s="15">
        <v>0.4826388888888889</v>
      </c>
      <c r="AH97" s="15">
        <v>0.4861111111111111</v>
      </c>
      <c r="AI97" s="15">
        <v>0.48958333333333331</v>
      </c>
      <c r="AJ97" s="15">
        <v>0.49305555555555558</v>
      </c>
      <c r="AK97" s="15">
        <v>0.49652777777777773</v>
      </c>
      <c r="AL97" s="15">
        <v>0.5</v>
      </c>
      <c r="AM97" s="15">
        <v>0.50347222222222221</v>
      </c>
      <c r="AN97" s="15">
        <v>0.50694444444444442</v>
      </c>
      <c r="AO97" s="15">
        <v>0.51041666666666663</v>
      </c>
      <c r="AP97" s="15">
        <v>0.51388888888888895</v>
      </c>
      <c r="AQ97" s="15">
        <v>0.51736111111111105</v>
      </c>
      <c r="AR97" s="15">
        <v>0.52083333333333337</v>
      </c>
      <c r="AS97" s="15">
        <v>0.52430555555555558</v>
      </c>
      <c r="AT97" s="15">
        <v>0.52777777777777779</v>
      </c>
      <c r="AU97" s="15">
        <v>0.53125</v>
      </c>
      <c r="AV97" s="15">
        <v>0.53472222222222221</v>
      </c>
      <c r="AW97" s="15">
        <v>0.53819444444444442</v>
      </c>
      <c r="AX97" s="15">
        <v>0.54166666666666663</v>
      </c>
      <c r="AY97" s="15">
        <v>0.54513888888888895</v>
      </c>
      <c r="AZ97" s="15">
        <v>0.54861111111111105</v>
      </c>
      <c r="BA97" s="15">
        <v>0.55208333333333337</v>
      </c>
      <c r="BB97" s="15">
        <v>0.55555555555555558</v>
      </c>
      <c r="BC97" s="15">
        <v>0.55902777777777779</v>
      </c>
      <c r="BD97" s="15">
        <v>0.5625</v>
      </c>
      <c r="BE97" s="15">
        <v>0.56597222222222221</v>
      </c>
      <c r="BF97" s="15">
        <v>0.56944444444444442</v>
      </c>
      <c r="BG97" s="15">
        <v>0.57291666666666663</v>
      </c>
      <c r="BH97" s="15">
        <v>0.57638888888888895</v>
      </c>
      <c r="BI97" s="15">
        <v>0.57986111111111105</v>
      </c>
      <c r="BJ97" s="15">
        <v>0.58333333333333337</v>
      </c>
      <c r="BK97" s="15">
        <v>0.58680555555555558</v>
      </c>
      <c r="BL97" s="15">
        <v>0.59027777777777779</v>
      </c>
      <c r="BM97" s="15">
        <v>0.59375</v>
      </c>
      <c r="BN97" s="15">
        <v>0.59722222222222221</v>
      </c>
      <c r="BO97" s="15">
        <v>0.60069444444444442</v>
      </c>
      <c r="BP97" s="15">
        <v>0.60416666666666663</v>
      </c>
      <c r="BQ97" s="15">
        <v>0.60763888888888895</v>
      </c>
      <c r="BR97" s="15">
        <v>0.61111111111111105</v>
      </c>
      <c r="BS97" s="15">
        <v>0.61458333333333337</v>
      </c>
      <c r="BT97" s="15">
        <v>0.61805555555555558</v>
      </c>
      <c r="BU97" s="15">
        <v>0.62152777777777779</v>
      </c>
      <c r="BV97" s="15">
        <v>0.625</v>
      </c>
      <c r="BW97" s="15">
        <v>0.62847222222222221</v>
      </c>
      <c r="BX97" s="15">
        <v>0.63194444444444442</v>
      </c>
      <c r="BY97" s="15">
        <v>0.63541666666666663</v>
      </c>
      <c r="BZ97" s="15">
        <v>0.63888888888888895</v>
      </c>
      <c r="CA97" s="15">
        <v>0.64236111111111105</v>
      </c>
      <c r="CB97" s="15">
        <v>0.64583333333333337</v>
      </c>
      <c r="CC97" s="15">
        <v>0.64930555555555558</v>
      </c>
      <c r="CD97" s="15">
        <v>0.65277777777777779</v>
      </c>
      <c r="CE97" s="15">
        <v>0.65625</v>
      </c>
      <c r="CF97" s="15">
        <v>0.65972222222222221</v>
      </c>
      <c r="CG97" s="15">
        <v>0.66319444444444442</v>
      </c>
      <c r="CH97" s="15">
        <v>0.66666666666666663</v>
      </c>
      <c r="CI97" s="15">
        <v>0.67013888888888884</v>
      </c>
      <c r="CJ97" s="15">
        <v>0.67361111111111116</v>
      </c>
      <c r="CK97" s="15">
        <v>0.67708333333333337</v>
      </c>
      <c r="CL97" s="15">
        <v>0.68055555555555547</v>
      </c>
      <c r="CM97" s="15">
        <v>0.68402777777777779</v>
      </c>
      <c r="CN97" s="15">
        <v>0.6875</v>
      </c>
      <c r="CO97" s="15">
        <v>0.69097222222222221</v>
      </c>
      <c r="CP97" s="15">
        <v>0.69444444444444453</v>
      </c>
      <c r="CQ97" s="15">
        <v>0.69791666666666663</v>
      </c>
      <c r="CR97" s="15">
        <v>0.70138888888888884</v>
      </c>
      <c r="CS97" s="15">
        <v>0.70486111111111116</v>
      </c>
      <c r="CT97" s="15">
        <v>0.70833333333333337</v>
      </c>
      <c r="CU97" s="15">
        <v>0.71180555555555547</v>
      </c>
      <c r="CV97" s="15">
        <v>0.71527777777777779</v>
      </c>
      <c r="CW97" s="15">
        <v>0.71875</v>
      </c>
      <c r="CX97" s="15">
        <v>0.72222222222222221</v>
      </c>
      <c r="CY97" s="15">
        <v>0.72569444444444453</v>
      </c>
      <c r="CZ97" s="15">
        <v>0.72916666666666663</v>
      </c>
      <c r="DA97" s="15">
        <v>0.73263888888888884</v>
      </c>
      <c r="DB97" s="15">
        <v>0.73611111111111116</v>
      </c>
      <c r="DC97" s="15">
        <v>0.73958333333333337</v>
      </c>
      <c r="DD97" s="15">
        <v>0.74305555555555547</v>
      </c>
      <c r="DE97" s="15">
        <v>0.74652777777777779</v>
      </c>
      <c r="DF97" s="15">
        <v>0.75</v>
      </c>
    </row>
    <row r="98" spans="1:110" ht="15.75" x14ac:dyDescent="0.25">
      <c r="A98" s="14">
        <v>44370</v>
      </c>
      <c r="B98" s="12" t="s">
        <v>6</v>
      </c>
      <c r="C98" s="13">
        <v>5076.68</v>
      </c>
      <c r="D98" s="13">
        <v>5065.08</v>
      </c>
      <c r="E98" s="13">
        <v>5064.6099999999997</v>
      </c>
      <c r="F98" s="13">
        <v>5068.28</v>
      </c>
      <c r="G98" s="13">
        <v>5068.0200000000004</v>
      </c>
      <c r="H98" s="13">
        <v>5072.7700000000004</v>
      </c>
      <c r="I98" s="13">
        <v>5072</v>
      </c>
      <c r="J98" s="13">
        <v>5075.68</v>
      </c>
      <c r="K98" s="13">
        <v>5076.8599999999997</v>
      </c>
      <c r="L98" s="13">
        <v>5076.58</v>
      </c>
      <c r="M98" s="13">
        <v>5074.8999999999996</v>
      </c>
      <c r="N98" s="13">
        <v>5070.54</v>
      </c>
      <c r="O98" s="13">
        <v>5071.67</v>
      </c>
      <c r="P98" s="13">
        <v>5068.25</v>
      </c>
      <c r="Q98" s="13">
        <v>5067.1499999999996</v>
      </c>
      <c r="R98" s="13">
        <v>5070.04</v>
      </c>
      <c r="S98" s="13">
        <v>5071.6899999999996</v>
      </c>
      <c r="T98" s="13">
        <v>5070.43</v>
      </c>
      <c r="U98" s="13">
        <v>5070.6400000000003</v>
      </c>
      <c r="V98" s="13">
        <v>5069.8599999999997</v>
      </c>
      <c r="W98" s="13">
        <v>5070.6400000000003</v>
      </c>
      <c r="X98" s="13">
        <v>5070.8599999999997</v>
      </c>
      <c r="Y98" s="13">
        <v>5077.3500000000004</v>
      </c>
      <c r="Z98" s="13">
        <v>5077.84</v>
      </c>
      <c r="AA98" s="13">
        <v>5071.37</v>
      </c>
      <c r="AB98" s="13">
        <v>5075.7</v>
      </c>
      <c r="AC98" s="13">
        <v>5075.8</v>
      </c>
      <c r="AD98" s="13">
        <v>5074.2700000000004</v>
      </c>
      <c r="AE98" s="13">
        <v>5073.6000000000004</v>
      </c>
      <c r="AF98" s="13">
        <v>5071.97</v>
      </c>
      <c r="AG98" s="13">
        <v>5071.7</v>
      </c>
      <c r="AH98" s="13">
        <v>5072.07</v>
      </c>
      <c r="AI98" s="13">
        <v>5073.93</v>
      </c>
      <c r="AJ98" s="13">
        <v>5074.7700000000004</v>
      </c>
      <c r="AK98" s="13">
        <v>5075.47</v>
      </c>
      <c r="AL98" s="13">
        <v>5073.13</v>
      </c>
      <c r="AM98" s="13">
        <v>5071.2700000000004</v>
      </c>
      <c r="AN98" s="13">
        <v>5072.7700000000004</v>
      </c>
      <c r="AO98" s="13">
        <v>5071.7299999999996</v>
      </c>
      <c r="AP98" s="13">
        <v>5071.7299999999996</v>
      </c>
      <c r="AQ98" s="13">
        <v>5066.1099999999997</v>
      </c>
      <c r="AR98" s="13">
        <v>5070.4799999999996</v>
      </c>
      <c r="AS98" s="13">
        <v>5069.3500000000004</v>
      </c>
      <c r="AT98" s="13">
        <v>5069.6099999999997</v>
      </c>
      <c r="AU98" s="13">
        <v>5076.84</v>
      </c>
      <c r="AV98" s="13">
        <v>5068.84</v>
      </c>
      <c r="AW98" s="13">
        <v>5066.26</v>
      </c>
      <c r="AX98" s="13">
        <v>5068.2299999999996</v>
      </c>
      <c r="AY98" s="13">
        <v>5068.1000000000004</v>
      </c>
      <c r="AZ98" s="13">
        <v>5069.17</v>
      </c>
      <c r="BA98" s="13">
        <v>5068.57</v>
      </c>
      <c r="BB98" s="13">
        <v>5074.33</v>
      </c>
      <c r="BC98" s="13">
        <v>5074.51</v>
      </c>
      <c r="BD98" s="13">
        <v>5074.1499999999996</v>
      </c>
      <c r="BE98" s="13">
        <v>5074.87</v>
      </c>
      <c r="BF98" s="13">
        <v>5062.1099999999997</v>
      </c>
      <c r="BG98" s="13">
        <v>5061.09</v>
      </c>
      <c r="BH98" s="13">
        <v>5060.9399999999996</v>
      </c>
      <c r="BI98" s="13">
        <v>5064.88</v>
      </c>
      <c r="BJ98" s="13">
        <v>5074.1499999999996</v>
      </c>
      <c r="BK98" s="13">
        <v>5074.62</v>
      </c>
      <c r="BL98" s="13">
        <v>5061.43</v>
      </c>
      <c r="BM98" s="13">
        <v>5063.1400000000003</v>
      </c>
      <c r="BN98" s="13">
        <v>5075.2299999999996</v>
      </c>
      <c r="BO98" s="13">
        <v>5072.2700000000004</v>
      </c>
      <c r="BP98" s="13">
        <v>5062.34</v>
      </c>
      <c r="BQ98" s="13">
        <v>5074.87</v>
      </c>
      <c r="BR98" s="13">
        <v>5061.51</v>
      </c>
      <c r="BS98" s="13">
        <v>5074.1499999999996</v>
      </c>
      <c r="BT98" s="13">
        <v>5068.29</v>
      </c>
      <c r="BU98" s="13">
        <v>5064.41</v>
      </c>
      <c r="BV98" s="13">
        <v>5038.1099999999997</v>
      </c>
      <c r="BW98" s="13">
        <v>5037.1099999999997</v>
      </c>
      <c r="BX98" s="13">
        <v>5043.1899999999996</v>
      </c>
      <c r="BY98" s="13">
        <v>5037.21</v>
      </c>
      <c r="BZ98" s="13">
        <v>5036.84</v>
      </c>
      <c r="CA98" s="13">
        <v>5036.37</v>
      </c>
      <c r="CB98" s="13">
        <v>5042.6899999999996</v>
      </c>
      <c r="CC98" s="13">
        <v>5043.7299999999996</v>
      </c>
      <c r="CD98" s="13">
        <v>5043.13</v>
      </c>
      <c r="CE98" s="13">
        <v>5042.87</v>
      </c>
      <c r="CF98" s="13">
        <v>5048.08</v>
      </c>
      <c r="CG98" s="13">
        <v>5042.71</v>
      </c>
      <c r="CH98" s="13">
        <v>5042.3100000000004</v>
      </c>
      <c r="CI98" s="13">
        <v>5042.58</v>
      </c>
      <c r="CJ98" s="13">
        <v>5034.47</v>
      </c>
      <c r="CK98" s="13">
        <v>5035.76</v>
      </c>
      <c r="CL98" s="13">
        <v>5033.6099999999997</v>
      </c>
      <c r="CM98" s="13">
        <v>5038.17</v>
      </c>
      <c r="CN98" s="13">
        <v>5018.1099999999997</v>
      </c>
      <c r="CO98" s="13">
        <v>5022.8900000000003</v>
      </c>
      <c r="CP98" s="13">
        <v>5023.12</v>
      </c>
      <c r="CQ98" s="13">
        <v>5023.21</v>
      </c>
      <c r="CR98" s="13">
        <v>5021.1099999999997</v>
      </c>
      <c r="CS98" s="13">
        <v>5021.08</v>
      </c>
      <c r="CT98" s="13">
        <v>5025.68</v>
      </c>
      <c r="CU98" s="13">
        <v>5025.96</v>
      </c>
      <c r="CV98" s="13">
        <v>5026.03</v>
      </c>
      <c r="CW98" s="13">
        <v>5026.1000000000004</v>
      </c>
      <c r="CX98" s="13">
        <v>5025.96</v>
      </c>
      <c r="CY98" s="13">
        <v>5026.09</v>
      </c>
      <c r="CZ98" s="13">
        <v>5021.16</v>
      </c>
      <c r="DA98" s="13">
        <v>5026.1000000000004</v>
      </c>
      <c r="DB98" s="13">
        <v>5024.63</v>
      </c>
      <c r="DC98" s="13">
        <v>5024.29</v>
      </c>
      <c r="DD98" s="13">
        <v>5024.51</v>
      </c>
      <c r="DE98" s="13">
        <v>5011.8100000000004</v>
      </c>
      <c r="DF98" s="13">
        <v>5012.17</v>
      </c>
    </row>
    <row r="99" spans="1:110" ht="15.75" x14ac:dyDescent="0.25">
      <c r="A99" s="14"/>
      <c r="B99" s="12" t="s">
        <v>10</v>
      </c>
      <c r="C99" s="13">
        <v>5064.71</v>
      </c>
      <c r="D99" s="13">
        <v>5062.34</v>
      </c>
      <c r="E99" s="13">
        <v>5064.5</v>
      </c>
      <c r="F99" s="13">
        <v>5064.6499999999996</v>
      </c>
      <c r="G99" s="13">
        <v>5067.71</v>
      </c>
      <c r="H99" s="13">
        <v>5072.6499999999996</v>
      </c>
      <c r="I99" s="13">
        <v>5070.92</v>
      </c>
      <c r="J99" s="13">
        <v>5073.57</v>
      </c>
      <c r="K99" s="13">
        <v>5073.57</v>
      </c>
      <c r="L99" s="13">
        <v>5073.8999999999996</v>
      </c>
      <c r="M99" s="13">
        <v>5069.67</v>
      </c>
      <c r="N99" s="13">
        <v>5069.38</v>
      </c>
      <c r="O99" s="13">
        <v>5066.78</v>
      </c>
      <c r="P99" s="13">
        <v>5064.53</v>
      </c>
      <c r="Q99" s="13">
        <v>5065.8599999999997</v>
      </c>
      <c r="R99" s="13">
        <v>5068.76</v>
      </c>
      <c r="S99" s="13">
        <v>5067.49</v>
      </c>
      <c r="T99" s="13">
        <v>5068.8100000000004</v>
      </c>
      <c r="U99" s="13">
        <v>5066.6000000000004</v>
      </c>
      <c r="V99" s="13">
        <v>5067.38</v>
      </c>
      <c r="W99" s="13">
        <v>5068.9799999999996</v>
      </c>
      <c r="X99" s="13">
        <v>5069.17</v>
      </c>
      <c r="Y99" s="13">
        <v>5075.28</v>
      </c>
      <c r="Z99" s="13">
        <v>5074.1099999999997</v>
      </c>
      <c r="AA99" s="13">
        <v>5071.37</v>
      </c>
      <c r="AB99" s="13">
        <v>5072.9399999999996</v>
      </c>
      <c r="AC99" s="13">
        <v>5071.03</v>
      </c>
      <c r="AD99" s="13">
        <v>5070.49</v>
      </c>
      <c r="AE99" s="13">
        <v>5067.26</v>
      </c>
      <c r="AF99" s="13">
        <v>5066.3100000000004</v>
      </c>
      <c r="AG99" s="13">
        <v>5066.49</v>
      </c>
      <c r="AH99" s="13">
        <v>5067.34</v>
      </c>
      <c r="AI99" s="13">
        <v>5070.2299999999996</v>
      </c>
      <c r="AJ99" s="13">
        <v>5071.46</v>
      </c>
      <c r="AK99" s="13">
        <v>5069.8</v>
      </c>
      <c r="AL99" s="13">
        <v>5066.8900000000003</v>
      </c>
      <c r="AM99" s="13">
        <v>5066.2299999999996</v>
      </c>
      <c r="AN99" s="13">
        <v>5067.9399999999996</v>
      </c>
      <c r="AO99" s="13">
        <v>5066.8</v>
      </c>
      <c r="AP99" s="13">
        <v>5066.6099999999997</v>
      </c>
      <c r="AQ99" s="13">
        <v>5066.1099999999997</v>
      </c>
      <c r="AR99" s="13">
        <v>5064.3100000000004</v>
      </c>
      <c r="AS99" s="13">
        <v>5061.5600000000004</v>
      </c>
      <c r="AT99" s="13">
        <v>5064.67</v>
      </c>
      <c r="AU99" s="13">
        <v>5063.4399999999996</v>
      </c>
      <c r="AV99" s="13">
        <v>5061.5600000000004</v>
      </c>
      <c r="AW99" s="13">
        <v>5061.6000000000004</v>
      </c>
      <c r="AX99" s="13">
        <v>5061.51</v>
      </c>
      <c r="AY99" s="13">
        <v>5068.1000000000004</v>
      </c>
      <c r="AZ99" s="13">
        <v>5063</v>
      </c>
      <c r="BA99" s="13">
        <v>5061.09</v>
      </c>
      <c r="BB99" s="13">
        <v>5060.49</v>
      </c>
      <c r="BC99" s="13">
        <v>5058.9399999999996</v>
      </c>
      <c r="BD99" s="13">
        <v>5061.7700000000004</v>
      </c>
      <c r="BE99" s="13">
        <v>5062.1099999999997</v>
      </c>
      <c r="BF99" s="13">
        <v>5059.3100000000004</v>
      </c>
      <c r="BG99" s="13">
        <v>5060.3999999999996</v>
      </c>
      <c r="BH99" s="13">
        <v>5060.97</v>
      </c>
      <c r="BI99" s="13">
        <v>5061.03</v>
      </c>
      <c r="BJ99" s="13">
        <v>5060.6000000000004</v>
      </c>
      <c r="BK99" s="13">
        <v>5061.09</v>
      </c>
      <c r="BL99" s="13">
        <v>5061.43</v>
      </c>
      <c r="BM99" s="13">
        <v>5062.63</v>
      </c>
      <c r="BN99" s="13">
        <v>5062.3100000000004</v>
      </c>
      <c r="BO99" s="13">
        <v>5061.8900000000003</v>
      </c>
      <c r="BP99" s="13">
        <v>5062.34</v>
      </c>
      <c r="BQ99" s="13">
        <v>5061.51</v>
      </c>
      <c r="BR99" s="13">
        <v>5060.6000000000004</v>
      </c>
      <c r="BS99" s="13">
        <v>5060.3999999999996</v>
      </c>
      <c r="BT99" s="13">
        <v>5055.9399999999996</v>
      </c>
      <c r="BU99" s="13">
        <v>5029.42</v>
      </c>
      <c r="BV99" s="13">
        <v>5037.01</v>
      </c>
      <c r="BW99" s="13">
        <v>5035.9799999999996</v>
      </c>
      <c r="BX99" s="13">
        <v>5035.92</v>
      </c>
      <c r="BY99" s="13">
        <v>5035.6400000000003</v>
      </c>
      <c r="BZ99" s="13">
        <v>5035.1000000000004</v>
      </c>
      <c r="CA99" s="13">
        <v>5034.78</v>
      </c>
      <c r="CB99" s="13">
        <v>5035.2</v>
      </c>
      <c r="CC99" s="13">
        <v>5043.1000000000004</v>
      </c>
      <c r="CD99" s="13">
        <v>5035.32</v>
      </c>
      <c r="CE99" s="13">
        <v>5035.2700000000004</v>
      </c>
      <c r="CF99" s="13">
        <v>5041.6000000000004</v>
      </c>
      <c r="CG99" s="13">
        <v>5040.91</v>
      </c>
      <c r="CH99" s="13">
        <v>5034.3100000000004</v>
      </c>
      <c r="CI99" s="13">
        <v>5034.41</v>
      </c>
      <c r="CJ99" s="13">
        <v>5031.3999999999996</v>
      </c>
      <c r="CK99" s="13">
        <v>5032.92</v>
      </c>
      <c r="CL99" s="13">
        <v>5032.62</v>
      </c>
      <c r="CM99" s="13">
        <v>5017.09</v>
      </c>
      <c r="CN99" s="13">
        <v>5016.8500000000004</v>
      </c>
      <c r="CO99" s="13">
        <v>5016.97</v>
      </c>
      <c r="CP99" s="13">
        <v>5017.04</v>
      </c>
      <c r="CQ99" s="13">
        <v>5019.8100000000004</v>
      </c>
      <c r="CR99" s="13">
        <v>5021.1000000000004</v>
      </c>
      <c r="CS99" s="13">
        <v>5019.8100000000004</v>
      </c>
      <c r="CT99" s="13">
        <v>5019.62</v>
      </c>
      <c r="CU99" s="13">
        <v>5025.96</v>
      </c>
      <c r="CV99" s="13">
        <v>5020.17</v>
      </c>
      <c r="CW99" s="13">
        <v>5020.2299999999996</v>
      </c>
      <c r="CX99" s="13">
        <v>5020.7700000000004</v>
      </c>
      <c r="CY99" s="13">
        <v>5020.7700000000004</v>
      </c>
      <c r="CZ99" s="13">
        <v>5020.4799999999996</v>
      </c>
      <c r="DA99" s="13">
        <v>5023.38</v>
      </c>
      <c r="DB99" s="13">
        <v>5024.58</v>
      </c>
      <c r="DC99" s="13">
        <v>5022.6899999999996</v>
      </c>
      <c r="DD99" s="13">
        <v>5011.76</v>
      </c>
      <c r="DE99" s="13">
        <v>5011.76</v>
      </c>
      <c r="DF99" s="13">
        <v>5008.97</v>
      </c>
    </row>
    <row r="100" spans="1:110" ht="15.75" x14ac:dyDescent="0.25">
      <c r="A100" s="14"/>
      <c r="B100" s="12" t="s">
        <v>9</v>
      </c>
      <c r="C100" s="13">
        <v>5018</v>
      </c>
      <c r="D100" s="13">
        <v>5021.58</v>
      </c>
      <c r="E100" s="13">
        <v>5020.33</v>
      </c>
      <c r="F100" s="13">
        <v>5032</v>
      </c>
      <c r="G100" s="13">
        <v>5040.55</v>
      </c>
      <c r="H100" s="13">
        <v>5047.3500000000004</v>
      </c>
      <c r="I100" s="13">
        <v>5047.6000000000004</v>
      </c>
      <c r="J100" s="13">
        <v>5049.1499999999996</v>
      </c>
      <c r="K100" s="13">
        <v>5051.2</v>
      </c>
      <c r="L100" s="13">
        <v>5049.3</v>
      </c>
      <c r="M100" s="13">
        <v>5045.8</v>
      </c>
      <c r="N100" s="13">
        <v>5045.8999999999996</v>
      </c>
      <c r="O100" s="13">
        <v>5037.8500000000004</v>
      </c>
      <c r="P100" s="13">
        <v>5030.58</v>
      </c>
      <c r="Q100" s="13">
        <v>5035.05</v>
      </c>
      <c r="R100" s="13">
        <v>5042.6400000000003</v>
      </c>
      <c r="S100" s="13">
        <v>5034.72</v>
      </c>
      <c r="T100" s="13">
        <v>5038.4399999999996</v>
      </c>
      <c r="U100" s="13">
        <v>5032.72</v>
      </c>
      <c r="V100" s="13">
        <v>5034.72</v>
      </c>
      <c r="W100" s="13">
        <v>5039.5</v>
      </c>
      <c r="X100" s="13">
        <v>5040.78</v>
      </c>
      <c r="Y100" s="13">
        <v>5049.8100000000004</v>
      </c>
      <c r="Z100" s="13">
        <v>5041.9399999999996</v>
      </c>
      <c r="AA100" s="13">
        <v>5033.13</v>
      </c>
      <c r="AB100" s="13">
        <v>5026.17</v>
      </c>
      <c r="AC100" s="13">
        <v>5031</v>
      </c>
      <c r="AD100" s="13">
        <v>5030</v>
      </c>
      <c r="AE100" s="13">
        <v>5022.8</v>
      </c>
      <c r="AF100" s="13">
        <v>5008.22</v>
      </c>
      <c r="AG100" s="13">
        <v>5018.8500000000004</v>
      </c>
      <c r="AH100" s="13">
        <v>5021.08</v>
      </c>
      <c r="AI100" s="13">
        <v>5031.58</v>
      </c>
      <c r="AJ100" s="13">
        <v>5037.75</v>
      </c>
      <c r="AK100" s="13">
        <v>5034.08</v>
      </c>
      <c r="AL100" s="13">
        <v>5017.5</v>
      </c>
      <c r="AM100" s="13">
        <v>5021.54</v>
      </c>
      <c r="AN100" s="13">
        <v>5029.08</v>
      </c>
      <c r="AO100" s="13">
        <v>5026.58</v>
      </c>
      <c r="AP100" s="13">
        <v>5028.6400000000003</v>
      </c>
      <c r="AQ100" s="13">
        <v>5027.21</v>
      </c>
      <c r="AR100" s="13">
        <v>5019.46</v>
      </c>
      <c r="AS100" s="13">
        <v>5013.8500000000004</v>
      </c>
      <c r="AT100" s="13">
        <v>5020.7700000000004</v>
      </c>
      <c r="AU100" s="13">
        <v>5018.38</v>
      </c>
      <c r="AV100" s="13">
        <v>5013.8500000000004</v>
      </c>
      <c r="AW100" s="13">
        <v>5010.3100000000004</v>
      </c>
      <c r="AX100" s="13">
        <v>5012.3100000000004</v>
      </c>
      <c r="AY100" s="13">
        <v>5012</v>
      </c>
      <c r="AZ100" s="13">
        <v>5015.7700000000004</v>
      </c>
      <c r="BA100" s="13">
        <v>5012</v>
      </c>
      <c r="BB100" s="13">
        <v>5007.57</v>
      </c>
      <c r="BC100" s="13">
        <v>5005.3100000000004</v>
      </c>
      <c r="BD100" s="13">
        <v>5010.0600000000004</v>
      </c>
      <c r="BE100" s="13">
        <v>0</v>
      </c>
      <c r="BF100" s="13">
        <v>5005.63</v>
      </c>
      <c r="BG100" s="13">
        <v>5007.5</v>
      </c>
      <c r="BH100" s="13">
        <v>5009</v>
      </c>
      <c r="BI100" s="13">
        <v>5008.4399999999996</v>
      </c>
      <c r="BJ100" s="13">
        <v>5008.13</v>
      </c>
      <c r="BK100" s="13">
        <v>5008.59</v>
      </c>
      <c r="BL100" s="13">
        <v>5009.24</v>
      </c>
      <c r="BM100" s="13">
        <v>5011.9399999999996</v>
      </c>
      <c r="BN100" s="13">
        <v>5011.25</v>
      </c>
      <c r="BO100" s="13">
        <v>5010.6899999999996</v>
      </c>
      <c r="BP100" s="13">
        <v>5011.3100000000004</v>
      </c>
      <c r="BQ100" s="13">
        <v>5009.4399999999996</v>
      </c>
      <c r="BR100" s="13">
        <v>5008.1899999999996</v>
      </c>
      <c r="BS100" s="13">
        <v>5003.0600000000004</v>
      </c>
      <c r="BT100" s="13">
        <v>4993.29</v>
      </c>
      <c r="BU100" s="13">
        <v>4993.87</v>
      </c>
      <c r="BV100" s="13">
        <v>5000</v>
      </c>
      <c r="BW100" s="13">
        <v>5001.07</v>
      </c>
      <c r="BX100" s="13">
        <v>5001.83</v>
      </c>
      <c r="BY100" s="13">
        <v>5001</v>
      </c>
      <c r="BZ100" s="13">
        <v>4998.0600000000004</v>
      </c>
      <c r="CA100" s="13">
        <v>4996.88</v>
      </c>
      <c r="CB100" s="13">
        <v>4995.5</v>
      </c>
      <c r="CC100" s="13">
        <v>4994.5</v>
      </c>
      <c r="CD100" s="13">
        <v>4992.1899999999996</v>
      </c>
      <c r="CE100" s="13">
        <v>4996.55</v>
      </c>
      <c r="CF100" s="13">
        <v>4995.28</v>
      </c>
      <c r="CG100" s="13">
        <v>4991.95</v>
      </c>
      <c r="CH100" s="13">
        <v>4989.84</v>
      </c>
      <c r="CI100" s="13">
        <v>4990.25</v>
      </c>
      <c r="CJ100" s="13">
        <v>4982.67</v>
      </c>
      <c r="CK100" s="13">
        <v>4985.41</v>
      </c>
      <c r="CL100" s="13">
        <v>4984.5600000000004</v>
      </c>
      <c r="CM100" s="13">
        <v>4981.8900000000003</v>
      </c>
      <c r="CN100" s="13">
        <v>4979.09</v>
      </c>
      <c r="CO100" s="13">
        <v>4979.6099999999997</v>
      </c>
      <c r="CP100" s="13">
        <v>4979.53</v>
      </c>
      <c r="CQ100" s="13">
        <v>4979.6099999999997</v>
      </c>
      <c r="CR100" s="13">
        <v>4979.83</v>
      </c>
      <c r="CS100" s="13">
        <v>4979.6099999999997</v>
      </c>
      <c r="CT100" s="13">
        <v>4978.17</v>
      </c>
      <c r="CU100" s="13">
        <v>4979.17</v>
      </c>
      <c r="CV100" s="13">
        <v>4979.3</v>
      </c>
      <c r="CW100" s="13">
        <v>4979.45</v>
      </c>
      <c r="CX100" s="13">
        <v>4979.6499999999996</v>
      </c>
      <c r="CY100" s="13">
        <v>4979.99</v>
      </c>
      <c r="CZ100" s="13">
        <v>4979.46</v>
      </c>
      <c r="DA100" s="13">
        <v>4978.79</v>
      </c>
      <c r="DB100" s="13">
        <v>4978.54</v>
      </c>
      <c r="DC100" s="13">
        <v>4970.37</v>
      </c>
      <c r="DD100" s="13">
        <v>4968.87</v>
      </c>
      <c r="DE100" s="13">
        <v>4968.87</v>
      </c>
      <c r="DF100" s="13">
        <v>4964.62</v>
      </c>
    </row>
    <row r="101" spans="1:110" ht="15.75" x14ac:dyDescent="0.25">
      <c r="A101" s="14"/>
      <c r="B101" s="12" t="s">
        <v>7</v>
      </c>
      <c r="C101" s="13">
        <v>4980</v>
      </c>
      <c r="D101" s="13">
        <v>5013.33</v>
      </c>
      <c r="E101" s="13">
        <v>5018.78</v>
      </c>
      <c r="F101" s="13">
        <v>5027.8900000000003</v>
      </c>
      <c r="G101" s="13">
        <v>5028.4399999999996</v>
      </c>
      <c r="H101" s="13">
        <v>5039</v>
      </c>
      <c r="I101" s="13">
        <v>5043.9399999999996</v>
      </c>
      <c r="J101" s="13">
        <v>5043.0600000000004</v>
      </c>
      <c r="K101" s="13">
        <v>5049.6499999999996</v>
      </c>
      <c r="L101" s="13">
        <v>5044.1899999999996</v>
      </c>
      <c r="M101" s="13">
        <v>5045.55</v>
      </c>
      <c r="N101" s="13">
        <v>5040.3100000000004</v>
      </c>
      <c r="O101" s="13">
        <v>5037.6000000000004</v>
      </c>
      <c r="P101" s="13">
        <v>5026.45</v>
      </c>
      <c r="Q101" s="13">
        <v>5026.8999999999996</v>
      </c>
      <c r="R101" s="13">
        <v>5033.67</v>
      </c>
      <c r="S101" s="13">
        <v>5025.29</v>
      </c>
      <c r="T101" s="13">
        <v>5029.43</v>
      </c>
      <c r="U101" s="13">
        <v>5028.1400000000003</v>
      </c>
      <c r="V101" s="13">
        <v>5026.21</v>
      </c>
      <c r="W101" s="13">
        <v>5029.8599999999997</v>
      </c>
      <c r="X101" s="13">
        <v>5031.6400000000003</v>
      </c>
      <c r="Y101" s="13">
        <v>5031.6400000000003</v>
      </c>
      <c r="Z101" s="13">
        <v>5033.08</v>
      </c>
      <c r="AA101" s="13">
        <v>5033.13</v>
      </c>
      <c r="AB101" s="13">
        <v>5026.17</v>
      </c>
      <c r="AC101" s="13">
        <v>5024.67</v>
      </c>
      <c r="AD101" s="13">
        <v>5018.82</v>
      </c>
      <c r="AE101" s="13">
        <v>5015.3599999999997</v>
      </c>
      <c r="AF101" s="13">
        <v>5008.22</v>
      </c>
      <c r="AG101" s="13">
        <v>5007.78</v>
      </c>
      <c r="AH101" s="13">
        <v>5007.78</v>
      </c>
      <c r="AI101" s="13">
        <v>5024.08</v>
      </c>
      <c r="AJ101" s="13">
        <v>5030.83</v>
      </c>
      <c r="AK101" s="13">
        <v>5033.33</v>
      </c>
      <c r="AL101" s="13">
        <v>5017.5</v>
      </c>
      <c r="AM101" s="13">
        <v>5018.08</v>
      </c>
      <c r="AN101" s="13">
        <v>5022.92</v>
      </c>
      <c r="AO101" s="13">
        <v>5015.63</v>
      </c>
      <c r="AP101" s="13">
        <v>5021.1000000000004</v>
      </c>
      <c r="AQ101" s="13">
        <v>5019.2</v>
      </c>
      <c r="AR101" s="13">
        <v>5010.4399999999996</v>
      </c>
      <c r="AS101" s="13">
        <v>5008.33</v>
      </c>
      <c r="AT101" s="13">
        <v>5006.67</v>
      </c>
      <c r="AU101" s="13">
        <v>5015.4399999999996</v>
      </c>
      <c r="AV101" s="13">
        <v>5006</v>
      </c>
      <c r="AW101" s="13">
        <v>5003.33</v>
      </c>
      <c r="AX101" s="13">
        <v>5003.33</v>
      </c>
      <c r="AY101" s="13">
        <v>5005.4399999999996</v>
      </c>
      <c r="AZ101" s="13">
        <v>5006.67</v>
      </c>
      <c r="BA101" s="13">
        <v>5012</v>
      </c>
      <c r="BB101" s="13">
        <v>5004.6000000000004</v>
      </c>
      <c r="BC101" s="13">
        <v>5005.3100000000004</v>
      </c>
      <c r="BD101" s="13">
        <v>5004.13</v>
      </c>
      <c r="BE101" s="13">
        <v>5008.8100000000004</v>
      </c>
      <c r="BF101" s="13">
        <v>5002.82</v>
      </c>
      <c r="BG101" s="13">
        <v>5007.08</v>
      </c>
      <c r="BH101" s="13">
        <v>5008.1899999999996</v>
      </c>
      <c r="BI101" s="13">
        <v>5007.08</v>
      </c>
      <c r="BJ101" s="13">
        <v>5007.5600000000004</v>
      </c>
      <c r="BK101" s="13">
        <v>5007.5600000000004</v>
      </c>
      <c r="BL101" s="13">
        <v>5008.82</v>
      </c>
      <c r="BM101" s="13">
        <v>5009.24</v>
      </c>
      <c r="BN101" s="13">
        <v>5008.75</v>
      </c>
      <c r="BO101" s="13">
        <v>5009.13</v>
      </c>
      <c r="BP101" s="13">
        <v>5006.45</v>
      </c>
      <c r="BQ101" s="13">
        <v>5008.5</v>
      </c>
      <c r="BR101" s="13">
        <v>5007.5</v>
      </c>
      <c r="BS101" s="13">
        <v>5000.3500000000004</v>
      </c>
      <c r="BT101" s="13">
        <v>4993.29</v>
      </c>
      <c r="BU101" s="13">
        <v>4983.6000000000004</v>
      </c>
      <c r="BV101" s="13">
        <v>4990.2</v>
      </c>
      <c r="BW101" s="13">
        <v>4994.53</v>
      </c>
      <c r="BX101" s="13">
        <v>4989.18</v>
      </c>
      <c r="BY101" s="13">
        <v>4993.47</v>
      </c>
      <c r="BZ101" s="13">
        <v>4989.17</v>
      </c>
      <c r="CA101" s="13">
        <v>4988</v>
      </c>
      <c r="CB101" s="13">
        <v>4986.8500000000004</v>
      </c>
      <c r="CC101" s="13">
        <v>4988</v>
      </c>
      <c r="CD101" s="13">
        <v>4981.83</v>
      </c>
      <c r="CE101" s="13">
        <v>4980.5</v>
      </c>
      <c r="CF101" s="13">
        <v>4983.54</v>
      </c>
      <c r="CG101" s="13">
        <v>4989.3999999999996</v>
      </c>
      <c r="CH101" s="13">
        <v>4986.93</v>
      </c>
      <c r="CI101" s="13">
        <v>4987</v>
      </c>
      <c r="CJ101" s="13">
        <v>4972.42</v>
      </c>
      <c r="CK101" s="13">
        <v>4973.71</v>
      </c>
      <c r="CL101" s="13">
        <v>4975.92</v>
      </c>
      <c r="CM101" s="13">
        <v>4980.8</v>
      </c>
      <c r="CN101" s="13">
        <v>4971.2</v>
      </c>
      <c r="CO101" s="13">
        <v>4978.93</v>
      </c>
      <c r="CP101" s="13">
        <v>4979.99</v>
      </c>
      <c r="CQ101" s="13">
        <v>4978.45</v>
      </c>
      <c r="CR101" s="13">
        <v>4979.6099999999997</v>
      </c>
      <c r="CS101" s="13">
        <v>4979.54</v>
      </c>
      <c r="CT101" s="13">
        <v>4976.33</v>
      </c>
      <c r="CU101" s="13">
        <v>4978.1099999999997</v>
      </c>
      <c r="CV101" s="13">
        <v>4979.04</v>
      </c>
      <c r="CW101" s="13">
        <v>4977.49</v>
      </c>
      <c r="CX101" s="13">
        <v>4979.1000000000004</v>
      </c>
      <c r="CY101" s="13">
        <v>4979.05</v>
      </c>
      <c r="CZ101" s="13">
        <v>4978.83</v>
      </c>
      <c r="DA101" s="13">
        <v>4977.32</v>
      </c>
      <c r="DB101" s="13">
        <v>4976.7299999999996</v>
      </c>
      <c r="DC101" s="13">
        <v>4970.37</v>
      </c>
      <c r="DD101" s="13">
        <v>4945.8599999999997</v>
      </c>
      <c r="DE101" s="13">
        <v>4944.29</v>
      </c>
      <c r="DF101" s="13">
        <v>4964.62</v>
      </c>
    </row>
    <row r="102" spans="1:110" ht="15.75" x14ac:dyDescent="0.25">
      <c r="A102" s="14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</row>
    <row r="103" spans="1:110" ht="15.75" x14ac:dyDescent="0.25">
      <c r="A103" s="11"/>
      <c r="B103" s="11" t="s">
        <v>11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</row>
    <row r="104" spans="1:110" ht="15.75" x14ac:dyDescent="0.25">
      <c r="A104" s="14">
        <v>44371</v>
      </c>
      <c r="B104" s="12" t="s">
        <v>6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</row>
    <row r="105" spans="1:110" ht="15.75" x14ac:dyDescent="0.25">
      <c r="A105" s="14"/>
      <c r="B105" s="12" t="s">
        <v>10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</row>
    <row r="106" spans="1:110" ht="15.75" x14ac:dyDescent="0.25">
      <c r="A106" s="14"/>
      <c r="B106" s="12" t="s">
        <v>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</row>
    <row r="107" spans="1:110" ht="15.75" x14ac:dyDescent="0.25">
      <c r="A107" s="14"/>
      <c r="B107" s="12" t="s">
        <v>7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</row>
    <row r="108" spans="1:110" ht="15.75" x14ac:dyDescent="0.25">
      <c r="A108" s="14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</row>
    <row r="109" spans="1:110" ht="15.75" x14ac:dyDescent="0.25">
      <c r="A109" s="11"/>
      <c r="B109" s="11" t="s">
        <v>11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</row>
    <row r="110" spans="1:110" ht="15.75" x14ac:dyDescent="0.25">
      <c r="A110" s="14">
        <v>44372</v>
      </c>
      <c r="B110" s="12" t="s">
        <v>6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</row>
    <row r="111" spans="1:110" ht="15.75" x14ac:dyDescent="0.25">
      <c r="A111" s="14"/>
      <c r="B111" s="12" t="s">
        <v>10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</row>
    <row r="112" spans="1:110" ht="15.75" x14ac:dyDescent="0.25">
      <c r="A112" s="14"/>
      <c r="B112" s="12" t="s">
        <v>9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</row>
    <row r="113" spans="1:110" ht="15.75" x14ac:dyDescent="0.25">
      <c r="A113" s="14"/>
      <c r="B113" s="12" t="s">
        <v>7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</row>
    <row r="114" spans="1:110" ht="15.75" x14ac:dyDescent="0.25">
      <c r="A114" s="14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</row>
    <row r="115" spans="1:110" ht="15.75" x14ac:dyDescent="0.25">
      <c r="A115" s="11"/>
      <c r="B115" s="11" t="s">
        <v>11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</row>
    <row r="116" spans="1:110" ht="15.75" x14ac:dyDescent="0.25">
      <c r="A116" s="14">
        <v>44375</v>
      </c>
      <c r="B116" s="12" t="s">
        <v>6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</row>
    <row r="117" spans="1:110" ht="15.75" x14ac:dyDescent="0.25">
      <c r="A117" s="14"/>
      <c r="B117" s="12" t="s">
        <v>10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</row>
    <row r="118" spans="1:110" ht="15.75" x14ac:dyDescent="0.25">
      <c r="A118" s="14"/>
      <c r="B118" s="12" t="s">
        <v>9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</row>
    <row r="119" spans="1:110" ht="15.75" x14ac:dyDescent="0.25">
      <c r="A119" s="14"/>
      <c r="B119" s="12" t="s">
        <v>7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</row>
    <row r="120" spans="1:110" ht="15.75" x14ac:dyDescent="0.25">
      <c r="A120" s="14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</row>
    <row r="121" spans="1:110" ht="15.75" x14ac:dyDescent="0.25">
      <c r="A121" s="11"/>
      <c r="B121" s="11" t="s">
        <v>11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</row>
    <row r="122" spans="1:110" ht="15.75" x14ac:dyDescent="0.25">
      <c r="A122" s="14">
        <v>44376</v>
      </c>
      <c r="B122" s="18" t="s">
        <v>6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</row>
    <row r="123" spans="1:110" ht="15.75" x14ac:dyDescent="0.25">
      <c r="A123" s="14"/>
      <c r="B123" s="12" t="s">
        <v>10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</row>
    <row r="124" spans="1:110" ht="15.75" x14ac:dyDescent="0.25">
      <c r="A124" s="14"/>
      <c r="B124" s="12" t="s">
        <v>9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</row>
    <row r="125" spans="1:110" ht="15.75" x14ac:dyDescent="0.25">
      <c r="A125" s="14"/>
      <c r="B125" s="12" t="s">
        <v>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</row>
    <row r="126" spans="1:110" ht="15.75" x14ac:dyDescent="0.25">
      <c r="A126" s="14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</row>
    <row r="127" spans="1:110" ht="15.75" x14ac:dyDescent="0.25">
      <c r="A127" s="11"/>
      <c r="B127" s="11" t="s">
        <v>11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</row>
    <row r="128" spans="1:110" ht="15.75" x14ac:dyDescent="0.25">
      <c r="A128" s="14">
        <v>44377</v>
      </c>
      <c r="B128" s="18" t="s">
        <v>6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</row>
    <row r="129" spans="1:110" ht="15.75" x14ac:dyDescent="0.25">
      <c r="A129" s="14"/>
      <c r="B129" s="12" t="s">
        <v>10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</row>
    <row r="130" spans="1:110" ht="15.75" x14ac:dyDescent="0.25">
      <c r="A130" s="14"/>
      <c r="B130" s="12" t="s">
        <v>9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</row>
    <row r="131" spans="1:110" ht="15.75" x14ac:dyDescent="0.25">
      <c r="A131" s="14"/>
      <c r="B131" s="12" t="s">
        <v>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Sheet2</vt:lpstr>
      <vt:lpstr>wdoz20</vt:lpstr>
      <vt:lpstr>wdog21</vt:lpstr>
      <vt:lpstr>wdoh21</vt:lpstr>
      <vt:lpstr>wdom21</vt:lpstr>
      <vt:lpstr>wdon21</vt:lpstr>
      <vt:lpstr>wdoq21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</dc:creator>
  <cp:lastModifiedBy>Carlos André de L Cruz</cp:lastModifiedBy>
  <dcterms:created xsi:type="dcterms:W3CDTF">2021-02-28T20:40:52Z</dcterms:created>
  <dcterms:modified xsi:type="dcterms:W3CDTF">2021-06-24T01:45:38Z</dcterms:modified>
</cp:coreProperties>
</file>