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661" activeTab="9"/>
  </bookViews>
  <sheets>
    <sheet name="HP Calculations" sheetId="1" r:id="rId1"/>
    <sheet name="p-H cycle table" sheetId="2" r:id="rId2"/>
    <sheet name="COPat50 vs. Teva" sheetId="10" r:id="rId3"/>
    <sheet name="COPat70 vs. Teva" sheetId="4" r:id="rId4"/>
    <sheet name="P2H Models" sheetId="9" r:id="rId5"/>
    <sheet name="Boiler" sheetId="5" r:id="rId6"/>
    <sheet name="Tamb" sheetId="6" r:id="rId7"/>
    <sheet name="Demand" sheetId="7" r:id="rId8"/>
    <sheet name="Flexibility Deployment" sheetId="8" r:id="rId9"/>
    <sheet name="Storage" sheetId="11" r:id="rId10"/>
  </sheets>
  <calcPr calcId="145621"/>
</workbook>
</file>

<file path=xl/calcChain.xml><?xml version="1.0" encoding="utf-8"?>
<calcChain xmlns="http://schemas.openxmlformats.org/spreadsheetml/2006/main">
  <c r="H35" i="8" l="1"/>
  <c r="E31" i="8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36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31" i="6"/>
  <c r="N32" i="6"/>
  <c r="N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9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9" i="6"/>
  <c r="D20" i="7"/>
  <c r="H34" i="8"/>
  <c r="G32" i="8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36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31" i="6"/>
  <c r="M32" i="6"/>
  <c r="M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9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1" i="6"/>
  <c r="D10" i="6"/>
  <c r="D9" i="6"/>
  <c r="D33" i="6" s="1"/>
  <c r="C20" i="7"/>
  <c r="M33" i="6" l="1"/>
  <c r="G33" i="6"/>
  <c r="J33" i="6"/>
  <c r="N60" i="6"/>
  <c r="D60" i="6"/>
  <c r="G60" i="6"/>
  <c r="J60" i="6"/>
  <c r="M60" i="6"/>
  <c r="E22" i="8"/>
  <c r="D22" i="8" l="1"/>
  <c r="F22" i="8" l="1"/>
  <c r="S55" i="1" l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29" i="1"/>
  <c r="G37" i="1" l="1"/>
  <c r="G40" i="1" s="1"/>
  <c r="K37" i="1"/>
  <c r="K40" i="1" s="1"/>
  <c r="O37" i="1"/>
  <c r="O40" i="1" s="1"/>
  <c r="S37" i="1"/>
  <c r="S40" i="1" s="1"/>
  <c r="S45" i="1"/>
  <c r="R45" i="1"/>
  <c r="R37" i="1" s="1"/>
  <c r="R40" i="1" s="1"/>
  <c r="Q45" i="1"/>
  <c r="Q37" i="1" s="1"/>
  <c r="Q40" i="1" s="1"/>
  <c r="P45" i="1"/>
  <c r="P37" i="1" s="1"/>
  <c r="P40" i="1" s="1"/>
  <c r="O45" i="1"/>
  <c r="N45" i="1"/>
  <c r="N37" i="1" s="1"/>
  <c r="N40" i="1" s="1"/>
  <c r="M45" i="1"/>
  <c r="M37" i="1" s="1"/>
  <c r="M40" i="1" s="1"/>
  <c r="L45" i="1"/>
  <c r="L37" i="1" s="1"/>
  <c r="L40" i="1" s="1"/>
  <c r="K45" i="1"/>
  <c r="J45" i="1"/>
  <c r="J37" i="1" s="1"/>
  <c r="J40" i="1" s="1"/>
  <c r="I45" i="1"/>
  <c r="I37" i="1" s="1"/>
  <c r="I40" i="1" s="1"/>
  <c r="H45" i="1"/>
  <c r="H37" i="1" s="1"/>
  <c r="H40" i="1" s="1"/>
  <c r="G45" i="1"/>
  <c r="F45" i="1"/>
  <c r="F37" i="1" s="1"/>
  <c r="F40" i="1" s="1"/>
  <c r="E45" i="1"/>
  <c r="E37" i="1" s="1"/>
  <c r="E40" i="1" s="1"/>
  <c r="D45" i="1"/>
  <c r="D37" i="1" s="1"/>
  <c r="D40" i="1" s="1"/>
  <c r="C45" i="1"/>
  <c r="C37" i="1" s="1"/>
  <c r="C40" i="1" s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D44" i="1"/>
  <c r="C44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S34" i="1"/>
  <c r="S36" i="1" s="1"/>
  <c r="S39" i="1" s="1"/>
  <c r="R34" i="1"/>
  <c r="Q34" i="1"/>
  <c r="Q42" i="1" s="1"/>
  <c r="Q33" i="1"/>
  <c r="R33" i="1"/>
  <c r="S33" i="1"/>
  <c r="S29" i="1"/>
  <c r="R29" i="1"/>
  <c r="Q29" i="1"/>
  <c r="P29" i="1"/>
  <c r="Q36" i="1" l="1"/>
  <c r="Q39" i="1" s="1"/>
  <c r="S42" i="1"/>
  <c r="R36" i="1"/>
  <c r="R39" i="1" s="1"/>
  <c r="R42" i="1"/>
  <c r="P15" i="5"/>
  <c r="Q15" i="5"/>
  <c r="R15" i="5"/>
  <c r="D15" i="5"/>
  <c r="E15" i="5"/>
  <c r="F15" i="5"/>
  <c r="G15" i="5"/>
  <c r="H15" i="5"/>
  <c r="I15" i="5"/>
  <c r="J15" i="5"/>
  <c r="K15" i="5"/>
  <c r="L15" i="5"/>
  <c r="M15" i="5"/>
  <c r="N15" i="5"/>
  <c r="O15" i="5"/>
  <c r="C15" i="5"/>
  <c r="B15" i="5"/>
  <c r="E33" i="6" l="1"/>
  <c r="F60" i="6"/>
  <c r="H60" i="6"/>
  <c r="I60" i="6"/>
  <c r="K60" i="6"/>
  <c r="L60" i="6"/>
  <c r="E60" i="6"/>
  <c r="N33" i="6"/>
  <c r="I33" i="6"/>
  <c r="H33" i="6"/>
  <c r="K33" i="6"/>
  <c r="L33" i="6"/>
  <c r="C60" i="6"/>
  <c r="F33" i="6"/>
  <c r="C33" i="6"/>
  <c r="P34" i="1" l="1"/>
  <c r="P42" i="1" s="1"/>
  <c r="O34" i="1"/>
  <c r="O42" i="1" s="1"/>
  <c r="N34" i="1"/>
  <c r="N42" i="1" s="1"/>
  <c r="M34" i="1"/>
  <c r="M42" i="1" s="1"/>
  <c r="L34" i="1"/>
  <c r="L42" i="1" s="1"/>
  <c r="K34" i="1"/>
  <c r="K42" i="1" s="1"/>
  <c r="J34" i="1"/>
  <c r="J42" i="1" s="1"/>
  <c r="I34" i="1"/>
  <c r="I42" i="1" s="1"/>
  <c r="H34" i="1"/>
  <c r="H42" i="1" s="1"/>
  <c r="G34" i="1"/>
  <c r="G42" i="1" s="1"/>
  <c r="F34" i="1"/>
  <c r="F42" i="1" s="1"/>
  <c r="E34" i="1"/>
  <c r="E42" i="1" s="1"/>
  <c r="D34" i="1"/>
  <c r="D42" i="1" s="1"/>
  <c r="C34" i="1"/>
  <c r="C42" i="1" s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C33" i="1"/>
  <c r="O29" i="1"/>
  <c r="N29" i="1"/>
  <c r="M29" i="1"/>
  <c r="L29" i="1"/>
  <c r="K29" i="1"/>
  <c r="J29" i="1"/>
  <c r="I29" i="1"/>
  <c r="H29" i="1"/>
  <c r="G29" i="1"/>
  <c r="F29" i="1"/>
  <c r="E29" i="1"/>
  <c r="D29" i="1"/>
  <c r="N36" i="1" l="1"/>
  <c r="N39" i="1" s="1"/>
  <c r="F36" i="1"/>
  <c r="F39" i="1" s="1"/>
  <c r="C36" i="1"/>
  <c r="C39" i="1" s="1"/>
  <c r="M36" i="1"/>
  <c r="M39" i="1" s="1"/>
  <c r="I36" i="1"/>
  <c r="I39" i="1" s="1"/>
  <c r="E36" i="1"/>
  <c r="E39" i="1" s="1"/>
  <c r="D36" i="1"/>
  <c r="D39" i="1" s="1"/>
  <c r="H36" i="1"/>
  <c r="H39" i="1" s="1"/>
  <c r="L36" i="1"/>
  <c r="L39" i="1" s="1"/>
  <c r="P36" i="1"/>
  <c r="P39" i="1" s="1"/>
  <c r="O36" i="1"/>
  <c r="O39" i="1" s="1"/>
  <c r="K36" i="1"/>
  <c r="K39" i="1" s="1"/>
  <c r="G36" i="1"/>
  <c r="G39" i="1" s="1"/>
  <c r="J36" i="1"/>
  <c r="J39" i="1" s="1"/>
</calcChain>
</file>

<file path=xl/sharedStrings.xml><?xml version="1.0" encoding="utf-8"?>
<sst xmlns="http://schemas.openxmlformats.org/spreadsheetml/2006/main" count="230" uniqueCount="162">
  <si>
    <t>H2</t>
  </si>
  <si>
    <t>H1</t>
  </si>
  <si>
    <t>H3</t>
  </si>
  <si>
    <t>H4</t>
  </si>
  <si>
    <t>S4</t>
  </si>
  <si>
    <t>H5</t>
  </si>
  <si>
    <t>COP</t>
  </si>
  <si>
    <t>pressure</t>
  </si>
  <si>
    <t xml:space="preserve">pressure </t>
  </si>
  <si>
    <t>at 70 celcius</t>
  </si>
  <si>
    <t>H</t>
  </si>
  <si>
    <t>S</t>
  </si>
  <si>
    <t>MPa</t>
  </si>
  <si>
    <t>Temp</t>
  </si>
  <si>
    <t>Temp3</t>
  </si>
  <si>
    <t>S2=S1</t>
  </si>
  <si>
    <t>P2=P3</t>
  </si>
  <si>
    <t>S5</t>
  </si>
  <si>
    <t>kj/kg</t>
  </si>
  <si>
    <t>kj/kg.K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</si>
  <si>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evaporation</t>
    </r>
  </si>
  <si>
    <t>Linear interpolatation</t>
  </si>
  <si>
    <t>Pressure</t>
  </si>
  <si>
    <t>H3-H2</t>
  </si>
  <si>
    <t>H3-H5</t>
  </si>
  <si>
    <t>Q/W</t>
  </si>
  <si>
    <t>cycle
efficiency</t>
  </si>
  <si>
    <t>COP(Tcon-Teva)/Teva</t>
  </si>
  <si>
    <t>W (kj/kg)</t>
  </si>
  <si>
    <t>Q(kj/kg)</t>
  </si>
  <si>
    <t>50000(kW)/(Q)</t>
  </si>
  <si>
    <t>m(kg/s)</t>
  </si>
  <si>
    <t>Q</t>
  </si>
  <si>
    <r>
      <t>m*c*</t>
    </r>
    <r>
      <rPr>
        <sz val="11"/>
        <color theme="1"/>
        <rFont val="Ebrima"/>
        <charset val="162"/>
      </rPr>
      <t>∆</t>
    </r>
    <r>
      <rPr>
        <sz val="11"/>
        <color theme="1"/>
        <rFont val="Calibri"/>
        <family val="2"/>
        <scheme val="minor"/>
      </rPr>
      <t>T(40-Twaste)</t>
    </r>
  </si>
  <si>
    <t>η</t>
  </si>
  <si>
    <t>efficiency</t>
  </si>
  <si>
    <t>W</t>
  </si>
  <si>
    <t>Q/η</t>
  </si>
  <si>
    <t>m</t>
  </si>
  <si>
    <t>c</t>
  </si>
  <si>
    <t>specific heat capacity</t>
  </si>
  <si>
    <t>Hour\Day</t>
  </si>
  <si>
    <r>
      <t>Tamb
 (</t>
    </r>
    <r>
      <rPr>
        <b/>
        <sz val="11"/>
        <color theme="1"/>
        <rFont val="Arial Tur"/>
        <charset val="162"/>
      </rPr>
      <t>⁰</t>
    </r>
    <r>
      <rPr>
        <b/>
        <sz val="9.35"/>
        <color theme="1"/>
        <rFont val="Calibri"/>
        <family val="2"/>
        <charset val="162"/>
      </rPr>
      <t>C</t>
    </r>
    <r>
      <rPr>
        <b/>
        <sz val="11"/>
        <color theme="1"/>
        <rFont val="Calibri"/>
        <family val="2"/>
        <charset val="162"/>
        <scheme val="minor"/>
      </rPr>
      <t>)</t>
    </r>
  </si>
  <si>
    <t>Average</t>
  </si>
  <si>
    <t>Ambient Air temperature at 2m</t>
  </si>
  <si>
    <t>Teva</t>
  </si>
  <si>
    <t>x</t>
  </si>
  <si>
    <t>y</t>
  </si>
  <si>
    <t>Weather archive in Hoek Van Holland
weather station number  :06330
https://rp5.ru/Weather_archive_in_Hoek_Van_Holland</t>
  </si>
  <si>
    <t>H2-H1</t>
  </si>
  <si>
    <t>Tamb</t>
  </si>
  <si>
    <t>mass/massflow R134a</t>
  </si>
  <si>
    <t>kg/s</t>
  </si>
  <si>
    <t>kJ/(kg.K)</t>
  </si>
  <si>
    <t>at 40 celcius quality=0.5</t>
  </si>
  <si>
    <t>Q(t) = Q0+((Qmax-Q0)/(TR-Tmin))* max(0,TR-T(t))</t>
  </si>
  <si>
    <t>Price Signals for PP</t>
  </si>
  <si>
    <t>Variables</t>
  </si>
  <si>
    <t>P2G</t>
  </si>
  <si>
    <t>P2H</t>
  </si>
  <si>
    <t>Levelized Cost of Hydrogen Production</t>
  </si>
  <si>
    <t>Operation &amp; maintenance costs</t>
  </si>
  <si>
    <t xml:space="preserve">Capital costs (CAPEX) </t>
  </si>
  <si>
    <t>Lifetime</t>
  </si>
  <si>
    <t>Fuel cost</t>
  </si>
  <si>
    <t xml:space="preserve">LC of Energy </t>
  </si>
  <si>
    <t>input from model</t>
  </si>
  <si>
    <t>Levelized Cost of Heat Production</t>
  </si>
  <si>
    <r>
      <t>Efficiency (</t>
    </r>
    <r>
      <rPr>
        <b/>
        <sz val="11"/>
        <color theme="1"/>
        <rFont val="Times New Roman"/>
        <family val="1"/>
        <charset val="162"/>
      </rPr>
      <t>η</t>
    </r>
    <r>
      <rPr>
        <b/>
        <sz val="11"/>
        <color theme="1"/>
        <rFont val="Calibri"/>
        <family val="2"/>
        <scheme val="minor"/>
      </rPr>
      <t>)</t>
    </r>
  </si>
  <si>
    <t>Model</t>
  </si>
  <si>
    <t>Modelling Considerations of P2H</t>
  </si>
  <si>
    <t>Modelling Approach</t>
  </si>
  <si>
    <t>Regression</t>
  </si>
  <si>
    <t>Dynamic Behaviour</t>
  </si>
  <si>
    <t>A</t>
  </si>
  <si>
    <t>B</t>
  </si>
  <si>
    <t>C</t>
  </si>
  <si>
    <t>Modelling Scale</t>
  </si>
  <si>
    <t>Constant</t>
  </si>
  <si>
    <t>Linear</t>
  </si>
  <si>
    <t>Non-linear</t>
  </si>
  <si>
    <t>HP</t>
  </si>
  <si>
    <t>HP with auxiliary boiler</t>
  </si>
  <si>
    <t>Variable</t>
  </si>
  <si>
    <t>Electrolyser</t>
  </si>
  <si>
    <t>Emission reduction rate (?)</t>
  </si>
  <si>
    <t>LCOE</t>
  </si>
  <si>
    <t>Carbon cost</t>
  </si>
  <si>
    <t>H3 calculator</t>
  </si>
  <si>
    <t>Results</t>
  </si>
  <si>
    <t>5th order polynomial function</t>
  </si>
  <si>
    <t>COP at 70</t>
  </si>
  <si>
    <t>COP at 50</t>
  </si>
  <si>
    <t>at 50 celcius</t>
  </si>
  <si>
    <t>H3 at 70</t>
  </si>
  <si>
    <t>H3 at 50</t>
  </si>
  <si>
    <t>at 50</t>
  </si>
  <si>
    <t>Industrial Hydrogen Demand (m3/s)</t>
  </si>
  <si>
    <t>at S50, p = 1.4</t>
  </si>
  <si>
    <t>at S70,p=2.2</t>
  </si>
  <si>
    <t>at S70,p=2</t>
  </si>
  <si>
    <t>at S50, p = 1.2</t>
  </si>
  <si>
    <t>final at 70</t>
  </si>
  <si>
    <t>final at 50</t>
  </si>
  <si>
    <t>Linear model Poly5:
     f(x) = p1*x^5 + p2*x^4 + p3*x^3 + p4*x^2 + p5*x + p6
Coefficients (with 95% confidence bounds):
       p1 =   3.461e-08  (2.389e-08, 4.533e-08)
       p2 =    1.29e-06  (1.131e-06, 1.449e-06)
       p3 =   4.353e-05  (3.721e-05, 4.984e-05)
       p4 =    0.002387  (0.002319, 0.002455)
       p5 =      0.1186  (0.1178, 0.1195)
       p6 =       5.063  (5.057, 5.068)
Goodness of fit:
  SSE: 8.541e-05
  R-square: 1
  Adjusted R-square: 1
  RMSE: 0.003773</t>
  </si>
  <si>
    <t xml:space="preserve">Linear model Poly5:
     f(x) = p1*x^5 + p2*x^4 + p3*x^3 + p4*x^2 + p5*x + p6
Coefficients (with 95% confidence bounds):
       p1 =   1.457e-08  (1.116e-08, 1.798e-08)
       p2 =  -9.658e-08  (-3.086e-07, 1.154e-07)
       p3 =   6.609e-06  (3.71e-06, 9.508e-06)
       p4 =     0.00101  (0.000908, 0.001112)
       p5 =     0.05864  (0.05748, 0.05979)
       p6 =       3.295  (3.284, 3.306)
Goodness of fit:
  SSE: 0.001116
  R-square: 1
  Adjusted R-square: 1
  RMSE: 0.01007
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</si>
  <si>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condenser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</si>
  <si>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</si>
  <si>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</si>
  <si>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</si>
  <si>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</si>
  <si>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5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</si>
  <si>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6</t>
    </r>
    <r>
      <rPr>
        <sz val="11"/>
        <color theme="1"/>
        <rFont val="Calibri"/>
        <family val="2"/>
        <charset val="162"/>
        <scheme val="minor"/>
      </rPr>
      <t/>
    </r>
  </si>
  <si>
    <t>200 EUR/kW</t>
  </si>
  <si>
    <t>Boiler</t>
  </si>
  <si>
    <t>8 EUR/kW</t>
  </si>
  <si>
    <t xml:space="preserve">time constant </t>
  </si>
  <si>
    <t>10s</t>
  </si>
  <si>
    <t>70 EUR/kW</t>
  </si>
  <si>
    <t>1.4 EUR/kW</t>
  </si>
  <si>
    <t>20 years</t>
  </si>
  <si>
    <t>15 years</t>
  </si>
  <si>
    <t>33.5 EUR /kW</t>
  </si>
  <si>
    <t xml:space="preserve">Green Electricity </t>
  </si>
  <si>
    <t>Hot Water Storage</t>
  </si>
  <si>
    <t>Hydrogen Storage</t>
  </si>
  <si>
    <t>0.12 EUR/kg</t>
  </si>
  <si>
    <t>6.24 EUR/kg</t>
  </si>
  <si>
    <t>30 years</t>
  </si>
  <si>
    <t>1040 EUR/m3</t>
  </si>
  <si>
    <t>1.3 EUR/m3</t>
  </si>
  <si>
    <t>0.6-0.78</t>
  </si>
  <si>
    <t>COP 4-7</t>
  </si>
  <si>
    <t>g CO2/kWh</t>
  </si>
  <si>
    <t>wind electrolysis</t>
  </si>
  <si>
    <t>solar electrolysis</t>
  </si>
  <si>
    <t>EUR/g CO2</t>
  </si>
  <si>
    <t xml:space="preserve"> total greenhouse gas emission of the
pathway</t>
  </si>
  <si>
    <t>The penalty cost due to CO2 emission (Cenv) of the heat pump system can be calculated as follows:</t>
  </si>
  <si>
    <t>Heat Pump</t>
  </si>
  <si>
    <t>g CO2/kwh</t>
  </si>
  <si>
    <t>1000 EUR/kW</t>
  </si>
  <si>
    <t>(((CAP+ O&amp;M)/(LT))+Carbon penalty)/efficiency cost [EUR/kW]</t>
  </si>
  <si>
    <t>2.016*10-3</t>
  </si>
  <si>
    <t>molar mass</t>
  </si>
  <si>
    <t>mass flow</t>
  </si>
  <si>
    <t>density</t>
  </si>
  <si>
    <t>specific heat</t>
  </si>
  <si>
    <t>e</t>
  </si>
  <si>
    <t>€€€</t>
  </si>
  <si>
    <t>Industrial PtG</t>
  </si>
  <si>
    <t>District Heating PtH</t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</si>
  <si>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>0</t>
    </r>
    <r>
      <rPr>
        <sz val="11"/>
        <color theme="1"/>
        <rFont val="Calibri"/>
        <family val="2"/>
        <charset val="162"/>
        <scheme val="minor"/>
      </rPr>
      <t xml:space="preserve"> 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</si>
  <si>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 xml:space="preserve">max </t>
    </r>
    <r>
      <rPr>
        <sz val="11"/>
        <color theme="1"/>
        <rFont val="Calibri"/>
        <family val="2"/>
        <charset val="162"/>
        <scheme val="minor"/>
      </rPr>
      <t>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</si>
  <si>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Reference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</si>
  <si>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min</t>
    </r>
  </si>
  <si>
    <t>at 30 bar</t>
  </si>
  <si>
    <t>at 350 bar</t>
  </si>
  <si>
    <t>at 80C</t>
  </si>
  <si>
    <t>at 80 C</t>
  </si>
  <si>
    <t>slope hydrogen</t>
  </si>
  <si>
    <t>DHN
Demand
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</si>
</sst>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_ ;\-0.0000\ "/>
    <numFmt numFmtId="165" formatCode="0.0"/>
    <numFmt numFmtId="166" formatCode="0.000000"/>
    <numFmt numFmtId="167" formatCode="0.0000000"/>
    <numFmt numFmtId="168" formatCode="0.00000000"/>
    <numFmt numFmtId="169" formatCode="0.000000000"/>
    <numFmt numFmtId="170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sz val="11"/>
      <color theme="1"/>
      <name val="Ebrima"/>
      <charset val="162"/>
    </font>
    <font>
      <b/>
      <sz val="11"/>
      <color theme="1"/>
      <name val="Arial Tur"/>
      <charset val="162"/>
    </font>
    <font>
      <b/>
      <i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charset val="162"/>
    </font>
    <font>
      <b/>
      <sz val="11"/>
      <color theme="1"/>
      <name val="Times New Roman"/>
      <family val="1"/>
      <charset val="162"/>
    </font>
    <font>
      <sz val="18"/>
      <color rgb="FF9C6500"/>
      <name val="Calibri"/>
      <family val="2"/>
      <charset val="162"/>
      <scheme val="minor"/>
    </font>
    <font>
      <sz val="10"/>
      <color rgb="FF222222"/>
      <name val="Arial"/>
      <family val="2"/>
      <charset val="162"/>
    </font>
    <font>
      <sz val="11"/>
      <color theme="1"/>
      <name val="Arial Tur"/>
      <charset val="162"/>
    </font>
    <font>
      <vertAlign val="subscript"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2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2" borderId="1" xfId="1" applyBorder="1" applyAlignment="1">
      <alignment horizontal="center"/>
    </xf>
    <xf numFmtId="0" fontId="5" fillId="2" borderId="1" xfId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6" fillId="0" borderId="2" xfId="0" applyFont="1" applyBorder="1" applyAlignment="1"/>
    <xf numFmtId="0" fontId="6" fillId="0" borderId="1" xfId="0" applyFont="1" applyFill="1" applyBorder="1"/>
    <xf numFmtId="0" fontId="5" fillId="2" borderId="0" xfId="1"/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20" fontId="11" fillId="3" borderId="5" xfId="0" applyNumberFormat="1" applyFont="1" applyFill="1" applyBorder="1" applyAlignment="1">
      <alignment horizontal="center"/>
    </xf>
    <xf numFmtId="20" fontId="11" fillId="0" borderId="5" xfId="0" applyNumberFormat="1" applyFont="1" applyBorder="1" applyAlignment="1">
      <alignment horizontal="center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4" fontId="6" fillId="0" borderId="7" xfId="0" applyNumberFormat="1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12" fillId="0" borderId="9" xfId="2" applyNumberFormat="1" applyFont="1" applyBorder="1" applyAlignment="1">
      <alignment horizontal="center" vertical="center"/>
    </xf>
    <xf numFmtId="165" fontId="12" fillId="3" borderId="9" xfId="2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5" fillId="0" borderId="1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3" borderId="13" xfId="0" applyFont="1" applyFill="1" applyBorder="1"/>
    <xf numFmtId="0" fontId="0" fillId="3" borderId="13" xfId="0" applyFont="1" applyFill="1" applyBorder="1" applyAlignment="1">
      <alignment horizontal="center" vertical="center"/>
    </xf>
    <xf numFmtId="2" fontId="0" fillId="3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/>
    <xf numFmtId="0" fontId="3" fillId="0" borderId="14" xfId="0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6" fillId="0" borderId="2" xfId="0" applyFont="1" applyFill="1" applyBorder="1"/>
    <xf numFmtId="0" fontId="6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5" xfId="0" applyBorder="1"/>
    <xf numFmtId="0" fontId="2" fillId="0" borderId="1" xfId="0" applyFont="1" applyFill="1" applyBorder="1"/>
    <xf numFmtId="0" fontId="6" fillId="0" borderId="16" xfId="0" applyFont="1" applyBorder="1"/>
    <xf numFmtId="0" fontId="0" fillId="0" borderId="16" xfId="0" applyBorder="1"/>
    <xf numFmtId="0" fontId="6" fillId="0" borderId="15" xfId="0" applyFont="1" applyBorder="1" applyAlignment="1">
      <alignment wrapText="1"/>
    </xf>
    <xf numFmtId="0" fontId="6" fillId="0" borderId="15" xfId="0" applyFont="1" applyBorder="1"/>
    <xf numFmtId="0" fontId="6" fillId="0" borderId="17" xfId="0" applyFont="1" applyBorder="1"/>
    <xf numFmtId="0" fontId="0" fillId="0" borderId="17" xfId="0" applyBorder="1"/>
    <xf numFmtId="0" fontId="6" fillId="0" borderId="18" xfId="0" applyFont="1" applyBorder="1"/>
    <xf numFmtId="0" fontId="6" fillId="0" borderId="19" xfId="0" applyFont="1" applyBorder="1"/>
    <xf numFmtId="0" fontId="0" fillId="0" borderId="19" xfId="0" applyBorder="1"/>
    <xf numFmtId="0" fontId="0" fillId="0" borderId="20" xfId="0" applyBorder="1"/>
    <xf numFmtId="0" fontId="6" fillId="0" borderId="14" xfId="0" applyFont="1" applyBorder="1"/>
    <xf numFmtId="0" fontId="0" fillId="0" borderId="14" xfId="0" applyBorder="1"/>
    <xf numFmtId="0" fontId="6" fillId="0" borderId="4" xfId="0" applyFont="1" applyBorder="1"/>
    <xf numFmtId="0" fontId="0" fillId="0" borderId="4" xfId="0" applyBorder="1"/>
    <xf numFmtId="0" fontId="2" fillId="0" borderId="14" xfId="0" applyFont="1" applyFill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5" fillId="4" borderId="1" xfId="1" applyFill="1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8" fillId="0" borderId="0" xfId="0" applyFont="1"/>
    <xf numFmtId="167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168" fontId="0" fillId="3" borderId="7" xfId="0" applyNumberFormat="1" applyFont="1" applyFill="1" applyBorder="1" applyAlignment="1">
      <alignment horizontal="center" vertical="center"/>
    </xf>
    <xf numFmtId="168" fontId="0" fillId="0" borderId="7" xfId="0" applyNumberFormat="1" applyFont="1" applyBorder="1" applyAlignment="1">
      <alignment horizontal="center" vertical="center"/>
    </xf>
    <xf numFmtId="169" fontId="0" fillId="3" borderId="7" xfId="0" applyNumberFormat="1" applyFont="1" applyFill="1" applyBorder="1" applyAlignment="1">
      <alignment horizontal="center" vertical="center"/>
    </xf>
    <xf numFmtId="170" fontId="0" fillId="3" borderId="7" xfId="0" applyNumberFormat="1" applyFont="1" applyFill="1" applyBorder="1" applyAlignment="1">
      <alignment horizontal="center" vertical="center"/>
    </xf>
    <xf numFmtId="167" fontId="0" fillId="3" borderId="13" xfId="0" applyNumberFormat="1" applyFont="1" applyFill="1" applyBorder="1" applyAlignment="1">
      <alignment horizontal="center" vertical="center"/>
    </xf>
    <xf numFmtId="168" fontId="0" fillId="3" borderId="13" xfId="0" applyNumberFormat="1" applyFont="1" applyFill="1" applyBorder="1" applyAlignment="1">
      <alignment horizontal="center" vertical="center"/>
    </xf>
    <xf numFmtId="169" fontId="0" fillId="3" borderId="1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6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67" fontId="0" fillId="3" borderId="0" xfId="0" applyNumberFormat="1" applyFont="1" applyFill="1" applyBorder="1" applyAlignment="1">
      <alignment horizontal="center" vertical="center"/>
    </xf>
    <xf numFmtId="169" fontId="0" fillId="3" borderId="0" xfId="0" applyNumberFormat="1" applyFont="1" applyFill="1" applyBorder="1" applyAlignment="1">
      <alignment horizontal="center" vertical="center"/>
    </xf>
    <xf numFmtId="168" fontId="0" fillId="3" borderId="0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2" borderId="0" xfId="1" applyFont="1" applyAlignment="1">
      <alignment horizontal="center" vertical="center"/>
    </xf>
    <xf numFmtId="0" fontId="5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5" fillId="2" borderId="0" xfId="1" applyAlignment="1">
      <alignment horizontal="center" vertical="center"/>
    </xf>
    <xf numFmtId="0" fontId="5" fillId="2" borderId="0" xfId="1" applyBorder="1" applyAlignment="1">
      <alignment horizontal="center"/>
    </xf>
    <xf numFmtId="0" fontId="5" fillId="2" borderId="0" xfId="1" applyAlignment="1">
      <alignment horizontal="center" wrapText="1"/>
    </xf>
    <xf numFmtId="14" fontId="6" fillId="3" borderId="10" xfId="0" applyNumberFormat="1" applyFont="1" applyFill="1" applyBorder="1" applyAlignment="1">
      <alignment horizontal="center" vertical="center"/>
    </xf>
    <xf numFmtId="14" fontId="6" fillId="3" borderId="21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6" fillId="3" borderId="10" xfId="0" applyNumberFormat="1" applyFont="1" applyFill="1" applyBorder="1" applyAlignment="1">
      <alignment horizontal="center" vertical="center" wrapText="1"/>
    </xf>
    <xf numFmtId="14" fontId="6" fillId="3" borderId="21" xfId="0" applyNumberFormat="1" applyFont="1" applyFill="1" applyBorder="1" applyAlignment="1">
      <alignment horizontal="center" vertical="center" wrapText="1"/>
    </xf>
    <xf numFmtId="14" fontId="6" fillId="3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  <a:r>
              <a:rPr lang="en-US" baseline="-25000"/>
              <a:t>eva</a:t>
            </a:r>
            <a:r>
              <a:rPr lang="en-US"/>
              <a:t> vs. COP</a:t>
            </a:r>
            <a:r>
              <a:rPr lang="tr-TR"/>
              <a:t> at 70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368050094969318E-2"/>
          <c:y val="8.4551812352569838E-2"/>
          <c:w val="0.90167399287854977"/>
          <c:h val="0.802870814411526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'COPat70 vs. Teva'!$D$15:$D$31</c:f>
              <c:numCache>
                <c:formatCode>General</c:formatCode>
                <c:ptCount val="17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</c:numCache>
            </c:numRef>
          </c:cat>
          <c:val>
            <c:numRef>
              <c:f>'COPat70 vs. Teva'!$E$15:$E$31</c:f>
              <c:numCache>
                <c:formatCode>General</c:formatCode>
                <c:ptCount val="17"/>
                <c:pt idx="0">
                  <c:v>2.4173893825935386</c:v>
                </c:pt>
                <c:pt idx="1">
                  <c:v>2.5585606187899956</c:v>
                </c:pt>
                <c:pt idx="2">
                  <c:v>2.714989004779675</c:v>
                </c:pt>
                <c:pt idx="3">
                  <c:v>2.8887404751622192</c:v>
                </c:pt>
                <c:pt idx="4">
                  <c:v>3.0836737494638502</c:v>
                </c:pt>
                <c:pt idx="5">
                  <c:v>3.3012787711657898</c:v>
                </c:pt>
                <c:pt idx="6">
                  <c:v>3.5476357631295592</c:v>
                </c:pt>
                <c:pt idx="7">
                  <c:v>3.8298917616100274</c:v>
                </c:pt>
                <c:pt idx="8">
                  <c:v>4.1513482556896895</c:v>
                </c:pt>
                <c:pt idx="9">
                  <c:v>4.5195189330867835</c:v>
                </c:pt>
                <c:pt idx="10">
                  <c:v>4.9559835616884129</c:v>
                </c:pt>
                <c:pt idx="11">
                  <c:v>5.4617938786010338</c:v>
                </c:pt>
                <c:pt idx="12">
                  <c:v>6.0736439444007138</c:v>
                </c:pt>
                <c:pt idx="13">
                  <c:v>6.8177510907046814</c:v>
                </c:pt>
                <c:pt idx="14">
                  <c:v>7.7453975275855589</c:v>
                </c:pt>
                <c:pt idx="15">
                  <c:v>8.9013603675940658</c:v>
                </c:pt>
                <c:pt idx="16">
                  <c:v>10.444560373073895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9600"/>
        <c:axId val="145161536"/>
      </c:lineChart>
      <c:catAx>
        <c:axId val="1888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-25000"/>
                  <a:t>eva</a:t>
                </a:r>
                <a:r>
                  <a:rPr lang="en-US"/>
                  <a:t> (</a:t>
                </a:r>
                <a:r>
                  <a:rPr lang="en-US">
                    <a:latin typeface="Arial Tur"/>
                    <a:cs typeface="Arial Tur"/>
                  </a:rPr>
                  <a:t>⁰</a:t>
                </a:r>
                <a:r>
                  <a:rPr lang="en-US"/>
                  <a:t>C)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61536"/>
        <c:crosses val="autoZero"/>
        <c:auto val="1"/>
        <c:lblAlgn val="ctr"/>
        <c:lblOffset val="100"/>
        <c:noMultiLvlLbl val="0"/>
      </c:catAx>
      <c:valAx>
        <c:axId val="1451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8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</xdr:colOff>
      <xdr:row>0</xdr:row>
      <xdr:rowOff>0</xdr:rowOff>
    </xdr:from>
    <xdr:to>
      <xdr:col>18</xdr:col>
      <xdr:colOff>142792</xdr:colOff>
      <xdr:row>41</xdr:row>
      <xdr:rowOff>64733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2" y="0"/>
          <a:ext cx="11102340" cy="7671481"/>
        </a:xfrm>
        <a:prstGeom prst="rect">
          <a:avLst/>
        </a:prstGeom>
      </xdr:spPr>
    </xdr:pic>
    <xdr:clientData/>
  </xdr:twoCellAnchor>
  <xdr:twoCellAnchor>
    <xdr:from>
      <xdr:col>3</xdr:col>
      <xdr:colOff>443948</xdr:colOff>
      <xdr:row>25</xdr:row>
      <xdr:rowOff>112643</xdr:rowOff>
    </xdr:from>
    <xdr:to>
      <xdr:col>10</xdr:col>
      <xdr:colOff>231913</xdr:colOff>
      <xdr:row>25</xdr:row>
      <xdr:rowOff>119269</xdr:rowOff>
    </xdr:to>
    <xdr:cxnSp macro="">
      <xdr:nvCxnSpPr>
        <xdr:cNvPr id="4" name="Düz Bağlayıcı 3"/>
        <xdr:cNvCxnSpPr/>
      </xdr:nvCxnSpPr>
      <xdr:spPr>
        <a:xfrm flipV="1">
          <a:off x="2272748" y="4750904"/>
          <a:ext cx="4055165" cy="66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267381</xdr:colOff>
      <xdr:row>12</xdr:row>
      <xdr:rowOff>35469</xdr:rowOff>
    </xdr:from>
    <xdr:to>
      <xdr:col>13</xdr:col>
      <xdr:colOff>492668</xdr:colOff>
      <xdr:row>12</xdr:row>
      <xdr:rowOff>75226</xdr:rowOff>
    </xdr:to>
    <xdr:cxnSp macro="">
      <xdr:nvCxnSpPr>
        <xdr:cNvPr id="10" name="Düz Bağlayıcı 9"/>
        <xdr:cNvCxnSpPr/>
      </xdr:nvCxnSpPr>
      <xdr:spPr>
        <a:xfrm>
          <a:off x="5144181" y="2186998"/>
          <a:ext cx="3273287" cy="3975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218661</xdr:colOff>
      <xdr:row>11</xdr:row>
      <xdr:rowOff>79513</xdr:rowOff>
    </xdr:from>
    <xdr:to>
      <xdr:col>13</xdr:col>
      <xdr:colOff>463826</xdr:colOff>
      <xdr:row>25</xdr:row>
      <xdr:rowOff>106017</xdr:rowOff>
    </xdr:to>
    <xdr:cxnSp macro="">
      <xdr:nvCxnSpPr>
        <xdr:cNvPr id="12" name="Düz Bağlayıcı 11"/>
        <xdr:cNvCxnSpPr/>
      </xdr:nvCxnSpPr>
      <xdr:spPr>
        <a:xfrm flipV="1">
          <a:off x="6314661" y="2120348"/>
          <a:ext cx="2073965" cy="262393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178904</xdr:colOff>
      <xdr:row>11</xdr:row>
      <xdr:rowOff>66261</xdr:rowOff>
    </xdr:from>
    <xdr:to>
      <xdr:col>8</xdr:col>
      <xdr:colOff>225288</xdr:colOff>
      <xdr:row>27</xdr:row>
      <xdr:rowOff>19878</xdr:rowOff>
    </xdr:to>
    <xdr:cxnSp macro="">
      <xdr:nvCxnSpPr>
        <xdr:cNvPr id="14" name="Düz Bağlayıcı 13"/>
        <xdr:cNvCxnSpPr/>
      </xdr:nvCxnSpPr>
      <xdr:spPr>
        <a:xfrm flipH="1">
          <a:off x="5055704" y="2107096"/>
          <a:ext cx="46384" cy="29221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59635</xdr:colOff>
      <xdr:row>27</xdr:row>
      <xdr:rowOff>13252</xdr:rowOff>
    </xdr:from>
    <xdr:to>
      <xdr:col>8</xdr:col>
      <xdr:colOff>324678</xdr:colOff>
      <xdr:row>29</xdr:row>
      <xdr:rowOff>152400</xdr:rowOff>
    </xdr:to>
    <xdr:sp macro="" textlink="">
      <xdr:nvSpPr>
        <xdr:cNvPr id="17" name="Metin kutusu 16"/>
        <xdr:cNvSpPr txBox="1"/>
      </xdr:nvSpPr>
      <xdr:spPr>
        <a:xfrm>
          <a:off x="4936435" y="5022574"/>
          <a:ext cx="265043" cy="51020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19878</xdr:colOff>
      <xdr:row>26</xdr:row>
      <xdr:rowOff>33131</xdr:rowOff>
    </xdr:from>
    <xdr:to>
      <xdr:col>10</xdr:col>
      <xdr:colOff>351182</xdr:colOff>
      <xdr:row>28</xdr:row>
      <xdr:rowOff>152401</xdr:rowOff>
    </xdr:to>
    <xdr:sp macro="" textlink="">
      <xdr:nvSpPr>
        <xdr:cNvPr id="21" name="Metin kutusu 20"/>
        <xdr:cNvSpPr txBox="1"/>
      </xdr:nvSpPr>
      <xdr:spPr>
        <a:xfrm>
          <a:off x="6115878" y="4856922"/>
          <a:ext cx="331304" cy="490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450575</xdr:colOff>
      <xdr:row>9</xdr:row>
      <xdr:rowOff>66261</xdr:rowOff>
    </xdr:from>
    <xdr:to>
      <xdr:col>14</xdr:col>
      <xdr:colOff>145775</xdr:colOff>
      <xdr:row>12</xdr:row>
      <xdr:rowOff>72887</xdr:rowOff>
    </xdr:to>
    <xdr:sp macro="" textlink="">
      <xdr:nvSpPr>
        <xdr:cNvPr id="23" name="Metin kutusu 22"/>
        <xdr:cNvSpPr txBox="1"/>
      </xdr:nvSpPr>
      <xdr:spPr>
        <a:xfrm>
          <a:off x="8375375" y="1736035"/>
          <a:ext cx="304800" cy="563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304800</xdr:colOff>
      <xdr:row>8</xdr:row>
      <xdr:rowOff>39759</xdr:rowOff>
    </xdr:from>
    <xdr:to>
      <xdr:col>12</xdr:col>
      <xdr:colOff>13252</xdr:colOff>
      <xdr:row>10</xdr:row>
      <xdr:rowOff>145776</xdr:rowOff>
    </xdr:to>
    <xdr:sp macro="" textlink="">
      <xdr:nvSpPr>
        <xdr:cNvPr id="24" name="Metin kutusu 23"/>
        <xdr:cNvSpPr txBox="1"/>
      </xdr:nvSpPr>
      <xdr:spPr>
        <a:xfrm>
          <a:off x="7010400" y="1524002"/>
          <a:ext cx="318052" cy="47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106018</xdr:colOff>
      <xdr:row>8</xdr:row>
      <xdr:rowOff>106018</xdr:rowOff>
    </xdr:from>
    <xdr:to>
      <xdr:col>8</xdr:col>
      <xdr:colOff>390940</xdr:colOff>
      <xdr:row>10</xdr:row>
      <xdr:rowOff>119270</xdr:rowOff>
    </xdr:to>
    <xdr:sp macro="" textlink="">
      <xdr:nvSpPr>
        <xdr:cNvPr id="25" name="Metin kutusu 24"/>
        <xdr:cNvSpPr txBox="1"/>
      </xdr:nvSpPr>
      <xdr:spPr>
        <a:xfrm>
          <a:off x="4982818" y="1590261"/>
          <a:ext cx="2849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167640</xdr:rowOff>
    </xdr:from>
    <xdr:to>
      <xdr:col>17</xdr:col>
      <xdr:colOff>594360</xdr:colOff>
      <xdr:row>37</xdr:row>
      <xdr:rowOff>129540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</xdr:row>
      <xdr:rowOff>0</xdr:rowOff>
    </xdr:from>
    <xdr:to>
      <xdr:col>29</xdr:col>
      <xdr:colOff>266700</xdr:colOff>
      <xdr:row>33</xdr:row>
      <xdr:rowOff>7620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9320" y="1097280"/>
          <a:ext cx="9624060" cy="563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29</xdr:col>
      <xdr:colOff>266700</xdr:colOff>
      <xdr:row>66</xdr:row>
      <xdr:rowOff>7620</xdr:rowOff>
    </xdr:to>
    <xdr:pic>
      <xdr:nvPicPr>
        <xdr:cNvPr id="7" name="Resim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9320" y="7818120"/>
          <a:ext cx="9624060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199452</xdr:colOff>
      <xdr:row>0</xdr:row>
      <xdr:rowOff>1</xdr:rowOff>
    </xdr:from>
    <xdr:to>
      <xdr:col>15</xdr:col>
      <xdr:colOff>478679</xdr:colOff>
      <xdr:row>14</xdr:row>
      <xdr:rowOff>107853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067" y="1"/>
          <a:ext cx="4546427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11</xdr:row>
      <xdr:rowOff>53800</xdr:rowOff>
    </xdr:from>
    <xdr:to>
      <xdr:col>5</xdr:col>
      <xdr:colOff>472801</xdr:colOff>
      <xdr:row>15</xdr:row>
      <xdr:rowOff>152478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2065480"/>
          <a:ext cx="3848461" cy="830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ssure@70" TargetMode="External"/><Relationship Id="rId1" Type="http://schemas.openxmlformats.org/officeDocument/2006/relationships/hyperlink" Target="mailto:pressure@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topLeftCell="A37" zoomScale="70" zoomScaleNormal="70" workbookViewId="0">
      <selection activeCell="V41" sqref="V41"/>
    </sheetView>
  </sheetViews>
  <sheetFormatPr defaultRowHeight="14.4" x14ac:dyDescent="0.3"/>
  <cols>
    <col min="2" max="2" width="19.5546875" customWidth="1"/>
    <col min="4" max="4" width="10.5546875" customWidth="1"/>
    <col min="8" max="8" width="10.5546875" customWidth="1"/>
    <col min="9" max="9" width="14.6640625" customWidth="1"/>
    <col min="20" max="20" width="12.88671875" customWidth="1"/>
  </cols>
  <sheetData>
    <row r="2" spans="2:31" ht="15.6" x14ac:dyDescent="0.35">
      <c r="B2" s="2"/>
      <c r="C2" s="101" t="s">
        <v>20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2"/>
      <c r="R2" s="2"/>
      <c r="S2" s="2"/>
    </row>
    <row r="3" spans="2:31" x14ac:dyDescent="0.3">
      <c r="B3" s="2"/>
      <c r="C3" s="5">
        <v>-20</v>
      </c>
      <c r="D3" s="5">
        <v>-16</v>
      </c>
      <c r="E3" s="5">
        <v>-12</v>
      </c>
      <c r="F3" s="5">
        <v>-8</v>
      </c>
      <c r="G3" s="5">
        <v>-4</v>
      </c>
      <c r="H3" s="5">
        <v>0</v>
      </c>
      <c r="I3" s="5">
        <v>4</v>
      </c>
      <c r="J3" s="5">
        <v>8</v>
      </c>
      <c r="K3" s="5">
        <v>12</v>
      </c>
      <c r="L3" s="5">
        <v>16</v>
      </c>
      <c r="M3" s="5">
        <v>20</v>
      </c>
      <c r="N3" s="13">
        <v>24</v>
      </c>
      <c r="O3" s="13">
        <v>28</v>
      </c>
      <c r="P3" s="13">
        <v>32</v>
      </c>
      <c r="Q3" s="13">
        <v>36</v>
      </c>
      <c r="R3" s="13">
        <v>40</v>
      </c>
      <c r="S3" s="13">
        <v>44</v>
      </c>
      <c r="T3" s="104" t="s">
        <v>9</v>
      </c>
      <c r="U3" s="104"/>
      <c r="V3" s="104"/>
      <c r="X3" s="104" t="s">
        <v>93</v>
      </c>
      <c r="Y3" s="104"/>
      <c r="Z3" s="104"/>
    </row>
    <row r="4" spans="2:31" x14ac:dyDescent="0.3">
      <c r="B4" s="5" t="s">
        <v>1</v>
      </c>
      <c r="C4" s="2">
        <v>304.27999999999997</v>
      </c>
      <c r="D4" s="2">
        <v>304.27999999999997</v>
      </c>
      <c r="E4" s="2">
        <v>304.27999999999997</v>
      </c>
      <c r="F4" s="2">
        <v>304.27999999999997</v>
      </c>
      <c r="G4" s="2">
        <v>304.27999999999997</v>
      </c>
      <c r="H4" s="2">
        <v>304.27999999999997</v>
      </c>
      <c r="I4" s="2">
        <v>304.27999999999997</v>
      </c>
      <c r="J4" s="2">
        <v>304.27999999999997</v>
      </c>
      <c r="K4" s="2">
        <v>304.27999999999997</v>
      </c>
      <c r="L4" s="2">
        <v>304.27999999999997</v>
      </c>
      <c r="M4" s="2">
        <v>304.27999999999997</v>
      </c>
      <c r="N4" s="2">
        <v>304.27999999999997</v>
      </c>
      <c r="O4" s="2">
        <v>304.27999999999997</v>
      </c>
      <c r="P4" s="2">
        <v>304.27999999999997</v>
      </c>
      <c r="Q4" s="2"/>
      <c r="R4" s="2"/>
      <c r="S4" s="2"/>
      <c r="T4" s="45" t="s">
        <v>16</v>
      </c>
      <c r="U4" s="4">
        <v>2.1168</v>
      </c>
      <c r="V4" s="2" t="s">
        <v>12</v>
      </c>
      <c r="X4" s="45" t="s">
        <v>16</v>
      </c>
      <c r="Y4" s="57">
        <v>1.3179000000000001</v>
      </c>
      <c r="Z4" s="2" t="s">
        <v>12</v>
      </c>
    </row>
    <row r="5" spans="2:31" x14ac:dyDescent="0.3">
      <c r="B5" s="5" t="s">
        <v>0</v>
      </c>
      <c r="C5" s="2">
        <v>386.55</v>
      </c>
      <c r="D5" s="2">
        <v>389.02</v>
      </c>
      <c r="E5" s="2">
        <v>391.46</v>
      </c>
      <c r="F5" s="2">
        <v>393.87</v>
      </c>
      <c r="G5" s="2">
        <v>396.25</v>
      </c>
      <c r="H5" s="2">
        <v>398.6</v>
      </c>
      <c r="I5" s="2">
        <v>400.92</v>
      </c>
      <c r="J5" s="2">
        <v>403.2</v>
      </c>
      <c r="K5" s="2">
        <v>405.43</v>
      </c>
      <c r="L5" s="2">
        <v>407.61</v>
      </c>
      <c r="M5" s="2">
        <v>409.75</v>
      </c>
      <c r="N5" s="2">
        <v>411.82</v>
      </c>
      <c r="O5" s="2">
        <v>413.84</v>
      </c>
      <c r="P5" s="2">
        <v>415.78</v>
      </c>
      <c r="Q5" s="13">
        <v>417.65</v>
      </c>
      <c r="R5" s="13">
        <v>419.43</v>
      </c>
      <c r="S5" s="13">
        <v>421.11</v>
      </c>
      <c r="T5" s="45" t="s">
        <v>3</v>
      </c>
      <c r="U5" s="2">
        <v>428.65</v>
      </c>
      <c r="V5" s="2" t="s">
        <v>18</v>
      </c>
      <c r="X5" s="45" t="s">
        <v>3</v>
      </c>
      <c r="Y5" s="2">
        <v>423.44</v>
      </c>
      <c r="Z5" s="2" t="s">
        <v>18</v>
      </c>
    </row>
    <row r="6" spans="2:31" x14ac:dyDescent="0.3">
      <c r="B6" s="5" t="s">
        <v>15</v>
      </c>
      <c r="C6" s="2">
        <v>1.7413000000000001</v>
      </c>
      <c r="D6" s="2">
        <v>1.7379</v>
      </c>
      <c r="E6" s="2">
        <v>1.7347999999999999</v>
      </c>
      <c r="F6" s="2">
        <v>1.732</v>
      </c>
      <c r="G6" s="2">
        <v>1.7294</v>
      </c>
      <c r="H6" s="2">
        <v>1.7271000000000001</v>
      </c>
      <c r="I6" s="2">
        <v>1.7250000000000001</v>
      </c>
      <c r="J6" s="2">
        <v>1.7230000000000001</v>
      </c>
      <c r="K6" s="2">
        <v>1.7212000000000001</v>
      </c>
      <c r="L6" s="2">
        <v>1.7196</v>
      </c>
      <c r="M6" s="2">
        <v>1.718</v>
      </c>
      <c r="N6" s="2">
        <v>1.7165999999999999</v>
      </c>
      <c r="O6" s="2">
        <v>1.7152000000000001</v>
      </c>
      <c r="P6" s="2">
        <v>1.7138</v>
      </c>
      <c r="Q6" s="2">
        <v>1.7123999999999999</v>
      </c>
      <c r="R6" s="2">
        <v>1.7111000000000001</v>
      </c>
      <c r="S6" s="2">
        <v>1.7096</v>
      </c>
      <c r="T6" s="45" t="s">
        <v>5</v>
      </c>
      <c r="U6" s="2">
        <v>304.27999999999997</v>
      </c>
      <c r="V6" s="2"/>
      <c r="X6" s="45" t="s">
        <v>5</v>
      </c>
      <c r="Y6" s="2">
        <v>271.62</v>
      </c>
      <c r="Z6" s="2"/>
    </row>
    <row r="7" spans="2:31" x14ac:dyDescent="0.3">
      <c r="B7" s="5" t="s">
        <v>94</v>
      </c>
      <c r="C7" s="2">
        <v>444.59333023114823</v>
      </c>
      <c r="D7" s="2">
        <v>443.3906795734315</v>
      </c>
      <c r="E7" s="2">
        <v>442.29414515021921</v>
      </c>
      <c r="F7" s="2">
        <v>441.30372696151142</v>
      </c>
      <c r="G7" s="2">
        <v>440.38838779879279</v>
      </c>
      <c r="H7" s="2">
        <v>439.58590800114979</v>
      </c>
      <c r="I7" s="2">
        <v>438.85320905547576</v>
      </c>
      <c r="J7" s="2">
        <v>438.15540053578616</v>
      </c>
      <c r="K7" s="2">
        <v>437.52737286806558</v>
      </c>
      <c r="L7" s="2">
        <v>436.96912605231387</v>
      </c>
      <c r="M7" s="2">
        <v>436.41087923656221</v>
      </c>
      <c r="N7" s="2">
        <v>435.92241327277952</v>
      </c>
      <c r="O7" s="2">
        <v>435.43394730899684</v>
      </c>
      <c r="P7" s="2">
        <v>434.94548134521415</v>
      </c>
      <c r="Q7" s="2">
        <v>434.4570153814314</v>
      </c>
      <c r="R7" s="2">
        <v>434.00343984363326</v>
      </c>
      <c r="S7" s="2">
        <v>433.48008345386603</v>
      </c>
      <c r="T7" s="45" t="s">
        <v>4</v>
      </c>
      <c r="U7" s="2">
        <v>1.6956</v>
      </c>
      <c r="V7" s="2" t="s">
        <v>19</v>
      </c>
      <c r="X7" s="45" t="s">
        <v>4</v>
      </c>
      <c r="Y7" s="2">
        <v>1.7072000000000001</v>
      </c>
      <c r="Z7" s="2" t="s">
        <v>19</v>
      </c>
    </row>
    <row r="8" spans="2:31" x14ac:dyDescent="0.3">
      <c r="B8" s="2" t="s">
        <v>95</v>
      </c>
      <c r="C8" s="2">
        <v>434.5755850790361</v>
      </c>
      <c r="D8" s="2">
        <v>433.44059976339736</v>
      </c>
      <c r="E8" s="2">
        <v>432.40576021090328</v>
      </c>
      <c r="F8" s="2">
        <v>431.48443630808788</v>
      </c>
      <c r="G8" s="2">
        <v>430.6293810663862</v>
      </c>
      <c r="H8" s="2">
        <v>429.8729860448808</v>
      </c>
      <c r="I8" s="2">
        <v>429.18236450350639</v>
      </c>
      <c r="J8" s="2">
        <v>428.52462970219733</v>
      </c>
      <c r="K8" s="2">
        <v>427.93724683678386</v>
      </c>
      <c r="L8" s="2">
        <v>427.4162915166105</v>
      </c>
      <c r="M8" s="2">
        <v>426.89533619643714</v>
      </c>
      <c r="N8" s="2">
        <v>426.43950029128547</v>
      </c>
      <c r="O8" s="2">
        <v>425.98366438613385</v>
      </c>
      <c r="P8" s="2">
        <v>425.52782848098218</v>
      </c>
      <c r="Q8" s="2">
        <v>425.07199257583051</v>
      </c>
      <c r="R8" s="2">
        <v>424.6487163781897</v>
      </c>
      <c r="S8" s="2">
        <v>424.16032076552722</v>
      </c>
      <c r="T8" s="46" t="s">
        <v>17</v>
      </c>
      <c r="U8" s="3">
        <v>1.3331999999999999</v>
      </c>
      <c r="V8" s="2"/>
      <c r="X8" s="46" t="s">
        <v>17</v>
      </c>
      <c r="Y8" s="3">
        <v>1.2375</v>
      </c>
      <c r="Z8" s="2"/>
    </row>
    <row r="9" spans="2:3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3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3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4" spans="2:31" x14ac:dyDescent="0.3">
      <c r="C14" s="5" t="s">
        <v>7</v>
      </c>
      <c r="D14" s="6">
        <v>2</v>
      </c>
      <c r="E14" s="6"/>
      <c r="F14" s="5"/>
      <c r="K14" s="6" t="s">
        <v>22</v>
      </c>
      <c r="L14" s="6">
        <v>2.2000000000000002</v>
      </c>
      <c r="M14" s="6"/>
      <c r="N14" s="6"/>
      <c r="S14" s="12" t="s">
        <v>8</v>
      </c>
      <c r="T14" s="17">
        <v>2.1168</v>
      </c>
      <c r="U14" s="9"/>
      <c r="V14" s="10"/>
      <c r="W14" s="5" t="s">
        <v>7</v>
      </c>
      <c r="X14" s="58">
        <v>1.2</v>
      </c>
      <c r="Y14" s="58"/>
      <c r="Z14" s="5"/>
      <c r="AB14" s="58" t="s">
        <v>22</v>
      </c>
      <c r="AC14" s="58">
        <v>1.4</v>
      </c>
      <c r="AD14" s="58"/>
      <c r="AE14" s="58"/>
    </row>
    <row r="15" spans="2:31" x14ac:dyDescent="0.3">
      <c r="C15" s="5" t="s">
        <v>13</v>
      </c>
      <c r="D15" s="5" t="s">
        <v>10</v>
      </c>
      <c r="E15" s="5" t="s">
        <v>11</v>
      </c>
      <c r="F15" s="5"/>
      <c r="K15" s="6" t="s">
        <v>13</v>
      </c>
      <c r="L15" s="6" t="s">
        <v>10</v>
      </c>
      <c r="M15" s="6" t="s">
        <v>11</v>
      </c>
      <c r="N15" s="6"/>
      <c r="S15" s="2" t="s">
        <v>14</v>
      </c>
      <c r="T15" s="106" t="s">
        <v>2</v>
      </c>
      <c r="U15" s="107"/>
      <c r="W15" s="5" t="s">
        <v>13</v>
      </c>
      <c r="X15" s="5" t="s">
        <v>10</v>
      </c>
      <c r="Y15" s="5" t="s">
        <v>11</v>
      </c>
      <c r="Z15" s="5"/>
      <c r="AB15" s="58" t="s">
        <v>13</v>
      </c>
      <c r="AC15" s="58" t="s">
        <v>10</v>
      </c>
      <c r="AD15" s="58" t="s">
        <v>11</v>
      </c>
      <c r="AE15" s="58"/>
    </row>
    <row r="16" spans="2:31" x14ac:dyDescent="0.3">
      <c r="C16" s="4">
        <v>67.489999999999995</v>
      </c>
      <c r="D16" s="2">
        <v>428.52</v>
      </c>
      <c r="E16" s="2">
        <v>1.6982999999999999</v>
      </c>
      <c r="F16" s="2"/>
      <c r="K16" s="4">
        <v>71.739999999999995</v>
      </c>
      <c r="L16" s="2">
        <v>429.08</v>
      </c>
      <c r="M16" s="2">
        <v>1.6948000000000001</v>
      </c>
      <c r="N16" s="2"/>
      <c r="S16" s="2"/>
      <c r="T16" s="2"/>
      <c r="U16" s="2"/>
      <c r="W16" s="57">
        <v>46.32</v>
      </c>
      <c r="X16" s="2">
        <v>422.22</v>
      </c>
      <c r="Y16" s="2">
        <v>1.7092000000000001</v>
      </c>
      <c r="Z16" s="2"/>
      <c r="AB16" s="7">
        <v>52.43</v>
      </c>
      <c r="AC16" s="8">
        <v>424.5</v>
      </c>
      <c r="AD16" s="8">
        <v>1.7068000000000001</v>
      </c>
      <c r="AE16" s="2"/>
    </row>
    <row r="17" spans="1:31" x14ac:dyDescent="0.3">
      <c r="C17" s="7">
        <v>70</v>
      </c>
      <c r="D17" s="8">
        <v>432.22</v>
      </c>
      <c r="E17" s="8">
        <v>1.7091000000000001</v>
      </c>
      <c r="F17" s="2"/>
      <c r="K17" s="4"/>
      <c r="L17" s="2"/>
      <c r="M17" s="2"/>
      <c r="N17" s="2"/>
      <c r="S17" s="2"/>
      <c r="T17" s="2"/>
      <c r="U17" s="2"/>
      <c r="W17" s="7">
        <v>50</v>
      </c>
      <c r="X17" s="8">
        <v>426.51</v>
      </c>
      <c r="Y17" s="8">
        <v>1.7225999999999999</v>
      </c>
      <c r="Z17" s="2"/>
      <c r="AB17" s="7">
        <v>60</v>
      </c>
      <c r="AC17" s="8">
        <v>433.69</v>
      </c>
      <c r="AD17" s="8">
        <v>1.7346999999999999</v>
      </c>
      <c r="AE17" s="2"/>
    </row>
    <row r="18" spans="1:31" x14ac:dyDescent="0.3">
      <c r="C18" s="7">
        <v>80</v>
      </c>
      <c r="D18" s="8">
        <v>445.86</v>
      </c>
      <c r="E18" s="8">
        <v>1.7483</v>
      </c>
      <c r="F18" s="2"/>
      <c r="K18" s="7">
        <v>80</v>
      </c>
      <c r="L18" s="8">
        <v>441.49</v>
      </c>
      <c r="M18" s="8">
        <v>1.7302999999999999</v>
      </c>
      <c r="N18" s="2"/>
      <c r="S18" s="2"/>
      <c r="T18" s="2"/>
      <c r="U18" s="2"/>
      <c r="W18" s="7">
        <v>60</v>
      </c>
      <c r="X18" s="8">
        <v>437.83</v>
      </c>
      <c r="Y18" s="8">
        <v>1.7571000000000001</v>
      </c>
      <c r="Z18" s="2"/>
      <c r="AB18" s="7">
        <v>70</v>
      </c>
      <c r="AC18" s="8">
        <v>445.31</v>
      </c>
      <c r="AD18" s="8">
        <v>1.7690999999999999</v>
      </c>
      <c r="AE18" s="2"/>
    </row>
    <row r="19" spans="1:31" x14ac:dyDescent="0.3">
      <c r="C19" s="4">
        <v>90</v>
      </c>
      <c r="D19" s="2">
        <v>458.49</v>
      </c>
      <c r="E19" s="2">
        <v>1.7835000000000001</v>
      </c>
      <c r="F19" s="2"/>
      <c r="K19" s="7">
        <v>90</v>
      </c>
      <c r="L19" s="8">
        <v>454.98</v>
      </c>
      <c r="M19" s="8">
        <v>1.768</v>
      </c>
      <c r="N19" s="2"/>
      <c r="S19" s="2"/>
      <c r="T19" s="2"/>
      <c r="U19" s="2"/>
      <c r="W19" s="57">
        <v>70</v>
      </c>
      <c r="X19" s="2"/>
      <c r="Y19" s="2"/>
      <c r="Z19" s="2"/>
      <c r="AB19" s="76">
        <v>80</v>
      </c>
      <c r="AC19" s="77"/>
      <c r="AD19" s="77"/>
      <c r="AE19" s="2"/>
    </row>
    <row r="20" spans="1:31" x14ac:dyDescent="0.3">
      <c r="C20" s="4">
        <v>100</v>
      </c>
      <c r="D20" s="2"/>
      <c r="E20" s="2"/>
      <c r="F20" s="2"/>
      <c r="K20" s="4">
        <v>100</v>
      </c>
      <c r="L20" s="2">
        <v>467.61</v>
      </c>
      <c r="M20" s="2">
        <v>1.8023</v>
      </c>
      <c r="N20" s="2"/>
      <c r="S20" s="2"/>
      <c r="T20" s="2"/>
      <c r="U20" s="2"/>
      <c r="W20" s="57">
        <v>80</v>
      </c>
      <c r="X20" s="2"/>
      <c r="Y20" s="2"/>
      <c r="Z20" s="2"/>
      <c r="AB20" s="57">
        <v>90</v>
      </c>
      <c r="AC20" s="2"/>
      <c r="AD20" s="2"/>
      <c r="AE20" s="2"/>
    </row>
    <row r="21" spans="1:31" x14ac:dyDescent="0.3">
      <c r="C21" s="1"/>
      <c r="K21" s="1"/>
    </row>
    <row r="23" spans="1:31" x14ac:dyDescent="0.3">
      <c r="B23" s="14"/>
      <c r="C23" s="14"/>
      <c r="D23" s="14"/>
      <c r="E23" s="14"/>
      <c r="F23" s="14"/>
      <c r="G23" s="102" t="s">
        <v>21</v>
      </c>
      <c r="H23" s="102"/>
      <c r="I23" s="102"/>
      <c r="J23" s="102"/>
      <c r="K23" s="102"/>
      <c r="L23" s="102"/>
      <c r="M23" s="102"/>
      <c r="N23" s="102"/>
      <c r="O23" s="102"/>
      <c r="P23" s="102"/>
      <c r="Q23" s="14"/>
      <c r="R23" s="14"/>
      <c r="S23" s="14"/>
      <c r="T23" s="14"/>
      <c r="U23" s="14"/>
      <c r="V23" s="14"/>
    </row>
    <row r="24" spans="1:31" x14ac:dyDescent="0.3">
      <c r="B24" s="14"/>
      <c r="C24" s="14"/>
      <c r="D24" s="14"/>
      <c r="E24" s="14"/>
      <c r="F24" s="14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4"/>
      <c r="R24" s="14"/>
      <c r="S24" s="14"/>
      <c r="T24" s="14"/>
      <c r="U24" s="14"/>
      <c r="V24" s="14"/>
    </row>
    <row r="27" spans="1:31" x14ac:dyDescent="0.3">
      <c r="D27" s="105"/>
      <c r="E27" s="105"/>
      <c r="F27" s="15"/>
    </row>
    <row r="28" spans="1:31" x14ac:dyDescent="0.3">
      <c r="E28" s="103" t="s">
        <v>88</v>
      </c>
      <c r="F28" s="103"/>
    </row>
    <row r="29" spans="1:31" x14ac:dyDescent="0.3">
      <c r="B29" s="2" t="s">
        <v>100</v>
      </c>
      <c r="C29" s="2">
        <f>D18-((E18-C6)/(E18-E17)*(D18-D17))</f>
        <v>443.42428571428576</v>
      </c>
      <c r="D29" s="2">
        <f>D18-((E18-D6)/(E18-E17)*(D18-D17))</f>
        <v>442.24122448979591</v>
      </c>
      <c r="E29" s="2">
        <f>D18-((E18-E6)/(E18-E17)*(D18-D17))</f>
        <v>441.16255102040816</v>
      </c>
      <c r="F29" s="2">
        <f>D18-((E18-F6)/(E18-E17)*(D18-D17))</f>
        <v>440.18826530612245</v>
      </c>
      <c r="G29" s="2">
        <f>D18-((E18-G6)/(E18-E17)*(D18-D17))</f>
        <v>439.28357142857146</v>
      </c>
      <c r="H29" s="2">
        <f>D18-((E18-H6)/(E18-E17)*(D18-D17))</f>
        <v>438.48326530612246</v>
      </c>
      <c r="I29" s="2">
        <f>D18-((E18-I6)/(E18-E17)*(D18-D17))</f>
        <v>437.75255102040819</v>
      </c>
      <c r="J29" s="2">
        <f>D18-((E18-J6)/(E18-E17)*(D18-D17))</f>
        <v>437.05663265306129</v>
      </c>
      <c r="K29" s="2">
        <f>D18-((E18-K6)/(E18-E17)*(D18-D17))</f>
        <v>436.430306122449</v>
      </c>
      <c r="L29" s="2">
        <f>D18-((E18-L6)/(E18-E17)*(D18-D17))</f>
        <v>435.87357142857144</v>
      </c>
      <c r="M29" s="2">
        <f>D18-((E18-M6)/(E18-E17)*(D18-D17))</f>
        <v>435.31683673469388</v>
      </c>
      <c r="N29" s="2">
        <f>D18-((E18-N6)/(E18-E17)*(D18-D17))</f>
        <v>434.82969387755099</v>
      </c>
      <c r="O29" s="2">
        <f>D18-((E18-O6)/(E18-E17)*(D18-D17))</f>
        <v>434.34255102040817</v>
      </c>
      <c r="P29" s="2">
        <f>D18-((E18-P6)/(E18-E17)*(D18-D17))</f>
        <v>433.85540816326534</v>
      </c>
      <c r="Q29" s="2">
        <f>D18-((E18-Q6)/(E18-E17)*(D18-D17))</f>
        <v>433.36826530612245</v>
      </c>
      <c r="R29" s="2">
        <f>D18-((E18-R6)/(E18-E17)*(D18-D17))</f>
        <v>432.91591836734699</v>
      </c>
      <c r="S29" s="2">
        <f>D18-((E18-S6)/(E18-E17)*(D18-D17))</f>
        <v>432.39397959183674</v>
      </c>
    </row>
    <row r="30" spans="1:31" x14ac:dyDescent="0.3">
      <c r="B30" s="2" t="s">
        <v>101</v>
      </c>
      <c r="C30" s="2">
        <f>X18-((Y18-C6)/(Y18-Y17)*(X18-X17))</f>
        <v>432.64576811594202</v>
      </c>
      <c r="D30" s="2">
        <f>X18-((Y18-D6)/(Y18-Y17)*(X18-X17))</f>
        <v>431.53017391304348</v>
      </c>
      <c r="E30" s="2">
        <f>X18-((Y18-E6)/(Y18-Y17)*(X18-X17))</f>
        <v>430.5130144927536</v>
      </c>
      <c r="F30" s="2">
        <f>X18-((Y18-F6)/(Y18-Y17)*(X18-X17))</f>
        <v>429.59428985507247</v>
      </c>
      <c r="G30" s="2">
        <f>X18-((Y18-G6)/(Y18-Y17)*(X18-X17))</f>
        <v>428.74118840579712</v>
      </c>
      <c r="H30" s="2">
        <f>X18-((Y18-H6)/(Y18-Y17)*(X18-X17))</f>
        <v>427.98652173913047</v>
      </c>
      <c r="I30" s="2">
        <f>X18-((Y18-I6)/(Y18-Y17)*(X18-X17))</f>
        <v>427.29747826086964</v>
      </c>
      <c r="J30" s="2">
        <f>X18-((Y18-J6)/(Y18-Y17)*(X18-X17))</f>
        <v>426.64124637681164</v>
      </c>
      <c r="K30" s="2">
        <f>X17-((Y17-K6)/(Y17-Y16)*(X17-X16))</f>
        <v>426.06179104477616</v>
      </c>
      <c r="L30" s="2">
        <f>X17-((Y17-L6)/(Y17-Y16)*(X17-X16))</f>
        <v>425.54955223880597</v>
      </c>
      <c r="M30" s="2">
        <f>X17-((Y17-M6)/(Y17-Y16)*(X17-X16))</f>
        <v>425.03731343283584</v>
      </c>
      <c r="N30" s="2">
        <f>X17-((Y17-N6)/(Y17-Y16)*(X17-X16))</f>
        <v>424.5891044776119</v>
      </c>
      <c r="O30" s="2">
        <f>X17-((Y17-O6)/(Y17-Y16)*(X17-X16))</f>
        <v>424.14089552238812</v>
      </c>
      <c r="P30" s="2">
        <f>X17-((Y17-P6)/(Y17-Y16)*(X17-X16))</f>
        <v>423.69268656716417</v>
      </c>
      <c r="Q30" s="2">
        <f>X17-((Y17-Q6)/(Y17-Y16)*(X17-X16))</f>
        <v>423.24447761194028</v>
      </c>
      <c r="R30" s="2">
        <f>X17-((Y17-R6)/(Y17-Y16)*(X17-X16))</f>
        <v>422.82828358208957</v>
      </c>
      <c r="S30" s="2">
        <f>X17-((Y17-S6)/(Y17-Y16)*(X17-X16))</f>
        <v>422.34805970149256</v>
      </c>
    </row>
    <row r="31" spans="1:31" x14ac:dyDescent="0.3">
      <c r="A31" s="14" t="s">
        <v>89</v>
      </c>
      <c r="J31" s="15"/>
    </row>
    <row r="33" spans="1:19" x14ac:dyDescent="0.3">
      <c r="A33" s="5" t="s">
        <v>28</v>
      </c>
      <c r="B33" s="5" t="s">
        <v>23</v>
      </c>
      <c r="C33" s="2">
        <f>C7-C5</f>
        <v>58.043330231148218</v>
      </c>
      <c r="D33" s="2">
        <f>D7-D5</f>
        <v>54.370679573431516</v>
      </c>
      <c r="E33" s="2">
        <f t="shared" ref="E33:P33" si="0">E7-E5</f>
        <v>50.834145150219229</v>
      </c>
      <c r="F33" s="2">
        <f t="shared" si="0"/>
        <v>47.433726961511411</v>
      </c>
      <c r="G33" s="2">
        <f t="shared" si="0"/>
        <v>44.138387798792792</v>
      </c>
      <c r="H33" s="2">
        <f t="shared" si="0"/>
        <v>40.985908001149767</v>
      </c>
      <c r="I33" s="2">
        <f t="shared" si="0"/>
        <v>37.933209055475743</v>
      </c>
      <c r="J33" s="2">
        <f t="shared" si="0"/>
        <v>34.955400535786168</v>
      </c>
      <c r="K33" s="2">
        <f t="shared" si="0"/>
        <v>32.097372868065577</v>
      </c>
      <c r="L33" s="2">
        <f t="shared" si="0"/>
        <v>29.359126052313854</v>
      </c>
      <c r="M33" s="2">
        <f t="shared" si="0"/>
        <v>26.660879236562209</v>
      </c>
      <c r="N33" s="2">
        <f t="shared" si="0"/>
        <v>24.102413272779529</v>
      </c>
      <c r="O33" s="2">
        <f t="shared" si="0"/>
        <v>21.59394730899686</v>
      </c>
      <c r="P33" s="2">
        <f t="shared" si="0"/>
        <v>19.165481345214175</v>
      </c>
      <c r="Q33" s="2">
        <f>Q7-Q5</f>
        <v>16.807015381431427</v>
      </c>
      <c r="R33" s="2">
        <f>R7-R5</f>
        <v>14.573439843633253</v>
      </c>
      <c r="S33" s="2">
        <f t="shared" ref="S33" si="1">S7-S5</f>
        <v>12.370083453866016</v>
      </c>
    </row>
    <row r="34" spans="1:19" x14ac:dyDescent="0.3">
      <c r="A34" s="61" t="s">
        <v>29</v>
      </c>
      <c r="B34" s="61" t="s">
        <v>24</v>
      </c>
      <c r="C34" s="62">
        <f>C7-U6</f>
        <v>140.31333023114826</v>
      </c>
      <c r="D34" s="62">
        <f>D7-U6</f>
        <v>139.11067957343153</v>
      </c>
      <c r="E34" s="62">
        <f>E7-U6</f>
        <v>138.01414515021924</v>
      </c>
      <c r="F34" s="62">
        <f>F7-U6</f>
        <v>137.02372696151144</v>
      </c>
      <c r="G34" s="62">
        <f>G7-U6</f>
        <v>136.10838779879282</v>
      </c>
      <c r="H34" s="62">
        <f>H7-U6</f>
        <v>135.30590800114982</v>
      </c>
      <c r="I34" s="62">
        <f>I7-U6</f>
        <v>134.57320905547579</v>
      </c>
      <c r="J34" s="62">
        <f>J7-U6</f>
        <v>133.87540053578618</v>
      </c>
      <c r="K34" s="62">
        <f>K7-U6</f>
        <v>133.24737286806561</v>
      </c>
      <c r="L34" s="62">
        <f>L7-U6</f>
        <v>132.6891260523139</v>
      </c>
      <c r="M34" s="62">
        <f>M7-U6</f>
        <v>132.13087923656224</v>
      </c>
      <c r="N34" s="62">
        <f>N7-U6</f>
        <v>131.64241327277955</v>
      </c>
      <c r="O34" s="62">
        <f>O7-U6</f>
        <v>131.15394730899686</v>
      </c>
      <c r="P34" s="62">
        <f>P7-U6</f>
        <v>130.66548134521418</v>
      </c>
      <c r="Q34" s="2">
        <f>Q7-U6</f>
        <v>130.17701538143143</v>
      </c>
      <c r="R34" s="2">
        <f>R7-U6</f>
        <v>129.72343984363329</v>
      </c>
      <c r="S34" s="2">
        <f>S7-U6</f>
        <v>129.20008345386606</v>
      </c>
    </row>
    <row r="35" spans="1:19" x14ac:dyDescent="0.3">
      <c r="A35" s="48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45"/>
    </row>
    <row r="36" spans="1:19" x14ac:dyDescent="0.3">
      <c r="A36" s="71" t="s">
        <v>91</v>
      </c>
      <c r="B36" s="71" t="s">
        <v>25</v>
      </c>
      <c r="C36" s="72">
        <f>C34/C33</f>
        <v>2.4173893825935386</v>
      </c>
      <c r="D36" s="72">
        <f>D34/D33</f>
        <v>2.5585606187899956</v>
      </c>
      <c r="E36" s="72">
        <f t="shared" ref="E36:O36" si="2">E34/E33</f>
        <v>2.714989004779675</v>
      </c>
      <c r="F36" s="72">
        <f t="shared" si="2"/>
        <v>2.8887404751622192</v>
      </c>
      <c r="G36" s="72">
        <f t="shared" si="2"/>
        <v>3.0836737494638502</v>
      </c>
      <c r="H36" s="72">
        <f t="shared" si="2"/>
        <v>3.3012787711657898</v>
      </c>
      <c r="I36" s="72">
        <f t="shared" si="2"/>
        <v>3.5476357631295592</v>
      </c>
      <c r="J36" s="72">
        <f t="shared" si="2"/>
        <v>3.8298917616100274</v>
      </c>
      <c r="K36" s="72">
        <f t="shared" si="2"/>
        <v>4.1513482556896895</v>
      </c>
      <c r="L36" s="72">
        <f t="shared" si="2"/>
        <v>4.5195189330867835</v>
      </c>
      <c r="M36" s="72">
        <f t="shared" si="2"/>
        <v>4.9559835616884129</v>
      </c>
      <c r="N36" s="72">
        <f t="shared" si="2"/>
        <v>5.4617938786010338</v>
      </c>
      <c r="O36" s="72">
        <f t="shared" si="2"/>
        <v>6.0736439444007138</v>
      </c>
      <c r="P36" s="72">
        <f>P34/P33</f>
        <v>6.8177510907046814</v>
      </c>
      <c r="Q36" s="2">
        <f>Q34/Q33</f>
        <v>7.7453975275855589</v>
      </c>
      <c r="R36" s="2">
        <f>R34/R33</f>
        <v>8.9013603675940658</v>
      </c>
      <c r="S36" s="2">
        <f t="shared" ref="S36" si="3">S34/S33</f>
        <v>10.444560373073895</v>
      </c>
    </row>
    <row r="37" spans="1:19" x14ac:dyDescent="0.3">
      <c r="A37" s="71" t="s">
        <v>92</v>
      </c>
      <c r="B37" s="65"/>
      <c r="C37" s="66">
        <f>C45/C44</f>
        <v>3.3930994242102157</v>
      </c>
      <c r="D37" s="66">
        <f>D45/D44</f>
        <v>3.6429179395442945</v>
      </c>
      <c r="E37" s="66">
        <f t="shared" ref="E37:S37" si="4">E45/E44</f>
        <v>3.9267987548094956</v>
      </c>
      <c r="F37" s="66">
        <f t="shared" si="4"/>
        <v>4.2500819365918225</v>
      </c>
      <c r="G37" s="66">
        <f t="shared" si="4"/>
        <v>4.6251379790503169</v>
      </c>
      <c r="H37" s="66">
        <f t="shared" si="4"/>
        <v>5.0603733784093174</v>
      </c>
      <c r="I37" s="66">
        <f t="shared" si="4"/>
        <v>5.5749887623152823</v>
      </c>
      <c r="J37" s="66">
        <f t="shared" si="4"/>
        <v>6.1957324370505278</v>
      </c>
      <c r="K37" s="66">
        <f t="shared" si="4"/>
        <v>6.9451962725762089</v>
      </c>
      <c r="L37" s="66">
        <f t="shared" si="4"/>
        <v>7.8660001235441985</v>
      </c>
      <c r="M37" s="66">
        <f t="shared" si="4"/>
        <v>9.0564182829324675</v>
      </c>
      <c r="N37" s="66">
        <f t="shared" si="4"/>
        <v>10.589931065124823</v>
      </c>
      <c r="O37" s="66">
        <f t="shared" si="4"/>
        <v>12.711456729847743</v>
      </c>
      <c r="P37" s="66">
        <f t="shared" si="4"/>
        <v>15.788934815713352</v>
      </c>
      <c r="Q37" s="66">
        <f t="shared" si="4"/>
        <v>20.67530936039222</v>
      </c>
      <c r="R37" s="66">
        <f t="shared" si="4"/>
        <v>29.32305672286282</v>
      </c>
      <c r="S37" s="66">
        <f t="shared" si="4"/>
        <v>50.007960634645855</v>
      </c>
    </row>
    <row r="38" spans="1:19" x14ac:dyDescent="0.3">
      <c r="A38" s="67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70"/>
    </row>
    <row r="39" spans="1:19" ht="43.2" x14ac:dyDescent="0.3">
      <c r="A39" s="63" t="s">
        <v>26</v>
      </c>
      <c r="B39" s="64" t="s">
        <v>27</v>
      </c>
      <c r="C39" s="59">
        <f>C36*(70-C3)/(C3+273.15)</f>
        <v>0.85943134281421485</v>
      </c>
      <c r="D39" s="59">
        <f>D36*(70-D3)/(D3+273.15)</f>
        <v>0.8556726160448751</v>
      </c>
      <c r="E39" s="59">
        <f t="shared" ref="E39:P39" si="5">E36*(70-E3)/(E3+273.15)</f>
        <v>0.8524951115907845</v>
      </c>
      <c r="F39" s="59">
        <f t="shared" si="5"/>
        <v>0.8497897682921105</v>
      </c>
      <c r="G39" s="59">
        <f t="shared" si="5"/>
        <v>0.84782410351226056</v>
      </c>
      <c r="H39" s="59">
        <f t="shared" si="5"/>
        <v>0.84601689175033978</v>
      </c>
      <c r="I39" s="59">
        <f t="shared" si="5"/>
        <v>0.84482756762240996</v>
      </c>
      <c r="J39" s="59">
        <f t="shared" si="5"/>
        <v>0.84457865630382967</v>
      </c>
      <c r="K39" s="59">
        <f t="shared" si="5"/>
        <v>0.84439136885850263</v>
      </c>
      <c r="L39" s="59">
        <f t="shared" si="5"/>
        <v>0.84403950332590816</v>
      </c>
      <c r="M39" s="59">
        <f t="shared" si="5"/>
        <v>0.84529823668572635</v>
      </c>
      <c r="N39" s="59">
        <f t="shared" si="5"/>
        <v>0.8455073815098354</v>
      </c>
      <c r="O39" s="59">
        <f t="shared" si="5"/>
        <v>0.84706307708726547</v>
      </c>
      <c r="P39" s="59">
        <f t="shared" si="5"/>
        <v>0.84900718153949839</v>
      </c>
      <c r="Q39" s="2">
        <f>Q36*(70-Q3)/(Q3+273.15)</f>
        <v>0.85183087801361479</v>
      </c>
      <c r="R39" s="2">
        <f>R36*(70-R3)/(R3+273.15)</f>
        <v>0.85275686101811266</v>
      </c>
      <c r="S39" s="2">
        <f t="shared" ref="S39" si="6">S36*(70-S3)/(S3+273.15)</f>
        <v>0.85624647548453814</v>
      </c>
    </row>
    <row r="40" spans="1:19" x14ac:dyDescent="0.3">
      <c r="B40" t="s">
        <v>96</v>
      </c>
      <c r="C40">
        <f>C37*(50-C3)/(C3+273.15)</f>
        <v>0.93824593993567107</v>
      </c>
      <c r="D40">
        <f>D37*(50-D3)/(D3+273.15)</f>
        <v>0.93498963254879819</v>
      </c>
      <c r="E40">
        <f t="shared" ref="E40:S40" si="7">E37*(50-E3)/(E3+273.15)</f>
        <v>0.93226698371889238</v>
      </c>
      <c r="F40">
        <f t="shared" si="7"/>
        <v>0.92968037836064765</v>
      </c>
      <c r="G40">
        <f t="shared" si="7"/>
        <v>0.92794891647303412</v>
      </c>
      <c r="H40">
        <f t="shared" si="7"/>
        <v>0.9262993553742116</v>
      </c>
      <c r="I40">
        <f t="shared" si="7"/>
        <v>0.92530933814361538</v>
      </c>
      <c r="J40">
        <f t="shared" si="7"/>
        <v>0.92555846472033509</v>
      </c>
      <c r="K40">
        <f t="shared" si="7"/>
        <v>0.92553904386426789</v>
      </c>
      <c r="L40">
        <f t="shared" si="7"/>
        <v>0.9249317108784465</v>
      </c>
      <c r="M40">
        <f t="shared" si="7"/>
        <v>0.92680384952404582</v>
      </c>
      <c r="N40">
        <f t="shared" si="7"/>
        <v>0.92659669423942603</v>
      </c>
      <c r="O40">
        <f t="shared" si="7"/>
        <v>0.92861380726100073</v>
      </c>
      <c r="P40">
        <f t="shared" si="7"/>
        <v>0.93134794914907537</v>
      </c>
      <c r="Q40">
        <f t="shared" si="7"/>
        <v>0.93629089776966223</v>
      </c>
      <c r="R40">
        <f t="shared" si="7"/>
        <v>0.93639012367436769</v>
      </c>
      <c r="S40">
        <f t="shared" si="7"/>
        <v>0.94607524454635084</v>
      </c>
    </row>
    <row r="42" spans="1:19" x14ac:dyDescent="0.3">
      <c r="A42" s="5" t="s">
        <v>31</v>
      </c>
      <c r="B42" s="5" t="s">
        <v>30</v>
      </c>
      <c r="C42" s="2">
        <f>50000/C34</f>
        <v>356.34533025216774</v>
      </c>
      <c r="D42" s="2">
        <f>50000/D34</f>
        <v>359.42603510614583</v>
      </c>
      <c r="E42" s="2">
        <f>50000/E34</f>
        <v>362.28170631045333</v>
      </c>
      <c r="F42" s="2">
        <f t="shared" ref="F42:P42" si="8">50000/F34</f>
        <v>364.90030674792905</v>
      </c>
      <c r="G42" s="2">
        <f t="shared" si="8"/>
        <v>367.35428880337867</v>
      </c>
      <c r="H42" s="2">
        <f t="shared" si="8"/>
        <v>369.53301403198969</v>
      </c>
      <c r="I42" s="2">
        <f t="shared" si="8"/>
        <v>371.5449780155592</v>
      </c>
      <c r="J42" s="2">
        <f t="shared" si="8"/>
        <v>373.48160901774122</v>
      </c>
      <c r="K42" s="2">
        <f t="shared" si="8"/>
        <v>375.24191977508866</v>
      </c>
      <c r="L42" s="2">
        <f t="shared" si="8"/>
        <v>376.82062944846774</v>
      </c>
      <c r="M42" s="2">
        <f t="shared" si="8"/>
        <v>378.41267907164871</v>
      </c>
      <c r="N42" s="2">
        <f t="shared" si="8"/>
        <v>379.81679883362318</v>
      </c>
      <c r="O42" s="2">
        <f t="shared" si="8"/>
        <v>381.23137752156782</v>
      </c>
      <c r="P42" s="2">
        <f t="shared" si="8"/>
        <v>382.65653243109819</v>
      </c>
      <c r="Q42" s="2">
        <f>50000/Q34</f>
        <v>384.0923826183531</v>
      </c>
      <c r="R42" s="2">
        <f>50000/R34</f>
        <v>385.43535432200423</v>
      </c>
      <c r="S42" s="2">
        <f>50000/S34</f>
        <v>386.99665405288755</v>
      </c>
    </row>
    <row r="44" spans="1:19" x14ac:dyDescent="0.3">
      <c r="A44" s="5" t="s">
        <v>28</v>
      </c>
      <c r="B44" s="5" t="s">
        <v>23</v>
      </c>
      <c r="C44">
        <f>C8-C5</f>
        <v>48.025585079036091</v>
      </c>
      <c r="D44">
        <f>D8-D5</f>
        <v>44.420599763397377</v>
      </c>
      <c r="E44">
        <f t="shared" ref="E44:S44" si="9">E8-E5</f>
        <v>40.945760210903302</v>
      </c>
      <c r="F44">
        <f t="shared" si="9"/>
        <v>37.614436308087875</v>
      </c>
      <c r="G44">
        <f t="shared" si="9"/>
        <v>34.379381066386202</v>
      </c>
      <c r="H44">
        <f t="shared" si="9"/>
        <v>31.272986044880781</v>
      </c>
      <c r="I44">
        <f t="shared" si="9"/>
        <v>28.262364503506376</v>
      </c>
      <c r="J44">
        <f t="shared" si="9"/>
        <v>25.324629702197342</v>
      </c>
      <c r="K44">
        <f t="shared" si="9"/>
        <v>22.50724683678385</v>
      </c>
      <c r="L44">
        <f t="shared" si="9"/>
        <v>19.806291516610486</v>
      </c>
      <c r="M44">
        <f t="shared" si="9"/>
        <v>17.145336196437142</v>
      </c>
      <c r="N44">
        <f t="shared" si="9"/>
        <v>14.619500291285476</v>
      </c>
      <c r="O44">
        <f t="shared" si="9"/>
        <v>12.143664386133878</v>
      </c>
      <c r="P44">
        <f t="shared" si="9"/>
        <v>9.7478284809822071</v>
      </c>
      <c r="Q44">
        <f t="shared" si="9"/>
        <v>7.4219925758305294</v>
      </c>
      <c r="R44">
        <f t="shared" si="9"/>
        <v>5.218716378189697</v>
      </c>
      <c r="S44">
        <f t="shared" si="9"/>
        <v>3.0503207655272035</v>
      </c>
    </row>
    <row r="45" spans="1:19" x14ac:dyDescent="0.3">
      <c r="A45" s="61" t="s">
        <v>29</v>
      </c>
      <c r="B45" s="61" t="s">
        <v>24</v>
      </c>
      <c r="C45">
        <f>C8-Y6</f>
        <v>162.9555850790361</v>
      </c>
      <c r="D45">
        <f>D8-Y6</f>
        <v>161.82059976339735</v>
      </c>
      <c r="E45">
        <f>E8-Y6</f>
        <v>160.78576021090328</v>
      </c>
      <c r="F45">
        <f>F8-Y6</f>
        <v>159.86443630808787</v>
      </c>
      <c r="G45">
        <f>G8-Y6</f>
        <v>159.0093810663862</v>
      </c>
      <c r="H45">
        <f>H8-Y6</f>
        <v>158.2529860448808</v>
      </c>
      <c r="I45">
        <f>I8-Y6</f>
        <v>157.56236450350639</v>
      </c>
      <c r="J45">
        <f>J8-Y6</f>
        <v>156.90462970219733</v>
      </c>
      <c r="K45">
        <f>K8-Y6</f>
        <v>156.31724683678385</v>
      </c>
      <c r="L45">
        <f>L8-Y6</f>
        <v>155.79629151661049</v>
      </c>
      <c r="M45">
        <f>M8-Y6</f>
        <v>155.27533619643714</v>
      </c>
      <c r="N45">
        <f>N8-Y6</f>
        <v>154.81950029128546</v>
      </c>
      <c r="O45">
        <f>O8-Y6</f>
        <v>154.36366438613385</v>
      </c>
      <c r="P45">
        <f>P8-Y6</f>
        <v>153.90782848098218</v>
      </c>
      <c r="Q45">
        <f>Q8-Y6</f>
        <v>153.4519925758305</v>
      </c>
      <c r="R45">
        <f>R8-Y6</f>
        <v>153.0287163781897</v>
      </c>
      <c r="S45">
        <f>S8-Y6</f>
        <v>152.54032076552721</v>
      </c>
    </row>
    <row r="48" spans="1:19" x14ac:dyDescent="0.3">
      <c r="B48" s="2" t="s">
        <v>99</v>
      </c>
      <c r="C48" s="2">
        <f>L19-((M19-C6)/(M19-M18)*(L19-L18))</f>
        <v>445.42607427055708</v>
      </c>
      <c r="D48" s="2">
        <f>L19-((M19-D6)/(M19-M18)*(L19-L18))</f>
        <v>444.20946949602126</v>
      </c>
      <c r="E48" s="2">
        <f>L19-((M19-E6)/(M19-M18)*(L19-L18))</f>
        <v>443.10021220159149</v>
      </c>
      <c r="F48" s="2">
        <f>L19-((M19-F6)/(M19-M18)*(L19-L18))</f>
        <v>442.09830238726795</v>
      </c>
      <c r="G48" s="2">
        <f>L18-((M18-G6)/(M18-M16)*(L18-L16))</f>
        <v>441.1753802816902</v>
      </c>
      <c r="H48" s="2">
        <f>L18-((M18-H6)/(M18-M16)*(L18-L16))</f>
        <v>440.37135211267611</v>
      </c>
      <c r="I48" s="2">
        <f>L18-((M18-I6)/(M18-M16)*(L18-L16))</f>
        <v>439.63723943661978</v>
      </c>
      <c r="J48" s="2">
        <f>L18-((M18-J6)/(M18-M16)*(L18-L16))</f>
        <v>438.93808450704228</v>
      </c>
      <c r="K48" s="2">
        <f>L18-((M18-K6)/(M18-M16)*(L18-L16))</f>
        <v>438.30884507042259</v>
      </c>
      <c r="L48" s="2">
        <f>L18-((M18-L6)/(M18-M16)*(L18-L16))</f>
        <v>437.74952112676056</v>
      </c>
      <c r="M48" s="2">
        <f>L18-((M18-M6)/(M18-M16)*(L18-L16))</f>
        <v>437.19019718309858</v>
      </c>
      <c r="N48" s="2">
        <f>L18-((M18-N6)/(M18-M16)*(L18-L16))</f>
        <v>436.70078873239436</v>
      </c>
      <c r="O48" s="2">
        <f>L18-((M18-O6)/(M18-M16)*(L18-L16))</f>
        <v>436.21138028169014</v>
      </c>
      <c r="P48" s="2">
        <f>L18-((M18-P6)/(M18-M16)*(L18-L16))</f>
        <v>435.72197183098592</v>
      </c>
      <c r="Q48" s="2">
        <f>L18-((M18-Q6)/(M18-M16)*(L18-L16))</f>
        <v>435.23256338028165</v>
      </c>
      <c r="R48" s="2">
        <f>L18-((M18-R6)/(M18-M16)*(L18-L16))</f>
        <v>434.77811267605637</v>
      </c>
      <c r="S48" s="2">
        <f>L18-((M18-S6)/(M18-M16)*(L18-L16))</f>
        <v>434.25374647887321</v>
      </c>
    </row>
    <row r="49" spans="2:19" x14ac:dyDescent="0.3">
      <c r="B49" s="2" t="s">
        <v>98</v>
      </c>
      <c r="C49" s="2">
        <f>AC18-((AD18-C6)/(AD18-AD17)*(AC18-AC17))</f>
        <v>435.91941860465124</v>
      </c>
      <c r="D49" s="2">
        <f>AC18-((AD18-D6)/(AD18-AD17)*(AC18-AC17))</f>
        <v>434.77093023255816</v>
      </c>
      <c r="E49" s="2">
        <f>AC18-((AD18-E6)/(AD18-AD17)*(AC18-AC17))</f>
        <v>433.72377906976743</v>
      </c>
      <c r="F49" s="2">
        <f>AC17-((AD17-F6)/(AD17-AD16)*(AC17-AC16))</f>
        <v>432.80064516129033</v>
      </c>
      <c r="G49" s="2">
        <f>AC17-((AD17-G6)/(AD17-AD16)*(AC17-AC16))</f>
        <v>431.94422939068102</v>
      </c>
      <c r="H49" s="2">
        <f>AC17-((AD17-H6)/(AD17-AD16)*(AC17-AC16))</f>
        <v>431.1866308243728</v>
      </c>
      <c r="I49" s="2">
        <f>AC17-((AD17-I6)/(AD17-AD16)*(AC17-AC16))</f>
        <v>430.49491039426528</v>
      </c>
      <c r="J49" s="2">
        <f>AC17-((AD17-J6)/(AD17-AD16)*(AC17-AC16))</f>
        <v>429.8361290322581</v>
      </c>
      <c r="K49" s="2">
        <f>AC17-((AD17-K6)/(AD17-AD16)*(AC17-AC16))</f>
        <v>429.24322580645162</v>
      </c>
      <c r="L49" s="2">
        <f>AC17-((AD17-L6)/(AD17-AD16)*(AC17-AC16))</f>
        <v>428.71620071684589</v>
      </c>
      <c r="M49" s="2">
        <f>AC17-((AD17-M6)/(AD17-AD16)*(AC17-AC16))</f>
        <v>428.1891756272401</v>
      </c>
      <c r="N49" s="2">
        <f>AC17-((AD17-N6)/(AD17-AD16)*(AC17-AC16))</f>
        <v>427.72802867383507</v>
      </c>
      <c r="O49" s="2">
        <f>AC17-((AD17-O6)/(AD17-AD16)*(AC17-AC16))</f>
        <v>427.26688172043009</v>
      </c>
      <c r="P49" s="2">
        <f>AC17-((AD17-P6)/(AD17-AD16)*(AC17-AC16))</f>
        <v>426.80573476702506</v>
      </c>
      <c r="Q49" s="2">
        <f>AC17-((AD17-Q6)/(AD17-AD16)*(AC17-AC16))</f>
        <v>426.34458781362002</v>
      </c>
      <c r="R49" s="2">
        <f>AC17-((AD17-R6)/(AD17-AD16)*(AC17-AC16))</f>
        <v>425.91637992831539</v>
      </c>
      <c r="S49" s="2">
        <f>AC17-((AD17-S6)/(AD17-AD16)*(AC17-AC16))</f>
        <v>425.42229390681001</v>
      </c>
    </row>
    <row r="53" spans="2:19" x14ac:dyDescent="0.3">
      <c r="B53" s="2" t="s">
        <v>102</v>
      </c>
      <c r="C53" s="2">
        <f>C29+((T14-D14)/(L14-D14))*(C48-C29)</f>
        <v>444.59333023114823</v>
      </c>
      <c r="D53" s="2">
        <f>D29+((T14-D14)/(L14-D14))*(D48-D29)</f>
        <v>443.3906795734315</v>
      </c>
      <c r="E53" s="2">
        <f>E29+((T14-D14)/(L14-D14))*(E48-E29)</f>
        <v>442.29414515021921</v>
      </c>
      <c r="F53" s="2">
        <f>F29+((T14-D14)/(L14-D14))*(F48-F29)</f>
        <v>441.30372696151142</v>
      </c>
      <c r="G53" s="2">
        <f>G29+((T14-D14)/(L14-D14))*(G48-G29)</f>
        <v>440.38838779879279</v>
      </c>
      <c r="H53" s="2">
        <f>H29+((T14-D14)/(L14-D14))*(H48-H29)</f>
        <v>439.58590800114979</v>
      </c>
      <c r="I53" s="2">
        <f>I29+((T14-D14)/(L14-D14))*(I48-I29)</f>
        <v>438.85320905547576</v>
      </c>
      <c r="J53" s="2">
        <f>J29+((T14-D14)/(L14-D14))*(J48-J29)</f>
        <v>438.15540053578616</v>
      </c>
      <c r="K53" s="2">
        <f>K29+((T14-D14)/(L14-D14))*(K48-K29)</f>
        <v>437.52737286806558</v>
      </c>
      <c r="L53" s="2">
        <f>L29+((T14-D14)/(L14-D14))*(L48-L29)</f>
        <v>436.96912605231387</v>
      </c>
      <c r="M53" s="2">
        <f>M29+((T14-D14)/(L14-D14))*(M48-M29)</f>
        <v>436.41087923656221</v>
      </c>
      <c r="N53" s="2">
        <f>N29+((T14-D14)/(L14-D14))*(N48-N29)</f>
        <v>435.92241327277952</v>
      </c>
      <c r="O53" s="2">
        <f>O29+((T14-D14)/(L14-D14))*(O48-O29)</f>
        <v>435.43394730899684</v>
      </c>
      <c r="P53" s="2">
        <f>P29+((T14-D14)/(L14-D14))*(P48-P29)</f>
        <v>434.94548134521415</v>
      </c>
      <c r="Q53" s="2">
        <f>Q29+((T14-D14)/(L14-D14))*(Q48-Q29)</f>
        <v>434.4570153814314</v>
      </c>
      <c r="R53" s="2">
        <f>R29+((T14-D14)/(L14-D14))*(R48-R29)</f>
        <v>434.00343984363326</v>
      </c>
      <c r="S53" s="2">
        <f>S29+((T14-D14)/(L14-D14))*(S48-S29)</f>
        <v>433.48008345386603</v>
      </c>
    </row>
    <row r="55" spans="2:19" x14ac:dyDescent="0.3">
      <c r="B55" s="2" t="s">
        <v>103</v>
      </c>
      <c r="C55" s="2">
        <f>C30+((Y4-X14)/(AC14-X14))*(C49-C30)</f>
        <v>434.5755850790361</v>
      </c>
      <c r="D55" s="2">
        <f>D30+((Y4-X14)/(AC14-X14))*(D49-D30)</f>
        <v>433.44059976339736</v>
      </c>
      <c r="E55" s="2">
        <f>E30+((Y4-X14)/(AC14-X14))*(E49-E30)</f>
        <v>432.40576021090328</v>
      </c>
      <c r="F55" s="2">
        <f>F30+((Y4-X14)/(AC14-X14))*(F49-F30)</f>
        <v>431.48443630808788</v>
      </c>
      <c r="G55" s="2">
        <f>G30+((Y4-X14)/(AC14-X14))*(G49-G30)</f>
        <v>430.6293810663862</v>
      </c>
      <c r="H55" s="2">
        <f>H30+((Y4-X14)/(AC14-X14))*(H49-H30)</f>
        <v>429.8729860448808</v>
      </c>
      <c r="I55" s="2">
        <f>I30+((Y4-X14)/(AC14-X14))*(I49-I30)</f>
        <v>429.18236450350639</v>
      </c>
      <c r="J55" s="2">
        <f>J30+((Y4-X14)/(AC14-X14))*(J49-J30)</f>
        <v>428.52462970219733</v>
      </c>
      <c r="K55" s="2">
        <f>K30+((Y4-X14)/(AC14-X14))*(K49-K30)</f>
        <v>427.93724683678386</v>
      </c>
      <c r="L55" s="2">
        <f>L30+((Y4-X14)/(AC14-X14))*(L49-L30)</f>
        <v>427.4162915166105</v>
      </c>
      <c r="M55" s="2">
        <f>M30+((Y4-X14)/(AC14-X14))*(M49-M30)</f>
        <v>426.89533619643714</v>
      </c>
      <c r="N55" s="2">
        <f>N30+((Y4-X14)/(AC14-X14))*(N49-N30)</f>
        <v>426.43950029128547</v>
      </c>
      <c r="O55" s="2">
        <f>O30+((Y4-X14)/(AC14-X14))*(O49-O30)</f>
        <v>425.98366438613385</v>
      </c>
      <c r="P55" s="2">
        <f>P30+((Y4-X14)/(AC14-X14))*(P49-P30)</f>
        <v>425.52782848098218</v>
      </c>
      <c r="Q55" s="2">
        <f>Q30+((Y4-X14)/(AC14-X14))*(Q49-Q30)</f>
        <v>425.07199257583051</v>
      </c>
      <c r="R55" s="2">
        <f>R30+((Y4-X14)/(AC14-X14))*(R49-R30)</f>
        <v>424.6487163781897</v>
      </c>
      <c r="S55" s="2">
        <f>S30+((Y4-X14)/(AC14-X14))*(S49-S30)</f>
        <v>424.16032076552722</v>
      </c>
    </row>
  </sheetData>
  <mergeCells count="7">
    <mergeCell ref="C2:P2"/>
    <mergeCell ref="G23:P24"/>
    <mergeCell ref="E28:F28"/>
    <mergeCell ref="X3:Z3"/>
    <mergeCell ref="D27:E27"/>
    <mergeCell ref="T15:U15"/>
    <mergeCell ref="T3:V3"/>
  </mergeCells>
  <hyperlinks>
    <hyperlink ref="T4" r:id="rId1" display="pressure@70"/>
    <hyperlink ref="X4" r:id="rId2" display="pressure@70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8"/>
  <sheetViews>
    <sheetView tabSelected="1" zoomScale="85" zoomScaleNormal="85" workbookViewId="0">
      <selection activeCell="N12" sqref="N12"/>
    </sheetView>
  </sheetViews>
  <sheetFormatPr defaultRowHeight="14.4" x14ac:dyDescent="0.3"/>
  <cols>
    <col min="3" max="3" width="16.77734375" customWidth="1"/>
    <col min="4" max="4" width="15.33203125" customWidth="1"/>
    <col min="8" max="8" width="13.88671875" customWidth="1"/>
  </cols>
  <sheetData>
    <row r="3" spans="3:8" x14ac:dyDescent="0.3">
      <c r="C3" s="106" t="s">
        <v>58</v>
      </c>
      <c r="D3" s="126"/>
      <c r="E3" s="107"/>
      <c r="H3" s="2" t="s">
        <v>59</v>
      </c>
    </row>
    <row r="4" spans="3:8" x14ac:dyDescent="0.3">
      <c r="C4" s="2"/>
      <c r="D4" s="2"/>
      <c r="E4" s="2"/>
      <c r="H4" s="2"/>
    </row>
    <row r="5" spans="3:8" x14ac:dyDescent="0.3">
      <c r="C5" s="5" t="s">
        <v>144</v>
      </c>
      <c r="D5" s="2" t="s">
        <v>143</v>
      </c>
      <c r="E5" s="2"/>
      <c r="H5" s="2" t="s">
        <v>145</v>
      </c>
    </row>
    <row r="6" spans="3:8" x14ac:dyDescent="0.3">
      <c r="C6" s="2"/>
      <c r="D6" s="2"/>
      <c r="E6" s="2"/>
      <c r="H6" s="2" t="s">
        <v>147</v>
      </c>
    </row>
    <row r="7" spans="3:8" x14ac:dyDescent="0.3">
      <c r="C7" s="5" t="s">
        <v>146</v>
      </c>
      <c r="D7" s="2">
        <v>6.9529999999999995E-2</v>
      </c>
      <c r="E7" s="2" t="s">
        <v>156</v>
      </c>
      <c r="F7" s="2" t="s">
        <v>159</v>
      </c>
      <c r="H7" s="2" t="s">
        <v>146</v>
      </c>
    </row>
    <row r="8" spans="3:8" x14ac:dyDescent="0.3">
      <c r="C8" s="2"/>
      <c r="D8" s="2">
        <v>20.274249999999999</v>
      </c>
      <c r="E8" s="2" t="s">
        <v>157</v>
      </c>
      <c r="F8" s="2" t="s">
        <v>158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AA26" sqref="A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7"/>
  <sheetViews>
    <sheetView zoomScale="70" zoomScaleNormal="70" workbookViewId="0">
      <selection activeCell="F27" sqref="F27"/>
    </sheetView>
  </sheetViews>
  <sheetFormatPr defaultRowHeight="14.4" x14ac:dyDescent="0.3"/>
  <sheetData>
    <row r="4" spans="2:23" x14ac:dyDescent="0.3">
      <c r="B4" t="s">
        <v>45</v>
      </c>
      <c r="D4" s="5">
        <v>-20</v>
      </c>
      <c r="E4" s="5">
        <v>-16</v>
      </c>
      <c r="F4" s="5">
        <v>-12</v>
      </c>
      <c r="G4" s="5">
        <v>-8</v>
      </c>
      <c r="H4" s="5">
        <v>-4</v>
      </c>
      <c r="I4" s="5">
        <v>0</v>
      </c>
      <c r="J4" s="5">
        <v>4</v>
      </c>
      <c r="K4" s="5">
        <v>8</v>
      </c>
      <c r="L4" s="5">
        <v>12</v>
      </c>
      <c r="M4" s="5">
        <v>16</v>
      </c>
      <c r="N4" s="5">
        <v>20</v>
      </c>
      <c r="O4" s="13">
        <v>24</v>
      </c>
      <c r="P4" s="13">
        <v>28</v>
      </c>
      <c r="Q4" s="13">
        <v>32</v>
      </c>
      <c r="R4" s="13">
        <v>36</v>
      </c>
      <c r="S4" s="13">
        <v>40</v>
      </c>
      <c r="T4" s="13">
        <v>44</v>
      </c>
    </row>
    <row r="5" spans="2:23" x14ac:dyDescent="0.3">
      <c r="B5" t="s">
        <v>92</v>
      </c>
    </row>
    <row r="6" spans="2:23" x14ac:dyDescent="0.3">
      <c r="D6">
        <v>3.3930994242102157</v>
      </c>
      <c r="E6">
        <v>3.6429179395442945</v>
      </c>
      <c r="F6">
        <v>3.9267987548094956</v>
      </c>
      <c r="G6">
        <v>4.2500819365918225</v>
      </c>
      <c r="H6">
        <v>4.6251379790503169</v>
      </c>
      <c r="I6">
        <v>5.0603733784093174</v>
      </c>
      <c r="J6">
        <v>5.5749887623152823</v>
      </c>
      <c r="K6">
        <v>6.1957324370505278</v>
      </c>
      <c r="L6">
        <v>6.9451962725762089</v>
      </c>
      <c r="M6">
        <v>7.8660001235441985</v>
      </c>
      <c r="N6">
        <v>9.0564182829324675</v>
      </c>
      <c r="O6">
        <v>10.589931065124823</v>
      </c>
      <c r="P6">
        <v>12.711456729847743</v>
      </c>
      <c r="Q6">
        <v>15.788934815713352</v>
      </c>
      <c r="R6">
        <v>20.67530936039222</v>
      </c>
      <c r="S6">
        <v>29.32305672286282</v>
      </c>
      <c r="T6">
        <v>50.007960634645855</v>
      </c>
    </row>
    <row r="8" spans="2:23" x14ac:dyDescent="0.3">
      <c r="C8" s="5">
        <v>-20</v>
      </c>
      <c r="D8">
        <v>3.3930994242102157</v>
      </c>
    </row>
    <row r="9" spans="2:23" x14ac:dyDescent="0.3">
      <c r="C9" s="5">
        <v>-16</v>
      </c>
      <c r="D9">
        <v>3.6429179395442945</v>
      </c>
    </row>
    <row r="10" spans="2:23" x14ac:dyDescent="0.3">
      <c r="C10" s="5">
        <v>-12</v>
      </c>
      <c r="D10">
        <v>3.9267987548094956</v>
      </c>
    </row>
    <row r="11" spans="2:23" x14ac:dyDescent="0.3">
      <c r="C11" s="5">
        <v>-8</v>
      </c>
      <c r="D11">
        <v>4.2500819365918225</v>
      </c>
      <c r="R11" s="108" t="s">
        <v>104</v>
      </c>
      <c r="S11" s="105"/>
      <c r="T11" s="105"/>
      <c r="U11" s="105"/>
      <c r="V11" s="105"/>
      <c r="W11" s="105"/>
    </row>
    <row r="12" spans="2:23" x14ac:dyDescent="0.3">
      <c r="C12" s="5">
        <v>-4</v>
      </c>
      <c r="D12">
        <v>4.6251379790503169</v>
      </c>
      <c r="R12" s="105"/>
      <c r="S12" s="105"/>
      <c r="T12" s="105"/>
      <c r="U12" s="105"/>
      <c r="V12" s="105"/>
      <c r="W12" s="105"/>
    </row>
    <row r="13" spans="2:23" x14ac:dyDescent="0.3">
      <c r="C13" s="5">
        <v>0</v>
      </c>
      <c r="D13">
        <v>5.0603733784093174</v>
      </c>
      <c r="R13" s="105"/>
      <c r="S13" s="105"/>
      <c r="T13" s="105"/>
      <c r="U13" s="105"/>
      <c r="V13" s="105"/>
      <c r="W13" s="105"/>
    </row>
    <row r="14" spans="2:23" x14ac:dyDescent="0.3">
      <c r="C14" s="5">
        <v>4</v>
      </c>
      <c r="D14">
        <v>5.5749887623152823</v>
      </c>
      <c r="R14" s="105"/>
      <c r="S14" s="105"/>
      <c r="T14" s="105"/>
      <c r="U14" s="105"/>
      <c r="V14" s="105"/>
      <c r="W14" s="105"/>
    </row>
    <row r="15" spans="2:23" x14ac:dyDescent="0.3">
      <c r="C15" s="5">
        <v>8</v>
      </c>
      <c r="D15">
        <v>6.1957324370505278</v>
      </c>
      <c r="R15" s="105"/>
      <c r="S15" s="105"/>
      <c r="T15" s="105"/>
      <c r="U15" s="105"/>
      <c r="V15" s="105"/>
      <c r="W15" s="105"/>
    </row>
    <row r="16" spans="2:23" x14ac:dyDescent="0.3">
      <c r="C16" s="5">
        <v>12</v>
      </c>
      <c r="D16">
        <v>6.9451962725762089</v>
      </c>
      <c r="R16" s="105"/>
      <c r="S16" s="105"/>
      <c r="T16" s="105"/>
      <c r="U16" s="105"/>
      <c r="V16" s="105"/>
      <c r="W16" s="105"/>
    </row>
    <row r="17" spans="3:23" x14ac:dyDescent="0.3">
      <c r="C17" s="5">
        <v>16</v>
      </c>
      <c r="D17">
        <v>7.8660001235441985</v>
      </c>
      <c r="R17" s="105"/>
      <c r="S17" s="105"/>
      <c r="T17" s="105"/>
      <c r="U17" s="105"/>
      <c r="V17" s="105"/>
      <c r="W17" s="105"/>
    </row>
    <row r="18" spans="3:23" x14ac:dyDescent="0.3">
      <c r="C18" s="5">
        <v>20</v>
      </c>
      <c r="D18">
        <v>9.0564182829324675</v>
      </c>
      <c r="R18" s="105"/>
      <c r="S18" s="105"/>
      <c r="T18" s="105"/>
      <c r="U18" s="105"/>
      <c r="V18" s="105"/>
      <c r="W18" s="105"/>
    </row>
    <row r="19" spans="3:23" x14ac:dyDescent="0.3">
      <c r="C19" s="43">
        <v>24</v>
      </c>
      <c r="D19">
        <v>10.589931065124823</v>
      </c>
      <c r="R19" s="105"/>
      <c r="S19" s="105"/>
      <c r="T19" s="105"/>
      <c r="U19" s="105"/>
      <c r="V19" s="105"/>
      <c r="W19" s="105"/>
    </row>
    <row r="20" spans="3:23" x14ac:dyDescent="0.3">
      <c r="C20" s="43">
        <v>28</v>
      </c>
      <c r="D20">
        <v>12.711456729847743</v>
      </c>
      <c r="R20" s="105"/>
      <c r="S20" s="105"/>
      <c r="T20" s="105"/>
      <c r="U20" s="105"/>
      <c r="V20" s="105"/>
      <c r="W20" s="105"/>
    </row>
    <row r="21" spans="3:23" x14ac:dyDescent="0.3">
      <c r="C21" s="43">
        <v>32</v>
      </c>
      <c r="D21">
        <v>15.788934815713352</v>
      </c>
      <c r="R21" s="105"/>
      <c r="S21" s="105"/>
      <c r="T21" s="105"/>
      <c r="U21" s="105"/>
      <c r="V21" s="105"/>
      <c r="W21" s="105"/>
    </row>
    <row r="22" spans="3:23" x14ac:dyDescent="0.3">
      <c r="C22" s="43">
        <v>36</v>
      </c>
      <c r="D22">
        <v>20.67530936039222</v>
      </c>
      <c r="R22" s="105"/>
      <c r="S22" s="105"/>
      <c r="T22" s="105"/>
      <c r="U22" s="105"/>
      <c r="V22" s="105"/>
      <c r="W22" s="105"/>
    </row>
    <row r="23" spans="3:23" x14ac:dyDescent="0.3">
      <c r="C23" s="43">
        <v>40</v>
      </c>
      <c r="D23">
        <v>29.32305672286282</v>
      </c>
      <c r="R23" s="105"/>
      <c r="S23" s="105"/>
      <c r="T23" s="105"/>
      <c r="U23" s="105"/>
      <c r="V23" s="105"/>
      <c r="W23" s="105"/>
    </row>
    <row r="24" spans="3:23" x14ac:dyDescent="0.3">
      <c r="C24" s="43">
        <v>44</v>
      </c>
      <c r="D24">
        <v>50.007960634645855</v>
      </c>
      <c r="R24" s="105"/>
      <c r="S24" s="105"/>
      <c r="T24" s="105"/>
      <c r="U24" s="105"/>
      <c r="V24" s="105"/>
      <c r="W24" s="105"/>
    </row>
    <row r="25" spans="3:23" x14ac:dyDescent="0.3">
      <c r="R25" s="105"/>
      <c r="S25" s="105"/>
      <c r="T25" s="105"/>
      <c r="U25" s="105"/>
      <c r="V25" s="105"/>
      <c r="W25" s="105"/>
    </row>
    <row r="26" spans="3:23" x14ac:dyDescent="0.3">
      <c r="R26" s="105"/>
      <c r="S26" s="105"/>
      <c r="T26" s="105"/>
      <c r="U26" s="105"/>
      <c r="V26" s="105"/>
      <c r="W26" s="105"/>
    </row>
    <row r="27" spans="3:23" x14ac:dyDescent="0.3">
      <c r="R27" s="105"/>
      <c r="S27" s="105"/>
      <c r="T27" s="105"/>
      <c r="U27" s="105"/>
      <c r="V27" s="105"/>
      <c r="W27" s="105"/>
    </row>
  </sheetData>
  <mergeCells count="1">
    <mergeCell ref="R11:W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3"/>
  <sheetViews>
    <sheetView zoomScale="70" zoomScaleNormal="70" workbookViewId="0">
      <selection activeCell="K7" sqref="K7"/>
    </sheetView>
  </sheetViews>
  <sheetFormatPr defaultRowHeight="14.4" x14ac:dyDescent="0.3"/>
  <cols>
    <col min="4" max="4" width="10.5546875" bestFit="1" customWidth="1"/>
    <col min="21" max="21" width="23.109375" customWidth="1"/>
  </cols>
  <sheetData>
    <row r="2" spans="3:21" x14ac:dyDescent="0.3">
      <c r="D2" s="16"/>
    </row>
    <row r="3" spans="3:21" x14ac:dyDescent="0.3">
      <c r="C3" s="5" t="s">
        <v>45</v>
      </c>
      <c r="D3" s="36">
        <v>-20</v>
      </c>
      <c r="E3" s="36">
        <v>-16</v>
      </c>
      <c r="F3" s="36">
        <v>-12</v>
      </c>
      <c r="G3" s="36">
        <v>-8</v>
      </c>
      <c r="H3" s="36">
        <v>-4</v>
      </c>
      <c r="I3" s="36">
        <v>0</v>
      </c>
      <c r="J3" s="36">
        <v>4</v>
      </c>
      <c r="K3" s="36">
        <v>8</v>
      </c>
      <c r="L3" s="36">
        <v>12</v>
      </c>
      <c r="M3" s="36">
        <v>16</v>
      </c>
      <c r="N3" s="36">
        <v>20</v>
      </c>
      <c r="O3" s="37">
        <v>24</v>
      </c>
      <c r="P3" s="37">
        <v>28</v>
      </c>
      <c r="Q3" s="37">
        <v>32</v>
      </c>
      <c r="R3" s="60">
        <v>36</v>
      </c>
      <c r="S3" s="60">
        <v>40</v>
      </c>
      <c r="T3" s="60">
        <v>44</v>
      </c>
    </row>
    <row r="4" spans="3:21" x14ac:dyDescent="0.3"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9"/>
      <c r="R4" s="2"/>
      <c r="S4" s="2"/>
      <c r="T4" s="2"/>
    </row>
    <row r="5" spans="3:21" x14ac:dyDescent="0.3">
      <c r="D5">
        <v>2.4173893825935386</v>
      </c>
      <c r="E5">
        <v>2.5585606187899956</v>
      </c>
      <c r="F5">
        <v>2.714989004779675</v>
      </c>
      <c r="G5">
        <v>2.8887404751622192</v>
      </c>
      <c r="H5">
        <v>3.0836737494638502</v>
      </c>
      <c r="I5">
        <v>3.3012787711657898</v>
      </c>
      <c r="J5">
        <v>3.5476357631295592</v>
      </c>
      <c r="K5">
        <v>3.8298917616100274</v>
      </c>
      <c r="L5">
        <v>4.1513482556896895</v>
      </c>
      <c r="M5">
        <v>4.5195189330867835</v>
      </c>
      <c r="N5">
        <v>4.9559835616884129</v>
      </c>
      <c r="O5">
        <v>5.4617938786010338</v>
      </c>
      <c r="P5">
        <v>6.0736439444007138</v>
      </c>
      <c r="Q5">
        <v>6.8177510907046814</v>
      </c>
      <c r="R5">
        <v>7.7453975275855589</v>
      </c>
      <c r="S5">
        <v>8.9013603675940658</v>
      </c>
      <c r="T5">
        <v>10.444560373073895</v>
      </c>
    </row>
    <row r="7" spans="3:21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3:21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3:21" x14ac:dyDescent="0.3">
      <c r="C9" s="11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5"/>
      <c r="Q9" s="35"/>
      <c r="R9" s="11"/>
    </row>
    <row r="10" spans="3:21" x14ac:dyDescent="0.3">
      <c r="C10" s="11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5"/>
      <c r="Q10" s="35"/>
      <c r="R10" s="11"/>
    </row>
    <row r="12" spans="3:21" x14ac:dyDescent="0.3">
      <c r="S12" s="109" t="s">
        <v>90</v>
      </c>
      <c r="T12" s="109"/>
      <c r="U12" s="109"/>
    </row>
    <row r="13" spans="3:21" ht="14.4" customHeight="1" x14ac:dyDescent="0.3">
      <c r="S13" s="108" t="s">
        <v>105</v>
      </c>
      <c r="T13" s="108"/>
      <c r="U13" s="108"/>
    </row>
    <row r="14" spans="3:21" x14ac:dyDescent="0.3">
      <c r="D14" s="18" t="s">
        <v>46</v>
      </c>
      <c r="E14" s="18" t="s">
        <v>47</v>
      </c>
      <c r="S14" s="108"/>
      <c r="T14" s="108"/>
      <c r="U14" s="108"/>
    </row>
    <row r="15" spans="3:21" x14ac:dyDescent="0.3">
      <c r="D15" s="38">
        <v>-20</v>
      </c>
      <c r="E15">
        <v>2.4173893825935386</v>
      </c>
      <c r="S15" s="108"/>
      <c r="T15" s="108"/>
      <c r="U15" s="108"/>
    </row>
    <row r="16" spans="3:21" x14ac:dyDescent="0.3">
      <c r="D16" s="38">
        <v>-16</v>
      </c>
      <c r="E16">
        <v>2.5585606187899956</v>
      </c>
      <c r="S16" s="108"/>
      <c r="T16" s="108"/>
      <c r="U16" s="108"/>
    </row>
    <row r="17" spans="4:21" x14ac:dyDescent="0.3">
      <c r="D17" s="38">
        <v>-12</v>
      </c>
      <c r="E17">
        <v>2.714989004779675</v>
      </c>
      <c r="S17" s="108"/>
      <c r="T17" s="108"/>
      <c r="U17" s="108"/>
    </row>
    <row r="18" spans="4:21" x14ac:dyDescent="0.3">
      <c r="D18" s="38">
        <v>-8</v>
      </c>
      <c r="E18">
        <v>2.8887404751622192</v>
      </c>
      <c r="S18" s="108"/>
      <c r="T18" s="108"/>
      <c r="U18" s="108"/>
    </row>
    <row r="19" spans="4:21" x14ac:dyDescent="0.3">
      <c r="D19" s="38">
        <v>-4</v>
      </c>
      <c r="E19">
        <v>3.0836737494638502</v>
      </c>
      <c r="S19" s="108"/>
      <c r="T19" s="108"/>
      <c r="U19" s="108"/>
    </row>
    <row r="20" spans="4:21" x14ac:dyDescent="0.3">
      <c r="D20" s="38">
        <v>0</v>
      </c>
      <c r="E20">
        <v>3.3012787711657898</v>
      </c>
      <c r="S20" s="108"/>
      <c r="T20" s="108"/>
      <c r="U20" s="108"/>
    </row>
    <row r="21" spans="4:21" x14ac:dyDescent="0.3">
      <c r="D21" s="38">
        <v>4</v>
      </c>
      <c r="E21">
        <v>3.5476357631295592</v>
      </c>
      <c r="S21" s="108"/>
      <c r="T21" s="108"/>
      <c r="U21" s="108"/>
    </row>
    <row r="22" spans="4:21" x14ac:dyDescent="0.3">
      <c r="D22" s="38">
        <v>8</v>
      </c>
      <c r="E22">
        <v>3.8298917616100274</v>
      </c>
      <c r="S22" s="108"/>
      <c r="T22" s="108"/>
      <c r="U22" s="108"/>
    </row>
    <row r="23" spans="4:21" x14ac:dyDescent="0.3">
      <c r="D23" s="38">
        <v>12</v>
      </c>
      <c r="E23">
        <v>4.1513482556896895</v>
      </c>
      <c r="S23" s="108"/>
      <c r="T23" s="108"/>
      <c r="U23" s="108"/>
    </row>
    <row r="24" spans="4:21" ht="14.4" customHeight="1" x14ac:dyDescent="0.3">
      <c r="D24" s="38">
        <v>16</v>
      </c>
      <c r="E24">
        <v>4.5195189330867835</v>
      </c>
      <c r="S24" s="108"/>
      <c r="T24" s="108"/>
      <c r="U24" s="108"/>
    </row>
    <row r="25" spans="4:21" x14ac:dyDescent="0.3">
      <c r="D25" s="38">
        <v>20</v>
      </c>
      <c r="E25">
        <v>4.9559835616884129</v>
      </c>
      <c r="S25" s="108"/>
      <c r="T25" s="108"/>
      <c r="U25" s="108"/>
    </row>
    <row r="26" spans="4:21" x14ac:dyDescent="0.3">
      <c r="D26" s="39">
        <v>24</v>
      </c>
      <c r="E26">
        <v>5.4617938786010338</v>
      </c>
      <c r="S26" s="108"/>
      <c r="T26" s="108"/>
      <c r="U26" s="108"/>
    </row>
    <row r="27" spans="4:21" x14ac:dyDescent="0.3">
      <c r="D27" s="39">
        <v>28</v>
      </c>
      <c r="E27">
        <v>6.0736439444007138</v>
      </c>
      <c r="S27" s="108"/>
      <c r="T27" s="108"/>
      <c r="U27" s="108"/>
    </row>
    <row r="28" spans="4:21" x14ac:dyDescent="0.3">
      <c r="D28" s="39">
        <v>32</v>
      </c>
      <c r="E28">
        <v>6.8177510907046814</v>
      </c>
      <c r="S28" s="108"/>
      <c r="T28" s="108"/>
      <c r="U28" s="108"/>
    </row>
    <row r="29" spans="4:21" x14ac:dyDescent="0.3">
      <c r="D29" s="44">
        <v>36</v>
      </c>
      <c r="E29">
        <v>7.7453975275855589</v>
      </c>
      <c r="S29" s="108"/>
      <c r="T29" s="108"/>
      <c r="U29" s="108"/>
    </row>
    <row r="30" spans="4:21" x14ac:dyDescent="0.3">
      <c r="D30" s="44">
        <v>40</v>
      </c>
      <c r="E30">
        <v>8.9013603675940658</v>
      </c>
      <c r="S30" s="108"/>
      <c r="T30" s="108"/>
      <c r="U30" s="108"/>
    </row>
    <row r="31" spans="4:21" x14ac:dyDescent="0.3">
      <c r="D31" s="75">
        <v>44</v>
      </c>
      <c r="E31">
        <v>10.444560373073895</v>
      </c>
      <c r="S31" s="108"/>
      <c r="T31" s="108"/>
      <c r="U31" s="108"/>
    </row>
    <row r="32" spans="4:21" x14ac:dyDescent="0.3">
      <c r="S32" s="108"/>
      <c r="T32" s="108"/>
      <c r="U32" s="108"/>
    </row>
    <row r="33" spans="19:21" x14ac:dyDescent="0.3">
      <c r="S33" s="108"/>
      <c r="T33" s="108"/>
      <c r="U33" s="108"/>
    </row>
  </sheetData>
  <mergeCells count="2">
    <mergeCell ref="S12:U12"/>
    <mergeCell ref="S13:U3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zoomScale="85" zoomScaleNormal="85" workbookViewId="0">
      <selection activeCell="E21" sqref="E21"/>
    </sheetView>
  </sheetViews>
  <sheetFormatPr defaultRowHeight="14.4" x14ac:dyDescent="0.3"/>
  <cols>
    <col min="3" max="3" width="16.44140625" customWidth="1"/>
    <col min="4" max="4" width="12.6640625" customWidth="1"/>
    <col min="5" max="5" width="29" customWidth="1"/>
  </cols>
  <sheetData>
    <row r="1" spans="2:8" ht="39.6" customHeight="1" x14ac:dyDescent="0.3">
      <c r="B1" s="110" t="s">
        <v>70</v>
      </c>
      <c r="C1" s="110"/>
      <c r="D1" s="110"/>
      <c r="E1" s="110"/>
    </row>
    <row r="3" spans="2:8" ht="28.8" x14ac:dyDescent="0.3">
      <c r="B3" s="52" t="s">
        <v>69</v>
      </c>
      <c r="C3" s="53" t="s">
        <v>71</v>
      </c>
      <c r="D3" s="53" t="s">
        <v>73</v>
      </c>
      <c r="E3" s="53" t="s">
        <v>77</v>
      </c>
      <c r="F3" s="52" t="s">
        <v>6</v>
      </c>
    </row>
    <row r="4" spans="2:8" ht="16.05" customHeight="1" x14ac:dyDescent="0.3">
      <c r="B4" s="52" t="s">
        <v>74</v>
      </c>
      <c r="C4" s="54" t="s">
        <v>72</v>
      </c>
      <c r="D4" s="49" t="s">
        <v>79</v>
      </c>
      <c r="E4" s="49" t="s">
        <v>81</v>
      </c>
      <c r="F4" s="49" t="s">
        <v>78</v>
      </c>
    </row>
    <row r="5" spans="2:8" ht="16.05" customHeight="1" x14ac:dyDescent="0.3">
      <c r="B5" s="52" t="s">
        <v>75</v>
      </c>
      <c r="C5" s="54" t="s">
        <v>72</v>
      </c>
      <c r="D5" s="49" t="s">
        <v>80</v>
      </c>
      <c r="E5" s="49" t="s">
        <v>81</v>
      </c>
      <c r="F5" s="49" t="s">
        <v>83</v>
      </c>
    </row>
    <row r="6" spans="2:8" ht="16.05" customHeight="1" x14ac:dyDescent="0.3">
      <c r="B6" s="52" t="s">
        <v>76</v>
      </c>
      <c r="C6" s="49" t="s">
        <v>72</v>
      </c>
      <c r="D6" s="49" t="s">
        <v>80</v>
      </c>
      <c r="E6" s="49" t="s">
        <v>82</v>
      </c>
      <c r="F6" s="55" t="s">
        <v>78</v>
      </c>
    </row>
    <row r="11" spans="2:8" ht="15.6" x14ac:dyDescent="0.3">
      <c r="B11" s="52" t="s">
        <v>106</v>
      </c>
      <c r="C11" s="52" t="s">
        <v>107</v>
      </c>
      <c r="D11" s="52" t="s">
        <v>108</v>
      </c>
      <c r="E11" s="52" t="s">
        <v>109</v>
      </c>
      <c r="F11" s="52" t="s">
        <v>110</v>
      </c>
      <c r="G11" s="52" t="s">
        <v>111</v>
      </c>
      <c r="H11" s="52" t="s">
        <v>112</v>
      </c>
    </row>
    <row r="12" spans="2:8" x14ac:dyDescent="0.3">
      <c r="B12" s="52">
        <v>50</v>
      </c>
      <c r="C12" s="79">
        <v>3.4609999999999997E-8</v>
      </c>
      <c r="D12" s="79">
        <v>1.2899999999999999E-6</v>
      </c>
      <c r="E12" s="79">
        <v>4.3529999999999998E-5</v>
      </c>
      <c r="F12" s="78">
        <v>2.3869999999999998E-3</v>
      </c>
      <c r="G12" s="78">
        <v>0.1186</v>
      </c>
      <c r="H12" s="78">
        <v>5.0629999999999997</v>
      </c>
    </row>
    <row r="13" spans="2:8" x14ac:dyDescent="0.3">
      <c r="B13" s="52">
        <v>70</v>
      </c>
      <c r="C13" s="79">
        <v>1.4570000000000001E-8</v>
      </c>
      <c r="D13" s="79">
        <v>-9.6579999999999995E-8</v>
      </c>
      <c r="E13" s="79">
        <v>6.6089999999999997E-6</v>
      </c>
      <c r="F13" s="78">
        <v>1.01E-3</v>
      </c>
      <c r="G13" s="78">
        <v>5.8639999999999998E-2</v>
      </c>
      <c r="H13" s="78">
        <v>3.2949999999999999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zoomScale="70" zoomScaleNormal="70" workbookViewId="0">
      <selection activeCell="C10" sqref="C10"/>
    </sheetView>
  </sheetViews>
  <sheetFormatPr defaultRowHeight="14.4" x14ac:dyDescent="0.3"/>
  <cols>
    <col min="2" max="2" width="23.88671875" customWidth="1"/>
  </cols>
  <sheetData>
    <row r="3" spans="1:18" ht="16.8" x14ac:dyDescent="0.4">
      <c r="A3" s="32" t="s">
        <v>32</v>
      </c>
      <c r="B3" s="2" t="s">
        <v>33</v>
      </c>
      <c r="C3" s="2"/>
    </row>
    <row r="4" spans="1:18" x14ac:dyDescent="0.3">
      <c r="A4" s="33" t="s">
        <v>34</v>
      </c>
      <c r="B4" s="2" t="s">
        <v>35</v>
      </c>
      <c r="C4" s="2">
        <v>0.99</v>
      </c>
    </row>
    <row r="5" spans="1:18" x14ac:dyDescent="0.3">
      <c r="A5" s="32" t="s">
        <v>36</v>
      </c>
      <c r="B5" s="2" t="s">
        <v>37</v>
      </c>
      <c r="C5" s="2"/>
    </row>
    <row r="6" spans="1:18" x14ac:dyDescent="0.3">
      <c r="A6" s="32" t="s">
        <v>38</v>
      </c>
      <c r="B6" s="2" t="s">
        <v>51</v>
      </c>
      <c r="C6" s="2"/>
      <c r="D6" t="s">
        <v>52</v>
      </c>
    </row>
    <row r="7" spans="1:18" x14ac:dyDescent="0.3">
      <c r="A7" s="32" t="s">
        <v>39</v>
      </c>
      <c r="B7" s="2" t="s">
        <v>40</v>
      </c>
      <c r="C7" s="2"/>
      <c r="D7" t="s">
        <v>53</v>
      </c>
      <c r="E7" s="105" t="s">
        <v>54</v>
      </c>
      <c r="F7" s="105"/>
      <c r="G7" s="105"/>
    </row>
    <row r="11" spans="1:18" ht="15.6" x14ac:dyDescent="0.35">
      <c r="A11" s="5"/>
      <c r="B11" s="101" t="s">
        <v>20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8" x14ac:dyDescent="0.3">
      <c r="A12" s="5"/>
      <c r="B12" s="5">
        <v>-20</v>
      </c>
      <c r="C12" s="5">
        <v>-16</v>
      </c>
      <c r="D12" s="5">
        <v>-12</v>
      </c>
      <c r="E12" s="5">
        <v>-8</v>
      </c>
      <c r="F12" s="5">
        <v>-4</v>
      </c>
      <c r="G12" s="5">
        <v>0</v>
      </c>
      <c r="H12" s="5">
        <v>4</v>
      </c>
      <c r="I12" s="5">
        <v>8</v>
      </c>
      <c r="J12" s="5">
        <v>12</v>
      </c>
      <c r="K12" s="5">
        <v>16</v>
      </c>
      <c r="L12" s="5">
        <v>20</v>
      </c>
      <c r="M12" s="13">
        <v>24</v>
      </c>
      <c r="N12" s="13">
        <v>28</v>
      </c>
      <c r="O12" s="47">
        <v>32</v>
      </c>
      <c r="P12" s="13">
        <v>36</v>
      </c>
      <c r="Q12" s="13">
        <v>40</v>
      </c>
      <c r="R12" s="13">
        <v>44</v>
      </c>
    </row>
    <row r="13" spans="1:18" x14ac:dyDescent="0.3">
      <c r="A13" s="5" t="s">
        <v>1</v>
      </c>
      <c r="B13" s="5">
        <v>304.27999999999997</v>
      </c>
      <c r="C13" s="5">
        <v>304.27999999999997</v>
      </c>
      <c r="D13" s="5">
        <v>304.27999999999997</v>
      </c>
      <c r="E13" s="5">
        <v>304.27999999999997</v>
      </c>
      <c r="F13" s="5">
        <v>304.27999999999997</v>
      </c>
      <c r="G13" s="5">
        <v>304.27999999999997</v>
      </c>
      <c r="H13" s="5">
        <v>304.27999999999997</v>
      </c>
      <c r="I13" s="5">
        <v>304.27999999999997</v>
      </c>
      <c r="J13" s="5">
        <v>304.27999999999997</v>
      </c>
      <c r="K13" s="5">
        <v>304.27999999999997</v>
      </c>
      <c r="L13" s="5">
        <v>304.27999999999997</v>
      </c>
      <c r="M13" s="5">
        <v>304.27999999999997</v>
      </c>
      <c r="N13" s="5">
        <v>304.27999999999997</v>
      </c>
      <c r="O13" s="48">
        <v>304.27999999999997</v>
      </c>
      <c r="P13" s="5">
        <v>304.27999999999997</v>
      </c>
      <c r="Q13" s="5">
        <v>304.27999999999997</v>
      </c>
      <c r="R13" s="13">
        <v>304.27999999999997</v>
      </c>
    </row>
    <row r="14" spans="1:18" x14ac:dyDescent="0.3">
      <c r="A14" s="5" t="s">
        <v>0</v>
      </c>
      <c r="B14" s="5">
        <v>386.55</v>
      </c>
      <c r="C14" s="5">
        <v>389.02</v>
      </c>
      <c r="D14" s="5">
        <v>391.46</v>
      </c>
      <c r="E14" s="5">
        <v>393.87</v>
      </c>
      <c r="F14" s="5">
        <v>396.25</v>
      </c>
      <c r="G14" s="5">
        <v>398.6</v>
      </c>
      <c r="H14" s="5">
        <v>400.92</v>
      </c>
      <c r="I14" s="5">
        <v>403.2</v>
      </c>
      <c r="J14" s="5">
        <v>405.43</v>
      </c>
      <c r="K14" s="5">
        <v>407.61</v>
      </c>
      <c r="L14" s="5">
        <v>409.75</v>
      </c>
      <c r="M14" s="5">
        <v>411.82</v>
      </c>
      <c r="N14" s="5">
        <v>413.84</v>
      </c>
      <c r="O14" s="48">
        <v>415.78</v>
      </c>
      <c r="P14" s="13">
        <v>417.65</v>
      </c>
      <c r="Q14" s="13">
        <v>419.43</v>
      </c>
      <c r="R14" s="13">
        <v>421.11</v>
      </c>
    </row>
    <row r="15" spans="1:18" x14ac:dyDescent="0.3">
      <c r="A15" s="5" t="s">
        <v>49</v>
      </c>
      <c r="B15" s="5">
        <f>B14-B13</f>
        <v>82.270000000000039</v>
      </c>
      <c r="C15" s="5">
        <f>C14-C13</f>
        <v>84.740000000000009</v>
      </c>
      <c r="D15" s="5">
        <f t="shared" ref="D15:O15" si="0">D14-D13</f>
        <v>87.18</v>
      </c>
      <c r="E15" s="5">
        <f t="shared" si="0"/>
        <v>89.590000000000032</v>
      </c>
      <c r="F15" s="5">
        <f t="shared" si="0"/>
        <v>91.970000000000027</v>
      </c>
      <c r="G15" s="5">
        <f t="shared" si="0"/>
        <v>94.32000000000005</v>
      </c>
      <c r="H15" s="5">
        <f t="shared" si="0"/>
        <v>96.640000000000043</v>
      </c>
      <c r="I15" s="5">
        <f t="shared" si="0"/>
        <v>98.920000000000016</v>
      </c>
      <c r="J15" s="5">
        <f t="shared" si="0"/>
        <v>101.15000000000003</v>
      </c>
      <c r="K15" s="5">
        <f t="shared" si="0"/>
        <v>103.33000000000004</v>
      </c>
      <c r="L15" s="5">
        <f t="shared" si="0"/>
        <v>105.47000000000003</v>
      </c>
      <c r="M15" s="5">
        <f t="shared" si="0"/>
        <v>107.54000000000002</v>
      </c>
      <c r="N15" s="5">
        <f t="shared" si="0"/>
        <v>109.56</v>
      </c>
      <c r="O15" s="5">
        <f t="shared" si="0"/>
        <v>111.5</v>
      </c>
      <c r="P15" s="5">
        <f t="shared" ref="P15" si="1">P14-P13</f>
        <v>113.37</v>
      </c>
      <c r="Q15" s="5">
        <f t="shared" ref="Q15" si="2">Q14-Q13</f>
        <v>115.15000000000003</v>
      </c>
      <c r="R15" s="5">
        <f t="shared" ref="R15" si="3">R14-R13</f>
        <v>116.83000000000004</v>
      </c>
    </row>
    <row r="17" spans="3:4" x14ac:dyDescent="0.3">
      <c r="C17" t="s">
        <v>50</v>
      </c>
      <c r="D17" t="s">
        <v>32</v>
      </c>
    </row>
    <row r="18" spans="3:4" x14ac:dyDescent="0.3">
      <c r="C18" s="5">
        <v>-20</v>
      </c>
      <c r="D18">
        <v>82.270000000000039</v>
      </c>
    </row>
    <row r="19" spans="3:4" x14ac:dyDescent="0.3">
      <c r="C19" s="5">
        <v>-16</v>
      </c>
      <c r="D19">
        <v>84.740000000000009</v>
      </c>
    </row>
    <row r="20" spans="3:4" x14ac:dyDescent="0.3">
      <c r="C20" s="5">
        <v>-12</v>
      </c>
      <c r="D20">
        <v>87.18</v>
      </c>
    </row>
    <row r="21" spans="3:4" x14ac:dyDescent="0.3">
      <c r="C21" s="5">
        <v>-8</v>
      </c>
      <c r="D21">
        <v>89.590000000000032</v>
      </c>
    </row>
    <row r="22" spans="3:4" x14ac:dyDescent="0.3">
      <c r="C22" s="5">
        <v>-4</v>
      </c>
      <c r="D22">
        <v>91.970000000000027</v>
      </c>
    </row>
    <row r="23" spans="3:4" x14ac:dyDescent="0.3">
      <c r="C23" s="5">
        <v>0</v>
      </c>
      <c r="D23">
        <v>94.32000000000005</v>
      </c>
    </row>
    <row r="24" spans="3:4" x14ac:dyDescent="0.3">
      <c r="C24" s="5">
        <v>4</v>
      </c>
      <c r="D24">
        <v>96.640000000000043</v>
      </c>
    </row>
    <row r="25" spans="3:4" x14ac:dyDescent="0.3">
      <c r="C25" s="5">
        <v>8</v>
      </c>
      <c r="D25">
        <v>98.920000000000016</v>
      </c>
    </row>
    <row r="26" spans="3:4" x14ac:dyDescent="0.3">
      <c r="C26" s="5">
        <v>12</v>
      </c>
      <c r="D26">
        <v>101.15000000000003</v>
      </c>
    </row>
    <row r="27" spans="3:4" x14ac:dyDescent="0.3">
      <c r="C27" s="5">
        <v>16</v>
      </c>
      <c r="D27">
        <v>103.33000000000004</v>
      </c>
    </row>
    <row r="28" spans="3:4" x14ac:dyDescent="0.3">
      <c r="C28" s="5">
        <v>20</v>
      </c>
      <c r="D28">
        <v>105.47000000000003</v>
      </c>
    </row>
    <row r="29" spans="3:4" x14ac:dyDescent="0.3">
      <c r="C29" s="13">
        <v>24</v>
      </c>
      <c r="D29">
        <v>107.54000000000002</v>
      </c>
    </row>
    <row r="30" spans="3:4" x14ac:dyDescent="0.3">
      <c r="C30" s="13">
        <v>28</v>
      </c>
      <c r="D30">
        <v>109.56</v>
      </c>
    </row>
    <row r="31" spans="3:4" x14ac:dyDescent="0.3">
      <c r="C31" s="13">
        <v>32</v>
      </c>
      <c r="D31">
        <v>111.5</v>
      </c>
    </row>
    <row r="32" spans="3:4" x14ac:dyDescent="0.3">
      <c r="C32" s="43">
        <v>36</v>
      </c>
      <c r="D32">
        <v>113.37</v>
      </c>
    </row>
    <row r="33" spans="3:4" x14ac:dyDescent="0.3">
      <c r="C33" s="43">
        <v>40</v>
      </c>
      <c r="D33">
        <v>115.15000000000003</v>
      </c>
    </row>
    <row r="34" spans="3:4" x14ac:dyDescent="0.3">
      <c r="C34" s="43">
        <v>44</v>
      </c>
      <c r="D34">
        <v>116.83000000000004</v>
      </c>
    </row>
  </sheetData>
  <mergeCells count="2">
    <mergeCell ref="E7:G7"/>
    <mergeCell ref="B11:R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07"/>
  <sheetViews>
    <sheetView topLeftCell="A8" zoomScale="70" zoomScaleNormal="70" workbookViewId="0">
      <selection activeCell="P32" sqref="P32"/>
    </sheetView>
  </sheetViews>
  <sheetFormatPr defaultRowHeight="14.4" x14ac:dyDescent="0.3"/>
  <cols>
    <col min="2" max="2" width="9.44140625" customWidth="1"/>
    <col min="3" max="3" width="5.77734375" customWidth="1"/>
    <col min="4" max="4" width="13.44140625" customWidth="1"/>
    <col min="5" max="5" width="12.88671875" customWidth="1"/>
    <col min="6" max="6" width="5.77734375" customWidth="1"/>
    <col min="7" max="7" width="17.44140625" customWidth="1"/>
    <col min="8" max="8" width="13.5546875" customWidth="1"/>
    <col min="9" max="9" width="5.77734375" customWidth="1"/>
    <col min="10" max="10" width="14.21875" customWidth="1"/>
    <col min="11" max="11" width="8.33203125" customWidth="1"/>
    <col min="12" max="12" width="6" customWidth="1"/>
    <col min="13" max="13" width="14.88671875" customWidth="1"/>
    <col min="14" max="14" width="12.6640625" customWidth="1"/>
    <col min="15" max="15" width="6" customWidth="1"/>
    <col min="16" max="16" width="17.21875" customWidth="1"/>
    <col min="17" max="17" width="20.109375" customWidth="1"/>
    <col min="18" max="18" width="6" customWidth="1"/>
    <col min="19" max="19" width="19.109375" customWidth="1"/>
    <col min="20" max="20" width="15.5546875" customWidth="1"/>
    <col min="21" max="21" width="5.77734375" customWidth="1"/>
    <col min="22" max="22" width="16.44140625" customWidth="1"/>
    <col min="23" max="23" width="15.21875" customWidth="1"/>
    <col min="24" max="24" width="5.77734375" customWidth="1"/>
    <col min="25" max="25" width="18" customWidth="1"/>
    <col min="26" max="26" width="13.88671875" customWidth="1"/>
  </cols>
  <sheetData>
    <row r="1" spans="2:28" ht="14.4" customHeight="1" x14ac:dyDescent="0.3">
      <c r="B1" s="112" t="s">
        <v>48</v>
      </c>
      <c r="C1" s="112"/>
      <c r="D1" s="112"/>
      <c r="E1" s="112"/>
      <c r="F1" s="112"/>
      <c r="G1" s="112"/>
      <c r="H1" s="112"/>
    </row>
    <row r="2" spans="2:28" x14ac:dyDescent="0.3">
      <c r="B2" s="112"/>
      <c r="C2" s="112"/>
      <c r="D2" s="112"/>
      <c r="E2" s="112"/>
      <c r="F2" s="112"/>
      <c r="G2" s="112"/>
      <c r="H2" s="112"/>
    </row>
    <row r="3" spans="2:28" x14ac:dyDescent="0.3">
      <c r="B3" s="112"/>
      <c r="C3" s="112"/>
      <c r="D3" s="112"/>
      <c r="E3" s="112"/>
      <c r="F3" s="112"/>
      <c r="G3" s="112"/>
      <c r="H3" s="112"/>
    </row>
    <row r="4" spans="2:28" x14ac:dyDescent="0.3">
      <c r="B4" s="111" t="s">
        <v>44</v>
      </c>
      <c r="C4" s="111"/>
      <c r="D4" s="111"/>
      <c r="E4" s="111"/>
      <c r="F4" s="14"/>
      <c r="G4" s="14"/>
      <c r="H4" s="14"/>
    </row>
    <row r="7" spans="2:28" x14ac:dyDescent="0.3">
      <c r="B7" s="19" t="s">
        <v>41</v>
      </c>
      <c r="C7" s="117">
        <v>43503</v>
      </c>
      <c r="D7" s="118"/>
      <c r="E7" s="119"/>
      <c r="F7" s="113">
        <v>43547</v>
      </c>
      <c r="G7" s="114"/>
      <c r="H7" s="115"/>
      <c r="I7" s="113">
        <v>43592</v>
      </c>
      <c r="J7" s="114"/>
      <c r="K7" s="115"/>
      <c r="L7" s="113">
        <v>43639</v>
      </c>
      <c r="M7" s="114"/>
      <c r="N7" s="115"/>
      <c r="AA7" s="24"/>
      <c r="AB7" s="25"/>
    </row>
    <row r="8" spans="2:28" ht="67.2" customHeight="1" x14ac:dyDescent="0.3">
      <c r="B8" s="20"/>
      <c r="C8" s="26" t="s">
        <v>42</v>
      </c>
      <c r="D8" s="26" t="s">
        <v>97</v>
      </c>
      <c r="E8" s="26" t="s">
        <v>161</v>
      </c>
      <c r="F8" s="26" t="s">
        <v>42</v>
      </c>
      <c r="G8" s="26" t="s">
        <v>97</v>
      </c>
      <c r="H8" s="26" t="s">
        <v>161</v>
      </c>
      <c r="I8" s="26" t="s">
        <v>42</v>
      </c>
      <c r="J8" s="26" t="s">
        <v>97</v>
      </c>
      <c r="K8" s="26" t="s">
        <v>161</v>
      </c>
      <c r="L8" s="26" t="s">
        <v>42</v>
      </c>
      <c r="M8" s="26" t="s">
        <v>97</v>
      </c>
      <c r="N8" s="26" t="s">
        <v>161</v>
      </c>
      <c r="AA8" s="24"/>
      <c r="AB8" s="25"/>
    </row>
    <row r="9" spans="2:28" x14ac:dyDescent="0.3">
      <c r="B9" s="21">
        <v>0</v>
      </c>
      <c r="C9" s="27">
        <v>6.8</v>
      </c>
      <c r="D9" s="86">
        <f>0.0031372+(E79*(25-C9))</f>
        <v>3.7860300000000001E-3</v>
      </c>
      <c r="E9" s="27">
        <f>3+0.1*(25-C9)</f>
        <v>4.82</v>
      </c>
      <c r="F9" s="27">
        <v>8.6</v>
      </c>
      <c r="G9" s="88">
        <f t="shared" ref="G9:G32" si="0">0.0031372+(E79*(25-F9))</f>
        <v>3.72186E-3</v>
      </c>
      <c r="H9" s="27">
        <f>3+0.1*(25-F9)</f>
        <v>4.6399999999999997</v>
      </c>
      <c r="I9" s="27">
        <v>5.3</v>
      </c>
      <c r="J9" s="89">
        <f t="shared" ref="J9:J32" si="1">0.0031372+(E79*(25-I9))</f>
        <v>3.839505E-3</v>
      </c>
      <c r="K9" s="27">
        <f>3+0.1*(25-I9)</f>
        <v>4.97</v>
      </c>
      <c r="L9" s="27">
        <v>16.600000000000001</v>
      </c>
      <c r="M9" s="88">
        <f t="shared" ref="M9:M24" si="2">0.0031372+(E79*(25-L9))</f>
        <v>3.4366600000000002E-3</v>
      </c>
      <c r="N9" s="27">
        <f>3+0.1*(25-L9)</f>
        <v>3.84</v>
      </c>
      <c r="AA9" s="24"/>
      <c r="AB9" s="25"/>
    </row>
    <row r="10" spans="2:28" x14ac:dyDescent="0.3">
      <c r="B10" s="22">
        <v>4.1666666666666664E-2</v>
      </c>
      <c r="C10" s="29">
        <v>6.9</v>
      </c>
      <c r="D10" s="87">
        <f>0.0031372+(E79*(25-C10))</f>
        <v>3.782465E-3</v>
      </c>
      <c r="E10" s="27">
        <f t="shared" ref="E10:E32" si="3">3+0.1*(25-C10)</f>
        <v>4.8100000000000005</v>
      </c>
      <c r="F10" s="29">
        <v>8.8000000000000007</v>
      </c>
      <c r="G10" s="88">
        <f t="shared" si="0"/>
        <v>3.7147300000000003E-3</v>
      </c>
      <c r="H10" s="27">
        <f t="shared" ref="H10:H32" si="4">3+0.1*(25-F10)</f>
        <v>4.62</v>
      </c>
      <c r="I10" s="29">
        <v>5.5</v>
      </c>
      <c r="J10" s="89">
        <f t="shared" si="1"/>
        <v>3.8323750000000003E-3</v>
      </c>
      <c r="K10" s="27">
        <f t="shared" ref="K10:K32" si="5">3+0.1*(25-I10)</f>
        <v>4.95</v>
      </c>
      <c r="L10" s="29">
        <v>17</v>
      </c>
      <c r="M10" s="88">
        <f t="shared" si="2"/>
        <v>3.4223999999999999E-3</v>
      </c>
      <c r="N10" s="27">
        <f t="shared" ref="N10:N32" si="6">3+0.1*(25-L10)</f>
        <v>3.8</v>
      </c>
      <c r="AA10" s="24"/>
      <c r="AB10" s="25"/>
    </row>
    <row r="11" spans="2:28" x14ac:dyDescent="0.3">
      <c r="B11" s="21">
        <v>8.3333333333333329E-2</v>
      </c>
      <c r="C11" s="27">
        <v>7.3</v>
      </c>
      <c r="D11" s="86">
        <f>0.0031372+(E79*(25-C11))</f>
        <v>3.7682050000000002E-3</v>
      </c>
      <c r="E11" s="27">
        <f t="shared" si="3"/>
        <v>4.7699999999999996</v>
      </c>
      <c r="F11" s="27">
        <v>8.8000000000000007</v>
      </c>
      <c r="G11" s="88">
        <f t="shared" si="0"/>
        <v>3.7147300000000003E-3</v>
      </c>
      <c r="H11" s="27">
        <f t="shared" si="4"/>
        <v>4.62</v>
      </c>
      <c r="I11" s="27">
        <v>5</v>
      </c>
      <c r="J11" s="89">
        <f t="shared" si="1"/>
        <v>3.8502000000000002E-3</v>
      </c>
      <c r="K11" s="27">
        <f t="shared" si="5"/>
        <v>5</v>
      </c>
      <c r="L11" s="27">
        <v>16.600000000000001</v>
      </c>
      <c r="M11" s="88">
        <f t="shared" si="2"/>
        <v>3.4366600000000002E-3</v>
      </c>
      <c r="N11" s="27">
        <f t="shared" si="6"/>
        <v>3.84</v>
      </c>
      <c r="AA11" s="24"/>
      <c r="AB11" s="25"/>
    </row>
    <row r="12" spans="2:28" x14ac:dyDescent="0.3">
      <c r="B12" s="22">
        <v>0.125</v>
      </c>
      <c r="C12" s="29">
        <v>7.8</v>
      </c>
      <c r="D12" s="86">
        <f>0.0031372+(E82*(25-C12))</f>
        <v>3.7503800000000002E-3</v>
      </c>
      <c r="E12" s="27">
        <f t="shared" si="3"/>
        <v>4.72</v>
      </c>
      <c r="F12" s="29">
        <v>8.6999999999999993</v>
      </c>
      <c r="G12" s="88">
        <f t="shared" si="0"/>
        <v>3.7182949999999999E-3</v>
      </c>
      <c r="H12" s="27">
        <f t="shared" si="4"/>
        <v>4.63</v>
      </c>
      <c r="I12" s="29">
        <v>5.0999999999999996</v>
      </c>
      <c r="J12" s="89">
        <f t="shared" si="1"/>
        <v>3.8466350000000002E-3</v>
      </c>
      <c r="K12" s="27">
        <f t="shared" si="5"/>
        <v>4.99</v>
      </c>
      <c r="L12" s="29">
        <v>16</v>
      </c>
      <c r="M12" s="88">
        <f t="shared" si="2"/>
        <v>3.4580500000000003E-3</v>
      </c>
      <c r="N12" s="27">
        <f t="shared" si="6"/>
        <v>3.9</v>
      </c>
      <c r="AA12" s="24"/>
      <c r="AB12" s="25"/>
    </row>
    <row r="13" spans="2:28" x14ac:dyDescent="0.3">
      <c r="B13" s="21">
        <v>0.16666666666666666</v>
      </c>
      <c r="C13" s="27">
        <v>8.1</v>
      </c>
      <c r="D13" s="87">
        <f>0.0031372+(E82*(25-C13))</f>
        <v>3.739685E-3</v>
      </c>
      <c r="E13" s="27">
        <f t="shared" si="3"/>
        <v>4.6899999999999995</v>
      </c>
      <c r="F13" s="27">
        <v>8.6999999999999993</v>
      </c>
      <c r="G13" s="88">
        <f t="shared" si="0"/>
        <v>3.7182949999999999E-3</v>
      </c>
      <c r="H13" s="27">
        <f t="shared" si="4"/>
        <v>4.63</v>
      </c>
      <c r="I13" s="27">
        <v>4.9000000000000004</v>
      </c>
      <c r="J13" s="89">
        <f t="shared" si="1"/>
        <v>3.8537650000000003E-3</v>
      </c>
      <c r="K13" s="27">
        <f t="shared" si="5"/>
        <v>5.01</v>
      </c>
      <c r="L13" s="27">
        <v>15.5</v>
      </c>
      <c r="M13" s="88">
        <f t="shared" si="2"/>
        <v>3.4758750000000002E-3</v>
      </c>
      <c r="N13" s="27">
        <f t="shared" si="6"/>
        <v>3.95</v>
      </c>
      <c r="AA13" s="24"/>
      <c r="AB13" s="25"/>
    </row>
    <row r="14" spans="2:28" x14ac:dyDescent="0.3">
      <c r="B14" s="22">
        <v>0.20833333333333334</v>
      </c>
      <c r="C14" s="29">
        <v>8.8000000000000007</v>
      </c>
      <c r="D14" s="86">
        <f>0.0031372+(E82*(25-C14))</f>
        <v>3.7147300000000003E-3</v>
      </c>
      <c r="E14" s="27">
        <f t="shared" si="3"/>
        <v>4.62</v>
      </c>
      <c r="F14" s="29">
        <v>9</v>
      </c>
      <c r="G14" s="88">
        <f t="shared" si="0"/>
        <v>3.7076000000000001E-3</v>
      </c>
      <c r="H14" s="27">
        <f t="shared" si="4"/>
        <v>4.5999999999999996</v>
      </c>
      <c r="I14" s="29">
        <v>4.9000000000000004</v>
      </c>
      <c r="J14" s="89">
        <f t="shared" si="1"/>
        <v>3.8537650000000003E-3</v>
      </c>
      <c r="K14" s="27">
        <f t="shared" si="5"/>
        <v>5.01</v>
      </c>
      <c r="L14" s="29">
        <v>15</v>
      </c>
      <c r="M14" s="88">
        <f t="shared" si="2"/>
        <v>3.4937000000000002E-3</v>
      </c>
      <c r="N14" s="27">
        <f t="shared" si="6"/>
        <v>4</v>
      </c>
      <c r="AA14" s="24"/>
      <c r="AB14" s="25"/>
    </row>
    <row r="15" spans="2:28" x14ac:dyDescent="0.3">
      <c r="B15" s="21">
        <v>0.25</v>
      </c>
      <c r="C15" s="27">
        <v>9</v>
      </c>
      <c r="D15" s="86">
        <f>0.0031372+(E85*(25-C15))</f>
        <v>3.7076000000000001E-3</v>
      </c>
      <c r="E15" s="27">
        <f t="shared" si="3"/>
        <v>4.5999999999999996</v>
      </c>
      <c r="F15" s="27">
        <v>9.1999999999999993</v>
      </c>
      <c r="G15" s="88">
        <f t="shared" si="0"/>
        <v>3.70047E-3</v>
      </c>
      <c r="H15" s="27">
        <f t="shared" si="4"/>
        <v>4.58</v>
      </c>
      <c r="I15" s="27">
        <v>5.3</v>
      </c>
      <c r="J15" s="89">
        <f t="shared" si="1"/>
        <v>3.839505E-3</v>
      </c>
      <c r="K15" s="27">
        <f t="shared" si="5"/>
        <v>4.97</v>
      </c>
      <c r="L15" s="27">
        <v>14.9</v>
      </c>
      <c r="M15" s="88">
        <f t="shared" si="2"/>
        <v>3.4972650000000003E-3</v>
      </c>
      <c r="N15" s="27">
        <f t="shared" si="6"/>
        <v>4.01</v>
      </c>
      <c r="AA15" s="24"/>
      <c r="AB15" s="25"/>
    </row>
    <row r="16" spans="2:28" x14ac:dyDescent="0.3">
      <c r="B16" s="22">
        <v>0.29166666666666669</v>
      </c>
      <c r="C16" s="29">
        <v>7.4</v>
      </c>
      <c r="D16" s="87">
        <f>0.0031372+(E85*(25-C16))</f>
        <v>3.7646400000000001E-3</v>
      </c>
      <c r="E16" s="27">
        <f t="shared" si="3"/>
        <v>4.76</v>
      </c>
      <c r="F16" s="29">
        <v>9.1</v>
      </c>
      <c r="G16" s="88">
        <f t="shared" si="0"/>
        <v>3.7040350000000001E-3</v>
      </c>
      <c r="H16" s="27">
        <f t="shared" si="4"/>
        <v>4.59</v>
      </c>
      <c r="I16" s="29">
        <v>6.1</v>
      </c>
      <c r="J16" s="89">
        <f t="shared" si="1"/>
        <v>3.8109850000000002E-3</v>
      </c>
      <c r="K16" s="27">
        <f t="shared" si="5"/>
        <v>4.8899999999999997</v>
      </c>
      <c r="L16" s="29">
        <v>16.3</v>
      </c>
      <c r="M16" s="88">
        <f t="shared" si="2"/>
        <v>3.447355E-3</v>
      </c>
      <c r="N16" s="27">
        <f t="shared" si="6"/>
        <v>3.87</v>
      </c>
      <c r="AA16" s="24"/>
      <c r="AB16" s="25"/>
    </row>
    <row r="17" spans="2:28" x14ac:dyDescent="0.3">
      <c r="B17" s="21">
        <v>0.33333333333333331</v>
      </c>
      <c r="C17" s="27">
        <v>6.8</v>
      </c>
      <c r="D17" s="86">
        <f>0.0031372+(E85*(25-C17))</f>
        <v>3.7860300000000001E-3</v>
      </c>
      <c r="E17" s="27">
        <f t="shared" si="3"/>
        <v>4.82</v>
      </c>
      <c r="F17" s="27">
        <v>9.3000000000000007</v>
      </c>
      <c r="G17" s="88">
        <f t="shared" si="0"/>
        <v>3.6969050000000003E-3</v>
      </c>
      <c r="H17" s="27">
        <f t="shared" si="4"/>
        <v>4.57</v>
      </c>
      <c r="I17" s="27">
        <v>8</v>
      </c>
      <c r="J17" s="89">
        <f t="shared" si="1"/>
        <v>3.74325E-3</v>
      </c>
      <c r="K17" s="27">
        <f t="shared" si="5"/>
        <v>4.7</v>
      </c>
      <c r="L17" s="27">
        <v>17.8</v>
      </c>
      <c r="M17" s="88">
        <f t="shared" si="2"/>
        <v>3.3938800000000002E-3</v>
      </c>
      <c r="N17" s="27">
        <f t="shared" si="6"/>
        <v>3.7199999999999998</v>
      </c>
      <c r="AA17" s="24"/>
      <c r="AB17" s="25"/>
    </row>
    <row r="18" spans="2:28" x14ac:dyDescent="0.3">
      <c r="B18" s="22">
        <v>0.375</v>
      </c>
      <c r="C18" s="29">
        <v>6.7</v>
      </c>
      <c r="D18" s="86">
        <f>0.0031372+(E88*(25-C18))</f>
        <v>3.7895950000000002E-3</v>
      </c>
      <c r="E18" s="27">
        <f t="shared" si="3"/>
        <v>4.83</v>
      </c>
      <c r="F18" s="29">
        <v>9.4</v>
      </c>
      <c r="G18" s="88">
        <f t="shared" si="0"/>
        <v>3.6933400000000003E-3</v>
      </c>
      <c r="H18" s="27">
        <f t="shared" si="4"/>
        <v>4.5600000000000005</v>
      </c>
      <c r="I18" s="29">
        <v>9.3000000000000007</v>
      </c>
      <c r="J18" s="89">
        <f t="shared" si="1"/>
        <v>3.6969050000000003E-3</v>
      </c>
      <c r="K18" s="27">
        <f t="shared" si="5"/>
        <v>4.57</v>
      </c>
      <c r="L18" s="29">
        <v>19.899999999999999</v>
      </c>
      <c r="M18" s="88">
        <f t="shared" si="2"/>
        <v>3.3190150000000002E-3</v>
      </c>
      <c r="N18" s="27">
        <f t="shared" si="6"/>
        <v>3.5100000000000002</v>
      </c>
      <c r="AA18" s="24"/>
      <c r="AB18" s="25"/>
    </row>
    <row r="19" spans="2:28" x14ac:dyDescent="0.3">
      <c r="B19" s="21">
        <v>0.41666666666666669</v>
      </c>
      <c r="C19" s="27">
        <v>7.1</v>
      </c>
      <c r="D19" s="87">
        <f>0.0031372+(E88*(25-C19))</f>
        <v>3.7753350000000003E-3</v>
      </c>
      <c r="E19" s="27">
        <f t="shared" si="3"/>
        <v>4.79</v>
      </c>
      <c r="F19" s="27">
        <v>9.3000000000000007</v>
      </c>
      <c r="G19" s="88">
        <f t="shared" si="0"/>
        <v>3.6969050000000003E-3</v>
      </c>
      <c r="H19" s="27">
        <f t="shared" si="4"/>
        <v>4.57</v>
      </c>
      <c r="I19" s="27">
        <v>11.5</v>
      </c>
      <c r="J19" s="89">
        <f t="shared" si="1"/>
        <v>3.6184750000000003E-3</v>
      </c>
      <c r="K19" s="27">
        <f t="shared" si="5"/>
        <v>4.3499999999999996</v>
      </c>
      <c r="L19" s="27">
        <v>22.2</v>
      </c>
      <c r="M19" s="88">
        <f t="shared" si="2"/>
        <v>3.2370200000000002E-3</v>
      </c>
      <c r="N19" s="27">
        <f t="shared" si="6"/>
        <v>3.2800000000000002</v>
      </c>
      <c r="AA19" s="24"/>
      <c r="AB19" s="25"/>
    </row>
    <row r="20" spans="2:28" x14ac:dyDescent="0.3">
      <c r="B20" s="22">
        <v>0.45833333333333331</v>
      </c>
      <c r="C20" s="29">
        <v>7.8</v>
      </c>
      <c r="D20" s="86">
        <f>0.0031372+(E88*(25-C20))</f>
        <v>3.7503800000000002E-3</v>
      </c>
      <c r="E20" s="27">
        <f t="shared" si="3"/>
        <v>4.72</v>
      </c>
      <c r="F20" s="29">
        <v>9.4</v>
      </c>
      <c r="G20" s="88">
        <f t="shared" si="0"/>
        <v>3.6933400000000003E-3</v>
      </c>
      <c r="H20" s="27">
        <f t="shared" si="4"/>
        <v>4.5600000000000005</v>
      </c>
      <c r="I20" s="29">
        <v>10.3</v>
      </c>
      <c r="J20" s="89">
        <f t="shared" si="1"/>
        <v>3.661255E-3</v>
      </c>
      <c r="K20" s="27">
        <f t="shared" si="5"/>
        <v>4.47</v>
      </c>
      <c r="L20" s="29">
        <v>24.4</v>
      </c>
      <c r="M20" s="88">
        <f t="shared" si="2"/>
        <v>3.1585900000000002E-3</v>
      </c>
      <c r="N20" s="27">
        <f t="shared" si="6"/>
        <v>3.06</v>
      </c>
      <c r="AA20" s="24"/>
      <c r="AB20" s="25"/>
    </row>
    <row r="21" spans="2:28" x14ac:dyDescent="0.3">
      <c r="B21" s="21">
        <v>0.5</v>
      </c>
      <c r="C21" s="27">
        <v>8.1</v>
      </c>
      <c r="D21" s="86">
        <f>0.0031372+(E91*(25-C21))</f>
        <v>3.739685E-3</v>
      </c>
      <c r="E21" s="27">
        <f t="shared" si="3"/>
        <v>4.6899999999999995</v>
      </c>
      <c r="F21" s="27">
        <v>9.1</v>
      </c>
      <c r="G21" s="88">
        <f t="shared" si="0"/>
        <v>3.7040350000000001E-3</v>
      </c>
      <c r="H21" s="27">
        <f t="shared" si="4"/>
        <v>4.59</v>
      </c>
      <c r="I21" s="27">
        <v>12.5</v>
      </c>
      <c r="J21" s="89">
        <f t="shared" si="1"/>
        <v>3.582825E-3</v>
      </c>
      <c r="K21" s="27">
        <f t="shared" si="5"/>
        <v>4.25</v>
      </c>
      <c r="L21" s="27">
        <v>23.3</v>
      </c>
      <c r="M21" s="88">
        <f t="shared" si="2"/>
        <v>3.1978050000000002E-3</v>
      </c>
      <c r="N21" s="27">
        <f t="shared" si="6"/>
        <v>3.17</v>
      </c>
      <c r="AA21" s="24"/>
      <c r="AB21" s="25"/>
    </row>
    <row r="22" spans="2:28" x14ac:dyDescent="0.3">
      <c r="B22" s="22">
        <v>0.54166666666666663</v>
      </c>
      <c r="C22" s="29">
        <v>8.6</v>
      </c>
      <c r="D22" s="87">
        <f>0.0031372+(E91*(25-C22))</f>
        <v>3.72186E-3</v>
      </c>
      <c r="E22" s="27">
        <f t="shared" si="3"/>
        <v>4.6399999999999997</v>
      </c>
      <c r="F22" s="29">
        <v>9.6999999999999993</v>
      </c>
      <c r="G22" s="88">
        <f t="shared" si="0"/>
        <v>3.682645E-3</v>
      </c>
      <c r="H22" s="27">
        <f t="shared" si="4"/>
        <v>4.53</v>
      </c>
      <c r="I22" s="29">
        <v>13.5</v>
      </c>
      <c r="J22" s="89">
        <f t="shared" si="1"/>
        <v>3.5471750000000001E-3</v>
      </c>
      <c r="K22" s="27">
        <f t="shared" si="5"/>
        <v>4.1500000000000004</v>
      </c>
      <c r="L22" s="29">
        <v>22.8</v>
      </c>
      <c r="M22" s="88">
        <f t="shared" si="2"/>
        <v>3.2156300000000001E-3</v>
      </c>
      <c r="N22" s="27">
        <f t="shared" si="6"/>
        <v>3.2199999999999998</v>
      </c>
      <c r="AA22" s="24"/>
      <c r="AB22" s="25"/>
    </row>
    <row r="23" spans="2:28" x14ac:dyDescent="0.3">
      <c r="B23" s="21">
        <v>0.58333333333333337</v>
      </c>
      <c r="C23" s="27">
        <v>8.6</v>
      </c>
      <c r="D23" s="86">
        <f>0.0031372+(E91*(25-C23))</f>
        <v>3.72186E-3</v>
      </c>
      <c r="E23" s="27">
        <f t="shared" si="3"/>
        <v>4.6399999999999997</v>
      </c>
      <c r="F23" s="27">
        <v>9.9</v>
      </c>
      <c r="G23" s="88">
        <f t="shared" si="0"/>
        <v>3.6755149999999999E-3</v>
      </c>
      <c r="H23" s="27">
        <f t="shared" si="4"/>
        <v>4.51</v>
      </c>
      <c r="I23" s="27">
        <v>12.7</v>
      </c>
      <c r="J23" s="89">
        <f t="shared" si="1"/>
        <v>3.5756950000000003E-3</v>
      </c>
      <c r="K23" s="27">
        <f t="shared" si="5"/>
        <v>4.2300000000000004</v>
      </c>
      <c r="L23" s="27">
        <v>24.2</v>
      </c>
      <c r="M23" s="88">
        <f t="shared" si="2"/>
        <v>3.1657200000000003E-3</v>
      </c>
      <c r="N23" s="27">
        <f t="shared" si="6"/>
        <v>3.08</v>
      </c>
      <c r="AA23" s="24"/>
      <c r="AB23" s="25"/>
    </row>
    <row r="24" spans="2:28" x14ac:dyDescent="0.3">
      <c r="B24" s="22">
        <v>0.625</v>
      </c>
      <c r="C24" s="29">
        <v>8.1999999999999993</v>
      </c>
      <c r="D24" s="86">
        <f>0.0031372+(E94*(25-C24))</f>
        <v>3.7361199999999999E-3</v>
      </c>
      <c r="E24" s="27">
        <f t="shared" si="3"/>
        <v>4.68</v>
      </c>
      <c r="F24" s="29">
        <v>9.9</v>
      </c>
      <c r="G24" s="88">
        <f t="shared" si="0"/>
        <v>3.6755149999999999E-3</v>
      </c>
      <c r="H24" s="27">
        <f t="shared" si="4"/>
        <v>4.51</v>
      </c>
      <c r="I24" s="29">
        <v>14</v>
      </c>
      <c r="J24" s="89">
        <f t="shared" si="1"/>
        <v>3.5293500000000001E-3</v>
      </c>
      <c r="K24" s="27">
        <f t="shared" si="5"/>
        <v>4.0999999999999996</v>
      </c>
      <c r="L24" s="29">
        <v>24</v>
      </c>
      <c r="M24" s="88">
        <f t="shared" si="2"/>
        <v>3.1728500000000001E-3</v>
      </c>
      <c r="N24" s="27">
        <f t="shared" si="6"/>
        <v>3.1</v>
      </c>
      <c r="AA24" s="24"/>
      <c r="AB24" s="25"/>
    </row>
    <row r="25" spans="2:28" x14ac:dyDescent="0.3">
      <c r="B25" s="21">
        <v>0.66666666666666663</v>
      </c>
      <c r="C25" s="31">
        <v>7.8</v>
      </c>
      <c r="D25" s="87">
        <f>0.0031372+(E94*(25-C25))</f>
        <v>3.7503800000000002E-3</v>
      </c>
      <c r="E25" s="27">
        <f t="shared" si="3"/>
        <v>4.72</v>
      </c>
      <c r="F25" s="27">
        <v>9.4</v>
      </c>
      <c r="G25" s="88">
        <f t="shared" si="0"/>
        <v>3.6933400000000003E-3</v>
      </c>
      <c r="H25" s="27">
        <f t="shared" si="4"/>
        <v>4.5600000000000005</v>
      </c>
      <c r="I25" s="27">
        <v>14.6</v>
      </c>
      <c r="J25" s="89">
        <f t="shared" si="1"/>
        <v>3.5079600000000001E-3</v>
      </c>
      <c r="K25" s="27">
        <f t="shared" si="5"/>
        <v>4.04</v>
      </c>
      <c r="L25" s="27">
        <v>28.2</v>
      </c>
      <c r="M25" s="88">
        <v>3.1372000000000001E-3</v>
      </c>
      <c r="N25" s="27">
        <v>3</v>
      </c>
      <c r="AA25" s="24"/>
      <c r="AB25" s="25"/>
    </row>
    <row r="26" spans="2:28" x14ac:dyDescent="0.3">
      <c r="B26" s="22">
        <v>0.70833333333333337</v>
      </c>
      <c r="C26" s="30">
        <v>7.2</v>
      </c>
      <c r="D26" s="86">
        <f>0.0031372+(E94*(25-C26))</f>
        <v>3.7717700000000002E-3</v>
      </c>
      <c r="E26" s="27">
        <f t="shared" si="3"/>
        <v>4.78</v>
      </c>
      <c r="F26" s="29">
        <v>9.1999999999999993</v>
      </c>
      <c r="G26" s="88">
        <f t="shared" si="0"/>
        <v>3.70047E-3</v>
      </c>
      <c r="H26" s="27">
        <f t="shared" si="4"/>
        <v>4.58</v>
      </c>
      <c r="I26" s="29">
        <v>14.4</v>
      </c>
      <c r="J26" s="89">
        <f t="shared" si="1"/>
        <v>3.5150900000000002E-3</v>
      </c>
      <c r="K26" s="27">
        <f t="shared" si="5"/>
        <v>4.0600000000000005</v>
      </c>
      <c r="L26" s="29">
        <v>28.7</v>
      </c>
      <c r="M26" s="88">
        <v>3.1372000000000001E-3</v>
      </c>
      <c r="N26" s="27">
        <v>3</v>
      </c>
      <c r="AA26" s="24"/>
      <c r="AB26" s="25"/>
    </row>
    <row r="27" spans="2:28" x14ac:dyDescent="0.3">
      <c r="B27" s="21">
        <v>0.75</v>
      </c>
      <c r="C27" s="27">
        <v>7</v>
      </c>
      <c r="D27" s="86">
        <f>0.0031372+(E97*(25-C27))</f>
        <v>3.7789E-3</v>
      </c>
      <c r="E27" s="27">
        <f t="shared" si="3"/>
        <v>4.8</v>
      </c>
      <c r="F27" s="27">
        <v>8.1999999999999993</v>
      </c>
      <c r="G27" s="88">
        <f t="shared" si="0"/>
        <v>3.7361199999999999E-3</v>
      </c>
      <c r="H27" s="27">
        <f t="shared" si="4"/>
        <v>4.68</v>
      </c>
      <c r="I27" s="27">
        <v>14.6</v>
      </c>
      <c r="J27" s="89">
        <f t="shared" si="1"/>
        <v>3.5079600000000001E-3</v>
      </c>
      <c r="K27" s="27">
        <f t="shared" si="5"/>
        <v>4.04</v>
      </c>
      <c r="L27" s="27">
        <v>28.6</v>
      </c>
      <c r="M27" s="88">
        <v>3.1372000000000001E-3</v>
      </c>
      <c r="N27" s="27">
        <v>3</v>
      </c>
      <c r="AA27" s="23"/>
      <c r="AB27" s="25"/>
    </row>
    <row r="28" spans="2:28" x14ac:dyDescent="0.3">
      <c r="B28" s="22">
        <v>0.79166666666666663</v>
      </c>
      <c r="C28" s="29">
        <v>6.9</v>
      </c>
      <c r="D28" s="87">
        <f>0.0031372+(E97*(25-C28))</f>
        <v>3.782465E-3</v>
      </c>
      <c r="E28" s="27">
        <f t="shared" si="3"/>
        <v>4.8100000000000005</v>
      </c>
      <c r="F28" s="29">
        <v>7.2</v>
      </c>
      <c r="G28" s="88">
        <f t="shared" si="0"/>
        <v>3.7717700000000002E-3</v>
      </c>
      <c r="H28" s="27">
        <f t="shared" si="4"/>
        <v>4.78</v>
      </c>
      <c r="I28" s="29">
        <v>14.1</v>
      </c>
      <c r="J28" s="89">
        <f t="shared" si="1"/>
        <v>3.525785E-3</v>
      </c>
      <c r="K28" s="27">
        <f t="shared" si="5"/>
        <v>4.09</v>
      </c>
      <c r="L28" s="29">
        <v>27.8</v>
      </c>
      <c r="M28" s="88">
        <v>3.1372000000000001E-3</v>
      </c>
      <c r="N28" s="27">
        <v>3</v>
      </c>
      <c r="AA28" s="23"/>
      <c r="AB28" s="25"/>
    </row>
    <row r="29" spans="2:28" x14ac:dyDescent="0.3">
      <c r="B29" s="21">
        <v>0.83333333333333337</v>
      </c>
      <c r="C29" s="27">
        <v>6.7</v>
      </c>
      <c r="D29" s="86">
        <f>0.0031372+(E97*(25-C29))</f>
        <v>3.7895950000000002E-3</v>
      </c>
      <c r="E29" s="27">
        <f t="shared" si="3"/>
        <v>4.83</v>
      </c>
      <c r="F29" s="27">
        <v>6.9</v>
      </c>
      <c r="G29" s="88">
        <f t="shared" si="0"/>
        <v>3.782465E-3</v>
      </c>
      <c r="H29" s="27">
        <f t="shared" si="4"/>
        <v>4.8100000000000005</v>
      </c>
      <c r="I29" s="27">
        <v>13.5</v>
      </c>
      <c r="J29" s="89">
        <f t="shared" si="1"/>
        <v>3.5471750000000001E-3</v>
      </c>
      <c r="K29" s="27">
        <f t="shared" si="5"/>
        <v>4.1500000000000004</v>
      </c>
      <c r="L29" s="27">
        <v>27.2</v>
      </c>
      <c r="M29" s="88">
        <v>3.1372000000000001E-3</v>
      </c>
      <c r="N29" s="27">
        <v>3</v>
      </c>
      <c r="AA29" s="23"/>
      <c r="AB29" s="25"/>
    </row>
    <row r="30" spans="2:28" ht="15.6" customHeight="1" x14ac:dyDescent="0.3">
      <c r="B30" s="22">
        <v>0.875</v>
      </c>
      <c r="C30" s="29">
        <v>6.5</v>
      </c>
      <c r="D30" s="86">
        <f>0.0031372+(E100*(25-C30))</f>
        <v>3.7967249999999999E-3</v>
      </c>
      <c r="E30" s="27">
        <f t="shared" si="3"/>
        <v>4.8499999999999996</v>
      </c>
      <c r="F30" s="29">
        <v>6.5</v>
      </c>
      <c r="G30" s="88">
        <f t="shared" si="0"/>
        <v>3.7967249999999999E-3</v>
      </c>
      <c r="H30" s="27">
        <f t="shared" si="4"/>
        <v>4.8499999999999996</v>
      </c>
      <c r="I30" s="29">
        <v>12.2</v>
      </c>
      <c r="J30" s="89">
        <f t="shared" si="1"/>
        <v>3.5935200000000002E-3</v>
      </c>
      <c r="K30" s="27">
        <f t="shared" si="5"/>
        <v>4.28</v>
      </c>
      <c r="L30" s="29">
        <v>26.4</v>
      </c>
      <c r="M30" s="88">
        <v>3.1372000000000001E-3</v>
      </c>
      <c r="N30" s="27">
        <v>3</v>
      </c>
      <c r="AA30" s="23"/>
      <c r="AB30" s="25"/>
    </row>
    <row r="31" spans="2:28" x14ac:dyDescent="0.3">
      <c r="B31" s="21">
        <v>0.91666666666666663</v>
      </c>
      <c r="C31" s="27">
        <v>6.4</v>
      </c>
      <c r="D31" s="87">
        <f>0.0031372+(E100*(25-C31))</f>
        <v>3.8002900000000004E-3</v>
      </c>
      <c r="E31" s="27">
        <f t="shared" si="3"/>
        <v>4.8600000000000003</v>
      </c>
      <c r="F31" s="27">
        <v>5.8</v>
      </c>
      <c r="G31" s="88">
        <f t="shared" si="0"/>
        <v>3.82168E-3</v>
      </c>
      <c r="H31" s="27">
        <f t="shared" si="4"/>
        <v>4.92</v>
      </c>
      <c r="I31" s="27">
        <v>11.2</v>
      </c>
      <c r="J31" s="89">
        <f t="shared" si="1"/>
        <v>3.6291700000000001E-3</v>
      </c>
      <c r="K31" s="27">
        <f t="shared" si="5"/>
        <v>4.38</v>
      </c>
      <c r="L31" s="27">
        <v>24.9</v>
      </c>
      <c r="M31" s="88">
        <f>0.0031372+(E101*(25-L31))</f>
        <v>3.1407650000000002E-3</v>
      </c>
      <c r="N31" s="27">
        <f t="shared" si="6"/>
        <v>3.0100000000000002</v>
      </c>
    </row>
    <row r="32" spans="2:28" x14ac:dyDescent="0.3">
      <c r="B32" s="22">
        <v>0.95833333333333337</v>
      </c>
      <c r="C32" s="29">
        <v>6.3</v>
      </c>
      <c r="D32" s="86">
        <f>0.0031372+(E100*(25-C32))</f>
        <v>3.8038550000000001E-3</v>
      </c>
      <c r="E32" s="27">
        <f t="shared" si="3"/>
        <v>4.87</v>
      </c>
      <c r="F32" s="29">
        <v>5.0999999999999996</v>
      </c>
      <c r="G32" s="88">
        <f t="shared" si="0"/>
        <v>3.8466350000000002E-3</v>
      </c>
      <c r="H32" s="27">
        <f t="shared" si="4"/>
        <v>4.99</v>
      </c>
      <c r="I32" s="29">
        <v>11.1</v>
      </c>
      <c r="J32" s="89">
        <f t="shared" si="1"/>
        <v>3.6327350000000002E-3</v>
      </c>
      <c r="K32" s="27">
        <f t="shared" si="5"/>
        <v>4.3900000000000006</v>
      </c>
      <c r="L32" s="29">
        <v>24.2</v>
      </c>
      <c r="M32" s="88">
        <f>0.0031372+(E102*(25-L32))</f>
        <v>3.1657200000000003E-3</v>
      </c>
      <c r="N32" s="27">
        <f t="shared" si="6"/>
        <v>3.08</v>
      </c>
    </row>
    <row r="33" spans="2:39" x14ac:dyDescent="0.3">
      <c r="B33" s="40" t="s">
        <v>43</v>
      </c>
      <c r="C33" s="41">
        <f>SUM(C9:C32)/24</f>
        <v>7.4499999999999993</v>
      </c>
      <c r="D33" s="41">
        <f>SUM(D9:D32)/24</f>
        <v>3.7628574999999998E-3</v>
      </c>
      <c r="E33" s="42">
        <f>SUM(E9:E32)/24</f>
        <v>4.7549999999999999</v>
      </c>
      <c r="F33" s="41">
        <f>SUM(F9:F32)/24</f>
        <v>8.5499999999999989</v>
      </c>
      <c r="G33" s="41">
        <f>SUM(G9:G32)/24</f>
        <v>3.723642499999999E-3</v>
      </c>
      <c r="H33" s="42">
        <f t="shared" ref="H33" si="7">SUM(H9:H32)/24</f>
        <v>4.6450000000000005</v>
      </c>
      <c r="I33" s="42">
        <f>SUM(I9:I32)/24</f>
        <v>9.9833333333333307</v>
      </c>
      <c r="J33" s="90">
        <f>SUM(J9:J32)/24</f>
        <v>3.6725441666666677E-3</v>
      </c>
      <c r="K33" s="42">
        <f t="shared" ref="K33:N33" si="8">SUM(K9:K32)/24</f>
        <v>4.5016666666666678</v>
      </c>
      <c r="L33" s="42">
        <f t="shared" si="8"/>
        <v>21.770833333333332</v>
      </c>
      <c r="M33" s="92">
        <f>SUM(M9:M32)/24</f>
        <v>3.2774233333333343E-3</v>
      </c>
      <c r="N33" s="42">
        <f t="shared" si="8"/>
        <v>3.393333333333334</v>
      </c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2:39" x14ac:dyDescent="0.3">
      <c r="B34" s="19" t="s">
        <v>41</v>
      </c>
      <c r="C34" s="113">
        <v>43684</v>
      </c>
      <c r="D34" s="114"/>
      <c r="E34" s="115"/>
      <c r="F34" s="113">
        <v>43731</v>
      </c>
      <c r="G34" s="114"/>
      <c r="H34" s="115"/>
      <c r="I34" s="113">
        <v>43776</v>
      </c>
      <c r="J34" s="114"/>
      <c r="K34" s="115"/>
      <c r="L34" s="113">
        <v>43822</v>
      </c>
      <c r="M34" s="114"/>
      <c r="N34" s="116"/>
      <c r="O34" s="96"/>
      <c r="P34" s="98"/>
      <c r="Q34" s="98"/>
      <c r="R34" s="96"/>
      <c r="S34" s="98"/>
      <c r="T34" s="98"/>
      <c r="U34" s="96"/>
      <c r="V34" s="98"/>
      <c r="W34" s="98"/>
      <c r="X34" s="96"/>
      <c r="Y34" s="99"/>
      <c r="Z34" s="9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 spans="2:39" ht="57.6" x14ac:dyDescent="0.3">
      <c r="B35" s="20"/>
      <c r="C35" s="26" t="s">
        <v>42</v>
      </c>
      <c r="D35" s="26" t="s">
        <v>97</v>
      </c>
      <c r="E35" s="26" t="s">
        <v>161</v>
      </c>
      <c r="F35" s="26" t="s">
        <v>42</v>
      </c>
      <c r="G35" s="26" t="s">
        <v>97</v>
      </c>
      <c r="H35" s="26" t="s">
        <v>161</v>
      </c>
      <c r="I35" s="26" t="s">
        <v>42</v>
      </c>
      <c r="J35" s="26" t="s">
        <v>97</v>
      </c>
      <c r="K35" s="26" t="s">
        <v>161</v>
      </c>
      <c r="L35" s="26" t="s">
        <v>42</v>
      </c>
      <c r="M35" s="26" t="s">
        <v>97</v>
      </c>
      <c r="N35" s="26" t="s">
        <v>161</v>
      </c>
      <c r="O35" s="96"/>
      <c r="P35" s="98"/>
      <c r="Q35" s="98"/>
      <c r="R35" s="96"/>
      <c r="S35" s="98"/>
      <c r="T35" s="98"/>
      <c r="U35" s="96"/>
      <c r="V35" s="98"/>
      <c r="W35" s="98"/>
      <c r="X35" s="96"/>
      <c r="Y35" s="99"/>
      <c r="Z35" s="9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 spans="2:39" x14ac:dyDescent="0.3">
      <c r="B36" s="21">
        <v>0</v>
      </c>
      <c r="C36" s="27">
        <v>18.600000000000001</v>
      </c>
      <c r="D36" s="88">
        <f t="shared" ref="D36:D59" si="9">0.0031372+(E79*(25-C36))</f>
        <v>3.36536E-3</v>
      </c>
      <c r="E36" s="27">
        <f>3+0.1*(25-C36)</f>
        <v>3.6399999999999997</v>
      </c>
      <c r="F36" s="27">
        <v>16.100000000000001</v>
      </c>
      <c r="G36" s="27">
        <f t="shared" ref="G36:G59" si="10">0.0031372+(E79*(25-F36))</f>
        <v>3.4544850000000002E-3</v>
      </c>
      <c r="H36" s="27">
        <f>3+0.1*(25-F36)</f>
        <v>3.8899999999999997</v>
      </c>
      <c r="I36" s="27">
        <v>7.1</v>
      </c>
      <c r="J36" s="27">
        <f t="shared" ref="J36:J59" si="11">0.0031372+(E79*(25-I36))</f>
        <v>3.7753350000000003E-3</v>
      </c>
      <c r="K36" s="27">
        <f>3+0.1*(25-I36)</f>
        <v>4.79</v>
      </c>
      <c r="L36" s="27">
        <v>8.6</v>
      </c>
      <c r="M36" s="27">
        <f t="shared" ref="M36:M59" si="12">0.0031372+(E79*(25-L36))</f>
        <v>3.72186E-3</v>
      </c>
      <c r="N36" s="28">
        <f>3+0.1*(25-L36)</f>
        <v>4.6399999999999997</v>
      </c>
      <c r="O36" s="96"/>
      <c r="P36" s="98"/>
      <c r="Q36" s="98"/>
      <c r="R36" s="96"/>
      <c r="S36" s="98"/>
      <c r="T36" s="98"/>
      <c r="U36" s="96"/>
      <c r="V36" s="98"/>
      <c r="W36" s="98"/>
      <c r="X36" s="96"/>
      <c r="Y36" s="99"/>
      <c r="Z36" s="9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 spans="2:39" x14ac:dyDescent="0.3">
      <c r="B37" s="22">
        <v>4.1666666666666664E-2</v>
      </c>
      <c r="C37" s="29">
        <v>18.7</v>
      </c>
      <c r="D37" s="88">
        <f t="shared" si="9"/>
        <v>3.3617950000000003E-3</v>
      </c>
      <c r="E37" s="27">
        <f t="shared" ref="E37:E59" si="13">3+0.1*(25-C37)</f>
        <v>3.63</v>
      </c>
      <c r="F37" s="29">
        <v>16</v>
      </c>
      <c r="G37" s="27">
        <f t="shared" si="10"/>
        <v>3.4580500000000003E-3</v>
      </c>
      <c r="H37" s="27">
        <f t="shared" ref="H37:H59" si="14">3+0.1*(25-F37)</f>
        <v>3.9</v>
      </c>
      <c r="I37" s="29">
        <v>6.8</v>
      </c>
      <c r="J37" s="27">
        <f t="shared" si="11"/>
        <v>3.7860300000000001E-3</v>
      </c>
      <c r="K37" s="27">
        <f t="shared" ref="K37:K59" si="15">3+0.1*(25-I37)</f>
        <v>4.82</v>
      </c>
      <c r="L37" s="29">
        <v>8.6999999999999993</v>
      </c>
      <c r="M37" s="27">
        <f t="shared" si="12"/>
        <v>3.7182949999999999E-3</v>
      </c>
      <c r="N37" s="28">
        <f t="shared" ref="N37:N59" si="16">3+0.1*(25-L37)</f>
        <v>4.63</v>
      </c>
      <c r="O37" s="96"/>
      <c r="P37" s="98"/>
      <c r="Q37" s="98"/>
      <c r="R37" s="96"/>
      <c r="S37" s="98"/>
      <c r="T37" s="98"/>
      <c r="U37" s="96"/>
      <c r="V37" s="98"/>
      <c r="W37" s="98"/>
      <c r="X37" s="96"/>
      <c r="Y37" s="99"/>
      <c r="Z37" s="9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 spans="2:39" x14ac:dyDescent="0.3">
      <c r="B38" s="21">
        <v>8.3333333333333329E-2</v>
      </c>
      <c r="C38" s="27">
        <v>18.399999999999999</v>
      </c>
      <c r="D38" s="88">
        <f t="shared" si="9"/>
        <v>3.3724900000000001E-3</v>
      </c>
      <c r="E38" s="27">
        <f t="shared" si="13"/>
        <v>3.66</v>
      </c>
      <c r="F38" s="27">
        <v>15.9</v>
      </c>
      <c r="G38" s="27">
        <f t="shared" si="10"/>
        <v>3.4616150000000004E-3</v>
      </c>
      <c r="H38" s="27">
        <f t="shared" si="14"/>
        <v>3.91</v>
      </c>
      <c r="I38" s="27">
        <v>6.1</v>
      </c>
      <c r="J38" s="27">
        <f t="shared" si="11"/>
        <v>3.8109850000000002E-3</v>
      </c>
      <c r="K38" s="27">
        <f t="shared" si="15"/>
        <v>4.8899999999999997</v>
      </c>
      <c r="L38" s="27">
        <v>8.9</v>
      </c>
      <c r="M38" s="27">
        <f t="shared" si="12"/>
        <v>3.7111650000000002E-3</v>
      </c>
      <c r="N38" s="28">
        <f t="shared" si="16"/>
        <v>4.6100000000000003</v>
      </c>
      <c r="O38" s="96"/>
      <c r="P38" s="98"/>
      <c r="Q38" s="98"/>
      <c r="R38" s="96"/>
      <c r="S38" s="98"/>
      <c r="T38" s="98"/>
      <c r="U38" s="96"/>
      <c r="V38" s="98"/>
      <c r="W38" s="98"/>
      <c r="X38" s="96"/>
      <c r="Y38" s="99"/>
      <c r="Z38" s="9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 spans="2:39" x14ac:dyDescent="0.3">
      <c r="B39" s="22">
        <v>0.125</v>
      </c>
      <c r="C39" s="29">
        <v>18.5</v>
      </c>
      <c r="D39" s="88">
        <f t="shared" si="9"/>
        <v>3.368925E-3</v>
      </c>
      <c r="E39" s="27">
        <f t="shared" si="13"/>
        <v>3.65</v>
      </c>
      <c r="F39" s="29">
        <v>15.9</v>
      </c>
      <c r="G39" s="27">
        <f t="shared" si="10"/>
        <v>3.4616150000000004E-3</v>
      </c>
      <c r="H39" s="27">
        <f t="shared" si="14"/>
        <v>3.91</v>
      </c>
      <c r="I39" s="29">
        <v>6.2</v>
      </c>
      <c r="J39" s="27">
        <f t="shared" si="11"/>
        <v>3.8074200000000002E-3</v>
      </c>
      <c r="K39" s="27">
        <f t="shared" si="15"/>
        <v>4.88</v>
      </c>
      <c r="L39" s="29">
        <v>8.6999999999999993</v>
      </c>
      <c r="M39" s="27">
        <f t="shared" si="12"/>
        <v>3.7182949999999999E-3</v>
      </c>
      <c r="N39" s="28">
        <f t="shared" si="16"/>
        <v>4.63</v>
      </c>
      <c r="O39" s="96"/>
      <c r="P39" s="98"/>
      <c r="Q39" s="98"/>
      <c r="R39" s="96"/>
      <c r="S39" s="98"/>
      <c r="T39" s="98"/>
      <c r="U39" s="96"/>
      <c r="V39" s="98"/>
      <c r="W39" s="98"/>
      <c r="X39" s="96"/>
      <c r="Y39" s="99"/>
      <c r="Z39" s="9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 spans="2:39" x14ac:dyDescent="0.3">
      <c r="B40" s="21">
        <v>0.16666666666666666</v>
      </c>
      <c r="C40" s="27">
        <v>18.3</v>
      </c>
      <c r="D40" s="88">
        <f t="shared" si="9"/>
        <v>3.3760550000000002E-3</v>
      </c>
      <c r="E40" s="27">
        <f t="shared" si="13"/>
        <v>3.67</v>
      </c>
      <c r="F40" s="27">
        <v>15.8</v>
      </c>
      <c r="G40" s="27">
        <f t="shared" si="10"/>
        <v>3.46518E-3</v>
      </c>
      <c r="H40" s="27">
        <f t="shared" si="14"/>
        <v>3.92</v>
      </c>
      <c r="I40" s="27">
        <v>6.1</v>
      </c>
      <c r="J40" s="27">
        <f t="shared" si="11"/>
        <v>3.8109850000000002E-3</v>
      </c>
      <c r="K40" s="27">
        <f t="shared" si="15"/>
        <v>4.8899999999999997</v>
      </c>
      <c r="L40" s="27">
        <v>8.4</v>
      </c>
      <c r="M40" s="27">
        <f t="shared" si="12"/>
        <v>3.7289900000000002E-3</v>
      </c>
      <c r="N40" s="28">
        <f t="shared" si="16"/>
        <v>4.66</v>
      </c>
      <c r="O40" s="96"/>
      <c r="P40" s="98"/>
      <c r="Q40" s="98"/>
      <c r="R40" s="96"/>
      <c r="S40" s="98"/>
      <c r="T40" s="98"/>
      <c r="U40" s="96"/>
      <c r="V40" s="98"/>
      <c r="W40" s="98"/>
      <c r="X40" s="96"/>
      <c r="Y40" s="99"/>
      <c r="Z40" s="9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 spans="2:39" x14ac:dyDescent="0.3">
      <c r="B41" s="22">
        <v>0.20833333333333334</v>
      </c>
      <c r="C41" s="29">
        <v>18</v>
      </c>
      <c r="D41" s="88">
        <f t="shared" si="9"/>
        <v>3.38675E-3</v>
      </c>
      <c r="E41" s="27">
        <f t="shared" si="13"/>
        <v>3.7</v>
      </c>
      <c r="F41" s="29">
        <v>15.7</v>
      </c>
      <c r="G41" s="27">
        <f t="shared" si="10"/>
        <v>3.4687450000000001E-3</v>
      </c>
      <c r="H41" s="27">
        <f t="shared" si="14"/>
        <v>3.93</v>
      </c>
      <c r="I41" s="29">
        <v>7.2</v>
      </c>
      <c r="J41" s="27">
        <f t="shared" si="11"/>
        <v>3.7717700000000002E-3</v>
      </c>
      <c r="K41" s="27">
        <f t="shared" si="15"/>
        <v>4.78</v>
      </c>
      <c r="L41" s="29">
        <v>8.1999999999999993</v>
      </c>
      <c r="M41" s="27">
        <f t="shared" si="12"/>
        <v>3.7361199999999999E-3</v>
      </c>
      <c r="N41" s="28">
        <f t="shared" si="16"/>
        <v>4.68</v>
      </c>
      <c r="O41" s="96"/>
      <c r="P41" s="98"/>
      <c r="Q41" s="98"/>
      <c r="R41" s="96"/>
      <c r="S41" s="98"/>
      <c r="T41" s="98"/>
      <c r="U41" s="96"/>
      <c r="V41" s="98"/>
      <c r="W41" s="98"/>
      <c r="X41" s="96"/>
      <c r="Y41" s="99"/>
      <c r="Z41" s="9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 spans="2:39" x14ac:dyDescent="0.3">
      <c r="B42" s="21">
        <v>0.25</v>
      </c>
      <c r="C42" s="27">
        <v>18</v>
      </c>
      <c r="D42" s="88">
        <f t="shared" si="9"/>
        <v>3.38675E-3</v>
      </c>
      <c r="E42" s="27">
        <f t="shared" si="13"/>
        <v>3.7</v>
      </c>
      <c r="F42" s="27">
        <v>15.8</v>
      </c>
      <c r="G42" s="27">
        <f t="shared" si="10"/>
        <v>3.46518E-3</v>
      </c>
      <c r="H42" s="27">
        <f t="shared" si="14"/>
        <v>3.92</v>
      </c>
      <c r="I42" s="27">
        <v>7.6</v>
      </c>
      <c r="J42" s="27">
        <f t="shared" si="11"/>
        <v>3.7575099999999999E-3</v>
      </c>
      <c r="K42" s="27">
        <f t="shared" si="15"/>
        <v>4.74</v>
      </c>
      <c r="L42" s="27">
        <v>8.4</v>
      </c>
      <c r="M42" s="27">
        <f t="shared" si="12"/>
        <v>3.7289900000000002E-3</v>
      </c>
      <c r="N42" s="28">
        <f t="shared" si="16"/>
        <v>4.66</v>
      </c>
      <c r="O42" s="96"/>
      <c r="P42" s="98"/>
      <c r="Q42" s="98"/>
      <c r="R42" s="96"/>
      <c r="S42" s="98"/>
      <c r="T42" s="98"/>
      <c r="U42" s="96"/>
      <c r="V42" s="98"/>
      <c r="W42" s="98"/>
      <c r="X42" s="96"/>
      <c r="Y42" s="99"/>
      <c r="Z42" s="9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2:39" x14ac:dyDescent="0.3">
      <c r="B43" s="22">
        <v>0.29166666666666669</v>
      </c>
      <c r="C43" s="29">
        <v>17.2</v>
      </c>
      <c r="D43" s="88">
        <f t="shared" si="9"/>
        <v>3.4152700000000002E-3</v>
      </c>
      <c r="E43" s="27">
        <f t="shared" si="13"/>
        <v>3.7800000000000002</v>
      </c>
      <c r="F43" s="30">
        <v>15.7</v>
      </c>
      <c r="G43" s="27">
        <f t="shared" si="10"/>
        <v>3.4687450000000001E-3</v>
      </c>
      <c r="H43" s="27">
        <f t="shared" si="14"/>
        <v>3.93</v>
      </c>
      <c r="I43" s="29">
        <v>8</v>
      </c>
      <c r="J43" s="27">
        <f t="shared" si="11"/>
        <v>3.74325E-3</v>
      </c>
      <c r="K43" s="27">
        <f t="shared" si="15"/>
        <v>4.7</v>
      </c>
      <c r="L43" s="29">
        <v>7.5</v>
      </c>
      <c r="M43" s="27">
        <f t="shared" si="12"/>
        <v>3.761075E-3</v>
      </c>
      <c r="N43" s="28">
        <f t="shared" si="16"/>
        <v>4.75</v>
      </c>
      <c r="O43" s="96"/>
      <c r="P43" s="98"/>
      <c r="Q43" s="98"/>
      <c r="R43" s="96"/>
      <c r="S43" s="98"/>
      <c r="T43" s="98"/>
      <c r="U43" s="96"/>
      <c r="V43" s="98"/>
      <c r="W43" s="98"/>
      <c r="X43" s="96"/>
      <c r="Y43" s="99"/>
      <c r="Z43" s="9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2:39" x14ac:dyDescent="0.3">
      <c r="B44" s="21">
        <v>0.33333333333333331</v>
      </c>
      <c r="C44" s="27">
        <v>18.100000000000001</v>
      </c>
      <c r="D44" s="88">
        <f t="shared" si="9"/>
        <v>3.3831849999999999E-3</v>
      </c>
      <c r="E44" s="27">
        <f t="shared" si="13"/>
        <v>3.69</v>
      </c>
      <c r="F44" s="31">
        <v>15.7</v>
      </c>
      <c r="G44" s="27">
        <f t="shared" si="10"/>
        <v>3.4687450000000001E-3</v>
      </c>
      <c r="H44" s="27">
        <f t="shared" si="14"/>
        <v>3.93</v>
      </c>
      <c r="I44" s="27">
        <v>7.7</v>
      </c>
      <c r="J44" s="27">
        <f t="shared" si="11"/>
        <v>3.7539450000000003E-3</v>
      </c>
      <c r="K44" s="27">
        <f t="shared" si="15"/>
        <v>4.7300000000000004</v>
      </c>
      <c r="L44" s="27">
        <v>7.4</v>
      </c>
      <c r="M44" s="27">
        <f t="shared" si="12"/>
        <v>3.7646400000000001E-3</v>
      </c>
      <c r="N44" s="28">
        <f t="shared" si="16"/>
        <v>4.76</v>
      </c>
      <c r="O44" s="96"/>
      <c r="P44" s="98"/>
      <c r="Q44" s="98"/>
      <c r="R44" s="96"/>
      <c r="S44" s="98"/>
      <c r="T44" s="98"/>
      <c r="U44" s="96"/>
      <c r="V44" s="98"/>
      <c r="W44" s="98"/>
      <c r="X44" s="96"/>
      <c r="Y44" s="99"/>
      <c r="Z44" s="9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</row>
    <row r="45" spans="2:39" x14ac:dyDescent="0.3">
      <c r="B45" s="22">
        <v>0.375</v>
      </c>
      <c r="C45" s="29">
        <v>18.7</v>
      </c>
      <c r="D45" s="88">
        <f t="shared" si="9"/>
        <v>3.3617950000000003E-3</v>
      </c>
      <c r="E45" s="27">
        <f t="shared" si="13"/>
        <v>3.63</v>
      </c>
      <c r="F45" s="30">
        <v>15.7</v>
      </c>
      <c r="G45" s="27">
        <f t="shared" si="10"/>
        <v>3.4687450000000001E-3</v>
      </c>
      <c r="H45" s="27">
        <f t="shared" si="14"/>
        <v>3.93</v>
      </c>
      <c r="I45" s="29">
        <v>8.3000000000000007</v>
      </c>
      <c r="J45" s="27">
        <f t="shared" si="11"/>
        <v>3.7325550000000002E-3</v>
      </c>
      <c r="K45" s="27">
        <f t="shared" si="15"/>
        <v>4.67</v>
      </c>
      <c r="L45" s="29">
        <v>8.3000000000000007</v>
      </c>
      <c r="M45" s="27">
        <f t="shared" si="12"/>
        <v>3.7325550000000002E-3</v>
      </c>
      <c r="N45" s="28">
        <f t="shared" si="16"/>
        <v>4.67</v>
      </c>
      <c r="O45" s="96"/>
      <c r="P45" s="98"/>
      <c r="Q45" s="98"/>
      <c r="R45" s="96"/>
      <c r="S45" s="98"/>
      <c r="T45" s="98"/>
      <c r="U45" s="96"/>
      <c r="V45" s="98"/>
      <c r="W45" s="98"/>
      <c r="X45" s="96"/>
      <c r="Y45" s="99"/>
      <c r="Z45" s="9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</row>
    <row r="46" spans="2:39" x14ac:dyDescent="0.3">
      <c r="B46" s="21">
        <v>0.41666666666666669</v>
      </c>
      <c r="C46" s="27">
        <v>19.2</v>
      </c>
      <c r="D46" s="88">
        <f t="shared" si="9"/>
        <v>3.3439700000000004E-3</v>
      </c>
      <c r="E46" s="27">
        <f t="shared" si="13"/>
        <v>3.58</v>
      </c>
      <c r="F46" s="27">
        <v>16</v>
      </c>
      <c r="G46" s="27">
        <f t="shared" si="10"/>
        <v>3.4580500000000003E-3</v>
      </c>
      <c r="H46" s="27">
        <f t="shared" si="14"/>
        <v>3.9</v>
      </c>
      <c r="I46" s="27">
        <v>8.6999999999999993</v>
      </c>
      <c r="J46" s="27">
        <f t="shared" si="11"/>
        <v>3.7182949999999999E-3</v>
      </c>
      <c r="K46" s="27">
        <f t="shared" si="15"/>
        <v>4.63</v>
      </c>
      <c r="L46" s="27">
        <v>8.1</v>
      </c>
      <c r="M46" s="27">
        <f t="shared" si="12"/>
        <v>3.739685E-3</v>
      </c>
      <c r="N46" s="28">
        <f t="shared" si="16"/>
        <v>4.6899999999999995</v>
      </c>
      <c r="O46" s="96"/>
      <c r="P46" s="98"/>
      <c r="Q46" s="98"/>
      <c r="R46" s="96"/>
      <c r="S46" s="98"/>
      <c r="T46" s="98"/>
      <c r="U46" s="96"/>
      <c r="V46" s="98"/>
      <c r="W46" s="98"/>
      <c r="X46" s="96"/>
      <c r="Y46" s="99"/>
      <c r="Z46" s="9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 spans="2:39" x14ac:dyDescent="0.3">
      <c r="B47" s="22">
        <v>0.45833333333333331</v>
      </c>
      <c r="C47" s="29">
        <v>20.100000000000001</v>
      </c>
      <c r="D47" s="88">
        <f t="shared" si="9"/>
        <v>3.3118850000000001E-3</v>
      </c>
      <c r="E47" s="27">
        <f t="shared" si="13"/>
        <v>3.4899999999999998</v>
      </c>
      <c r="F47" s="29">
        <v>16.100000000000001</v>
      </c>
      <c r="G47" s="27">
        <f t="shared" si="10"/>
        <v>3.4544850000000002E-3</v>
      </c>
      <c r="H47" s="27">
        <f t="shared" si="14"/>
        <v>3.8899999999999997</v>
      </c>
      <c r="I47" s="29">
        <v>8.6999999999999993</v>
      </c>
      <c r="J47" s="27">
        <f t="shared" si="11"/>
        <v>3.7182949999999999E-3</v>
      </c>
      <c r="K47" s="27">
        <f t="shared" si="15"/>
        <v>4.63</v>
      </c>
      <c r="L47" s="29">
        <v>8.3000000000000007</v>
      </c>
      <c r="M47" s="27">
        <f t="shared" si="12"/>
        <v>3.7325550000000002E-3</v>
      </c>
      <c r="N47" s="28">
        <f t="shared" si="16"/>
        <v>4.67</v>
      </c>
      <c r="O47" s="96"/>
      <c r="P47" s="98"/>
      <c r="Q47" s="98"/>
      <c r="R47" s="96"/>
      <c r="S47" s="98"/>
      <c r="T47" s="98"/>
      <c r="U47" s="96"/>
      <c r="V47" s="98"/>
      <c r="W47" s="98"/>
      <c r="X47" s="96"/>
      <c r="Y47" s="99"/>
      <c r="Z47" s="9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 spans="2:39" x14ac:dyDescent="0.3">
      <c r="B48" s="21">
        <v>0.5</v>
      </c>
      <c r="C48" s="27">
        <v>20.399999999999999</v>
      </c>
      <c r="D48" s="88">
        <f t="shared" si="9"/>
        <v>3.3011900000000003E-3</v>
      </c>
      <c r="E48" s="27">
        <f t="shared" si="13"/>
        <v>3.46</v>
      </c>
      <c r="F48" s="27">
        <v>17.7</v>
      </c>
      <c r="G48" s="27">
        <f t="shared" si="10"/>
        <v>3.3974450000000002E-3</v>
      </c>
      <c r="H48" s="27">
        <f t="shared" si="14"/>
        <v>3.73</v>
      </c>
      <c r="I48" s="27">
        <v>8.6999999999999993</v>
      </c>
      <c r="J48" s="27">
        <f t="shared" si="11"/>
        <v>3.7182949999999999E-3</v>
      </c>
      <c r="K48" s="27">
        <f t="shared" si="15"/>
        <v>4.63</v>
      </c>
      <c r="L48" s="27">
        <v>8.5</v>
      </c>
      <c r="M48" s="27">
        <f t="shared" si="12"/>
        <v>3.7254250000000001E-3</v>
      </c>
      <c r="N48" s="28">
        <f t="shared" si="16"/>
        <v>4.6500000000000004</v>
      </c>
      <c r="O48" s="96"/>
      <c r="P48" s="98"/>
      <c r="Q48" s="98"/>
      <c r="R48" s="96"/>
      <c r="S48" s="98"/>
      <c r="T48" s="98"/>
      <c r="U48" s="96"/>
      <c r="V48" s="98"/>
      <c r="W48" s="98"/>
      <c r="X48" s="96"/>
      <c r="Y48" s="99"/>
      <c r="Z48" s="9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</row>
    <row r="49" spans="2:39" x14ac:dyDescent="0.3">
      <c r="B49" s="22">
        <v>0.54166666666666663</v>
      </c>
      <c r="C49" s="29">
        <v>17.7</v>
      </c>
      <c r="D49" s="88">
        <f t="shared" si="9"/>
        <v>3.3974450000000002E-3</v>
      </c>
      <c r="E49" s="27">
        <f t="shared" si="13"/>
        <v>3.73</v>
      </c>
      <c r="F49" s="29">
        <v>16.8</v>
      </c>
      <c r="G49" s="27">
        <f t="shared" si="10"/>
        <v>3.4295300000000001E-3</v>
      </c>
      <c r="H49" s="27">
        <f t="shared" si="14"/>
        <v>3.82</v>
      </c>
      <c r="I49" s="29">
        <v>8.3000000000000007</v>
      </c>
      <c r="J49" s="27">
        <f t="shared" si="11"/>
        <v>3.7325550000000002E-3</v>
      </c>
      <c r="K49" s="27">
        <f t="shared" si="15"/>
        <v>4.67</v>
      </c>
      <c r="L49" s="29">
        <v>8.8000000000000007</v>
      </c>
      <c r="M49" s="27">
        <f t="shared" si="12"/>
        <v>3.7147300000000003E-3</v>
      </c>
      <c r="N49" s="28">
        <f t="shared" si="16"/>
        <v>4.62</v>
      </c>
      <c r="O49" s="96"/>
      <c r="P49" s="98"/>
      <c r="Q49" s="98"/>
      <c r="R49" s="96"/>
      <c r="S49" s="98"/>
      <c r="T49" s="98"/>
      <c r="U49" s="96"/>
      <c r="V49" s="98"/>
      <c r="W49" s="98"/>
      <c r="X49" s="96"/>
      <c r="Y49" s="99"/>
      <c r="Z49" s="9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 spans="2:39" x14ac:dyDescent="0.3">
      <c r="B50" s="21">
        <v>0.58333333333333337</v>
      </c>
      <c r="C50" s="27">
        <v>20.100000000000001</v>
      </c>
      <c r="D50" s="88">
        <f t="shared" si="9"/>
        <v>3.3118850000000001E-3</v>
      </c>
      <c r="E50" s="27">
        <f t="shared" si="13"/>
        <v>3.4899999999999998</v>
      </c>
      <c r="F50" s="27">
        <v>17.899999999999999</v>
      </c>
      <c r="G50" s="27">
        <f t="shared" si="10"/>
        <v>3.3903150000000001E-3</v>
      </c>
      <c r="H50" s="27">
        <f t="shared" si="14"/>
        <v>3.71</v>
      </c>
      <c r="I50" s="27">
        <v>8.4</v>
      </c>
      <c r="J50" s="27">
        <f t="shared" si="11"/>
        <v>3.7289900000000002E-3</v>
      </c>
      <c r="K50" s="27">
        <f t="shared" si="15"/>
        <v>4.66</v>
      </c>
      <c r="L50" s="27">
        <v>8.8000000000000007</v>
      </c>
      <c r="M50" s="27">
        <f t="shared" si="12"/>
        <v>3.7147300000000003E-3</v>
      </c>
      <c r="N50" s="28">
        <f t="shared" si="16"/>
        <v>4.62</v>
      </c>
      <c r="O50" s="96"/>
      <c r="P50" s="98"/>
      <c r="Q50" s="98"/>
      <c r="R50" s="96"/>
      <c r="S50" s="98"/>
      <c r="T50" s="98"/>
      <c r="U50" s="96"/>
      <c r="V50" s="98"/>
      <c r="W50" s="98"/>
      <c r="X50" s="96"/>
      <c r="Y50" s="99"/>
      <c r="Z50" s="9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 spans="2:39" x14ac:dyDescent="0.3">
      <c r="B51" s="22">
        <v>0.625</v>
      </c>
      <c r="C51" s="29">
        <v>21.7</v>
      </c>
      <c r="D51" s="88">
        <f t="shared" si="9"/>
        <v>3.2548450000000001E-3</v>
      </c>
      <c r="E51" s="27">
        <f t="shared" si="13"/>
        <v>3.33</v>
      </c>
      <c r="F51" s="29">
        <v>19.100000000000001</v>
      </c>
      <c r="G51" s="27">
        <f t="shared" si="10"/>
        <v>3.347535E-3</v>
      </c>
      <c r="H51" s="27">
        <f t="shared" si="14"/>
        <v>3.59</v>
      </c>
      <c r="I51" s="29">
        <v>8.1</v>
      </c>
      <c r="J51" s="27">
        <f t="shared" si="11"/>
        <v>3.739685E-3</v>
      </c>
      <c r="K51" s="27">
        <f t="shared" si="15"/>
        <v>4.6899999999999995</v>
      </c>
      <c r="L51" s="29">
        <v>8.9</v>
      </c>
      <c r="M51" s="27">
        <f t="shared" si="12"/>
        <v>3.7111650000000002E-3</v>
      </c>
      <c r="N51" s="28">
        <f t="shared" si="16"/>
        <v>4.6100000000000003</v>
      </c>
      <c r="O51" s="96"/>
      <c r="P51" s="98"/>
      <c r="Q51" s="98"/>
      <c r="R51" s="96"/>
      <c r="S51" s="98"/>
      <c r="T51" s="98"/>
      <c r="U51" s="96"/>
      <c r="V51" s="98"/>
      <c r="W51" s="98"/>
      <c r="X51" s="96"/>
      <c r="Y51" s="99"/>
      <c r="Z51" s="9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 spans="2:39" ht="16.8" customHeight="1" x14ac:dyDescent="0.3">
      <c r="B52" s="21">
        <v>0.66666666666666663</v>
      </c>
      <c r="C52" s="27">
        <v>21.8</v>
      </c>
      <c r="D52" s="88">
        <f t="shared" si="9"/>
        <v>3.2512800000000001E-3</v>
      </c>
      <c r="E52" s="27">
        <f t="shared" si="13"/>
        <v>3.32</v>
      </c>
      <c r="F52" s="27">
        <v>19.100000000000001</v>
      </c>
      <c r="G52" s="27">
        <f t="shared" si="10"/>
        <v>3.347535E-3</v>
      </c>
      <c r="H52" s="27">
        <f t="shared" si="14"/>
        <v>3.59</v>
      </c>
      <c r="I52" s="27">
        <v>8.3000000000000007</v>
      </c>
      <c r="J52" s="27">
        <f t="shared" si="11"/>
        <v>3.7325550000000002E-3</v>
      </c>
      <c r="K52" s="27">
        <f t="shared" si="15"/>
        <v>4.67</v>
      </c>
      <c r="L52" s="31">
        <v>8.4</v>
      </c>
      <c r="M52" s="27">
        <f t="shared" si="12"/>
        <v>3.7289900000000002E-3</v>
      </c>
      <c r="N52" s="28">
        <f t="shared" si="16"/>
        <v>4.66</v>
      </c>
      <c r="O52" s="96"/>
      <c r="P52" s="98"/>
      <c r="Q52" s="98"/>
      <c r="R52" s="96"/>
      <c r="S52" s="98"/>
      <c r="T52" s="98"/>
      <c r="U52" s="96"/>
      <c r="V52" s="98"/>
      <c r="W52" s="98"/>
      <c r="X52" s="96"/>
      <c r="Y52" s="99"/>
      <c r="Z52" s="9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 spans="2:39" x14ac:dyDescent="0.3">
      <c r="B53" s="22">
        <v>0.70833333333333337</v>
      </c>
      <c r="C53" s="29">
        <v>21.9</v>
      </c>
      <c r="D53" s="88">
        <f t="shared" si="9"/>
        <v>3.247715E-3</v>
      </c>
      <c r="E53" s="27">
        <f t="shared" si="13"/>
        <v>3.31</v>
      </c>
      <c r="F53" s="29">
        <v>18.399999999999999</v>
      </c>
      <c r="G53" s="27">
        <f t="shared" si="10"/>
        <v>3.3724900000000001E-3</v>
      </c>
      <c r="H53" s="27">
        <f t="shared" si="14"/>
        <v>3.66</v>
      </c>
      <c r="I53" s="29">
        <v>8.8000000000000007</v>
      </c>
      <c r="J53" s="27">
        <f t="shared" si="11"/>
        <v>3.7147300000000003E-3</v>
      </c>
      <c r="K53" s="27">
        <f t="shared" si="15"/>
        <v>4.62</v>
      </c>
      <c r="L53" s="30">
        <v>8.4</v>
      </c>
      <c r="M53" s="27">
        <f t="shared" si="12"/>
        <v>3.7289900000000002E-3</v>
      </c>
      <c r="N53" s="28">
        <f t="shared" si="16"/>
        <v>4.66</v>
      </c>
      <c r="O53" s="96"/>
      <c r="P53" s="98"/>
      <c r="Q53" s="98"/>
      <c r="R53" s="96"/>
      <c r="S53" s="98"/>
      <c r="T53" s="98"/>
      <c r="U53" s="96"/>
      <c r="V53" s="98"/>
      <c r="W53" s="98"/>
      <c r="X53" s="96"/>
      <c r="Y53" s="99"/>
      <c r="Z53" s="9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 spans="2:39" x14ac:dyDescent="0.3">
      <c r="B54" s="21">
        <v>0.75</v>
      </c>
      <c r="C54" s="27">
        <v>21.5</v>
      </c>
      <c r="D54" s="88">
        <f t="shared" si="9"/>
        <v>3.2619750000000003E-3</v>
      </c>
      <c r="E54" s="27">
        <f t="shared" si="13"/>
        <v>3.35</v>
      </c>
      <c r="F54" s="27">
        <v>18.600000000000001</v>
      </c>
      <c r="G54" s="27">
        <f t="shared" si="10"/>
        <v>3.36536E-3</v>
      </c>
      <c r="H54" s="27">
        <f t="shared" si="14"/>
        <v>3.6399999999999997</v>
      </c>
      <c r="I54" s="27">
        <v>9.1999999999999993</v>
      </c>
      <c r="J54" s="27">
        <f t="shared" si="11"/>
        <v>3.70047E-3</v>
      </c>
      <c r="K54" s="27">
        <f t="shared" si="15"/>
        <v>4.58</v>
      </c>
      <c r="L54" s="27">
        <v>8.1999999999999993</v>
      </c>
      <c r="M54" s="27">
        <f t="shared" si="12"/>
        <v>3.7361199999999999E-3</v>
      </c>
      <c r="N54" s="28">
        <f t="shared" si="16"/>
        <v>4.68</v>
      </c>
      <c r="O54" s="96"/>
      <c r="P54" s="98"/>
      <c r="Q54" s="98"/>
      <c r="R54" s="96"/>
      <c r="S54" s="98"/>
      <c r="T54" s="98"/>
      <c r="U54" s="96"/>
      <c r="V54" s="98"/>
      <c r="W54" s="98"/>
      <c r="X54" s="96"/>
      <c r="Y54" s="99"/>
      <c r="Z54" s="9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 spans="2:39" x14ac:dyDescent="0.3">
      <c r="B55" s="22">
        <v>0.79166666666666663</v>
      </c>
      <c r="C55" s="29">
        <v>20.8</v>
      </c>
      <c r="D55" s="88">
        <f t="shared" si="9"/>
        <v>3.28693E-3</v>
      </c>
      <c r="E55" s="27">
        <f t="shared" si="13"/>
        <v>3.42</v>
      </c>
      <c r="F55" s="29">
        <v>17.5</v>
      </c>
      <c r="G55" s="27">
        <f t="shared" si="10"/>
        <v>3.404575E-3</v>
      </c>
      <c r="H55" s="27">
        <f t="shared" si="14"/>
        <v>3.75</v>
      </c>
      <c r="I55" s="29">
        <v>7.9</v>
      </c>
      <c r="J55" s="27">
        <f t="shared" si="11"/>
        <v>3.7468150000000001E-3</v>
      </c>
      <c r="K55" s="27">
        <f t="shared" si="15"/>
        <v>4.71</v>
      </c>
      <c r="L55" s="29">
        <v>8.1</v>
      </c>
      <c r="M55" s="27">
        <f t="shared" si="12"/>
        <v>3.739685E-3</v>
      </c>
      <c r="N55" s="28">
        <f t="shared" si="16"/>
        <v>4.6899999999999995</v>
      </c>
      <c r="O55" s="96"/>
      <c r="P55" s="98"/>
      <c r="Q55" s="98"/>
      <c r="R55" s="96"/>
      <c r="S55" s="98"/>
      <c r="T55" s="98"/>
      <c r="U55" s="96"/>
      <c r="V55" s="98"/>
      <c r="W55" s="98"/>
      <c r="X55" s="96"/>
      <c r="Y55" s="99"/>
      <c r="Z55" s="9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 spans="2:39" x14ac:dyDescent="0.3">
      <c r="B56" s="21">
        <v>0.83333333333333337</v>
      </c>
      <c r="C56" s="27">
        <v>19.8</v>
      </c>
      <c r="D56" s="88">
        <f t="shared" si="9"/>
        <v>3.3225800000000003E-3</v>
      </c>
      <c r="E56" s="27">
        <f t="shared" si="13"/>
        <v>3.52</v>
      </c>
      <c r="F56" s="27">
        <v>15.6</v>
      </c>
      <c r="G56" s="27">
        <f t="shared" si="10"/>
        <v>3.4723100000000002E-3</v>
      </c>
      <c r="H56" s="27">
        <f t="shared" si="14"/>
        <v>3.94</v>
      </c>
      <c r="I56" s="27">
        <v>7.4</v>
      </c>
      <c r="J56" s="27">
        <f t="shared" si="11"/>
        <v>3.7646400000000001E-3</v>
      </c>
      <c r="K56" s="27">
        <f t="shared" si="15"/>
        <v>4.76</v>
      </c>
      <c r="L56" s="27">
        <v>8.5</v>
      </c>
      <c r="M56" s="27">
        <f t="shared" si="12"/>
        <v>3.7254250000000001E-3</v>
      </c>
      <c r="N56" s="28">
        <f t="shared" si="16"/>
        <v>4.6500000000000004</v>
      </c>
      <c r="O56" s="96"/>
      <c r="P56" s="98"/>
      <c r="Q56" s="98"/>
      <c r="R56" s="96"/>
      <c r="S56" s="98"/>
      <c r="T56" s="98"/>
      <c r="U56" s="96"/>
      <c r="V56" s="98"/>
      <c r="W56" s="98"/>
      <c r="X56" s="96"/>
      <c r="Y56" s="99"/>
      <c r="Z56" s="9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2:39" x14ac:dyDescent="0.3">
      <c r="B57" s="22">
        <v>0.875</v>
      </c>
      <c r="C57" s="29">
        <v>19</v>
      </c>
      <c r="D57" s="88">
        <f t="shared" si="9"/>
        <v>3.3511000000000001E-3</v>
      </c>
      <c r="E57" s="27">
        <f t="shared" si="13"/>
        <v>3.6</v>
      </c>
      <c r="F57" s="29">
        <v>15</v>
      </c>
      <c r="G57" s="27">
        <f t="shared" si="10"/>
        <v>3.4937000000000002E-3</v>
      </c>
      <c r="H57" s="27">
        <f t="shared" si="14"/>
        <v>4</v>
      </c>
      <c r="I57" s="29">
        <v>7.2</v>
      </c>
      <c r="J57" s="27">
        <f t="shared" si="11"/>
        <v>3.7717700000000002E-3</v>
      </c>
      <c r="K57" s="27">
        <f t="shared" si="15"/>
        <v>4.78</v>
      </c>
      <c r="L57" s="29">
        <v>9</v>
      </c>
      <c r="M57" s="27">
        <f t="shared" si="12"/>
        <v>3.7076000000000001E-3</v>
      </c>
      <c r="N57" s="28">
        <f t="shared" si="16"/>
        <v>4.5999999999999996</v>
      </c>
      <c r="O57" s="96"/>
      <c r="P57" s="98"/>
      <c r="Q57" s="98"/>
      <c r="R57" s="96"/>
      <c r="S57" s="98"/>
      <c r="T57" s="98"/>
      <c r="U57" s="96"/>
      <c r="V57" s="98"/>
      <c r="W57" s="98"/>
      <c r="X57" s="96"/>
      <c r="Y57" s="99"/>
      <c r="Z57" s="9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 spans="2:39" x14ac:dyDescent="0.3">
      <c r="B58" s="21">
        <v>0.91666666666666663</v>
      </c>
      <c r="C58" s="27">
        <v>19</v>
      </c>
      <c r="D58" s="88">
        <f t="shared" si="9"/>
        <v>3.3511000000000001E-3</v>
      </c>
      <c r="E58" s="27">
        <f t="shared" si="13"/>
        <v>3.6</v>
      </c>
      <c r="F58" s="27">
        <v>13.8</v>
      </c>
      <c r="G58" s="27">
        <f t="shared" si="10"/>
        <v>3.5364800000000003E-3</v>
      </c>
      <c r="H58" s="27">
        <f t="shared" si="14"/>
        <v>4.12</v>
      </c>
      <c r="I58" s="27">
        <v>6.9</v>
      </c>
      <c r="J58" s="27">
        <f t="shared" si="11"/>
        <v>3.782465E-3</v>
      </c>
      <c r="K58" s="27">
        <f t="shared" si="15"/>
        <v>4.8100000000000005</v>
      </c>
      <c r="L58" s="27">
        <v>8.6</v>
      </c>
      <c r="M58" s="27">
        <f t="shared" si="12"/>
        <v>3.72186E-3</v>
      </c>
      <c r="N58" s="28">
        <f t="shared" si="16"/>
        <v>4.6399999999999997</v>
      </c>
      <c r="O58" s="96"/>
      <c r="P58" s="98"/>
      <c r="Q58" s="98"/>
      <c r="R58" s="96"/>
      <c r="S58" s="98"/>
      <c r="T58" s="98"/>
      <c r="U58" s="96"/>
      <c r="V58" s="98"/>
      <c r="W58" s="98"/>
      <c r="X58" s="96"/>
      <c r="Y58" s="99"/>
      <c r="Z58" s="9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 spans="2:39" x14ac:dyDescent="0.3">
      <c r="B59" s="22">
        <v>0.95833333333333337</v>
      </c>
      <c r="C59" s="29">
        <v>18.899999999999999</v>
      </c>
      <c r="D59" s="88">
        <f t="shared" si="9"/>
        <v>3.3546650000000002E-3</v>
      </c>
      <c r="E59" s="27">
        <f t="shared" si="13"/>
        <v>3.6100000000000003</v>
      </c>
      <c r="F59" s="29">
        <v>15.8</v>
      </c>
      <c r="G59" s="27">
        <f t="shared" si="10"/>
        <v>3.46518E-3</v>
      </c>
      <c r="H59" s="27">
        <f t="shared" si="14"/>
        <v>3.92</v>
      </c>
      <c r="I59" s="29">
        <v>6.5</v>
      </c>
      <c r="J59" s="27">
        <f t="shared" si="11"/>
        <v>3.7967249999999999E-3</v>
      </c>
      <c r="K59" s="27">
        <f t="shared" si="15"/>
        <v>4.8499999999999996</v>
      </c>
      <c r="L59" s="29">
        <v>8</v>
      </c>
      <c r="M59" s="27">
        <f t="shared" si="12"/>
        <v>3.74325E-3</v>
      </c>
      <c r="N59" s="28">
        <f t="shared" si="16"/>
        <v>4.7</v>
      </c>
      <c r="O59" s="96"/>
      <c r="P59" s="98"/>
      <c r="Q59" s="98"/>
      <c r="R59" s="96"/>
      <c r="S59" s="98"/>
      <c r="T59" s="98"/>
      <c r="U59" s="96"/>
      <c r="V59" s="98"/>
      <c r="W59" s="98"/>
      <c r="X59" s="96"/>
      <c r="Y59" s="99"/>
      <c r="Z59" s="9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 spans="2:39" x14ac:dyDescent="0.3">
      <c r="B60" s="40" t="s">
        <v>43</v>
      </c>
      <c r="C60" s="42">
        <f t="shared" ref="C60:E60" si="17">SUM(C36:C59)/24</f>
        <v>19.349999999999998</v>
      </c>
      <c r="D60" s="92">
        <f>SUM(D36:D59)/24</f>
        <v>3.3386225000000005E-3</v>
      </c>
      <c r="E60" s="42">
        <f t="shared" si="17"/>
        <v>3.5649999999999991</v>
      </c>
      <c r="F60" s="42">
        <f t="shared" ref="F60" si="18">SUM(F36:F59)/24</f>
        <v>16.487500000000001</v>
      </c>
      <c r="G60" s="92">
        <f>SUM(G36:G59)/24</f>
        <v>3.4406706249999999E-3</v>
      </c>
      <c r="H60" s="42">
        <f t="shared" ref="H60" si="19">SUM(H36:H59)/24</f>
        <v>3.8512500000000003</v>
      </c>
      <c r="I60" s="42">
        <f t="shared" ref="I60" si="20">SUM(I36:I59)/24</f>
        <v>7.6750000000000007</v>
      </c>
      <c r="J60" s="92">
        <f>SUM(J36:J59)/24</f>
        <v>3.7548362499999995E-3</v>
      </c>
      <c r="K60" s="42">
        <f t="shared" ref="K60" si="21">SUM(K36:K59)/24</f>
        <v>4.7324999999999999</v>
      </c>
      <c r="L60" s="42">
        <f t="shared" ref="L60" si="22">SUM(L36:L59)/24</f>
        <v>8.404166666666665</v>
      </c>
      <c r="M60" s="91">
        <f>SUM(M36:M59)/24</f>
        <v>3.7288414583333336E-3</v>
      </c>
      <c r="N60" s="100">
        <f>SUM(N36:N59)/24</f>
        <v>4.659583333333333</v>
      </c>
      <c r="O60" s="96"/>
      <c r="P60" s="98"/>
      <c r="Q60" s="98"/>
      <c r="R60" s="96"/>
      <c r="S60" s="98"/>
      <c r="T60" s="98"/>
      <c r="U60" s="96"/>
      <c r="V60" s="98"/>
      <c r="W60" s="98"/>
      <c r="X60" s="96"/>
      <c r="Y60" s="99"/>
      <c r="Z60" s="9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 spans="2:39" x14ac:dyDescent="0.3">
      <c r="B61" s="94"/>
      <c r="C61" s="95"/>
      <c r="D61" s="95"/>
      <c r="E61" s="95"/>
      <c r="F61" s="95"/>
      <c r="G61" s="95"/>
      <c r="H61" s="95"/>
      <c r="I61" s="96"/>
      <c r="J61" s="97"/>
      <c r="K61" s="95"/>
      <c r="L61" s="96"/>
      <c r="M61" s="98"/>
      <c r="N61" s="98"/>
      <c r="O61" s="96"/>
      <c r="P61" s="98"/>
      <c r="Q61" s="98"/>
      <c r="R61" s="96"/>
      <c r="S61" s="98"/>
      <c r="T61" s="98"/>
      <c r="U61" s="96"/>
      <c r="V61" s="98"/>
      <c r="W61" s="98"/>
      <c r="X61" s="96"/>
      <c r="Y61" s="99"/>
      <c r="Z61" s="9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 spans="2:39" x14ac:dyDescent="0.3">
      <c r="B62" s="94"/>
      <c r="C62" s="95"/>
      <c r="D62" s="95"/>
      <c r="E62" s="95"/>
      <c r="F62" s="95"/>
      <c r="G62" s="95"/>
      <c r="H62" s="95"/>
      <c r="I62" s="96"/>
      <c r="J62" s="97"/>
      <c r="K62" s="95"/>
      <c r="L62" s="96"/>
      <c r="M62" s="98"/>
      <c r="N62" s="98"/>
      <c r="O62" s="96"/>
      <c r="P62" s="98"/>
      <c r="Q62" s="98"/>
      <c r="R62" s="96"/>
      <c r="S62" s="98"/>
      <c r="T62" s="98"/>
      <c r="U62" s="96"/>
      <c r="V62" s="98"/>
      <c r="W62" s="98"/>
      <c r="X62" s="96"/>
      <c r="Y62" s="99"/>
      <c r="Z62" s="9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 spans="2:39" x14ac:dyDescent="0.3">
      <c r="B63" s="94"/>
      <c r="C63" s="95"/>
      <c r="D63" s="95"/>
      <c r="E63" s="95"/>
      <c r="F63" s="95"/>
      <c r="G63" s="95"/>
      <c r="H63" s="95"/>
      <c r="I63" s="96"/>
      <c r="J63" s="97"/>
      <c r="K63" s="95"/>
      <c r="L63" s="96"/>
      <c r="M63" s="98"/>
      <c r="N63" s="98"/>
      <c r="O63" s="96"/>
      <c r="P63" s="98"/>
      <c r="Q63" s="98"/>
      <c r="R63" s="96"/>
      <c r="S63" s="98"/>
      <c r="T63" s="98"/>
      <c r="U63" s="96"/>
      <c r="V63" s="98"/>
      <c r="W63" s="98"/>
      <c r="X63" s="96"/>
      <c r="Y63" s="99"/>
      <c r="Z63" s="9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 spans="2:39" x14ac:dyDescent="0.3">
      <c r="B64" s="94"/>
      <c r="C64" s="95"/>
      <c r="D64" s="95"/>
      <c r="E64" s="95"/>
      <c r="F64" s="95"/>
      <c r="G64" s="95"/>
      <c r="H64" s="95"/>
      <c r="I64" s="96"/>
      <c r="J64" s="97"/>
      <c r="K64" s="95"/>
      <c r="L64" s="96"/>
      <c r="M64" s="98"/>
      <c r="N64" s="98"/>
      <c r="O64" s="96"/>
      <c r="P64" s="98"/>
      <c r="Q64" s="98"/>
      <c r="R64" s="96"/>
      <c r="S64" s="98"/>
      <c r="T64" s="98"/>
      <c r="U64" s="96"/>
      <c r="V64" s="98"/>
      <c r="W64" s="98"/>
      <c r="X64" s="96"/>
      <c r="Y64" s="99"/>
      <c r="Z64" s="9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 spans="2:39" x14ac:dyDescent="0.3">
      <c r="B65" s="94"/>
      <c r="C65" s="95"/>
      <c r="D65" s="95"/>
      <c r="E65" s="95"/>
      <c r="F65" s="95"/>
      <c r="G65" s="95"/>
      <c r="H65" s="95"/>
      <c r="I65" s="96"/>
      <c r="J65" s="97"/>
      <c r="K65" s="95"/>
      <c r="L65" s="96"/>
      <c r="M65" s="98"/>
      <c r="N65" s="98"/>
      <c r="O65" s="96"/>
      <c r="P65" s="98"/>
      <c r="Q65" s="98"/>
      <c r="R65" s="96"/>
      <c r="S65" s="98"/>
      <c r="T65" s="98"/>
      <c r="U65" s="96"/>
      <c r="V65" s="98"/>
      <c r="W65" s="98"/>
      <c r="X65" s="96"/>
      <c r="Y65" s="99"/>
      <c r="Z65" s="9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 spans="2:39" x14ac:dyDescent="0.3">
      <c r="B66" s="94"/>
      <c r="C66" s="95"/>
      <c r="D66" s="95"/>
      <c r="E66" s="95"/>
      <c r="F66" s="95"/>
      <c r="G66" s="95"/>
      <c r="H66" s="95"/>
      <c r="I66" s="96"/>
      <c r="J66" s="97"/>
      <c r="K66" s="95"/>
      <c r="L66" s="96"/>
      <c r="M66" s="98"/>
      <c r="N66" s="98"/>
      <c r="O66" s="96"/>
      <c r="P66" s="98"/>
      <c r="Q66" s="98"/>
      <c r="R66" s="96"/>
      <c r="S66" s="98"/>
      <c r="T66" s="98"/>
      <c r="U66" s="96"/>
      <c r="V66" s="98"/>
      <c r="W66" s="98"/>
      <c r="X66" s="96"/>
      <c r="Y66" s="99"/>
      <c r="Z66" s="9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 spans="2:39" x14ac:dyDescent="0.3">
      <c r="B67" s="94"/>
      <c r="C67" s="95"/>
      <c r="D67" s="95"/>
      <c r="E67" s="95"/>
      <c r="F67" s="95"/>
      <c r="G67" s="95"/>
      <c r="H67" s="95"/>
      <c r="I67" s="96"/>
      <c r="J67" s="97"/>
      <c r="K67" s="95"/>
      <c r="L67" s="96"/>
      <c r="M67" s="98"/>
      <c r="N67" s="98"/>
      <c r="O67" s="96"/>
      <c r="P67" s="98"/>
      <c r="Q67" s="98"/>
      <c r="R67" s="96"/>
      <c r="S67" s="98"/>
      <c r="T67" s="98"/>
      <c r="U67" s="96"/>
      <c r="V67" s="98"/>
      <c r="W67" s="98"/>
      <c r="X67" s="96"/>
      <c r="Y67" s="99"/>
      <c r="Z67" s="9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 spans="2:39" x14ac:dyDescent="0.3">
      <c r="B68" s="94"/>
      <c r="C68" s="95"/>
      <c r="D68" s="95"/>
      <c r="E68" s="95"/>
      <c r="F68" s="95"/>
      <c r="G68" s="95"/>
      <c r="H68" s="95"/>
      <c r="I68" s="96"/>
      <c r="J68" s="97"/>
      <c r="K68" s="95"/>
      <c r="L68" s="96"/>
      <c r="M68" s="98"/>
      <c r="N68" s="98"/>
      <c r="O68" s="96"/>
      <c r="P68" s="98"/>
      <c r="Q68" s="98"/>
      <c r="R68" s="96"/>
      <c r="S68" s="98"/>
      <c r="T68" s="98"/>
      <c r="U68" s="96"/>
      <c r="V68" s="98"/>
      <c r="W68" s="98"/>
      <c r="X68" s="96"/>
      <c r="Y68" s="99"/>
      <c r="Z68" s="9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 spans="2:39" x14ac:dyDescent="0.3">
      <c r="B69" s="94"/>
      <c r="C69" s="95"/>
      <c r="D69" s="95"/>
      <c r="E69" s="95"/>
      <c r="F69" s="95"/>
      <c r="G69" s="95"/>
      <c r="H69" s="95"/>
      <c r="I69" s="96"/>
      <c r="J69" s="97"/>
      <c r="K69" s="95"/>
      <c r="L69" s="96"/>
      <c r="M69" s="98"/>
      <c r="N69" s="98"/>
      <c r="O69" s="96"/>
      <c r="P69" s="98"/>
      <c r="Q69" s="98"/>
      <c r="R69" s="96"/>
      <c r="S69" s="98"/>
      <c r="T69" s="98"/>
      <c r="U69" s="96"/>
      <c r="V69" s="98"/>
      <c r="W69" s="98"/>
      <c r="X69" s="96"/>
      <c r="Y69" s="99"/>
      <c r="Z69" s="9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 spans="2:39" x14ac:dyDescent="0.3">
      <c r="B70" s="94"/>
      <c r="C70" s="95"/>
      <c r="D70" s="95"/>
      <c r="E70" s="95"/>
      <c r="F70" s="95"/>
      <c r="G70" s="95"/>
      <c r="H70" s="95"/>
      <c r="I70" s="96"/>
      <c r="J70" s="97"/>
      <c r="K70" s="95"/>
      <c r="L70" s="96"/>
      <c r="M70" s="98"/>
      <c r="N70" s="98"/>
      <c r="O70" s="96"/>
      <c r="P70" s="98"/>
      <c r="Q70" s="98"/>
      <c r="R70" s="96"/>
      <c r="S70" s="98"/>
      <c r="T70" s="98"/>
      <c r="U70" s="96"/>
      <c r="V70" s="98"/>
      <c r="W70" s="98"/>
      <c r="X70" s="96"/>
      <c r="Y70" s="99"/>
      <c r="Z70" s="9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 spans="2:39" x14ac:dyDescent="0.3">
      <c r="B71" s="94"/>
      <c r="C71" s="95"/>
      <c r="D71" s="95"/>
      <c r="E71" s="95"/>
      <c r="F71" s="95"/>
      <c r="G71" s="95"/>
      <c r="H71" s="95"/>
      <c r="I71" s="96"/>
      <c r="J71" s="97"/>
      <c r="K71" s="95"/>
      <c r="L71" s="96"/>
      <c r="M71" s="98"/>
      <c r="N71" s="98"/>
      <c r="O71" s="96"/>
      <c r="P71" s="98"/>
      <c r="Q71" s="98"/>
      <c r="R71" s="96"/>
      <c r="S71" s="98"/>
      <c r="T71" s="98"/>
      <c r="U71" s="96"/>
      <c r="V71" s="98"/>
      <c r="W71" s="98"/>
      <c r="X71" s="96"/>
      <c r="Y71" s="99"/>
      <c r="Z71" s="9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 spans="2:39" x14ac:dyDescent="0.3">
      <c r="B72" s="94"/>
      <c r="C72" s="95"/>
      <c r="D72" s="95"/>
      <c r="E72" s="95"/>
      <c r="F72" s="95"/>
      <c r="G72" s="95"/>
      <c r="H72" s="95"/>
      <c r="I72" s="96"/>
      <c r="J72" s="97"/>
      <c r="K72" s="95"/>
      <c r="L72" s="96"/>
      <c r="M72" s="98"/>
      <c r="N72" s="98"/>
      <c r="O72" s="96"/>
      <c r="P72" s="98"/>
      <c r="Q72" s="98"/>
      <c r="R72" s="96"/>
      <c r="S72" s="98"/>
      <c r="T72" s="98"/>
      <c r="U72" s="96"/>
      <c r="V72" s="98"/>
      <c r="W72" s="98"/>
      <c r="X72" s="96"/>
      <c r="Y72" s="99"/>
      <c r="Z72" s="9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 spans="2:39" x14ac:dyDescent="0.3">
      <c r="B73" s="94"/>
      <c r="C73" s="95"/>
      <c r="D73" s="95"/>
      <c r="E73" s="95"/>
      <c r="F73" s="95"/>
      <c r="G73" s="95"/>
      <c r="H73" s="95"/>
      <c r="I73" s="96"/>
      <c r="J73" s="97"/>
      <c r="K73" s="95"/>
      <c r="L73" s="96"/>
      <c r="M73" s="98"/>
      <c r="N73" s="98"/>
      <c r="O73" s="96"/>
      <c r="P73" s="98"/>
      <c r="Q73" s="98"/>
      <c r="R73" s="96"/>
      <c r="S73" s="98"/>
      <c r="T73" s="98"/>
      <c r="U73" s="96"/>
      <c r="V73" s="98"/>
      <c r="W73" s="98"/>
      <c r="X73" s="96"/>
      <c r="Y73" s="99"/>
      <c r="Z73" s="9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 spans="2:39" x14ac:dyDescent="0.3">
      <c r="B74" s="94"/>
      <c r="C74" s="95"/>
      <c r="D74" s="95"/>
      <c r="E74" s="95"/>
      <c r="F74" s="95"/>
      <c r="G74" s="95"/>
      <c r="H74" s="95"/>
      <c r="I74" s="96"/>
      <c r="J74" s="97"/>
      <c r="K74" s="95"/>
      <c r="L74" s="96"/>
      <c r="M74" s="98"/>
      <c r="N74" s="98"/>
      <c r="O74" s="96"/>
      <c r="P74" s="98"/>
      <c r="Q74" s="98"/>
      <c r="R74" s="96"/>
      <c r="S74" s="98"/>
      <c r="T74" s="98"/>
      <c r="U74" s="96"/>
      <c r="V74" s="98"/>
      <c r="W74" s="98"/>
      <c r="X74" s="96"/>
      <c r="Y74" s="99"/>
      <c r="Z74" s="9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9" spans="2:39" x14ac:dyDescent="0.3">
      <c r="D79" t="s">
        <v>160</v>
      </c>
      <c r="E79">
        <v>3.5649999999999999E-5</v>
      </c>
    </row>
    <row r="80" spans="2:39" x14ac:dyDescent="0.3">
      <c r="E80">
        <v>3.5649999999999999E-5</v>
      </c>
    </row>
    <row r="81" spans="5:5" x14ac:dyDescent="0.3">
      <c r="E81">
        <v>3.5649999999999999E-5</v>
      </c>
    </row>
    <row r="82" spans="5:5" x14ac:dyDescent="0.3">
      <c r="E82">
        <v>3.5649999999999999E-5</v>
      </c>
    </row>
    <row r="83" spans="5:5" x14ac:dyDescent="0.3">
      <c r="E83">
        <v>3.5649999999999999E-5</v>
      </c>
    </row>
    <row r="84" spans="5:5" x14ac:dyDescent="0.3">
      <c r="E84">
        <v>3.5649999999999999E-5</v>
      </c>
    </row>
    <row r="85" spans="5:5" x14ac:dyDescent="0.3">
      <c r="E85">
        <v>3.5649999999999999E-5</v>
      </c>
    </row>
    <row r="86" spans="5:5" x14ac:dyDescent="0.3">
      <c r="E86">
        <v>3.5649999999999999E-5</v>
      </c>
    </row>
    <row r="87" spans="5:5" x14ac:dyDescent="0.3">
      <c r="E87">
        <v>3.5649999999999999E-5</v>
      </c>
    </row>
    <row r="88" spans="5:5" x14ac:dyDescent="0.3">
      <c r="E88">
        <v>3.5649999999999999E-5</v>
      </c>
    </row>
    <row r="89" spans="5:5" x14ac:dyDescent="0.3">
      <c r="E89">
        <v>3.5649999999999999E-5</v>
      </c>
    </row>
    <row r="90" spans="5:5" x14ac:dyDescent="0.3">
      <c r="E90">
        <v>3.5649999999999999E-5</v>
      </c>
    </row>
    <row r="91" spans="5:5" x14ac:dyDescent="0.3">
      <c r="E91">
        <v>3.5649999999999999E-5</v>
      </c>
    </row>
    <row r="92" spans="5:5" x14ac:dyDescent="0.3">
      <c r="E92">
        <v>3.5649999999999999E-5</v>
      </c>
    </row>
    <row r="93" spans="5:5" x14ac:dyDescent="0.3">
      <c r="E93">
        <v>3.5649999999999999E-5</v>
      </c>
    </row>
    <row r="94" spans="5:5" x14ac:dyDescent="0.3">
      <c r="E94">
        <v>3.5649999999999999E-5</v>
      </c>
    </row>
    <row r="95" spans="5:5" x14ac:dyDescent="0.3">
      <c r="E95">
        <v>3.5649999999999999E-5</v>
      </c>
    </row>
    <row r="96" spans="5:5" x14ac:dyDescent="0.3">
      <c r="E96">
        <v>3.5649999999999999E-5</v>
      </c>
    </row>
    <row r="97" spans="3:5" x14ac:dyDescent="0.3">
      <c r="C97" s="23"/>
      <c r="D97" s="25"/>
      <c r="E97">
        <v>3.5649999999999999E-5</v>
      </c>
    </row>
    <row r="98" spans="3:5" x14ac:dyDescent="0.3">
      <c r="E98">
        <v>3.5649999999999999E-5</v>
      </c>
    </row>
    <row r="99" spans="3:5" x14ac:dyDescent="0.3">
      <c r="E99">
        <v>3.5649999999999999E-5</v>
      </c>
    </row>
    <row r="100" spans="3:5" x14ac:dyDescent="0.3">
      <c r="E100">
        <v>3.5649999999999999E-5</v>
      </c>
    </row>
    <row r="101" spans="3:5" x14ac:dyDescent="0.3">
      <c r="E101">
        <v>3.5649999999999999E-5</v>
      </c>
    </row>
    <row r="102" spans="3:5" x14ac:dyDescent="0.3">
      <c r="E102">
        <v>3.5649999999999999E-5</v>
      </c>
    </row>
    <row r="103" spans="3:5" x14ac:dyDescent="0.3">
      <c r="E103">
        <v>3.5649999999999999E-5</v>
      </c>
    </row>
    <row r="104" spans="3:5" x14ac:dyDescent="0.3">
      <c r="E104">
        <v>3.5649999999999999E-5</v>
      </c>
    </row>
    <row r="105" spans="3:5" x14ac:dyDescent="0.3">
      <c r="E105">
        <v>3.5649999999999999E-5</v>
      </c>
    </row>
    <row r="106" spans="3:5" x14ac:dyDescent="0.3">
      <c r="E106">
        <v>3.5649999999999999E-5</v>
      </c>
    </row>
    <row r="107" spans="3:5" x14ac:dyDescent="0.3">
      <c r="E107">
        <v>3.5649999999999999E-5</v>
      </c>
    </row>
  </sheetData>
  <mergeCells count="10">
    <mergeCell ref="B4:E4"/>
    <mergeCell ref="B1:H3"/>
    <mergeCell ref="F34:H34"/>
    <mergeCell ref="I34:K34"/>
    <mergeCell ref="L34:N34"/>
    <mergeCell ref="C7:E7"/>
    <mergeCell ref="F7:H7"/>
    <mergeCell ref="I7:K7"/>
    <mergeCell ref="L7:N7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="70" zoomScaleNormal="70" workbookViewId="0">
      <selection activeCell="E3" sqref="E3"/>
    </sheetView>
  </sheetViews>
  <sheetFormatPr defaultRowHeight="14.4" x14ac:dyDescent="0.3"/>
  <cols>
    <col min="2" max="2" width="22" customWidth="1"/>
    <col min="5" max="5" width="9.5546875" bestFit="1" customWidth="1"/>
    <col min="6" max="6" width="11.33203125" customWidth="1"/>
  </cols>
  <sheetData>
    <row r="2" spans="2:6" ht="15.6" x14ac:dyDescent="0.35">
      <c r="B2" s="2"/>
      <c r="C2" s="2" t="s">
        <v>154</v>
      </c>
      <c r="D2" s="2" t="s">
        <v>155</v>
      </c>
      <c r="E2" s="2" t="s">
        <v>152</v>
      </c>
      <c r="F2" s="2" t="s">
        <v>153</v>
      </c>
    </row>
    <row r="3" spans="2:6" x14ac:dyDescent="0.3">
      <c r="B3" s="52" t="s">
        <v>150</v>
      </c>
      <c r="C3" s="82">
        <v>25</v>
      </c>
      <c r="D3" s="82">
        <v>5</v>
      </c>
      <c r="E3" s="84">
        <v>3.1372000000000001E-3</v>
      </c>
      <c r="F3" s="82">
        <v>3.8501999999999998E-3</v>
      </c>
    </row>
    <row r="4" spans="2:6" x14ac:dyDescent="0.3">
      <c r="B4" s="52" t="s">
        <v>151</v>
      </c>
      <c r="C4" s="82">
        <v>25</v>
      </c>
      <c r="D4" s="82">
        <v>5</v>
      </c>
      <c r="E4" s="82">
        <v>3</v>
      </c>
      <c r="F4" s="82">
        <v>5</v>
      </c>
    </row>
    <row r="8" spans="2:6" x14ac:dyDescent="0.3">
      <c r="B8" s="120" t="s">
        <v>55</v>
      </c>
      <c r="C8" s="120"/>
      <c r="D8" s="120"/>
      <c r="E8" s="120"/>
      <c r="F8" s="120"/>
    </row>
    <row r="9" spans="2:6" x14ac:dyDescent="0.3">
      <c r="B9" s="120"/>
      <c r="C9" s="120"/>
      <c r="D9" s="120"/>
      <c r="E9" s="120"/>
      <c r="F9" s="120"/>
    </row>
    <row r="10" spans="2:6" x14ac:dyDescent="0.3">
      <c r="B10" s="120"/>
      <c r="C10" s="120"/>
      <c r="D10" s="120"/>
      <c r="E10" s="120"/>
      <c r="F10" s="120"/>
    </row>
    <row r="11" spans="2:6" x14ac:dyDescent="0.3">
      <c r="B11" s="120"/>
      <c r="C11" s="120"/>
      <c r="D11" s="120"/>
      <c r="E11" s="120"/>
      <c r="F11" s="120"/>
    </row>
    <row r="20" spans="3:4" x14ac:dyDescent="0.3">
      <c r="C20" s="85">
        <f>(F3-E3)/(20)</f>
        <v>3.5649999999999986E-5</v>
      </c>
      <c r="D20">
        <f>(F4-E4)/20</f>
        <v>0.1</v>
      </c>
    </row>
  </sheetData>
  <mergeCells count="1">
    <mergeCell ref="B8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70" zoomScaleNormal="70" workbookViewId="0">
      <selection activeCell="K26" sqref="K26"/>
    </sheetView>
  </sheetViews>
  <sheetFormatPr defaultRowHeight="14.4" x14ac:dyDescent="0.3"/>
  <cols>
    <col min="2" max="2" width="16" customWidth="1"/>
    <col min="3" max="3" width="21.109375" customWidth="1"/>
    <col min="4" max="4" width="36" customWidth="1"/>
    <col min="5" max="5" width="34.44140625" customWidth="1"/>
    <col min="6" max="6" width="12.5546875" customWidth="1"/>
    <col min="7" max="7" width="23.44140625" customWidth="1"/>
    <col min="8" max="8" width="19.44140625" customWidth="1"/>
  </cols>
  <sheetData>
    <row r="1" spans="1:17" ht="53.4" customHeight="1" x14ac:dyDescent="0.3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3" spans="1:17" x14ac:dyDescent="0.3">
      <c r="B3" s="2"/>
      <c r="C3" s="122" t="s">
        <v>57</v>
      </c>
      <c r="D3" s="122"/>
      <c r="E3" s="50"/>
    </row>
    <row r="4" spans="1:17" x14ac:dyDescent="0.3">
      <c r="B4" s="2"/>
      <c r="C4" s="51" t="s">
        <v>68</v>
      </c>
      <c r="D4" s="51" t="s">
        <v>65</v>
      </c>
    </row>
    <row r="5" spans="1:17" x14ac:dyDescent="0.3">
      <c r="B5" s="5" t="s">
        <v>58</v>
      </c>
      <c r="C5" s="49" t="s">
        <v>66</v>
      </c>
      <c r="D5" s="49" t="s">
        <v>60</v>
      </c>
    </row>
    <row r="6" spans="1:17" x14ac:dyDescent="0.3">
      <c r="B6" s="5" t="s">
        <v>59</v>
      </c>
      <c r="C6" s="49" t="s">
        <v>66</v>
      </c>
      <c r="D6" s="49" t="s">
        <v>67</v>
      </c>
    </row>
    <row r="7" spans="1:17" x14ac:dyDescent="0.3">
      <c r="B7" s="34"/>
      <c r="C7" s="56"/>
      <c r="D7" s="56"/>
    </row>
    <row r="8" spans="1:17" x14ac:dyDescent="0.3">
      <c r="D8" s="101" t="s">
        <v>86</v>
      </c>
      <c r="E8" s="101"/>
    </row>
    <row r="9" spans="1:17" x14ac:dyDescent="0.3">
      <c r="D9" s="52" t="s">
        <v>84</v>
      </c>
      <c r="E9" s="52" t="s">
        <v>81</v>
      </c>
      <c r="F9" s="52" t="s">
        <v>114</v>
      </c>
      <c r="G9" s="80" t="s">
        <v>124</v>
      </c>
      <c r="H9" s="80" t="s">
        <v>125</v>
      </c>
    </row>
    <row r="10" spans="1:17" x14ac:dyDescent="0.3">
      <c r="B10" s="101" t="s">
        <v>62</v>
      </c>
      <c r="C10" s="101"/>
      <c r="D10" s="2" t="s">
        <v>113</v>
      </c>
      <c r="E10" s="2" t="s">
        <v>141</v>
      </c>
      <c r="F10" s="2" t="s">
        <v>118</v>
      </c>
      <c r="G10" s="2" t="s">
        <v>129</v>
      </c>
      <c r="H10" s="2" t="s">
        <v>127</v>
      </c>
    </row>
    <row r="11" spans="1:17" x14ac:dyDescent="0.3">
      <c r="B11" s="101" t="s">
        <v>61</v>
      </c>
      <c r="C11" s="101"/>
      <c r="D11" s="2" t="s">
        <v>115</v>
      </c>
      <c r="E11" s="2" t="s">
        <v>122</v>
      </c>
      <c r="F11" s="2" t="s">
        <v>119</v>
      </c>
      <c r="G11" s="2" t="s">
        <v>130</v>
      </c>
      <c r="H11" s="2" t="s">
        <v>126</v>
      </c>
    </row>
    <row r="12" spans="1:17" x14ac:dyDescent="0.3">
      <c r="B12" s="101" t="s">
        <v>63</v>
      </c>
      <c r="C12" s="101"/>
      <c r="D12" s="2" t="s">
        <v>120</v>
      </c>
      <c r="E12" s="2" t="s">
        <v>120</v>
      </c>
      <c r="F12" s="2" t="s">
        <v>121</v>
      </c>
      <c r="G12" s="2" t="s">
        <v>120</v>
      </c>
      <c r="H12" s="2" t="s">
        <v>128</v>
      </c>
    </row>
    <row r="13" spans="1:17" x14ac:dyDescent="0.3">
      <c r="B13" s="101" t="s">
        <v>64</v>
      </c>
      <c r="C13" s="101"/>
      <c r="D13" s="123" t="s">
        <v>123</v>
      </c>
      <c r="E13" s="124"/>
      <c r="F13" s="125"/>
      <c r="G13" s="2"/>
      <c r="H13" s="2"/>
    </row>
    <row r="14" spans="1:17" x14ac:dyDescent="0.3">
      <c r="B14" s="101" t="s">
        <v>85</v>
      </c>
      <c r="C14" s="101"/>
      <c r="D14" s="2"/>
      <c r="E14" s="2"/>
      <c r="F14" s="2"/>
      <c r="G14" s="2"/>
      <c r="H14" s="2"/>
    </row>
    <row r="15" spans="1:17" x14ac:dyDescent="0.3">
      <c r="C15" s="2" t="s">
        <v>87</v>
      </c>
      <c r="D15" s="2"/>
      <c r="E15" s="2"/>
      <c r="F15" s="2"/>
      <c r="G15" s="2"/>
      <c r="H15" s="2"/>
    </row>
    <row r="16" spans="1:17" x14ac:dyDescent="0.3">
      <c r="C16" s="2" t="s">
        <v>116</v>
      </c>
      <c r="D16" s="2" t="s">
        <v>117</v>
      </c>
      <c r="E16" s="2"/>
      <c r="F16" s="2"/>
      <c r="G16" s="2"/>
      <c r="H16" s="2"/>
    </row>
    <row r="17" spans="3:11" x14ac:dyDescent="0.3">
      <c r="C17" s="2" t="s">
        <v>35</v>
      </c>
      <c r="D17" s="2" t="s">
        <v>131</v>
      </c>
      <c r="E17" s="2" t="s">
        <v>132</v>
      </c>
      <c r="F17" s="2">
        <v>99</v>
      </c>
      <c r="G17" s="2"/>
      <c r="H17" s="2"/>
    </row>
    <row r="22" spans="3:11" x14ac:dyDescent="0.3">
      <c r="D22">
        <f>(((200+8)/(20))+16.6)/0.78</f>
        <v>34.615384615384613</v>
      </c>
      <c r="E22">
        <f>(((956+33.5)/(20))+92.28)/6</f>
        <v>23.625833333333333</v>
      </c>
      <c r="F22">
        <f>(70+1.4)/(15*0.99)</f>
        <v>4.8080808080808088</v>
      </c>
    </row>
    <row r="24" spans="3:11" x14ac:dyDescent="0.3">
      <c r="K24">
        <v>4.6111111111111101E-3</v>
      </c>
    </row>
    <row r="25" spans="3:11" x14ac:dyDescent="0.3">
      <c r="D25" s="105" t="s">
        <v>142</v>
      </c>
      <c r="E25" s="105"/>
    </row>
    <row r="26" spans="3:11" x14ac:dyDescent="0.3">
      <c r="K26">
        <v>1.7299999999999999E-2</v>
      </c>
    </row>
    <row r="27" spans="3:11" x14ac:dyDescent="0.3">
      <c r="D27" t="s">
        <v>134</v>
      </c>
      <c r="E27">
        <v>16.600000000000001</v>
      </c>
      <c r="F27" t="s">
        <v>133</v>
      </c>
      <c r="G27">
        <v>1</v>
      </c>
      <c r="H27" t="s">
        <v>136</v>
      </c>
    </row>
    <row r="28" spans="3:11" x14ac:dyDescent="0.3">
      <c r="D28" t="s">
        <v>135</v>
      </c>
      <c r="E28">
        <v>42.4</v>
      </c>
      <c r="F28" t="s">
        <v>133</v>
      </c>
      <c r="G28">
        <v>1</v>
      </c>
      <c r="H28" t="s">
        <v>136</v>
      </c>
    </row>
    <row r="30" spans="3:11" x14ac:dyDescent="0.3">
      <c r="D30" t="s">
        <v>139</v>
      </c>
      <c r="E30">
        <v>62.28</v>
      </c>
      <c r="F30" t="s">
        <v>140</v>
      </c>
    </row>
    <row r="31" spans="3:11" x14ac:dyDescent="0.3">
      <c r="E31">
        <f>86000*0.0036*0.2</f>
        <v>61.919999999999995</v>
      </c>
    </row>
    <row r="32" spans="3:11" x14ac:dyDescent="0.3">
      <c r="F32" s="83" t="s">
        <v>149</v>
      </c>
      <c r="G32" s="93">
        <f>16.06/3600</f>
        <v>4.461111111111111E-3</v>
      </c>
    </row>
    <row r="34" spans="4:9" x14ac:dyDescent="0.3">
      <c r="H34">
        <f>E27/3600</f>
        <v>4.6111111111111118E-3</v>
      </c>
    </row>
    <row r="35" spans="4:9" x14ac:dyDescent="0.3">
      <c r="H35">
        <f>E30/3600</f>
        <v>1.7299999999999999E-2</v>
      </c>
    </row>
    <row r="36" spans="4:9" ht="28.8" x14ac:dyDescent="0.3">
      <c r="D36" s="81" t="s">
        <v>137</v>
      </c>
      <c r="I36" t="s">
        <v>148</v>
      </c>
    </row>
    <row r="38" spans="4:9" x14ac:dyDescent="0.3">
      <c r="D38" t="s">
        <v>138</v>
      </c>
    </row>
  </sheetData>
  <mergeCells count="10">
    <mergeCell ref="D25:E25"/>
    <mergeCell ref="B13:C13"/>
    <mergeCell ref="B14:C14"/>
    <mergeCell ref="A1:Q1"/>
    <mergeCell ref="C3:D3"/>
    <mergeCell ref="B10:C10"/>
    <mergeCell ref="B11:C11"/>
    <mergeCell ref="B12:C12"/>
    <mergeCell ref="D8:E8"/>
    <mergeCell ref="D13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HP Calculations</vt:lpstr>
      <vt:lpstr>p-H cycle table</vt:lpstr>
      <vt:lpstr>COPat50 vs. Teva</vt:lpstr>
      <vt:lpstr>COPat70 vs. Teva</vt:lpstr>
      <vt:lpstr>P2H Models</vt:lpstr>
      <vt:lpstr>Boiler</vt:lpstr>
      <vt:lpstr>Tamb</vt:lpstr>
      <vt:lpstr>Demand</vt:lpstr>
      <vt:lpstr>Flexibility Deployment</vt:lpstr>
      <vt:lpstr>Storage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2020-07-21T22:15:07Z</dcterms:modified>
</cp:coreProperties>
</file>