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gj\Source\Repos\weixingateway\excel_test\"/>
    </mc:Choice>
  </mc:AlternateContent>
  <bookViews>
    <workbookView xWindow="0" yWindow="0" windowWidth="20490" windowHeight="7590"/>
  </bookViews>
  <sheets>
    <sheet name="Sheet1" sheetId="1" r:id="rId1"/>
  </sheets>
  <externalReferences>
    <externalReference r:id="rId2"/>
  </externalReferences>
  <definedNames>
    <definedName name="订单类别">[1]分类参数表!$A$2:$A$20</definedName>
    <definedName name="分类">[1]分类参数表!$F$2:$F$10</definedName>
    <definedName name="付款方式">[1]分类参数表!$H$2:$H$20</definedName>
    <definedName name="年份">[1]分类参数表!$B$2:$B$10</definedName>
    <definedName name="品类">[1]分类参数表!$C$1:$C$50</definedName>
    <definedName name="人群">[1]分类参数表!$E$2:$E$10</definedName>
    <definedName name="消费者属性">[1]分类参数表!$I$2:$I$10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" i="1" l="1"/>
  <c r="O21" i="1"/>
  <c r="AN20" i="1"/>
  <c r="O20" i="1"/>
  <c r="AN19" i="1"/>
  <c r="O19" i="1"/>
  <c r="D19" i="1"/>
  <c r="D20" i="1" s="1"/>
  <c r="D21" i="1" s="1"/>
  <c r="AN18" i="1"/>
  <c r="AD18" i="1"/>
  <c r="AD19" i="1" s="1"/>
  <c r="O18" i="1"/>
  <c r="D18" i="1"/>
  <c r="C18" i="1"/>
  <c r="C19" i="1" s="1"/>
  <c r="C20" i="1" s="1"/>
  <c r="C21" i="1" s="1"/>
  <c r="B18" i="1"/>
  <c r="B19" i="1" s="1"/>
  <c r="B20" i="1" s="1"/>
  <c r="B21" i="1" s="1"/>
  <c r="AN17" i="1"/>
  <c r="AE17" i="1"/>
  <c r="R17" i="1"/>
  <c r="S17" i="1" s="1"/>
  <c r="T17" i="1" s="1"/>
  <c r="P17" i="1"/>
  <c r="O17" i="1"/>
  <c r="AN16" i="1"/>
  <c r="O16" i="1"/>
  <c r="AN15" i="1"/>
  <c r="AD15" i="1"/>
  <c r="AD16" i="1" s="1"/>
  <c r="AE16" i="1" s="1"/>
  <c r="O15" i="1"/>
  <c r="C15" i="1"/>
  <c r="C16" i="1" s="1"/>
  <c r="AN14" i="1"/>
  <c r="AE14" i="1"/>
  <c r="AD14" i="1"/>
  <c r="O14" i="1"/>
  <c r="D14" i="1"/>
  <c r="D15" i="1" s="1"/>
  <c r="D16" i="1" s="1"/>
  <c r="C14" i="1"/>
  <c r="AN13" i="1"/>
  <c r="AE13" i="1"/>
  <c r="AD13" i="1"/>
  <c r="O13" i="1"/>
  <c r="D13" i="1"/>
  <c r="C13" i="1"/>
  <c r="B13" i="1"/>
  <c r="B14" i="1" s="1"/>
  <c r="B15" i="1" s="1"/>
  <c r="B16" i="1" s="1"/>
  <c r="AN12" i="1"/>
  <c r="AE12" i="1"/>
  <c r="R12" i="1"/>
  <c r="S12" i="1" s="1"/>
  <c r="T12" i="1" s="1"/>
  <c r="P12" i="1"/>
  <c r="O12" i="1"/>
  <c r="AN11" i="1"/>
  <c r="O11" i="1"/>
  <c r="AN10" i="1"/>
  <c r="O10" i="1"/>
  <c r="B10" i="1"/>
  <c r="B11" i="1" s="1"/>
  <c r="AN9" i="1"/>
  <c r="AD9" i="1"/>
  <c r="AD10" i="1" s="1"/>
  <c r="O9" i="1"/>
  <c r="C9" i="1"/>
  <c r="C10" i="1" s="1"/>
  <c r="C11" i="1" s="1"/>
  <c r="B9" i="1"/>
  <c r="AN8" i="1"/>
  <c r="AE8" i="1"/>
  <c r="AD8" i="1"/>
  <c r="O8" i="1"/>
  <c r="D8" i="1"/>
  <c r="D9" i="1" s="1"/>
  <c r="D10" i="1" s="1"/>
  <c r="D11" i="1" s="1"/>
  <c r="C8" i="1"/>
  <c r="B8" i="1"/>
  <c r="AN7" i="1"/>
  <c r="AE7" i="1"/>
  <c r="R7" i="1"/>
  <c r="O7" i="1"/>
  <c r="P7" i="1" s="1"/>
  <c r="AN6" i="1"/>
  <c r="O6" i="1"/>
  <c r="AN5" i="1"/>
  <c r="O5" i="1"/>
  <c r="AN4" i="1"/>
  <c r="O4" i="1"/>
  <c r="D4" i="1"/>
  <c r="D5" i="1" s="1"/>
  <c r="D6" i="1" s="1"/>
  <c r="AN3" i="1"/>
  <c r="AD3" i="1"/>
  <c r="AD4" i="1" s="1"/>
  <c r="O3" i="1"/>
  <c r="D3" i="1"/>
  <c r="C3" i="1"/>
  <c r="C4" i="1" s="1"/>
  <c r="C5" i="1" s="1"/>
  <c r="C6" i="1" s="1"/>
  <c r="B3" i="1"/>
  <c r="B4" i="1" s="1"/>
  <c r="B5" i="1" s="1"/>
  <c r="B6" i="1" s="1"/>
  <c r="AN2" i="1"/>
  <c r="AE2" i="1"/>
  <c r="R2" i="1"/>
  <c r="Y2" i="1" s="1"/>
  <c r="Z2" i="1" s="1"/>
  <c r="AA2" i="1" s="1"/>
  <c r="O2" i="1"/>
  <c r="P2" i="1" s="1"/>
  <c r="S2" i="1" s="1"/>
  <c r="T2" i="1" s="1"/>
  <c r="AD11" i="1" l="1"/>
  <c r="AE11" i="1" s="1"/>
  <c r="AE10" i="1"/>
  <c r="AD20" i="1"/>
  <c r="AE19" i="1"/>
  <c r="AD5" i="1"/>
  <c r="AE4" i="1"/>
  <c r="S7" i="1"/>
  <c r="T7" i="1" s="1"/>
  <c r="Y7" i="1"/>
  <c r="Y17" i="1"/>
  <c r="Z17" i="1" s="1"/>
  <c r="AA17" i="1" s="1"/>
  <c r="AE3" i="1"/>
  <c r="AE9" i="1"/>
  <c r="Y12" i="1"/>
  <c r="Z12" i="1" s="1"/>
  <c r="AA12" i="1" s="1"/>
  <c r="AE15" i="1"/>
  <c r="AE18" i="1"/>
  <c r="AD21" i="1" l="1"/>
  <c r="AE21" i="1" s="1"/>
  <c r="AE20" i="1"/>
  <c r="Z7" i="1"/>
  <c r="AA7" i="1" s="1"/>
  <c r="AD6" i="1"/>
  <c r="AE6" i="1" s="1"/>
  <c r="AE5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sz val="9"/>
            <rFont val="宋体"/>
            <family val="3"/>
            <charset val="134"/>
          </rPr>
          <t xml:space="preserve">1.散客 2.会员 3.散客新晋 4.推荐新晋 5.内购 6.员工 7.返佣新晋 </t>
        </r>
      </text>
    </comment>
  </commentList>
</comments>
</file>

<file path=xl/sharedStrings.xml><?xml version="1.0" encoding="utf-8"?>
<sst xmlns="http://schemas.openxmlformats.org/spreadsheetml/2006/main" count="162" uniqueCount="97">
  <si>
    <t>订单类别</t>
  </si>
  <si>
    <t>日期</t>
  </si>
  <si>
    <t>流水号</t>
  </si>
  <si>
    <t>序号</t>
  </si>
  <si>
    <t>品类</t>
  </si>
  <si>
    <t>品牌</t>
  </si>
  <si>
    <t>款式</t>
  </si>
  <si>
    <t>颜色</t>
  </si>
  <si>
    <t>规格</t>
  </si>
  <si>
    <t>年份</t>
  </si>
  <si>
    <t>人群</t>
  </si>
  <si>
    <t>分类</t>
  </si>
  <si>
    <t>数量</t>
  </si>
  <si>
    <t>零售价</t>
  </si>
  <si>
    <t>零售价
总价</t>
  </si>
  <si>
    <t>总订单零售价</t>
  </si>
  <si>
    <t>实际成交
总金额</t>
  </si>
  <si>
    <t>订单
总金额</t>
  </si>
  <si>
    <t>总订单
折扣</t>
  </si>
  <si>
    <t>易龙豆
系数</t>
  </si>
  <si>
    <t>抵扣前剩余
账户易龙豆</t>
  </si>
  <si>
    <t>抵扣消费
易龙豆</t>
  </si>
  <si>
    <t>代金券号</t>
  </si>
  <si>
    <t>代金券
总面值</t>
  </si>
  <si>
    <t>抵扣完
订单金额</t>
  </si>
  <si>
    <t>本次生成
易龙豆</t>
  </si>
  <si>
    <t>账户最终易龙豆</t>
  </si>
  <si>
    <t>消费者
属性</t>
  </si>
  <si>
    <t>属性
系数</t>
  </si>
  <si>
    <t>会员号</t>
  </si>
  <si>
    <t>会员名</t>
  </si>
  <si>
    <t>电话</t>
  </si>
  <si>
    <t>消费来源
属性</t>
  </si>
  <si>
    <t>推荐人</t>
  </si>
  <si>
    <t>销售员</t>
  </si>
  <si>
    <t>付款方式</t>
  </si>
  <si>
    <t>赠品
摊销</t>
  </si>
  <si>
    <t>实际成交
折扣</t>
  </si>
  <si>
    <t>备注</t>
  </si>
  <si>
    <t>现货销售</t>
  </si>
  <si>
    <t>NS2016112401</t>
    <phoneticPr fontId="6" type="noConversion"/>
  </si>
  <si>
    <t>护脸</t>
    <phoneticPr fontId="6" type="noConversion"/>
  </si>
  <si>
    <t>Armada</t>
    <phoneticPr fontId="6" type="noConversion"/>
  </si>
  <si>
    <t>Trail Balaclava</t>
    <phoneticPr fontId="6" type="noConversion"/>
  </si>
  <si>
    <t>Black-001</t>
    <phoneticPr fontId="6" type="noConversion"/>
  </si>
  <si>
    <t>One Size</t>
    <phoneticPr fontId="6" type="noConversion"/>
  </si>
  <si>
    <t>16-17</t>
    <phoneticPr fontId="6" type="noConversion"/>
  </si>
  <si>
    <t>男</t>
    <phoneticPr fontId="6" type="noConversion"/>
  </si>
  <si>
    <t>未知</t>
    <phoneticPr fontId="6" type="noConversion"/>
  </si>
  <si>
    <t>228</t>
    <phoneticPr fontId="6" type="noConversion"/>
  </si>
  <si>
    <t>散客</t>
    <phoneticPr fontId="6" type="noConversion"/>
  </si>
  <si>
    <t>曲姐</t>
    <phoneticPr fontId="6" type="noConversion"/>
  </si>
  <si>
    <t>微信支付</t>
    <phoneticPr fontId="6" type="noConversion"/>
  </si>
  <si>
    <t>NS2016112402</t>
    <phoneticPr fontId="6" type="noConversion"/>
  </si>
  <si>
    <t>护甲衣</t>
    <phoneticPr fontId="6" type="noConversion"/>
  </si>
  <si>
    <t>Demon</t>
    <phoneticPr fontId="6" type="noConversion"/>
  </si>
  <si>
    <t>DS0050</t>
    <phoneticPr fontId="6" type="noConversion"/>
  </si>
  <si>
    <t>Black</t>
    <phoneticPr fontId="6" type="noConversion"/>
  </si>
  <si>
    <t>S</t>
    <phoneticPr fontId="6" type="noConversion"/>
  </si>
  <si>
    <t>单板</t>
    <phoneticPr fontId="6" type="noConversion"/>
  </si>
  <si>
    <t>2880</t>
    <phoneticPr fontId="6" type="noConversion"/>
  </si>
  <si>
    <t>返佣新晋</t>
    <phoneticPr fontId="6" type="noConversion"/>
  </si>
  <si>
    <t>吴伟</t>
    <phoneticPr fontId="6" type="noConversion"/>
  </si>
  <si>
    <t>15909265671</t>
    <phoneticPr fontId="6" type="noConversion"/>
  </si>
  <si>
    <t>教练推荐</t>
    <phoneticPr fontId="6" type="noConversion"/>
  </si>
  <si>
    <t>腾卓</t>
    <phoneticPr fontId="6" type="noConversion"/>
  </si>
  <si>
    <t>小武</t>
    <phoneticPr fontId="6" type="noConversion"/>
  </si>
  <si>
    <t>护臀</t>
    <phoneticPr fontId="6" type="noConversion"/>
  </si>
  <si>
    <t>DS1400</t>
    <phoneticPr fontId="6" type="noConversion"/>
  </si>
  <si>
    <t>820</t>
    <phoneticPr fontId="6" type="noConversion"/>
  </si>
  <si>
    <t>NS2016112403</t>
    <phoneticPr fontId="6" type="noConversion"/>
  </si>
  <si>
    <t>双板</t>
    <phoneticPr fontId="6" type="noConversion"/>
  </si>
  <si>
    <t>Fischer</t>
    <phoneticPr fontId="6" type="noConversion"/>
  </si>
  <si>
    <t>Pure</t>
    <phoneticPr fontId="6" type="noConversion"/>
  </si>
  <si>
    <t>女</t>
    <phoneticPr fontId="6" type="noConversion"/>
  </si>
  <si>
    <t>1697</t>
    <phoneticPr fontId="6" type="noConversion"/>
  </si>
  <si>
    <t>散客新晋</t>
    <phoneticPr fontId="6" type="noConversion"/>
  </si>
  <si>
    <t>张丹丹</t>
    <phoneticPr fontId="6" type="noConversion"/>
  </si>
  <si>
    <t>18701673491</t>
    <phoneticPr fontId="6" type="noConversion"/>
  </si>
  <si>
    <t>双板雪鞋</t>
    <phoneticPr fontId="6" type="noConversion"/>
  </si>
  <si>
    <t>Cruzar W7.5</t>
    <phoneticPr fontId="6" type="noConversion"/>
  </si>
  <si>
    <t>1084</t>
    <phoneticPr fontId="6" type="noConversion"/>
  </si>
  <si>
    <t>张丹丹</t>
  </si>
  <si>
    <t>18701673491</t>
  </si>
  <si>
    <t>小武</t>
  </si>
  <si>
    <t>微信支付</t>
  </si>
  <si>
    <t>雪杖</t>
    <phoneticPr fontId="6" type="noConversion"/>
  </si>
  <si>
    <t>Scott</t>
    <phoneticPr fontId="6" type="noConversion"/>
  </si>
  <si>
    <t>110CM</t>
    <phoneticPr fontId="6" type="noConversion"/>
  </si>
  <si>
    <t>218</t>
    <phoneticPr fontId="6" type="noConversion"/>
  </si>
  <si>
    <t>NS2016112404</t>
    <phoneticPr fontId="6" type="noConversion"/>
  </si>
  <si>
    <t>Cruzar X8.5</t>
    <phoneticPr fontId="6" type="noConversion"/>
  </si>
  <si>
    <t>肖本超</t>
    <phoneticPr fontId="6" type="noConversion"/>
  </si>
  <si>
    <t>Pulse</t>
    <phoneticPr fontId="6" type="noConversion"/>
  </si>
  <si>
    <t>Pole Decree</t>
    <phoneticPr fontId="6" type="noConversion"/>
  </si>
  <si>
    <t>Titanium</t>
    <phoneticPr fontId="6" type="noConversion"/>
  </si>
  <si>
    <t>已提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</si>
</sst>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0_ "/>
    <numFmt numFmtId="178" formatCode="0.0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DCD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76" fontId="2" fillId="0" borderId="1" xfId="0" applyNumberFormat="1" applyFont="1" applyBorder="1" applyAlignment="1">
      <alignment horizontal="center" vertical="top" wrapText="1"/>
    </xf>
    <xf numFmtId="177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3" borderId="2" xfId="0" applyFont="1" applyFill="1" applyBorder="1">
      <alignment vertical="center"/>
    </xf>
    <xf numFmtId="14" fontId="2" fillId="3" borderId="3" xfId="1" applyNumberFormat="1" applyFont="1" applyFill="1" applyBorder="1" applyAlignment="1">
      <alignment horizontal="center" vertical="center"/>
    </xf>
    <xf numFmtId="0" fontId="2" fillId="3" borderId="3" xfId="1" applyNumberFormat="1" applyFont="1" applyFill="1" applyBorder="1">
      <alignment vertical="center"/>
    </xf>
    <xf numFmtId="0" fontId="2" fillId="3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7" fontId="8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14" fontId="2" fillId="3" borderId="10" xfId="1" applyNumberFormat="1" applyFont="1" applyFill="1" applyBorder="1" applyAlignment="1">
      <alignment horizontal="center" vertical="center"/>
    </xf>
    <xf numFmtId="0" fontId="2" fillId="3" borderId="10" xfId="1" applyNumberFormat="1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8" fillId="3" borderId="10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4" borderId="2" xfId="0" applyFont="1" applyFill="1" applyBorder="1">
      <alignment vertical="center"/>
    </xf>
    <xf numFmtId="14" fontId="2" fillId="4" borderId="3" xfId="1" applyNumberFormat="1" applyFont="1" applyFill="1" applyBorder="1" applyAlignment="1">
      <alignment horizontal="center" vertical="center"/>
    </xf>
    <xf numFmtId="0" fontId="2" fillId="4" borderId="3" xfId="1" applyNumberFormat="1" applyFont="1" applyFill="1" applyBorder="1">
      <alignment vertical="center"/>
    </xf>
    <xf numFmtId="0" fontId="2" fillId="4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8" fillId="4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14" fontId="2" fillId="4" borderId="10" xfId="1" applyNumberFormat="1" applyFont="1" applyFill="1" applyBorder="1" applyAlignment="1">
      <alignment horizontal="center" vertical="center"/>
    </xf>
    <xf numFmtId="0" fontId="2" fillId="4" borderId="10" xfId="1" applyNumberFormat="1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49" fontId="2" fillId="5" borderId="1" xfId="0" applyNumberFormat="1" applyFont="1" applyFill="1" applyBorder="1" applyAlignment="1">
      <alignment horizontal="center" vertical="top" wrapText="1"/>
    </xf>
    <xf numFmtId="176" fontId="2" fillId="5" borderId="1" xfId="0" applyNumberFormat="1" applyFont="1" applyFill="1" applyBorder="1" applyAlignment="1">
      <alignment horizontal="center" vertical="top" wrapText="1"/>
    </xf>
    <xf numFmtId="49" fontId="2" fillId="5" borderId="1" xfId="0" applyNumberFormat="1" applyFont="1" applyFill="1" applyBorder="1" applyAlignment="1">
      <alignment horizontal="center" vertical="top"/>
    </xf>
    <xf numFmtId="0" fontId="2" fillId="3" borderId="16" xfId="0" applyFont="1" applyFill="1" applyBorder="1">
      <alignment vertical="center"/>
    </xf>
    <xf numFmtId="14" fontId="2" fillId="3" borderId="17" xfId="1" applyNumberFormat="1" applyFont="1" applyFill="1" applyBorder="1" applyAlignment="1">
      <alignment horizontal="center" vertical="center"/>
    </xf>
    <xf numFmtId="0" fontId="2" fillId="3" borderId="17" xfId="1" applyNumberFormat="1" applyFont="1" applyFill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0" fontId="2" fillId="5" borderId="18" xfId="0" applyFont="1" applyFill="1" applyBorder="1">
      <alignment vertical="center"/>
    </xf>
    <xf numFmtId="14" fontId="2" fillId="5" borderId="19" xfId="1" applyNumberFormat="1" applyFont="1" applyFill="1" applyBorder="1" applyAlignment="1">
      <alignment horizontal="center" vertical="center"/>
    </xf>
    <xf numFmtId="0" fontId="2" fillId="5" borderId="19" xfId="1" applyNumberFormat="1" applyFont="1" applyFill="1" applyBorder="1">
      <alignment vertical="center"/>
    </xf>
    <xf numFmtId="0" fontId="2" fillId="5" borderId="19" xfId="0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49" fontId="2" fillId="5" borderId="19" xfId="0" applyNumberFormat="1" applyFont="1" applyFill="1" applyBorder="1" applyAlignment="1">
      <alignment horizontal="center" vertical="center"/>
    </xf>
    <xf numFmtId="0" fontId="0" fillId="5" borderId="21" xfId="0" applyFill="1" applyBorder="1">
      <alignment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8" fillId="4" borderId="11" xfId="0" applyNumberFormat="1" applyFont="1" applyFill="1" applyBorder="1" applyAlignment="1">
      <alignment horizontal="center" vertical="center"/>
    </xf>
    <xf numFmtId="176" fontId="8" fillId="4" borderId="15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11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8" fontId="8" fillId="4" borderId="4" xfId="0" applyNumberFormat="1" applyFont="1" applyFill="1" applyBorder="1" applyAlignment="1">
      <alignment horizontal="center" vertical="center"/>
    </xf>
    <xf numFmtId="178" fontId="8" fillId="4" borderId="1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78" fontId="8" fillId="3" borderId="4" xfId="0" applyNumberFormat="1" applyFont="1" applyFill="1" applyBorder="1" applyAlignment="1">
      <alignment horizontal="center" vertical="center"/>
    </xf>
    <xf numFmtId="178" fontId="8" fillId="3" borderId="11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6" fontId="8" fillId="5" borderId="20" xfId="0" applyNumberFormat="1" applyFont="1" applyFill="1" applyBorder="1" applyAlignment="1">
      <alignment horizontal="center" vertical="center"/>
    </xf>
    <xf numFmtId="49" fontId="2" fillId="5" borderId="20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76" fontId="2" fillId="5" borderId="20" xfId="0" applyNumberFormat="1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178" fontId="8" fillId="5" borderId="2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ngj/Desktop/16-17%20&#21335;&#23665;&#38144;&#21806;&#34920;-201612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南山16-17销售"/>
      <sheetName val="分类参数表"/>
      <sheetName val="代金券"/>
      <sheetName val="各商品折扣表"/>
      <sheetName val="修板"/>
      <sheetName val="客户应收月度明细表"/>
      <sheetName val="赠品摊销计算器"/>
      <sheetName val="说明文件"/>
      <sheetName val="销售表(原始数据1)"/>
      <sheetName val="销售表(原始数据2)"/>
    </sheetNames>
    <sheetDataSet>
      <sheetData sheetId="0"/>
      <sheetData sheetId="1">
        <row r="1">
          <cell r="C1" t="str">
            <v>品类</v>
          </cell>
        </row>
        <row r="2">
          <cell r="A2" t="str">
            <v>现货销售</v>
          </cell>
          <cell r="B2" t="str">
            <v>11-12</v>
          </cell>
          <cell r="C2" t="str">
            <v>双板</v>
          </cell>
          <cell r="E2" t="str">
            <v>男</v>
          </cell>
          <cell r="F2" t="str">
            <v>双板</v>
          </cell>
          <cell r="H2" t="str">
            <v>现金</v>
          </cell>
          <cell r="I2" t="str">
            <v>散客</v>
          </cell>
          <cell r="J2">
            <v>1</v>
          </cell>
        </row>
        <row r="3">
          <cell r="A3" t="str">
            <v>期货预定</v>
          </cell>
          <cell r="B3" t="str">
            <v>12-13</v>
          </cell>
          <cell r="C3" t="str">
            <v>单板</v>
          </cell>
          <cell r="E3" t="str">
            <v>女</v>
          </cell>
          <cell r="F3" t="str">
            <v>单板</v>
          </cell>
          <cell r="H3" t="str">
            <v>刷卡</v>
          </cell>
          <cell r="I3" t="str">
            <v>会员</v>
          </cell>
          <cell r="J3">
            <v>1</v>
          </cell>
        </row>
        <row r="4">
          <cell r="A4" t="str">
            <v>现货预定</v>
          </cell>
          <cell r="B4" t="str">
            <v>13-14</v>
          </cell>
          <cell r="C4" t="str">
            <v>双板固定器</v>
          </cell>
          <cell r="E4" t="str">
            <v>儿童</v>
          </cell>
          <cell r="F4" t="str">
            <v>未知</v>
          </cell>
          <cell r="H4" t="str">
            <v>转账</v>
          </cell>
          <cell r="I4" t="str">
            <v>散客新晋</v>
          </cell>
          <cell r="J4">
            <v>1</v>
          </cell>
        </row>
        <row r="5">
          <cell r="A5" t="str">
            <v>现货定金</v>
          </cell>
          <cell r="B5" t="str">
            <v>14-15</v>
          </cell>
          <cell r="C5" t="str">
            <v>单板固定器</v>
          </cell>
          <cell r="E5" t="str">
            <v>人群备选 1</v>
          </cell>
          <cell r="F5" t="str">
            <v>分类备选 1</v>
          </cell>
          <cell r="H5" t="str">
            <v>支付宝</v>
          </cell>
          <cell r="I5" t="str">
            <v>教练新晋</v>
          </cell>
          <cell r="J5">
            <v>2</v>
          </cell>
        </row>
        <row r="6">
          <cell r="A6" t="str">
            <v>现货尾款</v>
          </cell>
          <cell r="B6" t="str">
            <v>15-16</v>
          </cell>
          <cell r="C6" t="str">
            <v>双板雪鞋</v>
          </cell>
          <cell r="E6" t="str">
            <v>人群备选 2</v>
          </cell>
          <cell r="F6" t="str">
            <v>分类备选 2</v>
          </cell>
          <cell r="H6" t="str">
            <v>代金券</v>
          </cell>
          <cell r="I6" t="str">
            <v>推荐新晋</v>
          </cell>
          <cell r="J6">
            <v>2</v>
          </cell>
        </row>
        <row r="7">
          <cell r="A7" t="str">
            <v>预定定金</v>
          </cell>
          <cell r="B7" t="str">
            <v>16-17</v>
          </cell>
          <cell r="C7" t="str">
            <v>单板雪鞋</v>
          </cell>
          <cell r="E7" t="str">
            <v>人群备选 3</v>
          </cell>
          <cell r="F7" t="str">
            <v>分类备选 3</v>
          </cell>
          <cell r="H7" t="str">
            <v>现金+代金券</v>
          </cell>
          <cell r="I7" t="str">
            <v>返佣新晋</v>
          </cell>
          <cell r="J7">
            <v>1</v>
          </cell>
        </row>
        <row r="8">
          <cell r="A8" t="str">
            <v>预定尾款</v>
          </cell>
          <cell r="B8" t="str">
            <v>17-18</v>
          </cell>
          <cell r="C8" t="str">
            <v>雪服上衣</v>
          </cell>
          <cell r="E8" t="str">
            <v>人群备选 4</v>
          </cell>
          <cell r="F8" t="str">
            <v>分类备选 4</v>
          </cell>
          <cell r="H8" t="str">
            <v>刷卡+代金券</v>
          </cell>
          <cell r="I8" t="str">
            <v>内购</v>
          </cell>
          <cell r="J8">
            <v>1</v>
          </cell>
        </row>
        <row r="9">
          <cell r="A9" t="str">
            <v>服务商品</v>
          </cell>
          <cell r="B9" t="str">
            <v>18-19</v>
          </cell>
          <cell r="C9" t="str">
            <v>雪裤</v>
          </cell>
          <cell r="E9" t="str">
            <v>人群备选 5</v>
          </cell>
          <cell r="F9" t="str">
            <v>分类备选 5</v>
          </cell>
          <cell r="H9" t="str">
            <v>转账+代金券</v>
          </cell>
          <cell r="I9" t="str">
            <v>消费者备选 1</v>
          </cell>
        </row>
        <row r="10">
          <cell r="A10" t="str">
            <v>豆抵扣现金</v>
          </cell>
          <cell r="B10" t="str">
            <v>19-20</v>
          </cell>
          <cell r="C10" t="str">
            <v>帽衫</v>
          </cell>
          <cell r="E10" t="str">
            <v>人群备选 6</v>
          </cell>
          <cell r="F10" t="str">
            <v>分类备选 6</v>
          </cell>
          <cell r="H10" t="str">
            <v>支付宝+代金券</v>
          </cell>
          <cell r="I10" t="str">
            <v>消费者备选 2</v>
          </cell>
        </row>
        <row r="11">
          <cell r="A11" t="str">
            <v>豆兑换服务</v>
          </cell>
          <cell r="C11" t="str">
            <v>速干服</v>
          </cell>
          <cell r="H11" t="str">
            <v>微信支付</v>
          </cell>
        </row>
        <row r="12">
          <cell r="A12" t="str">
            <v>豆兑换礼品</v>
          </cell>
          <cell r="C12" t="str">
            <v>头盔</v>
          </cell>
          <cell r="H12" t="str">
            <v>未付</v>
          </cell>
        </row>
        <row r="13">
          <cell r="A13" t="str">
            <v>服务商品押金</v>
          </cell>
          <cell r="C13" t="str">
            <v>雪镜</v>
          </cell>
          <cell r="H13" t="str">
            <v>易龙豆兑换</v>
          </cell>
        </row>
        <row r="14">
          <cell r="A14" t="str">
            <v>桨板出租服务</v>
          </cell>
          <cell r="C14" t="str">
            <v>护甲衣</v>
          </cell>
          <cell r="H14" t="str">
            <v>赠送</v>
          </cell>
        </row>
        <row r="15">
          <cell r="A15" t="str">
            <v>双板出租服务</v>
          </cell>
          <cell r="C15" t="str">
            <v>护腕_护掌</v>
          </cell>
          <cell r="H15" t="str">
            <v>现金+刷卡</v>
          </cell>
        </row>
        <row r="16">
          <cell r="A16" t="str">
            <v>补差价</v>
          </cell>
          <cell r="C16" t="str">
            <v>护臀</v>
          </cell>
          <cell r="H16" t="str">
            <v>奖券</v>
          </cell>
        </row>
        <row r="17">
          <cell r="A17" t="str">
            <v>赠送</v>
          </cell>
          <cell r="C17" t="str">
            <v>护膝</v>
          </cell>
          <cell r="H17" t="str">
            <v>刷卡+易龙豆</v>
          </cell>
        </row>
        <row r="18">
          <cell r="A18" t="str">
            <v>退货</v>
          </cell>
          <cell r="C18" t="str">
            <v>护腰</v>
          </cell>
          <cell r="H18" t="str">
            <v>现金+微信</v>
          </cell>
        </row>
        <row r="19">
          <cell r="A19" t="str">
            <v>预定退货</v>
          </cell>
          <cell r="C19" t="str">
            <v>帽子</v>
          </cell>
          <cell r="H19" t="str">
            <v>付款方式备选 1</v>
          </cell>
        </row>
        <row r="20">
          <cell r="A20" t="str">
            <v>订单类别备选 8</v>
          </cell>
          <cell r="C20" t="str">
            <v>手套</v>
          </cell>
          <cell r="H20" t="str">
            <v>付款方式备选 2</v>
          </cell>
        </row>
        <row r="21">
          <cell r="C21" t="str">
            <v>雪袜</v>
          </cell>
        </row>
        <row r="22">
          <cell r="C22" t="str">
            <v>护脸</v>
          </cell>
        </row>
        <row r="23">
          <cell r="C23" t="str">
            <v>背带_腰带</v>
          </cell>
        </row>
        <row r="24">
          <cell r="C24" t="str">
            <v>鞋包_背包</v>
          </cell>
        </row>
        <row r="25">
          <cell r="C25" t="str">
            <v>单板板包</v>
          </cell>
        </row>
        <row r="26">
          <cell r="C26" t="str">
            <v>双板板包</v>
          </cell>
        </row>
        <row r="27">
          <cell r="C27" t="str">
            <v>雪杖</v>
          </cell>
        </row>
        <row r="28">
          <cell r="C28" t="str">
            <v>双板试滑板</v>
          </cell>
        </row>
        <row r="29">
          <cell r="C29" t="str">
            <v>单板试滑板</v>
          </cell>
        </row>
        <row r="30">
          <cell r="C30" t="str">
            <v>双板试滑鞋</v>
          </cell>
        </row>
        <row r="31">
          <cell r="C31" t="str">
            <v>新租板费</v>
          </cell>
        </row>
        <row r="32">
          <cell r="C32" t="str">
            <v>续租板费</v>
          </cell>
        </row>
        <row r="33">
          <cell r="C33" t="str">
            <v>生成易龙豆</v>
          </cell>
        </row>
        <row r="34">
          <cell r="C34" t="str">
            <v>消费易龙豆</v>
          </cell>
        </row>
        <row r="35">
          <cell r="C35" t="str">
            <v>雪板养护</v>
          </cell>
        </row>
        <row r="36">
          <cell r="C36" t="str">
            <v>租板押金</v>
          </cell>
        </row>
        <row r="37">
          <cell r="C37" t="str">
            <v>桨板</v>
          </cell>
        </row>
        <row r="38">
          <cell r="C38" t="str">
            <v>桨板配件</v>
          </cell>
        </row>
        <row r="39">
          <cell r="C39" t="str">
            <v>桨板出租</v>
          </cell>
        </row>
        <row r="40">
          <cell r="C40" t="str">
            <v>桨板活动费</v>
          </cell>
        </row>
        <row r="41">
          <cell r="C41" t="str">
            <v>冰袋</v>
          </cell>
        </row>
        <row r="42">
          <cell r="C42" t="str">
            <v>品类备选3</v>
          </cell>
        </row>
        <row r="43">
          <cell r="C43" t="str">
            <v>品类备选4</v>
          </cell>
        </row>
        <row r="44">
          <cell r="C44" t="str">
            <v>品类备选5</v>
          </cell>
        </row>
        <row r="45">
          <cell r="C45" t="str">
            <v>品类备选6</v>
          </cell>
        </row>
        <row r="46">
          <cell r="C46" t="str">
            <v>品类备选7</v>
          </cell>
        </row>
        <row r="47">
          <cell r="C47" t="str">
            <v>品类备选8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0"/>
  <sheetViews>
    <sheetView tabSelected="1" workbookViewId="0">
      <selection sqref="A1:XFD21"/>
    </sheetView>
  </sheetViews>
  <sheetFormatPr defaultRowHeight="14.25" x14ac:dyDescent="0.2"/>
  <cols>
    <col min="3" max="3" width="13.75" customWidth="1"/>
  </cols>
  <sheetData>
    <row r="1" spans="1:41" s="6" customFormat="1" ht="49.5" customHeight="1" thickBot="1" x14ac:dyDescent="0.25">
      <c r="A1" s="65" t="s">
        <v>0</v>
      </c>
      <c r="B1" s="66" t="s">
        <v>1</v>
      </c>
      <c r="C1" s="67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8" t="s">
        <v>7</v>
      </c>
      <c r="I1" s="68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9" t="s">
        <v>14</v>
      </c>
      <c r="P1" s="69" t="s">
        <v>15</v>
      </c>
      <c r="Q1" s="70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71" t="s">
        <v>21</v>
      </c>
      <c r="W1" s="72" t="s">
        <v>22</v>
      </c>
      <c r="X1" s="69" t="s">
        <v>23</v>
      </c>
      <c r="Y1" s="71" t="s">
        <v>24</v>
      </c>
      <c r="Z1" s="71" t="s">
        <v>25</v>
      </c>
      <c r="AA1" s="71" t="s">
        <v>26</v>
      </c>
      <c r="AB1" s="71"/>
      <c r="AC1" s="71"/>
      <c r="AD1" s="69" t="s">
        <v>27</v>
      </c>
      <c r="AE1" s="2" t="s">
        <v>28</v>
      </c>
      <c r="AF1" s="3" t="s">
        <v>29</v>
      </c>
      <c r="AG1" s="1" t="s">
        <v>30</v>
      </c>
      <c r="AH1" s="1" t="s">
        <v>31</v>
      </c>
      <c r="AI1" s="3" t="s">
        <v>32</v>
      </c>
      <c r="AJ1" s="1" t="s">
        <v>33</v>
      </c>
      <c r="AK1" s="1" t="s">
        <v>34</v>
      </c>
      <c r="AL1" s="1" t="s">
        <v>35</v>
      </c>
      <c r="AM1" s="4" t="s">
        <v>36</v>
      </c>
      <c r="AN1" s="5" t="s">
        <v>37</v>
      </c>
      <c r="AO1" s="1" t="s">
        <v>38</v>
      </c>
    </row>
    <row r="2" spans="1:41" s="21" customFormat="1" ht="15" customHeight="1" thickTop="1" x14ac:dyDescent="0.2">
      <c r="A2" s="7" t="s">
        <v>39</v>
      </c>
      <c r="B2" s="8">
        <v>42698</v>
      </c>
      <c r="C2" s="9" t="s">
        <v>40</v>
      </c>
      <c r="D2" s="10">
        <v>1</v>
      </c>
      <c r="E2" s="11" t="s">
        <v>41</v>
      </c>
      <c r="F2" s="11" t="s">
        <v>42</v>
      </c>
      <c r="G2" s="10" t="s">
        <v>43</v>
      </c>
      <c r="H2" s="12" t="s">
        <v>44</v>
      </c>
      <c r="I2" s="12" t="s">
        <v>45</v>
      </c>
      <c r="J2" s="10" t="s">
        <v>46</v>
      </c>
      <c r="K2" s="11" t="s">
        <v>47</v>
      </c>
      <c r="L2" s="10" t="s">
        <v>48</v>
      </c>
      <c r="M2" s="10">
        <v>1</v>
      </c>
      <c r="N2" s="10">
        <v>228</v>
      </c>
      <c r="O2" s="13">
        <f t="shared" ref="O2:O21" si="0">N2*M2</f>
        <v>228</v>
      </c>
      <c r="P2" s="108">
        <f>SUM(O2:O6)</f>
        <v>228</v>
      </c>
      <c r="Q2" s="14" t="s">
        <v>49</v>
      </c>
      <c r="R2" s="91">
        <f>SUMPRODUCT(Q2:Q6+0)</f>
        <v>228</v>
      </c>
      <c r="S2" s="110">
        <f>R2/P2</f>
        <v>1</v>
      </c>
      <c r="T2" s="108">
        <f>LOOKUP(S2,{0.4,0.45,0.5,0.55,0.6,0.65,0.7,0.75,0.8,0.85,0.9,0.95,1},{0.1,0.175,0.25,0.325,0.4,0.475,0.55,0.625,0.7,0.775,0.85,0.925,1})</f>
        <v>1</v>
      </c>
      <c r="U2" s="106"/>
      <c r="V2" s="112"/>
      <c r="W2" s="104"/>
      <c r="X2" s="106"/>
      <c r="Y2" s="91">
        <f>R2-(V2/10)-X2</f>
        <v>228</v>
      </c>
      <c r="Z2" s="91">
        <f>Y2*T2*AE2</f>
        <v>228</v>
      </c>
      <c r="AA2" s="91">
        <f>U2-V2+Z2</f>
        <v>228</v>
      </c>
      <c r="AB2" s="91"/>
      <c r="AC2" s="91"/>
      <c r="AD2" s="15" t="s">
        <v>50</v>
      </c>
      <c r="AE2" s="16">
        <f>VLOOKUP(AD2,[1]分类参数表!$I$2:$J$10,2,FALSE)</f>
        <v>1</v>
      </c>
      <c r="AF2" s="17"/>
      <c r="AG2" s="14"/>
      <c r="AH2" s="14"/>
      <c r="AI2" s="14"/>
      <c r="AJ2" s="14"/>
      <c r="AK2" s="14" t="s">
        <v>51</v>
      </c>
      <c r="AL2" s="14" t="s">
        <v>52</v>
      </c>
      <c r="AM2" s="18"/>
      <c r="AN2" s="19">
        <f t="shared" ref="AN2:AN21" si="1">(Q2-AM2)/M2/N2</f>
        <v>1</v>
      </c>
      <c r="AO2" s="20"/>
    </row>
    <row r="3" spans="1:41" s="35" customFormat="1" ht="15" customHeight="1" x14ac:dyDescent="0.2">
      <c r="A3" s="22"/>
      <c r="B3" s="23">
        <f t="shared" ref="B3:C6" si="2">B2</f>
        <v>42698</v>
      </c>
      <c r="C3" s="24" t="str">
        <f t="shared" si="2"/>
        <v>NS2016112401</v>
      </c>
      <c r="D3" s="25">
        <f t="shared" ref="D3:D11" si="3">D2+1</f>
        <v>2</v>
      </c>
      <c r="E3" s="25"/>
      <c r="F3" s="26"/>
      <c r="G3" s="25"/>
      <c r="H3" s="27"/>
      <c r="I3" s="27"/>
      <c r="J3" s="25"/>
      <c r="K3" s="25"/>
      <c r="L3" s="25"/>
      <c r="M3" s="25"/>
      <c r="N3" s="25"/>
      <c r="O3" s="28">
        <f t="shared" si="0"/>
        <v>0</v>
      </c>
      <c r="P3" s="109"/>
      <c r="Q3" s="29"/>
      <c r="R3" s="92"/>
      <c r="S3" s="111"/>
      <c r="T3" s="109"/>
      <c r="U3" s="107"/>
      <c r="V3" s="113"/>
      <c r="W3" s="105"/>
      <c r="X3" s="107"/>
      <c r="Y3" s="92"/>
      <c r="Z3" s="92"/>
      <c r="AA3" s="92"/>
      <c r="AB3" s="92"/>
      <c r="AC3" s="92"/>
      <c r="AD3" s="25" t="str">
        <f t="shared" ref="AD3:AD11" si="4">AD2</f>
        <v>散客</v>
      </c>
      <c r="AE3" s="30">
        <f>VLOOKUP(AD3,[1]分类参数表!$I$2:$J$10,2,FALSE)</f>
        <v>1</v>
      </c>
      <c r="AF3" s="31"/>
      <c r="AG3" s="29"/>
      <c r="AH3" s="29"/>
      <c r="AI3" s="29"/>
      <c r="AJ3" s="29"/>
      <c r="AK3" s="29"/>
      <c r="AL3" s="29"/>
      <c r="AM3" s="32"/>
      <c r="AN3" s="33" t="e">
        <f t="shared" si="1"/>
        <v>#DIV/0!</v>
      </c>
      <c r="AO3" s="34"/>
    </row>
    <row r="4" spans="1:41" s="35" customFormat="1" ht="15" customHeight="1" x14ac:dyDescent="0.2">
      <c r="A4" s="22"/>
      <c r="B4" s="23">
        <f t="shared" si="2"/>
        <v>42698</v>
      </c>
      <c r="C4" s="24" t="str">
        <f t="shared" si="2"/>
        <v>NS2016112401</v>
      </c>
      <c r="D4" s="25">
        <f t="shared" si="3"/>
        <v>3</v>
      </c>
      <c r="E4" s="25"/>
      <c r="F4" s="26"/>
      <c r="G4" s="25"/>
      <c r="H4" s="27"/>
      <c r="I4" s="27"/>
      <c r="J4" s="25"/>
      <c r="K4" s="25"/>
      <c r="L4" s="25"/>
      <c r="M4" s="25"/>
      <c r="N4" s="25"/>
      <c r="O4" s="28">
        <f t="shared" si="0"/>
        <v>0</v>
      </c>
      <c r="P4" s="109"/>
      <c r="Q4" s="29"/>
      <c r="R4" s="92"/>
      <c r="S4" s="111"/>
      <c r="T4" s="109"/>
      <c r="U4" s="107"/>
      <c r="V4" s="113"/>
      <c r="W4" s="105"/>
      <c r="X4" s="107"/>
      <c r="Y4" s="92"/>
      <c r="Z4" s="92"/>
      <c r="AA4" s="92"/>
      <c r="AB4" s="92"/>
      <c r="AC4" s="92"/>
      <c r="AD4" s="25" t="str">
        <f t="shared" si="4"/>
        <v>散客</v>
      </c>
      <c r="AE4" s="30">
        <f>VLOOKUP(AD4,[1]分类参数表!$I$2:$J$10,2,FALSE)</f>
        <v>1</v>
      </c>
      <c r="AF4" s="31"/>
      <c r="AG4" s="29"/>
      <c r="AH4" s="29"/>
      <c r="AI4" s="29"/>
      <c r="AJ4" s="29"/>
      <c r="AK4" s="29"/>
      <c r="AL4" s="29"/>
      <c r="AM4" s="32"/>
      <c r="AN4" s="33" t="e">
        <f t="shared" si="1"/>
        <v>#DIV/0!</v>
      </c>
      <c r="AO4" s="34"/>
    </row>
    <row r="5" spans="1:41" s="35" customFormat="1" ht="15" customHeight="1" x14ac:dyDescent="0.2">
      <c r="A5" s="80"/>
      <c r="B5" s="81">
        <f t="shared" si="2"/>
        <v>42698</v>
      </c>
      <c r="C5" s="82" t="str">
        <f t="shared" si="2"/>
        <v>NS2016112401</v>
      </c>
      <c r="D5" s="83">
        <f t="shared" si="3"/>
        <v>4</v>
      </c>
      <c r="E5" s="83"/>
      <c r="F5" s="84"/>
      <c r="G5" s="83"/>
      <c r="H5" s="83"/>
      <c r="I5" s="83"/>
      <c r="J5" s="83"/>
      <c r="K5" s="83"/>
      <c r="L5" s="83"/>
      <c r="M5" s="83"/>
      <c r="N5" s="83"/>
      <c r="O5" s="85">
        <f t="shared" si="0"/>
        <v>0</v>
      </c>
      <c r="P5" s="118"/>
      <c r="Q5" s="86"/>
      <c r="R5" s="114"/>
      <c r="S5" s="119"/>
      <c r="T5" s="118"/>
      <c r="U5" s="116"/>
      <c r="V5" s="117"/>
      <c r="W5" s="115"/>
      <c r="X5" s="116"/>
      <c r="Y5" s="114"/>
      <c r="Z5" s="114"/>
      <c r="AA5" s="114"/>
      <c r="AB5" s="114"/>
      <c r="AC5" s="114"/>
      <c r="AD5" s="83" t="str">
        <f t="shared" si="4"/>
        <v>散客</v>
      </c>
      <c r="AE5" s="30">
        <f>VLOOKUP(AD5,[1]分类参数表!$I$2:$J$10,2,FALSE)</f>
        <v>1</v>
      </c>
      <c r="AF5" s="31"/>
      <c r="AG5" s="29"/>
      <c r="AH5" s="29"/>
      <c r="AI5" s="29"/>
      <c r="AJ5" s="29"/>
      <c r="AK5" s="29"/>
      <c r="AL5" s="29"/>
      <c r="AM5" s="32"/>
      <c r="AN5" s="33" t="e">
        <f t="shared" si="1"/>
        <v>#DIV/0!</v>
      </c>
      <c r="AO5" s="34"/>
    </row>
    <row r="6" spans="1:41" s="35" customFormat="1" ht="16.5" customHeight="1" thickBot="1" x14ac:dyDescent="0.25">
      <c r="A6" s="73"/>
      <c r="B6" s="74">
        <f t="shared" si="2"/>
        <v>42698</v>
      </c>
      <c r="C6" s="75" t="str">
        <f t="shared" si="2"/>
        <v>NS2016112401</v>
      </c>
      <c r="D6" s="76">
        <f t="shared" si="3"/>
        <v>5</v>
      </c>
      <c r="E6" s="76"/>
      <c r="F6" s="77"/>
      <c r="G6" s="76"/>
      <c r="H6" s="76"/>
      <c r="I6" s="76"/>
      <c r="J6" s="76"/>
      <c r="K6" s="76"/>
      <c r="L6" s="76"/>
      <c r="M6" s="76"/>
      <c r="N6" s="76"/>
      <c r="O6" s="78">
        <f t="shared" si="0"/>
        <v>0</v>
      </c>
      <c r="P6" s="109"/>
      <c r="Q6" s="79"/>
      <c r="R6" s="92"/>
      <c r="S6" s="111"/>
      <c r="T6" s="109"/>
      <c r="U6" s="107"/>
      <c r="V6" s="113"/>
      <c r="W6" s="105"/>
      <c r="X6" s="107"/>
      <c r="Y6" s="92"/>
      <c r="Z6" s="92"/>
      <c r="AA6" s="92"/>
      <c r="AB6" s="93"/>
      <c r="AC6" s="93"/>
      <c r="AD6" s="76" t="str">
        <f t="shared" si="4"/>
        <v>散客</v>
      </c>
      <c r="AE6" s="30">
        <f>VLOOKUP(AD6,[1]分类参数表!$I$2:$J$10,2,FALSE)</f>
        <v>1</v>
      </c>
      <c r="AF6" s="31"/>
      <c r="AG6" s="29"/>
      <c r="AH6" s="29"/>
      <c r="AI6" s="29"/>
      <c r="AJ6" s="29"/>
      <c r="AK6" s="29"/>
      <c r="AL6" s="29"/>
      <c r="AM6" s="32"/>
      <c r="AN6" s="33" t="e">
        <f t="shared" si="1"/>
        <v>#DIV/0!</v>
      </c>
      <c r="AO6" s="34"/>
    </row>
    <row r="7" spans="1:41" s="50" customFormat="1" ht="15" customHeight="1" thickTop="1" x14ac:dyDescent="0.2">
      <c r="A7" s="36" t="s">
        <v>39</v>
      </c>
      <c r="B7" s="37">
        <v>42698</v>
      </c>
      <c r="C7" s="38" t="s">
        <v>53</v>
      </c>
      <c r="D7" s="39">
        <v>1</v>
      </c>
      <c r="E7" s="40" t="s">
        <v>54</v>
      </c>
      <c r="F7" s="40" t="s">
        <v>55</v>
      </c>
      <c r="G7" s="39" t="s">
        <v>56</v>
      </c>
      <c r="H7" s="41" t="s">
        <v>57</v>
      </c>
      <c r="I7" s="41" t="s">
        <v>58</v>
      </c>
      <c r="J7" s="39" t="s">
        <v>46</v>
      </c>
      <c r="K7" s="40" t="s">
        <v>47</v>
      </c>
      <c r="L7" s="39" t="s">
        <v>59</v>
      </c>
      <c r="M7" s="39">
        <v>1</v>
      </c>
      <c r="N7" s="39">
        <v>2880</v>
      </c>
      <c r="O7" s="42">
        <f t="shared" si="0"/>
        <v>2880</v>
      </c>
      <c r="P7" s="94">
        <f>SUM(O7:O11)</f>
        <v>3700</v>
      </c>
      <c r="Q7" s="43" t="s">
        <v>60</v>
      </c>
      <c r="R7" s="88">
        <f>SUMPRODUCT(Q7:Q11+0)</f>
        <v>3700</v>
      </c>
      <c r="S7" s="96">
        <f>R7/P7</f>
        <v>1</v>
      </c>
      <c r="T7" s="94">
        <f>LOOKUP(S7,{0.4,0.45,0.5,0.55,0.6,0.65,0.7,0.75,0.8,0.85,0.9,0.95,1},{0.1,0.175,0.25,0.325,0.4,0.475,0.55,0.625,0.7,0.775,0.85,0.925,1})</f>
        <v>1</v>
      </c>
      <c r="U7" s="98"/>
      <c r="V7" s="100"/>
      <c r="W7" s="102"/>
      <c r="X7" s="98"/>
      <c r="Y7" s="88">
        <f>R7-(V7/10)-X7</f>
        <v>3700</v>
      </c>
      <c r="Z7" s="88">
        <f>Y7*T7*AE7</f>
        <v>3700</v>
      </c>
      <c r="AA7" s="88">
        <f>U7-V7+Z7</f>
        <v>3700</v>
      </c>
      <c r="AB7" s="88"/>
      <c r="AC7" s="88"/>
      <c r="AD7" s="44" t="s">
        <v>61</v>
      </c>
      <c r="AE7" s="45">
        <f>VLOOKUP(AD7,[1]分类参数表!$I$2:$J$10,2,FALSE)</f>
        <v>1</v>
      </c>
      <c r="AF7" s="46"/>
      <c r="AG7" s="43" t="s">
        <v>62</v>
      </c>
      <c r="AH7" s="43" t="s">
        <v>63</v>
      </c>
      <c r="AI7" s="43" t="s">
        <v>64</v>
      </c>
      <c r="AJ7" s="43" t="s">
        <v>65</v>
      </c>
      <c r="AK7" s="43" t="s">
        <v>66</v>
      </c>
      <c r="AL7" s="43" t="s">
        <v>52</v>
      </c>
      <c r="AM7" s="47"/>
      <c r="AN7" s="48">
        <f t="shared" si="1"/>
        <v>1</v>
      </c>
      <c r="AO7" s="49"/>
    </row>
    <row r="8" spans="1:41" s="64" customFormat="1" ht="15" customHeight="1" x14ac:dyDescent="0.2">
      <c r="A8" s="51" t="s">
        <v>39</v>
      </c>
      <c r="B8" s="52">
        <f t="shared" ref="B8:C11" si="5">B7</f>
        <v>42698</v>
      </c>
      <c r="C8" s="53" t="str">
        <f t="shared" si="5"/>
        <v>NS2016112402</v>
      </c>
      <c r="D8" s="54">
        <f t="shared" si="3"/>
        <v>2</v>
      </c>
      <c r="E8" s="54" t="s">
        <v>67</v>
      </c>
      <c r="F8" s="55" t="s">
        <v>55</v>
      </c>
      <c r="G8" s="54" t="s">
        <v>68</v>
      </c>
      <c r="H8" s="56" t="s">
        <v>57</v>
      </c>
      <c r="I8" s="56" t="s">
        <v>58</v>
      </c>
      <c r="J8" s="54" t="s">
        <v>46</v>
      </c>
      <c r="K8" s="54" t="s">
        <v>47</v>
      </c>
      <c r="L8" s="54" t="s">
        <v>59</v>
      </c>
      <c r="M8" s="54">
        <v>1</v>
      </c>
      <c r="N8" s="54">
        <v>820</v>
      </c>
      <c r="O8" s="57">
        <f t="shared" si="0"/>
        <v>820</v>
      </c>
      <c r="P8" s="95"/>
      <c r="Q8" s="58" t="s">
        <v>69</v>
      </c>
      <c r="R8" s="89"/>
      <c r="S8" s="97"/>
      <c r="T8" s="95"/>
      <c r="U8" s="99"/>
      <c r="V8" s="101"/>
      <c r="W8" s="103"/>
      <c r="X8" s="99"/>
      <c r="Y8" s="89"/>
      <c r="Z8" s="89"/>
      <c r="AA8" s="89"/>
      <c r="AB8" s="89"/>
      <c r="AC8" s="89"/>
      <c r="AD8" s="54" t="str">
        <f t="shared" si="4"/>
        <v>返佣新晋</v>
      </c>
      <c r="AE8" s="59">
        <f>VLOOKUP(AD8,[1]分类参数表!$I$2:$J$10,2,FALSE)</f>
        <v>1</v>
      </c>
      <c r="AF8" s="60"/>
      <c r="AG8" s="58" t="s">
        <v>62</v>
      </c>
      <c r="AH8" s="58" t="s">
        <v>63</v>
      </c>
      <c r="AI8" s="58" t="s">
        <v>64</v>
      </c>
      <c r="AJ8" s="58" t="s">
        <v>65</v>
      </c>
      <c r="AK8" s="58" t="s">
        <v>66</v>
      </c>
      <c r="AL8" s="58" t="s">
        <v>52</v>
      </c>
      <c r="AM8" s="61"/>
      <c r="AN8" s="62">
        <f t="shared" si="1"/>
        <v>1</v>
      </c>
      <c r="AO8" s="63"/>
    </row>
    <row r="9" spans="1:41" s="64" customFormat="1" ht="15" customHeight="1" x14ac:dyDescent="0.2">
      <c r="A9" s="51"/>
      <c r="B9" s="52" t="e">
        <f>F15B8</f>
        <v>#NAME?</v>
      </c>
      <c r="C9" s="53" t="str">
        <f t="shared" si="5"/>
        <v>NS2016112402</v>
      </c>
      <c r="D9" s="54">
        <f t="shared" si="3"/>
        <v>3</v>
      </c>
      <c r="E9" s="54"/>
      <c r="F9" s="55"/>
      <c r="G9" s="54"/>
      <c r="H9" s="56"/>
      <c r="I9" s="56"/>
      <c r="J9" s="54"/>
      <c r="K9" s="54"/>
      <c r="L9" s="54"/>
      <c r="M9" s="54"/>
      <c r="N9" s="54"/>
      <c r="O9" s="57">
        <f t="shared" si="0"/>
        <v>0</v>
      </c>
      <c r="P9" s="95"/>
      <c r="Q9" s="58"/>
      <c r="R9" s="89"/>
      <c r="S9" s="97"/>
      <c r="T9" s="95"/>
      <c r="U9" s="99"/>
      <c r="V9" s="101"/>
      <c r="W9" s="103"/>
      <c r="X9" s="99"/>
      <c r="Y9" s="89"/>
      <c r="Z9" s="89"/>
      <c r="AA9" s="89"/>
      <c r="AB9" s="89"/>
      <c r="AC9" s="89"/>
      <c r="AD9" s="54" t="str">
        <f t="shared" si="4"/>
        <v>返佣新晋</v>
      </c>
      <c r="AE9" s="59">
        <f>VLOOKUP(AD9,[1]分类参数表!$I$2:$J$10,2,FALSE)</f>
        <v>1</v>
      </c>
      <c r="AF9" s="60"/>
      <c r="AG9" s="58"/>
      <c r="AH9" s="58"/>
      <c r="AI9" s="58"/>
      <c r="AJ9" s="58"/>
      <c r="AK9" s="58"/>
      <c r="AL9" s="58"/>
      <c r="AM9" s="61"/>
      <c r="AN9" s="62" t="e">
        <f t="shared" si="1"/>
        <v>#DIV/0!</v>
      </c>
      <c r="AO9" s="63"/>
    </row>
    <row r="10" spans="1:41" s="64" customFormat="1" ht="15" customHeight="1" x14ac:dyDescent="0.2">
      <c r="A10" s="51"/>
      <c r="B10" s="52" t="e">
        <f t="shared" si="5"/>
        <v>#NAME?</v>
      </c>
      <c r="C10" s="53" t="str">
        <f t="shared" si="5"/>
        <v>NS2016112402</v>
      </c>
      <c r="D10" s="54">
        <f t="shared" si="3"/>
        <v>4</v>
      </c>
      <c r="E10" s="54"/>
      <c r="F10" s="55"/>
      <c r="G10" s="54"/>
      <c r="H10" s="54"/>
      <c r="I10" s="54"/>
      <c r="J10" s="54"/>
      <c r="K10" s="54"/>
      <c r="L10" s="54"/>
      <c r="M10" s="54"/>
      <c r="N10" s="54"/>
      <c r="O10" s="57">
        <f t="shared" si="0"/>
        <v>0</v>
      </c>
      <c r="P10" s="95"/>
      <c r="Q10" s="58"/>
      <c r="R10" s="89"/>
      <c r="S10" s="97"/>
      <c r="T10" s="95"/>
      <c r="U10" s="99"/>
      <c r="V10" s="101"/>
      <c r="W10" s="103"/>
      <c r="X10" s="99"/>
      <c r="Y10" s="89"/>
      <c r="Z10" s="89"/>
      <c r="AA10" s="89"/>
      <c r="AB10" s="89"/>
      <c r="AC10" s="89"/>
      <c r="AD10" s="54" t="str">
        <f t="shared" si="4"/>
        <v>返佣新晋</v>
      </c>
      <c r="AE10" s="59">
        <f>VLOOKUP(AD10,[1]分类参数表!$I$2:$J$10,2,FALSE)</f>
        <v>1</v>
      </c>
      <c r="AF10" s="60"/>
      <c r="AG10" s="58"/>
      <c r="AH10" s="58"/>
      <c r="AI10" s="58"/>
      <c r="AJ10" s="58"/>
      <c r="AK10" s="58"/>
      <c r="AL10" s="58"/>
      <c r="AM10" s="61"/>
      <c r="AN10" s="62" t="e">
        <f t="shared" si="1"/>
        <v>#DIV/0!</v>
      </c>
      <c r="AO10" s="63"/>
    </row>
    <row r="11" spans="1:41" s="64" customFormat="1" ht="15" customHeight="1" thickBot="1" x14ac:dyDescent="0.25">
      <c r="A11" s="51"/>
      <c r="B11" s="52" t="e">
        <f t="shared" si="5"/>
        <v>#NAME?</v>
      </c>
      <c r="C11" s="53" t="str">
        <f t="shared" si="5"/>
        <v>NS2016112402</v>
      </c>
      <c r="D11" s="54">
        <f t="shared" si="3"/>
        <v>5</v>
      </c>
      <c r="E11" s="54"/>
      <c r="F11" s="55"/>
      <c r="G11" s="54"/>
      <c r="H11" s="54"/>
      <c r="I11" s="54"/>
      <c r="J11" s="54"/>
      <c r="K11" s="54"/>
      <c r="L11" s="54"/>
      <c r="M11" s="54"/>
      <c r="N11" s="54"/>
      <c r="O11" s="57">
        <f t="shared" si="0"/>
        <v>0</v>
      </c>
      <c r="P11" s="95"/>
      <c r="Q11" s="58"/>
      <c r="R11" s="89"/>
      <c r="S11" s="97"/>
      <c r="T11" s="95"/>
      <c r="U11" s="99"/>
      <c r="V11" s="101"/>
      <c r="W11" s="103"/>
      <c r="X11" s="99"/>
      <c r="Y11" s="89"/>
      <c r="Z11" s="89"/>
      <c r="AA11" s="89"/>
      <c r="AB11" s="90"/>
      <c r="AC11" s="90"/>
      <c r="AD11" s="54" t="str">
        <f t="shared" si="4"/>
        <v>返佣新晋</v>
      </c>
      <c r="AE11" s="59">
        <f>VLOOKUP(AD11,[1]分类参数表!$I$2:$J$10,2,FALSE)</f>
        <v>1</v>
      </c>
      <c r="AF11" s="60"/>
      <c r="AG11" s="58"/>
      <c r="AH11" s="58"/>
      <c r="AI11" s="58"/>
      <c r="AJ11" s="58"/>
      <c r="AK11" s="58"/>
      <c r="AL11" s="58"/>
      <c r="AM11" s="61"/>
      <c r="AN11" s="62" t="e">
        <f t="shared" si="1"/>
        <v>#DIV/0!</v>
      </c>
      <c r="AO11" s="63"/>
    </row>
    <row r="12" spans="1:41" s="21" customFormat="1" ht="15" customHeight="1" thickTop="1" x14ac:dyDescent="0.2">
      <c r="A12" s="7" t="s">
        <v>39</v>
      </c>
      <c r="B12" s="8">
        <v>42698</v>
      </c>
      <c r="C12" s="9" t="s">
        <v>70</v>
      </c>
      <c r="D12" s="10">
        <v>1</v>
      </c>
      <c r="E12" s="11" t="s">
        <v>71</v>
      </c>
      <c r="F12" s="11" t="s">
        <v>72</v>
      </c>
      <c r="G12" s="10" t="s">
        <v>73</v>
      </c>
      <c r="H12" s="12"/>
      <c r="I12" s="12">
        <v>150</v>
      </c>
      <c r="J12" s="10" t="s">
        <v>46</v>
      </c>
      <c r="K12" s="11" t="s">
        <v>74</v>
      </c>
      <c r="L12" s="10" t="s">
        <v>71</v>
      </c>
      <c r="M12" s="10">
        <v>1</v>
      </c>
      <c r="N12" s="10">
        <v>3100</v>
      </c>
      <c r="O12" s="13">
        <f t="shared" si="0"/>
        <v>3100</v>
      </c>
      <c r="P12" s="108">
        <f>SUM(O12:O16)</f>
        <v>5460</v>
      </c>
      <c r="Q12" s="14" t="s">
        <v>75</v>
      </c>
      <c r="R12" s="91">
        <f>SUMPRODUCT(Q12:Q16+0)</f>
        <v>2999</v>
      </c>
      <c r="S12" s="110">
        <f>R12/P12</f>
        <v>0.54926739926739931</v>
      </c>
      <c r="T12" s="108">
        <f>LOOKUP(S12,{0.4,0.45,0.5,0.55,0.6,0.65,0.7,0.75,0.8,0.85,0.9,0.95,1},{0.1,0.175,0.25,0.325,0.4,0.475,0.55,0.625,0.7,0.775,0.85,0.925,1})</f>
        <v>0.25</v>
      </c>
      <c r="U12" s="106"/>
      <c r="V12" s="112"/>
      <c r="W12" s="104"/>
      <c r="X12" s="106"/>
      <c r="Y12" s="91">
        <f>R12-(V12/10)-X12</f>
        <v>2999</v>
      </c>
      <c r="Z12" s="91">
        <f>Y12*T12*AE12</f>
        <v>749.75</v>
      </c>
      <c r="AA12" s="91">
        <f>U12-V12+Z12</f>
        <v>749.75</v>
      </c>
      <c r="AB12" s="91"/>
      <c r="AC12" s="91"/>
      <c r="AD12" s="15" t="s">
        <v>76</v>
      </c>
      <c r="AE12" s="16">
        <f>VLOOKUP(AD12,[1]分类参数表!$I$2:$J$10,2,FALSE)</f>
        <v>1</v>
      </c>
      <c r="AF12" s="17"/>
      <c r="AG12" s="14" t="s">
        <v>77</v>
      </c>
      <c r="AH12" s="14" t="s">
        <v>78</v>
      </c>
      <c r="AI12" s="14"/>
      <c r="AJ12" s="14"/>
      <c r="AK12" s="14" t="s">
        <v>66</v>
      </c>
      <c r="AL12" s="14" t="s">
        <v>52</v>
      </c>
      <c r="AM12" s="18"/>
      <c r="AN12" s="19">
        <f t="shared" si="1"/>
        <v>0.54741935483870963</v>
      </c>
      <c r="AO12" s="20"/>
    </row>
    <row r="13" spans="1:41" s="35" customFormat="1" ht="15" customHeight="1" x14ac:dyDescent="0.2">
      <c r="A13" s="22" t="s">
        <v>39</v>
      </c>
      <c r="B13" s="23">
        <f t="shared" ref="B13:C16" si="6">B12</f>
        <v>42698</v>
      </c>
      <c r="C13" s="24" t="str">
        <f t="shared" si="6"/>
        <v>NS2016112403</v>
      </c>
      <c r="D13" s="25">
        <f>D12+1</f>
        <v>2</v>
      </c>
      <c r="E13" s="25" t="s">
        <v>79</v>
      </c>
      <c r="F13" s="26" t="s">
        <v>72</v>
      </c>
      <c r="G13" s="25" t="s">
        <v>80</v>
      </c>
      <c r="H13" s="27"/>
      <c r="I13" s="27">
        <v>25.5</v>
      </c>
      <c r="J13" s="25" t="s">
        <v>46</v>
      </c>
      <c r="K13" s="25" t="s">
        <v>74</v>
      </c>
      <c r="L13" s="25" t="s">
        <v>71</v>
      </c>
      <c r="M13" s="25">
        <v>1</v>
      </c>
      <c r="N13" s="25">
        <v>1960</v>
      </c>
      <c r="O13" s="28">
        <f t="shared" si="0"/>
        <v>1960</v>
      </c>
      <c r="P13" s="109"/>
      <c r="Q13" s="29" t="s">
        <v>81</v>
      </c>
      <c r="R13" s="92"/>
      <c r="S13" s="111"/>
      <c r="T13" s="109"/>
      <c r="U13" s="107"/>
      <c r="V13" s="113"/>
      <c r="W13" s="105"/>
      <c r="X13" s="107"/>
      <c r="Y13" s="92"/>
      <c r="Z13" s="92"/>
      <c r="AA13" s="92"/>
      <c r="AB13" s="92"/>
      <c r="AC13" s="92"/>
      <c r="AD13" s="25" t="str">
        <f>AD12</f>
        <v>散客新晋</v>
      </c>
      <c r="AE13" s="30">
        <f>VLOOKUP(AD13,[1]分类参数表!$I$2:$J$10,2,FALSE)</f>
        <v>1</v>
      </c>
      <c r="AF13" s="31"/>
      <c r="AG13" s="29" t="s">
        <v>82</v>
      </c>
      <c r="AH13" s="29" t="s">
        <v>83</v>
      </c>
      <c r="AI13" s="29"/>
      <c r="AJ13" s="29"/>
      <c r="AK13" s="29" t="s">
        <v>84</v>
      </c>
      <c r="AL13" s="29" t="s">
        <v>85</v>
      </c>
      <c r="AM13" s="32"/>
      <c r="AN13" s="33">
        <f t="shared" si="1"/>
        <v>0.55306122448979589</v>
      </c>
      <c r="AO13" s="34"/>
    </row>
    <row r="14" spans="1:41" s="35" customFormat="1" ht="15" customHeight="1" x14ac:dyDescent="0.2">
      <c r="A14" s="22" t="s">
        <v>39</v>
      </c>
      <c r="B14" s="23">
        <f t="shared" si="6"/>
        <v>42698</v>
      </c>
      <c r="C14" s="24" t="str">
        <f t="shared" si="6"/>
        <v>NS2016112403</v>
      </c>
      <c r="D14" s="25">
        <f>D13+1</f>
        <v>3</v>
      </c>
      <c r="E14" s="25" t="s">
        <v>86</v>
      </c>
      <c r="F14" s="26" t="s">
        <v>87</v>
      </c>
      <c r="G14" s="25"/>
      <c r="H14" s="27"/>
      <c r="I14" s="27" t="s">
        <v>88</v>
      </c>
      <c r="J14" s="25" t="s">
        <v>46</v>
      </c>
      <c r="K14" s="25" t="s">
        <v>74</v>
      </c>
      <c r="L14" s="25" t="s">
        <v>71</v>
      </c>
      <c r="M14" s="25">
        <v>1</v>
      </c>
      <c r="N14" s="25">
        <v>400</v>
      </c>
      <c r="O14" s="28">
        <f t="shared" si="0"/>
        <v>400</v>
      </c>
      <c r="P14" s="109"/>
      <c r="Q14" s="29" t="s">
        <v>89</v>
      </c>
      <c r="R14" s="92"/>
      <c r="S14" s="111"/>
      <c r="T14" s="109"/>
      <c r="U14" s="107"/>
      <c r="V14" s="113"/>
      <c r="W14" s="105"/>
      <c r="X14" s="107"/>
      <c r="Y14" s="92"/>
      <c r="Z14" s="92"/>
      <c r="AA14" s="92"/>
      <c r="AB14" s="92"/>
      <c r="AC14" s="92"/>
      <c r="AD14" s="25" t="str">
        <f>AD13</f>
        <v>散客新晋</v>
      </c>
      <c r="AE14" s="30">
        <f>VLOOKUP(AD14,[1]分类参数表!$I$2:$J$10,2,FALSE)</f>
        <v>1</v>
      </c>
      <c r="AF14" s="31"/>
      <c r="AG14" s="29" t="s">
        <v>82</v>
      </c>
      <c r="AH14" s="29" t="s">
        <v>83</v>
      </c>
      <c r="AI14" s="29"/>
      <c r="AJ14" s="29"/>
      <c r="AK14" s="29" t="s">
        <v>84</v>
      </c>
      <c r="AL14" s="29" t="s">
        <v>85</v>
      </c>
      <c r="AM14" s="32"/>
      <c r="AN14" s="33">
        <f t="shared" si="1"/>
        <v>0.54500000000000004</v>
      </c>
      <c r="AO14" s="34"/>
    </row>
    <row r="15" spans="1:41" s="35" customFormat="1" ht="15" customHeight="1" x14ac:dyDescent="0.2">
      <c r="A15" s="22"/>
      <c r="B15" s="23">
        <f t="shared" si="6"/>
        <v>42698</v>
      </c>
      <c r="C15" s="24" t="str">
        <f t="shared" si="6"/>
        <v>NS2016112403</v>
      </c>
      <c r="D15" s="25">
        <f>D14+1</f>
        <v>4</v>
      </c>
      <c r="E15" s="25"/>
      <c r="F15" s="26"/>
      <c r="G15" s="25"/>
      <c r="H15" s="25"/>
      <c r="I15" s="25"/>
      <c r="J15" s="25"/>
      <c r="K15" s="25"/>
      <c r="L15" s="25"/>
      <c r="M15" s="25"/>
      <c r="N15" s="25"/>
      <c r="O15" s="28">
        <f t="shared" si="0"/>
        <v>0</v>
      </c>
      <c r="P15" s="109"/>
      <c r="Q15" s="29"/>
      <c r="R15" s="92"/>
      <c r="S15" s="111"/>
      <c r="T15" s="109"/>
      <c r="U15" s="107"/>
      <c r="V15" s="113"/>
      <c r="W15" s="105"/>
      <c r="X15" s="107"/>
      <c r="Y15" s="92"/>
      <c r="Z15" s="92"/>
      <c r="AA15" s="92"/>
      <c r="AB15" s="92"/>
      <c r="AC15" s="92"/>
      <c r="AD15" s="25" t="str">
        <f>AD14</f>
        <v>散客新晋</v>
      </c>
      <c r="AE15" s="30">
        <f>VLOOKUP(AD15,[1]分类参数表!$I$2:$J$10,2,FALSE)</f>
        <v>1</v>
      </c>
      <c r="AF15" s="31"/>
      <c r="AG15" s="29"/>
      <c r="AH15" s="29"/>
      <c r="AI15" s="29"/>
      <c r="AJ15" s="29"/>
      <c r="AK15" s="29"/>
      <c r="AL15" s="29"/>
      <c r="AM15" s="32"/>
      <c r="AN15" s="33" t="e">
        <f t="shared" si="1"/>
        <v>#DIV/0!</v>
      </c>
      <c r="AO15" s="34"/>
    </row>
    <row r="16" spans="1:41" s="35" customFormat="1" ht="12.75" customHeight="1" thickBot="1" x14ac:dyDescent="0.25">
      <c r="A16" s="22"/>
      <c r="B16" s="23">
        <f t="shared" si="6"/>
        <v>42698</v>
      </c>
      <c r="C16" s="24" t="str">
        <f t="shared" si="6"/>
        <v>NS2016112403</v>
      </c>
      <c r="D16" s="25">
        <f>D15+1</f>
        <v>5</v>
      </c>
      <c r="E16" s="25"/>
      <c r="F16" s="26"/>
      <c r="G16" s="25"/>
      <c r="H16" s="25"/>
      <c r="I16" s="25"/>
      <c r="J16" s="25"/>
      <c r="K16" s="25"/>
      <c r="L16" s="25"/>
      <c r="M16" s="25"/>
      <c r="N16" s="25"/>
      <c r="O16" s="28">
        <f t="shared" si="0"/>
        <v>0</v>
      </c>
      <c r="P16" s="109"/>
      <c r="Q16" s="29"/>
      <c r="R16" s="92"/>
      <c r="S16" s="111"/>
      <c r="T16" s="109"/>
      <c r="U16" s="107"/>
      <c r="V16" s="113"/>
      <c r="W16" s="105"/>
      <c r="X16" s="107"/>
      <c r="Y16" s="92"/>
      <c r="Z16" s="92"/>
      <c r="AA16" s="92"/>
      <c r="AB16" s="93"/>
      <c r="AC16" s="93"/>
      <c r="AD16" s="25" t="str">
        <f>AD15</f>
        <v>散客新晋</v>
      </c>
      <c r="AE16" s="30">
        <f>VLOOKUP(AD16,[1]分类参数表!$I$2:$J$10,2,FALSE)</f>
        <v>1</v>
      </c>
      <c r="AF16" s="31"/>
      <c r="AG16" s="29"/>
      <c r="AH16" s="29"/>
      <c r="AI16" s="29"/>
      <c r="AJ16" s="29"/>
      <c r="AK16" s="29"/>
      <c r="AL16" s="29"/>
      <c r="AM16" s="32"/>
      <c r="AN16" s="33" t="e">
        <f t="shared" si="1"/>
        <v>#DIV/0!</v>
      </c>
      <c r="AO16" s="34"/>
    </row>
    <row r="17" spans="1:41" s="50" customFormat="1" ht="12.75" customHeight="1" thickTop="1" x14ac:dyDescent="0.2">
      <c r="A17" s="36" t="s">
        <v>39</v>
      </c>
      <c r="B17" s="37">
        <v>42698</v>
      </c>
      <c r="C17" s="38" t="s">
        <v>90</v>
      </c>
      <c r="D17" s="39">
        <v>1</v>
      </c>
      <c r="E17" s="40" t="s">
        <v>79</v>
      </c>
      <c r="F17" s="40" t="s">
        <v>72</v>
      </c>
      <c r="G17" s="39" t="s">
        <v>91</v>
      </c>
      <c r="H17" s="41"/>
      <c r="I17" s="41">
        <v>28.5</v>
      </c>
      <c r="J17" s="39" t="s">
        <v>46</v>
      </c>
      <c r="K17" s="40" t="s">
        <v>47</v>
      </c>
      <c r="L17" s="39" t="s">
        <v>71</v>
      </c>
      <c r="M17" s="39">
        <v>1</v>
      </c>
      <c r="N17" s="39">
        <v>1980</v>
      </c>
      <c r="O17" s="42">
        <f t="shared" si="0"/>
        <v>1980</v>
      </c>
      <c r="P17" s="94">
        <f>SUM(O17:O21)</f>
        <v>5480</v>
      </c>
      <c r="Q17" s="43" t="s">
        <v>81</v>
      </c>
      <c r="R17" s="88">
        <f>SUMPRODUCT(Q17:Q21+0)</f>
        <v>2999</v>
      </c>
      <c r="S17" s="96">
        <f>R17/P17</f>
        <v>0.54726277372262777</v>
      </c>
      <c r="T17" s="94">
        <f>LOOKUP(S17,{0.4,0.45,0.5,0.55,0.6,0.65,0.7,0.75,0.8,0.85,0.9,0.95,1},{0.1,0.175,0.25,0.325,0.4,0.475,0.55,0.625,0.7,0.775,0.85,0.925,1})</f>
        <v>0.25</v>
      </c>
      <c r="U17" s="98"/>
      <c r="V17" s="100"/>
      <c r="W17" s="102"/>
      <c r="X17" s="98"/>
      <c r="Y17" s="88">
        <f>R17-(V17/10)-X17</f>
        <v>2999</v>
      </c>
      <c r="Z17" s="88">
        <f>Y17*T17*AE17</f>
        <v>749.75</v>
      </c>
      <c r="AA17" s="88">
        <f>U17-V17+Z17</f>
        <v>749.75</v>
      </c>
      <c r="AB17" s="88"/>
      <c r="AC17" s="88"/>
      <c r="AD17" s="44" t="s">
        <v>76</v>
      </c>
      <c r="AE17" s="45">
        <f>VLOOKUP(AD17,[1]分类参数表!$I$2:$J$10,2,FALSE)</f>
        <v>1</v>
      </c>
      <c r="AF17" s="46"/>
      <c r="AG17" s="43" t="s">
        <v>92</v>
      </c>
      <c r="AH17" s="43"/>
      <c r="AI17" s="43"/>
      <c r="AJ17" s="43"/>
      <c r="AK17" s="43" t="s">
        <v>66</v>
      </c>
      <c r="AL17" s="43" t="s">
        <v>52</v>
      </c>
      <c r="AM17" s="47"/>
      <c r="AN17" s="48">
        <f t="shared" si="1"/>
        <v>0.54747474747474745</v>
      </c>
      <c r="AO17" s="49"/>
    </row>
    <row r="18" spans="1:41" s="64" customFormat="1" ht="15" customHeight="1" x14ac:dyDescent="0.2">
      <c r="A18" s="51" t="s">
        <v>39</v>
      </c>
      <c r="B18" s="52">
        <f t="shared" ref="B18:C21" si="7">B17</f>
        <v>42698</v>
      </c>
      <c r="C18" s="53" t="str">
        <f t="shared" si="7"/>
        <v>NS2016112404</v>
      </c>
      <c r="D18" s="54">
        <f>D17+1</f>
        <v>2</v>
      </c>
      <c r="E18" s="54" t="s">
        <v>71</v>
      </c>
      <c r="F18" s="55" t="s">
        <v>72</v>
      </c>
      <c r="G18" s="54" t="s">
        <v>93</v>
      </c>
      <c r="H18" s="56"/>
      <c r="I18" s="56">
        <v>165</v>
      </c>
      <c r="J18" s="54" t="s">
        <v>46</v>
      </c>
      <c r="K18" s="54" t="s">
        <v>47</v>
      </c>
      <c r="L18" s="54" t="s">
        <v>71</v>
      </c>
      <c r="M18" s="54">
        <v>1</v>
      </c>
      <c r="N18" s="54">
        <v>3100</v>
      </c>
      <c r="O18" s="57">
        <f t="shared" si="0"/>
        <v>3100</v>
      </c>
      <c r="P18" s="95"/>
      <c r="Q18" s="58" t="s">
        <v>75</v>
      </c>
      <c r="R18" s="89"/>
      <c r="S18" s="97"/>
      <c r="T18" s="95"/>
      <c r="U18" s="99"/>
      <c r="V18" s="101"/>
      <c r="W18" s="103"/>
      <c r="X18" s="99"/>
      <c r="Y18" s="89"/>
      <c r="Z18" s="89"/>
      <c r="AA18" s="89"/>
      <c r="AB18" s="89"/>
      <c r="AC18" s="89"/>
      <c r="AD18" s="54" t="str">
        <f>AD17</f>
        <v>散客新晋</v>
      </c>
      <c r="AE18" s="59">
        <f>VLOOKUP(AD18,[1]分类参数表!$I$2:$J$10,2,FALSE)</f>
        <v>1</v>
      </c>
      <c r="AF18" s="60"/>
      <c r="AG18" s="58" t="s">
        <v>92</v>
      </c>
      <c r="AH18" s="58"/>
      <c r="AI18" s="58"/>
      <c r="AJ18" s="58"/>
      <c r="AK18" s="58" t="s">
        <v>66</v>
      </c>
      <c r="AL18" s="58" t="s">
        <v>52</v>
      </c>
      <c r="AM18" s="61"/>
      <c r="AN18" s="62">
        <f t="shared" si="1"/>
        <v>0.54741935483870963</v>
      </c>
      <c r="AO18" s="63"/>
    </row>
    <row r="19" spans="1:41" s="64" customFormat="1" ht="15" customHeight="1" x14ac:dyDescent="0.2">
      <c r="A19" s="51" t="s">
        <v>39</v>
      </c>
      <c r="B19" s="52">
        <f t="shared" si="7"/>
        <v>42698</v>
      </c>
      <c r="C19" s="53" t="str">
        <f t="shared" si="7"/>
        <v>NS2016112404</v>
      </c>
      <c r="D19" s="54">
        <f>D18+1</f>
        <v>3</v>
      </c>
      <c r="E19" s="54" t="s">
        <v>86</v>
      </c>
      <c r="F19" s="55" t="s">
        <v>87</v>
      </c>
      <c r="G19" s="54" t="s">
        <v>94</v>
      </c>
      <c r="H19" s="56" t="s">
        <v>95</v>
      </c>
      <c r="I19" s="56">
        <v>120</v>
      </c>
      <c r="J19" s="54" t="s">
        <v>46</v>
      </c>
      <c r="K19" s="54" t="s">
        <v>47</v>
      </c>
      <c r="L19" s="54" t="s">
        <v>71</v>
      </c>
      <c r="M19" s="54">
        <v>1</v>
      </c>
      <c r="N19" s="54">
        <v>400</v>
      </c>
      <c r="O19" s="57">
        <f t="shared" si="0"/>
        <v>400</v>
      </c>
      <c r="P19" s="95"/>
      <c r="Q19" s="58" t="s">
        <v>89</v>
      </c>
      <c r="R19" s="89"/>
      <c r="S19" s="97"/>
      <c r="T19" s="95"/>
      <c r="U19" s="99"/>
      <c r="V19" s="101"/>
      <c r="W19" s="103"/>
      <c r="X19" s="99"/>
      <c r="Y19" s="89"/>
      <c r="Z19" s="89"/>
      <c r="AA19" s="89"/>
      <c r="AB19" s="89"/>
      <c r="AC19" s="89"/>
      <c r="AD19" s="54" t="str">
        <f>AD18</f>
        <v>散客新晋</v>
      </c>
      <c r="AE19" s="59">
        <f>VLOOKUP(AD19,[1]分类参数表!$I$2:$J$10,2,FALSE)</f>
        <v>1</v>
      </c>
      <c r="AF19" s="60"/>
      <c r="AG19" s="58" t="s">
        <v>92</v>
      </c>
      <c r="AH19" s="58"/>
      <c r="AI19" s="58"/>
      <c r="AJ19" s="58"/>
      <c r="AK19" s="58" t="s">
        <v>66</v>
      </c>
      <c r="AL19" s="58" t="s">
        <v>52</v>
      </c>
      <c r="AM19" s="61"/>
      <c r="AN19" s="62">
        <f t="shared" si="1"/>
        <v>0.54500000000000004</v>
      </c>
      <c r="AO19" s="63" t="s">
        <v>96</v>
      </c>
    </row>
    <row r="20" spans="1:41" s="64" customFormat="1" ht="15" customHeight="1" x14ac:dyDescent="0.2">
      <c r="A20" s="51"/>
      <c r="B20" s="52">
        <f t="shared" si="7"/>
        <v>42698</v>
      </c>
      <c r="C20" s="53" t="str">
        <f t="shared" si="7"/>
        <v>NS2016112404</v>
      </c>
      <c r="D20" s="54">
        <f>D19+1</f>
        <v>4</v>
      </c>
      <c r="E20" s="54"/>
      <c r="F20" s="55"/>
      <c r="G20" s="54"/>
      <c r="H20" s="54"/>
      <c r="I20" s="54"/>
      <c r="J20" s="54"/>
      <c r="K20" s="54"/>
      <c r="L20" s="54"/>
      <c r="M20" s="54"/>
      <c r="N20" s="54"/>
      <c r="O20" s="57">
        <f t="shared" si="0"/>
        <v>0</v>
      </c>
      <c r="P20" s="95"/>
      <c r="Q20" s="58"/>
      <c r="R20" s="89"/>
      <c r="S20" s="97"/>
      <c r="T20" s="95"/>
      <c r="U20" s="99"/>
      <c r="V20" s="101"/>
      <c r="W20" s="103"/>
      <c r="X20" s="99"/>
      <c r="Y20" s="89"/>
      <c r="Z20" s="89"/>
      <c r="AA20" s="89"/>
      <c r="AB20" s="89"/>
      <c r="AC20" s="89"/>
      <c r="AD20" s="54" t="str">
        <f>AD19</f>
        <v>散客新晋</v>
      </c>
      <c r="AE20" s="59">
        <f>VLOOKUP(AD20,[1]分类参数表!$I$2:$J$10,2,FALSE)</f>
        <v>1</v>
      </c>
      <c r="AF20" s="60"/>
      <c r="AG20" s="58"/>
      <c r="AH20" s="58"/>
      <c r="AI20" s="58"/>
      <c r="AJ20" s="58"/>
      <c r="AK20" s="58"/>
      <c r="AL20" s="58"/>
      <c r="AM20" s="61"/>
      <c r="AN20" s="62" t="e">
        <f t="shared" si="1"/>
        <v>#DIV/0!</v>
      </c>
      <c r="AO20" s="63"/>
    </row>
    <row r="21" spans="1:41" s="64" customFormat="1" ht="15" customHeight="1" thickBot="1" x14ac:dyDescent="0.25">
      <c r="A21" s="51"/>
      <c r="B21" s="52">
        <f t="shared" si="7"/>
        <v>42698</v>
      </c>
      <c r="C21" s="53" t="str">
        <f t="shared" si="7"/>
        <v>NS2016112404</v>
      </c>
      <c r="D21" s="54">
        <f>D20+1</f>
        <v>5</v>
      </c>
      <c r="E21" s="54"/>
      <c r="F21" s="55"/>
      <c r="G21" s="54"/>
      <c r="H21" s="54"/>
      <c r="I21" s="54"/>
      <c r="J21" s="54"/>
      <c r="K21" s="54"/>
      <c r="L21" s="54"/>
      <c r="M21" s="54"/>
      <c r="N21" s="54"/>
      <c r="O21" s="57">
        <f t="shared" si="0"/>
        <v>0</v>
      </c>
      <c r="P21" s="95"/>
      <c r="Q21" s="58"/>
      <c r="R21" s="89"/>
      <c r="S21" s="97"/>
      <c r="T21" s="95"/>
      <c r="U21" s="99"/>
      <c r="V21" s="101"/>
      <c r="W21" s="103"/>
      <c r="X21" s="99"/>
      <c r="Y21" s="89"/>
      <c r="Z21" s="89"/>
      <c r="AA21" s="89"/>
      <c r="AB21" s="90"/>
      <c r="AC21" s="90"/>
      <c r="AD21" s="54" t="str">
        <f>AD20</f>
        <v>散客新晋</v>
      </c>
      <c r="AE21" s="59">
        <f>VLOOKUP(AD21,[1]分类参数表!$I$2:$J$10,2,FALSE)</f>
        <v>1</v>
      </c>
      <c r="AF21" s="60"/>
      <c r="AG21" s="58"/>
      <c r="AH21" s="58"/>
      <c r="AI21" s="58"/>
      <c r="AJ21" s="58"/>
      <c r="AK21" s="58"/>
      <c r="AL21" s="58"/>
      <c r="AM21" s="61"/>
      <c r="AN21" s="62" t="e">
        <f t="shared" si="1"/>
        <v>#DIV/0!</v>
      </c>
      <c r="AO21" s="63"/>
    </row>
    <row r="22" spans="1:41" ht="15" thickTop="1" x14ac:dyDescent="0.2"/>
    <row r="30" spans="1:41" x14ac:dyDescent="0.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</row>
  </sheetData>
  <mergeCells count="52">
    <mergeCell ref="V2:V6"/>
    <mergeCell ref="P2:P6"/>
    <mergeCell ref="R2:R6"/>
    <mergeCell ref="S2:S6"/>
    <mergeCell ref="T2:T6"/>
    <mergeCell ref="U2:U6"/>
    <mergeCell ref="AC2:AC6"/>
    <mergeCell ref="P7:P11"/>
    <mergeCell ref="R7:R11"/>
    <mergeCell ref="S7:S11"/>
    <mergeCell ref="T7:T11"/>
    <mergeCell ref="U7:U11"/>
    <mergeCell ref="V7:V11"/>
    <mergeCell ref="W7:W11"/>
    <mergeCell ref="X7:X11"/>
    <mergeCell ref="Y7:Y11"/>
    <mergeCell ref="W2:W6"/>
    <mergeCell ref="X2:X6"/>
    <mergeCell ref="Y2:Y6"/>
    <mergeCell ref="Z2:Z6"/>
    <mergeCell ref="AA2:AA6"/>
    <mergeCell ref="AB2:AB6"/>
    <mergeCell ref="Z7:Z11"/>
    <mergeCell ref="AA7:AA11"/>
    <mergeCell ref="AB7:AB11"/>
    <mergeCell ref="AC7:AC11"/>
    <mergeCell ref="P12:P16"/>
    <mergeCell ref="R12:R16"/>
    <mergeCell ref="S12:S16"/>
    <mergeCell ref="T12:T16"/>
    <mergeCell ref="U12:U16"/>
    <mergeCell ref="V12:V16"/>
    <mergeCell ref="V17:V21"/>
    <mergeCell ref="W17:W21"/>
    <mergeCell ref="X17:X21"/>
    <mergeCell ref="Y17:Y21"/>
    <mergeCell ref="W12:W16"/>
    <mergeCell ref="X12:X16"/>
    <mergeCell ref="Y12:Y16"/>
    <mergeCell ref="P17:P21"/>
    <mergeCell ref="R17:R21"/>
    <mergeCell ref="S17:S21"/>
    <mergeCell ref="T17:T21"/>
    <mergeCell ref="U17:U21"/>
    <mergeCell ref="Z17:Z21"/>
    <mergeCell ref="AA17:AA21"/>
    <mergeCell ref="AB17:AB21"/>
    <mergeCell ref="AC17:AC21"/>
    <mergeCell ref="AC12:AC16"/>
    <mergeCell ref="Z12:Z16"/>
    <mergeCell ref="AA12:AA16"/>
    <mergeCell ref="AB12:AB16"/>
  </mergeCells>
  <phoneticPr fontId="1" type="noConversion"/>
  <conditionalFormatting sqref="AB17:AO21 B1:AA1 AB1:AB2 AC1:AO16 AB12:AB16 AB7 A2:AA21">
    <cfRule type="expression" dxfId="0" priority="1" stopIfTrue="1">
      <formula>$Q1="0"</formula>
    </cfRule>
  </conditionalFormatting>
  <dataValidations count="8">
    <dataValidation type="list" allowBlank="1" showInputMessage="1" showErrorMessage="1" sqref="J2:J21">
      <formula1>年份</formula1>
    </dataValidation>
    <dataValidation type="list" allowBlank="1" showInputMessage="1" showErrorMessage="1" sqref="E2:E21">
      <formula1>品类</formula1>
    </dataValidation>
    <dataValidation type="list" allowBlank="1" showInputMessage="1" showErrorMessage="1" sqref="K2:K21">
      <formula1>人群</formula1>
    </dataValidation>
    <dataValidation type="list" allowBlank="1" showInputMessage="1" showErrorMessage="1" sqref="F2:F21">
      <formula1>INDIRECT(E2)</formula1>
    </dataValidation>
    <dataValidation type="list" allowBlank="1" showInputMessage="1" showErrorMessage="1" sqref="AL2 AL7 AL12 AL17">
      <formula1>付款方式</formula1>
    </dataValidation>
    <dataValidation type="list" allowBlank="1" showInputMessage="1" showErrorMessage="1" sqref="AF2 AF7 AF12 AF17 AD2:AD21">
      <formula1>消费者属性</formula1>
    </dataValidation>
    <dataValidation type="list" allowBlank="1" showInputMessage="1" showErrorMessage="1" sqref="A2:A21">
      <formula1>订单类别</formula1>
    </dataValidation>
    <dataValidation type="list" allowBlank="1" showInputMessage="1" showErrorMessage="1" sqref="L2:L21">
      <formula1>分类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苍杰</dc:creator>
  <cp:lastModifiedBy>苍杰</cp:lastModifiedBy>
  <dcterms:created xsi:type="dcterms:W3CDTF">2017-02-02T03:40:01Z</dcterms:created>
  <dcterms:modified xsi:type="dcterms:W3CDTF">2017-02-02T14:40:10Z</dcterms:modified>
</cp:coreProperties>
</file>