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filterPrivacy="1" codeName="BuÇalışmaKitabı" defaultThemeVersion="124226"/>
  <xr:revisionPtr revIDLastSave="0" documentId="13_ncr:1_{45AE40CE-6F1A-47AD-9A7D-B766B33558B3}" xr6:coauthVersionLast="47" xr6:coauthVersionMax="47" xr10:uidLastSave="{00000000-0000-0000-0000-000000000000}"/>
  <bookViews>
    <workbookView xWindow="-108" yWindow="-108" windowWidth="23256" windowHeight="12456" firstSheet="1" activeTab="4" xr2:uid="{00000000-000D-0000-FFFF-FFFF00000000}"/>
  </bookViews>
  <sheets>
    <sheet name="YK KONUT" sheetId="1" state="hidden" r:id="rId1"/>
    <sheet name="TEST" sheetId="4" r:id="rId2"/>
    <sheet name="FATURA VE ÜCRETLENDİRME" sheetId="63" r:id="rId3"/>
    <sheet name="ADRESKODU_VERI" sheetId="60" r:id="rId4"/>
    <sheet name="PQ_EKB_Oku" sheetId="62" r:id="rId5"/>
    <sheet name="HATALAR" sheetId="23" r:id="rId6"/>
    <sheet name="VERİDOĞRULAMA" sheetId="17" r:id="rId7"/>
    <sheet name="Sayfa1" sheetId="6" r:id="rId8"/>
    <sheet name="TAPUTAKYIDAT" sheetId="61" r:id="rId9"/>
    <sheet name="TAPU_BILGILERI" sheetId="53" r:id="rId10"/>
    <sheet name="tblPDF" sheetId="52" r:id="rId11"/>
    <sheet name="tblBEYANLAR" sheetId="55" r:id="rId12"/>
    <sheet name="tblIPOTEKLER" sheetId="56" r:id="rId13"/>
    <sheet name="MALIKLER" sheetId="54" r:id="rId14"/>
    <sheet name="tblTakyidatTarihSaat" sheetId="57" r:id="rId15"/>
    <sheet name="PQ" sheetId="50" r:id="rId16"/>
    <sheet name="AYARLAR" sheetId="30" r:id="rId17"/>
    <sheet name="Sayfa2" sheetId="27" r:id="rId18"/>
    <sheet name="ÜFE" sheetId="26" r:id="rId19"/>
    <sheet name="İNCELENEN BELGELELER" sheetId="19" r:id="rId20"/>
    <sheet name="RİSK KODLARI" sheetId="28" r:id="rId21"/>
    <sheet name="KATLARDA YER ALAN DAİRELER" sheetId="18" r:id="rId22"/>
    <sheet name="PK" sheetId="29" r:id="rId23"/>
    <sheet name="İMAR DURUMU" sheetId="20" r:id="rId24"/>
  </sheets>
  <functionGroups builtInGroupCount="19"/>
  <definedNames>
    <definedName name="_xlnm._FilterDatabase" localSheetId="8" hidden="1">TAPUTAKYIDAT!$M$1:$Q$35</definedName>
    <definedName name="_xleta.IF" hidden="1" xlm="1">#NAME?</definedName>
    <definedName name="_xlpm.adet" hidden="1" xlm="1">#NAME?</definedName>
    <definedName name="_xlpm.durum" hidden="1" xlm="1">#NAME?</definedName>
    <definedName name="_xlpm.metin" hidden="1" xlm="1">#NAME?</definedName>
    <definedName name="_xlpm.secili" hidden="1" xlm="1">#NAME?</definedName>
    <definedName name="_xlpm.yonler" hidden="1" xlm="1">#NAME?</definedName>
    <definedName name="ACİLMEVCUT">Sayfa1!$P$116</definedName>
    <definedName name="ACİLYASAL">Sayfa1!$O$116</definedName>
    <definedName name="ADA">TEST!$G$10</definedName>
    <definedName name="ADRES2025">Sayfa1!$K$1</definedName>
    <definedName name="ADRESAPTSİTE">Sayfa1!$J$3</definedName>
    <definedName name="ALTYAPI">TEST!$S$13</definedName>
    <definedName name="ANA_GY_TOPLAM_KAT_ADEDİ">Sayfa1!$B$63</definedName>
    <definedName name="ANAGAYRİMENKUL2025">Sayfa1!$W$46</definedName>
    <definedName name="ANAGAYRİMENKULDIŞARDAN">Sayfa1!$O$48</definedName>
    <definedName name="ANAGAYRNOTU">TEST!$AW$7</definedName>
    <definedName name="ANAGAYRUYG">TEST!$M$44</definedName>
    <definedName name="ANAGY">Sayfa1!$G$55</definedName>
    <definedName name="ANAGYKAT">Sayfa1!$G$55</definedName>
    <definedName name="anagyuygaçıklama">Sayfa1!$K$33</definedName>
    <definedName name="anagyuygunluk">TEST!$AA$11</definedName>
    <definedName name="ANATAŞINMAZ1">Sayfa1!$B$53</definedName>
    <definedName name="anataşınmaznitelik">TEST!$K$8</definedName>
    <definedName name="APARTMAN.BLOK.ADI">TEST!$K$11</definedName>
    <definedName name="APARTMAN.BLOK.ADI.">Sayfa1!$E$1</definedName>
    <definedName name="APARTMAN_İÇ_DUVARLAR">TEST!$I$51</definedName>
    <definedName name="APTBLOK">Sayfa1!$I$1</definedName>
    <definedName name="ARA">Sayfa1!$C$59</definedName>
    <definedName name="arkabahçe">TEST!$L$39</definedName>
    <definedName name="ARSABİRİMDEĞERİ">TEST!$P$85</definedName>
    <definedName name="ARSADEĞERİ">Sayfa1!$J$107</definedName>
    <definedName name="arsapay">TEST!$K$6</definedName>
    <definedName name="ARSAPAYI">Sayfa1!$J$106</definedName>
    <definedName name="ASANSÖR">Sayfa1!$G$58</definedName>
    <definedName name="ASMA">Sayfa1!$C$58</definedName>
    <definedName name="aynasimetri4">Sayfa1!$R$118</definedName>
    <definedName name="aynasimetri6">Sayfa1!$K$219</definedName>
    <definedName name="aynasimetriaçıklama">Sayfa1!$K$214</definedName>
    <definedName name="aynasimetriaçıklama2">Sayfa1!$K$213</definedName>
    <definedName name="aynasimetriaçıklama3">Sayfa1!$K$215</definedName>
    <definedName name="aynasimetribbözellik">Sayfa1!$B$214</definedName>
    <definedName name="aynasimetribbözellik2">Sayfa1!$B$215</definedName>
    <definedName name="aynasimetriyatay">Sayfa1!$B$217</definedName>
    <definedName name="aynasimetriyatayetkisiz">Sayfa1!$B$216</definedName>
    <definedName name="aynayön">TEST!$BB$10</definedName>
    <definedName name="B.B.KULLANIMDURUMU">TEST!$G$17</definedName>
    <definedName name="BAĞIMSIZ.BÖLÜM.NİTELİK">VERİDOĞRULAMA!$BC$2:$BC$12</definedName>
    <definedName name="BAĞIMSIZBÖLÜM2025">Sayfa1!$G$69</definedName>
    <definedName name="BB.NO">TEST!$G$14</definedName>
    <definedName name="BBÖZELLİK">Sayfa1!$B$75</definedName>
    <definedName name="bbözellikyatay">Sayfa1!$B$77</definedName>
    <definedName name="BBTÜRÜ">Sayfa1!$C$5</definedName>
    <definedName name="BBVEBLOK">VERİDOĞRULAMA!$CY$2</definedName>
    <definedName name="BBYASALFİİLİTÜR">Sayfa1!$G$5</definedName>
    <definedName name="BELEDİYEHARC">TEST!$BF$8</definedName>
    <definedName name="BELGEKAPSAM">TEST!$Q$34:$T$41</definedName>
    <definedName name="BELGELER2025">Sayfa1!$C$12</definedName>
    <definedName name="BELGENO">TEST!$P$34:$P$41</definedName>
    <definedName name="BELGETARIH">TEST!$O$34:$O$40</definedName>
    <definedName name="BELGETURU">TEST!$M$34:$N$41</definedName>
    <definedName name="BELHARÇDHL">'FATURA VE ÜCRETLENDİRME'!$D$5</definedName>
    <definedName name="BELHARÇHRÇ">'FATURA VE ÜCRETLENDİRME'!$B$5</definedName>
    <definedName name="belprojetescil">Sayfa1!$J$28</definedName>
    <definedName name="BELPROJEUYG">TEST!$AW$17</definedName>
    <definedName name="beltadno">TEST!$AV$17</definedName>
    <definedName name="BELTADPROJE">TEST!$AU$17</definedName>
    <definedName name="BGGİRİŞ">TEST!$G$53</definedName>
    <definedName name="BGYÖN">TEST!$I$53</definedName>
    <definedName name="BİNA_YAPI_TARZI">TEST!$F$47</definedName>
    <definedName name="BİNABLOK">Sayfa1!$O$1</definedName>
    <definedName name="BİNAGİRİŞKAPISI">VERİDOĞRULAMA!$AE$2</definedName>
    <definedName name="BİNAOTURUMU">TEST!$S$44</definedName>
    <definedName name="BİNASİTE">Sayfa1!$R$1</definedName>
    <definedName name="birimmaliyet">Sayfa1!$K$113</definedName>
    <definedName name="BİRİNCİİKİNCİEL">TEST!$AC$12</definedName>
    <definedName name="BİRLİKDHL">'FATURA VE ÜCRETLENDİRME'!$D$7</definedName>
    <definedName name="BİRLİKHRÇ">'FATURA VE ÜCRETLENDİRME'!$B$7</definedName>
    <definedName name="BLOK">Sayfa1!$G$1</definedName>
    <definedName name="BLOKADEDİ">TEST!$F$49</definedName>
    <definedName name="blokadet1">VERİDOĞRULAMA!$F$1</definedName>
    <definedName name="BLOKADI">TEST!$G$12</definedName>
    <definedName name="BLOKBİNA">Sayfa1!$U$1</definedName>
    <definedName name="BLOKİSMİ">Sayfa1!$P$1</definedName>
    <definedName name="BLOKKATGIRISBBNO">TAPU_BILGILERI!$B$14</definedName>
    <definedName name="blokkonum1">Sayfa1!$E$53</definedName>
    <definedName name="BLOKKONUMU">TEST!$G$49</definedName>
    <definedName name="BMPAYIDHL">'FATURA VE ÜCRETLENDİRME'!$D$6</definedName>
    <definedName name="BMPAYIHRÇ">'FATURA VE ÜCRETLENDİRME'!$B$6</definedName>
    <definedName name="BODRUM">Sayfa1!$C$56</definedName>
    <definedName name="BOYLAM">TEST!$L$14</definedName>
    <definedName name="BÖLGE.GELİR.SEVİYESİ">TEST!$Q$13</definedName>
    <definedName name="BÖLGE.YAP.KUL.AMACI">TEST!$Q$17</definedName>
    <definedName name="BÖLGE_YAP.KAT.ADEDİ">TEST!$O$13</definedName>
    <definedName name="BÖLGEYAPIYAŞI">VERİDOĞRULAMA!$BG$1</definedName>
    <definedName name="CARPARK">TEST!$I$49</definedName>
    <definedName name="CEPHE_CHECK_LINKLERI">TEST!$BL$49:$BO$49</definedName>
    <definedName name="CEPHECÜMLE">Sayfa1!$B$73</definedName>
    <definedName name="CEPHELER">TEST!$BP$51</definedName>
    <definedName name="CEPHESAYISI">TEST!$BP$50</definedName>
    <definedName name="CEZAİ2025">Sayfa1!$R$12</definedName>
    <definedName name="CEZAİKARAR">Sayfa1!$Q$12</definedName>
    <definedName name="CEZAİKARARAÇIKLAMA">TEST!#REF!</definedName>
    <definedName name="CEZAİNOTU">TEST!$AW$8</definedName>
    <definedName name="CEZAİVARYOK">TEST!$T$44</definedName>
    <definedName name="CILT">TAPU_BILGILERI!$B$8</definedName>
    <definedName name="ÇATI">Sayfa1!$C$61</definedName>
    <definedName name="DAHAÖNCESATIŞ">TEST!$K$16</definedName>
    <definedName name="DEĞERLEME2025">Sayfa1!$B$106</definedName>
    <definedName name="değerlememetodu">TEST!$R$85</definedName>
    <definedName name="DEĞÜCRKDVDHL">'FATURA VE ÜCRETLENDİRME'!$D$2</definedName>
    <definedName name="DEĞÜCRKDVHRÇ">'FATURA VE ÜCRETLENDİRME'!$B$2</definedName>
    <definedName name="DEPREMDERECE">TEST!$T$8</definedName>
    <definedName name="DIŞ.KAPI.NO">TEST!$K$12</definedName>
    <definedName name="DIŞARIDANBBÖZELLİK">Sayfa1!$B$76</definedName>
    <definedName name="dışarıdanyataybbözellik">Sayfa1!$B$78</definedName>
    <definedName name="DIŞCEPHEBOYA">TEST!$F$51</definedName>
    <definedName name="DIŞKAPI">TEST!$G$82</definedName>
    <definedName name="DışVeri_1" localSheetId="3" hidden="1">ADRESKODU_VERI!$A$1:$J$2</definedName>
    <definedName name="DışVeri_1" localSheetId="15" hidden="1">PQ!$A$1:$F$39</definedName>
    <definedName name="DışVeri_1" localSheetId="4" hidden="1">PQ_EKB_Oku!$A$1:$E$2</definedName>
    <definedName name="DışVeri_1" localSheetId="18" hidden="1">ÜFE!$A$1:$E$278</definedName>
    <definedName name="DışVeri_2" localSheetId="10" hidden="1">tblPDF!$A$1:$I$2</definedName>
    <definedName name="DışVeri_3" localSheetId="13" hidden="1">MALIKLER!$A$1:$H$2</definedName>
    <definedName name="DışVeri_3" localSheetId="9" hidden="1">TAPU_BILGILERI!$A$1:$F$17</definedName>
    <definedName name="DışVeri_3" localSheetId="11" hidden="1">tblBEYANLAR!$A$1:$D$2</definedName>
    <definedName name="DışVeri_4" localSheetId="12" hidden="1">tblIPOTEKLER!$A$1:$G$2</definedName>
    <definedName name="DışVeri_4" localSheetId="14" hidden="1">tblTakyidatTarihSaat!$A$1:$C$2</definedName>
    <definedName name="diğeriçhacimler">VERİDOĞRULAMA!$BL$9:$BL$28</definedName>
    <definedName name="DİĞERNOTLAR">TEST!$K$41</definedName>
    <definedName name="dikeybbaçıklama">Sayfa1!$D$69</definedName>
    <definedName name="DUVARKAPLAMA">VERİDOĞRULAMA!$BZ$2:$BZ$12</definedName>
    <definedName name="EDINME">TAPUTAKYIDAT!$D$3</definedName>
    <definedName name="EKB_BELGENO">PQ_EKB_Oku[EKBNo]</definedName>
    <definedName name="EKB_BİNAKODU">PQ_EKB_Oku[BinaKodu]</definedName>
    <definedName name="EKB_GECERLILIK">PQ_EKB_Oku[GecerlilikTarihi]</definedName>
    <definedName name="EKB_PDFYOL">AdresEKBYolu[AdresEKBYolu]</definedName>
    <definedName name="EKB_SINIF">PQ_EKB_Oku[EnerjiSinifi]</definedName>
    <definedName name="EKB_VERILIS">PQ_EKB_Oku[VerilisTarihi]</definedName>
    <definedName name="EKBBELGENO">TEST!$K$18</definedName>
    <definedName name="EKBFAKTÖR">Sayfa1!$K$39</definedName>
    <definedName name="EKBOLUMSUZ">Sayfa1!$K$40</definedName>
    <definedName name="EKBSINIF">TEST!$G$18</definedName>
    <definedName name="EKBSON">TEST!$K$19</definedName>
    <definedName name="EKBVERILIS">TEST!$G$19</definedName>
    <definedName name="ELEVATOR">TEST!$I$47</definedName>
    <definedName name="EMSAL1">Sayfa1!$J$126</definedName>
    <definedName name="EMSAL2">Sayfa1!$J$127</definedName>
    <definedName name="EMSAL3">Sayfa1!$J$128</definedName>
    <definedName name="EMSAL4">Sayfa1!$J$129</definedName>
    <definedName name="EMSAL5">Sayfa1!$J$130</definedName>
    <definedName name="EMSAL6">Sayfa1!$J$131</definedName>
    <definedName name="EMSAL7">Sayfa1!$J$132</definedName>
    <definedName name="ENLEM">TEST!$K$14</definedName>
    <definedName name="ESKIADAPARSEL">Sayfa1!$S$5</definedName>
    <definedName name="ESKİADA">TEST!$G$11</definedName>
    <definedName name="ESKİPARSEL">TEST!$H$11</definedName>
    <definedName name="FATURATOPLAMBEDELİ">'FATURA VE ÜCRETLENDİRME'!$D$8</definedName>
    <definedName name="FESIHSEVIYESI">TEST!$AW$14</definedName>
    <definedName name="FESIHTARIHI">TEST!$AW$13</definedName>
    <definedName name="FİİLİBBTÜRÜ">Sayfa1!$E$5</definedName>
    <definedName name="geridönüşhızı">Sayfa1!$M$116</definedName>
    <definedName name="GİRİŞEGÖREKONUM">TEST!$G$72</definedName>
    <definedName name="GİRİŞKAT">VERİDOĞRULAMA!$BO$5:$BO$18</definedName>
    <definedName name="GİRİŞKATT">VERİDOĞRULAMA!$A$2:$A$16</definedName>
    <definedName name="girişkonum">Sayfa1!$L$85</definedName>
    <definedName name="HALKBANKDEĞERLEME">Sayfa1!$B$115</definedName>
    <definedName name="HALKBANKPROJEUYGUNLUK">Sayfa1!$O$21</definedName>
    <definedName name="HESAPLANANEMSAL">Sayfa1!$K$9</definedName>
    <definedName name="HİSSE2025">TEST!$K$17</definedName>
    <definedName name="HİSSELİMİ">Sayfa1!$F$3</definedName>
    <definedName name="HMAX">TEST!$F$39</definedName>
    <definedName name="ILCE" localSheetId="7">TEST!$G$7</definedName>
    <definedName name="ILCE" localSheetId="1">TEST!$G$7</definedName>
    <definedName name="ISBANKMUSTERI">TEST!$BF$4</definedName>
    <definedName name="ISBANKTAPUADEDI">TEST!$BF$6</definedName>
    <definedName name="ISINMASİSTEMİ">TEST!$S$72</definedName>
    <definedName name="ısıtma">VERİDOĞRULAMA!$M$2:$M$7</definedName>
    <definedName name="içhacimdışarıdan">Sayfa1!$H$253</definedName>
    <definedName name="İÇHACİMLER">VERİDOĞRULAMA!$BL$2:$BL$28</definedName>
    <definedName name="İÇİGÖRÜLDÜMÜ">Sayfa1!$D$3</definedName>
    <definedName name="İÇKAPI">TEST!$H$82</definedName>
    <definedName name="İÇÖZELLİKLER2025">Sayfa1!$B$67</definedName>
    <definedName name="İDARİMAHALLE">TEST!$K$9</definedName>
    <definedName name="İLAVE2AÇIKLAMA">Sayfa1!$P$103</definedName>
    <definedName name="ilçeler">VERİDOĞRULAMA!$G$2:$G$18</definedName>
    <definedName name="İLKRUHSAT">Sayfa1!$L$57</definedName>
    <definedName name="İMAR_PLAN_NO">TEST!#REF!</definedName>
    <definedName name="İMARDURUMU2025">Sayfa1!$F$9</definedName>
    <definedName name="İMARDURUMUKISA">Sayfa1!$F$10</definedName>
    <definedName name="İMARKENTSELDÖNÜŞÜM">Sayfa1!$M$10</definedName>
    <definedName name="İMARLEJANT">TEST!$G$37</definedName>
    <definedName name="İMARMAKRO">Sayfa1!$C$9</definedName>
    <definedName name="İMARNİZAM">TEST!$F$37</definedName>
    <definedName name="İMARPLANADI">TEST!$H$35</definedName>
    <definedName name="İMARPLANNO">Sayfa1!$E$78</definedName>
    <definedName name="İMARTARİHİ">TEST!$G$35</definedName>
    <definedName name="İMARYAPILAŞMAENGELİ">Sayfa1!$L$10</definedName>
    <definedName name="inşaaseviye">Sayfa1!$M$99</definedName>
    <definedName name="İNŞASEVİYE">TEST!$N$72</definedName>
    <definedName name="İSKANTARİHİ">Sayfa1!$N$12</definedName>
    <definedName name="İSKANVARMI">Sayfa1!$L$12</definedName>
    <definedName name="İŞBANKKULLANIMDURUMU">Sayfa1!$I$5</definedName>
    <definedName name="İŞBANKMİMARİPROJE">Sayfa1!$M$14</definedName>
    <definedName name="KAKS">TEST!$I$39</definedName>
    <definedName name="kapılar">VERİDOĞRULAMA!$CA$2:$CA$11</definedName>
    <definedName name="kapıpencere">Sayfa1!$E$259</definedName>
    <definedName name="kapitilizasyonoranı">TEST!$L$85</definedName>
    <definedName name="KAT">Sayfa1!$P$75</definedName>
    <definedName name="KAT.">Sayfa1!$P$76</definedName>
    <definedName name="kat.1">Sayfa1!$P$77</definedName>
    <definedName name="kat.2">Sayfa1!$P$78</definedName>
    <definedName name="kat.3">Sayfa1!$P$79</definedName>
    <definedName name="kat1adedi">VERİDOĞRULAMA!$BV$2</definedName>
    <definedName name="KATADEDİ">TEST!$G$39</definedName>
    <definedName name="KATBAZLIİCHACİMLER">Sayfa1!$N$93</definedName>
    <definedName name="KATDAĞILIM2025">Sayfa1!$N$88</definedName>
    <definedName name="KATDAĞILIMALAN">Sayfa1!$N$96</definedName>
    <definedName name="katdağılımalan2">Sayfa1!$N$95</definedName>
    <definedName name="KATDAĞILIMALAN3">Sayfa1!$N$97</definedName>
    <definedName name="katfaktör">Sayfa1!$R$76</definedName>
    <definedName name="katfaktör2">Sayfa1!$R$77</definedName>
    <definedName name="KATİLAVE1AÇIKLAMA">Sayfa1!$P$105</definedName>
    <definedName name="KATLAR">VERİDOĞRULAMA!$BO$3:$BO$39</definedName>
    <definedName name="katlar1">VERİDOĞRULAMA!$BP$3:$BP$39</definedName>
    <definedName name="KATLARR">VERİDOĞRULAMA!$BO$3:$BO$39</definedName>
    <definedName name="KATMÜLKİYETİİRTİFAKI">Sayfa1!$G$342</definedName>
    <definedName name="KENTSELDÖNÜŞÜM">TEST!$I$41</definedName>
    <definedName name="KISAEMSAL1">Sayfa1!$C$126</definedName>
    <definedName name="KISAEMSAL2">Sayfa1!$C$127</definedName>
    <definedName name="KISAEMSAL3">Sayfa1!$C$128</definedName>
    <definedName name="KISAEMSAL4">Sayfa1!$C$129</definedName>
    <definedName name="KISAEMSAL5">Sayfa1!$C$130</definedName>
    <definedName name="KISAEMSAL6">Sayfa1!$C$131</definedName>
    <definedName name="KISAEMSAL7">Sayfa1!$C$132</definedName>
    <definedName name="KISAİMARMAKRO">Sayfa1!$C$10</definedName>
    <definedName name="KİRAM2MEVCUT">Sayfa1!$L$116</definedName>
    <definedName name="KİRAM2YASAL">Sayfa1!$K$116</definedName>
    <definedName name="KONUMTEYİDİ">TEST!$L$33</definedName>
    <definedName name="KTDAGILIMMEVCUT2025">Sayfa1!$N$92</definedName>
    <definedName name="KTDAGILIMYASAL2025">Sayfa1!$N$91</definedName>
    <definedName name="KULLANIMDURUMUAÇIKLAMA">VERİDOĞRULAMA!$AW$1</definedName>
    <definedName name="MAHALLE">TEST!$G$8</definedName>
    <definedName name="malzemeveişçilik">VERİDOĞRULAMA!$CG$7</definedName>
    <definedName name="MANZARA">TEST!$P$72</definedName>
    <definedName name="manzara1">VERİDOĞRULAMA!$CP$1</definedName>
    <definedName name="manzarafaktör">VERİDOĞRULAMA!$CO$7</definedName>
    <definedName name="MERDİVEN_BASAMAK_VE_SAH_KAPLAMA">TEST!$G$51</definedName>
    <definedName name="MEVCUT_YAPI_NİZAMI">TEST!$G$47</definedName>
    <definedName name="MEVCUTDURUMDEĞERİ">TEST!$G$86</definedName>
    <definedName name="MEVCUTKATDAĞILIMI2025">Sayfa1!$L$102</definedName>
    <definedName name="MEVCUTKIRA">TEST!$J$86</definedName>
    <definedName name="MEVCUTKULLANIMALANI">Sayfa1!$Q$101</definedName>
    <definedName name="MEVCUTM2BİRİM">Sayfa1!$J$116</definedName>
    <definedName name="MEVCUTNATAMAMDEĞERİ">Sayfa1!$N$118</definedName>
    <definedName name="MEVCUTŞEREFİYEORANI">Sayfa1!$M$110</definedName>
    <definedName name="Mevkii">TEST!$AZ$14</definedName>
    <definedName name="MİMARİUYGUNLUK">TEST!$K$44</definedName>
    <definedName name="MİNİMUMCEPHEŞARTI">TEST!$F$41</definedName>
    <definedName name="MUTFAKDOLAP">TEST!$I$82</definedName>
    <definedName name="MUTFAKDOLAPLARI">VERİDOĞRULAMA!$CC$2:$CC$8</definedName>
    <definedName name="MUTFAKTEZGAHI">VERİDOĞRULAMA!$CD$2:$CD$7</definedName>
    <definedName name="müstakilbinabb">Sayfa1!$C$71</definedName>
    <definedName name="NATAMAMDEĞER">Sayfa1!$K$119</definedName>
    <definedName name="NATAMAMDURUMDEĞERİ">Sayfa1!$K$118</definedName>
    <definedName name="NETKULLANIMALANIMEVCUT">Sayfa1!$R$101</definedName>
    <definedName name="NETKULLANIMALANIYASAL">Sayfa1!$R$100</definedName>
    <definedName name="NETPARSELALAN">'İMAR DURUMU'!$G$10</definedName>
    <definedName name="NİTELİK">Sayfa1!$Q$86</definedName>
    <definedName name="NORMALKATLAR">Sayfa1!$C$60</definedName>
    <definedName name="NORMALKATSAYISI">Sayfa1!$B$60</definedName>
    <definedName name="olumlufaktör">Sayfa1!$A$157</definedName>
    <definedName name="olumsuzfaktör">Sayfa1!$I$157</definedName>
    <definedName name="ONSEKİZPROBLEM">Sayfa1!$M$9</definedName>
    <definedName name="ONSEKİZUYGULAMASI">TEST!$H$41</definedName>
    <definedName name="OTOPARK">Sayfa1!$K$64</definedName>
    <definedName name="ÖNBAHÇE">TEST!$J$39</definedName>
    <definedName name="PAFTA">TEST!$G$9</definedName>
    <definedName name="PARSEL">TEST!$H$10</definedName>
    <definedName name="payda">TEST!$L$6</definedName>
    <definedName name="paypayda">Sayfa1!$H$3</definedName>
    <definedName name="PDF_YOLU">AYARLAR!$B$2</definedName>
    <definedName name="PDF_YOLU_ADRES">AYARLAR!$A$7</definedName>
    <definedName name="PENCERE">TEST!$F$82</definedName>
    <definedName name="PENCERELER">VERİDOĞRULAMA!$CB$3:$CB$7</definedName>
    <definedName name="PLAN_ÖLÇEĞİ">VERİDOĞRULAMA!$R$2:$R$5</definedName>
    <definedName name="PLANCILIK">TEST!$S$17</definedName>
    <definedName name="PLANİPTALAÇIKLAMA">TEST!$AW$10</definedName>
    <definedName name="PLANİPTALİ">TEST!$G$33</definedName>
    <definedName name="PLANÖLÇEĞİ">TEST!$F$35</definedName>
    <definedName name="POSTAKODU">TEST!$AZ$15</definedName>
    <definedName name="PROJE_NO">TEST!$J$44</definedName>
    <definedName name="PROJE_TARİHİ">TEST!$I$44</definedName>
    <definedName name="projeaçıklama1">Sayfa1!$D$23</definedName>
    <definedName name="PROJEİNCELENENKURUM">TEST!$F$44</definedName>
    <definedName name="PROJEKURUM2025">VERİDOĞRULAMA!$S$6</definedName>
    <definedName name="PROJEUYUMLULUK">Sayfa1!$AO$71</definedName>
    <definedName name="PROJEYEAYKIRILIK">TEST!$U$36</definedName>
    <definedName name="PROJEYEUYGUNLUK">TEST!$F$135</definedName>
    <definedName name="PROJEYEUYGUNLUK2025">Sayfa1!$M$16</definedName>
    <definedName name="PROJEYEUYGUNMU2025">Sayfa1!$M$15</definedName>
    <definedName name="projeyeuyumluluk">TEST!$F$135</definedName>
    <definedName name="RANDEVUSAATİ">TEST!$T$4</definedName>
    <definedName name="RANDEVUSEBEP">TEST!$AW$9</definedName>
    <definedName name="RANDEVUTARİHİ">TEST!$Q$4</definedName>
    <definedName name="RANDEVUTÜRÜ">TEST!$N$4</definedName>
    <definedName name="RESMİBELGELER2">Sayfa1!$P$112</definedName>
    <definedName name="RİSKKODLARI">Sayfa1!$B$112</definedName>
    <definedName name="RUHSATAENGEL">TEST!$J$41</definedName>
    <definedName name="RUHSATLAR">VERİDOĞRULAMA!$DA$2:$DA$12</definedName>
    <definedName name="RUHSATVEİSKANLAR2025">Sayfa1!$G$12</definedName>
    <definedName name="sağlanmaktadır">Sayfa1!$L$100</definedName>
    <definedName name="SAHIPLER">TAPUTAKYIDAT!$A$3</definedName>
    <definedName name="salonoda">VERİDOĞRULAMA!$BL$2:$BL$7</definedName>
    <definedName name="satışaçıklama">TEST!$AZ$6</definedName>
    <definedName name="SATIŞDURUMU">TEST!$AV$19</definedName>
    <definedName name="SATIŞGÖRMÜŞMÜ">Sayfa1!$U$5</definedName>
    <definedName name="satışkabiliyeti">VERİDOĞRULAMA!$C$2:$C$5</definedName>
    <definedName name="SAYFANO">TEST!$AV$22</definedName>
    <definedName name="SEHIR" localSheetId="1">TEST!$G$6</definedName>
    <definedName name="SEHIR">'YK KONUT'!$C$7</definedName>
    <definedName name="SEVİYE2025">Sayfa1!$Q$226</definedName>
    <definedName name="seviyedurumu">Sayfa1!$O$99</definedName>
    <definedName name="SEVİYETEST">Sayfa1!$I$122</definedName>
    <definedName name="SİGORTAMEVCUT">Sayfa1!$M$107</definedName>
    <definedName name="SİGORTAYASAL">Sayfa1!$M$106</definedName>
    <definedName name="SİTEAPARTMAN">Sayfa1!$V$1</definedName>
    <definedName name="SİTEİÇERİSİNDEMİYERALIYOR">Sayfa1!$X$1</definedName>
    <definedName name="SİTEMİAPARTMANMI">Sayfa1!$M$1</definedName>
    <definedName name="SOKAK">TEST!$K$10</definedName>
    <definedName name="SOKAK.">Sayfa1!$C$1</definedName>
    <definedName name="SONDEPYÖN">Sayfa1!$L$56</definedName>
    <definedName name="SOSYALİHTİYAÇ">TEST!$P$17</definedName>
    <definedName name="SOSYALTESİS">Sayfa1!$G$53</definedName>
    <definedName name="sosyaltesisler">TEST!$F$55</definedName>
    <definedName name="SOSYALTESİSSON">Sayfa1!$H$53</definedName>
    <definedName name="STATIKUYGMU">TEST!$Q$44</definedName>
    <definedName name="STATİK2025SON">Sayfa1!$K$38</definedName>
    <definedName name="STATİKAÇIKLAMA">TEST!$AZ$17</definedName>
    <definedName name="STATİKKONTROL">VERİDOĞRULAMA!$AR$2:$AR$4</definedName>
    <definedName name="STKAÇIKLAMA2025">TEST!$T$85</definedName>
    <definedName name="ŞEREFİYEMEVCUT">Sayfa1!$J$110</definedName>
    <definedName name="ŞEREFİYEORANI">Sayfa1!$M$109</definedName>
    <definedName name="ŞEREFİYEYASAL">Sayfa1!$J$109</definedName>
    <definedName name="şerhler">VERİDOĞRULAMA!$P$2:$P$14</definedName>
    <definedName name="T7EVİYETEST2">Sayfa1!$L$122</definedName>
    <definedName name="TAKBISARSAPAY">TAPU_BILGILERI!$M$21</definedName>
    <definedName name="TAKBISARSAPAYDA">TAPU_BILGILERI!$N$21</definedName>
    <definedName name="TAKBISBB">TAPU_BILGILERI!$L$21</definedName>
    <definedName name="TAKBISBLOK">TAPU_BILGILERI!$I$21</definedName>
    <definedName name="TAKBISNITELIK">TAPU_BILGILERI!$B$11</definedName>
    <definedName name="TAKBİSKAT">TAPU_BILGILERI!$J$21</definedName>
    <definedName name="TAKS">TEST!$H$39</definedName>
    <definedName name="TAKYİDAT2025">Sayfa1!$C$7</definedName>
    <definedName name="takyidatalınmaşeki">TEST!$G$5</definedName>
    <definedName name="TAKYİDATİŞBANK">Sayfa1!$P$7</definedName>
    <definedName name="takyidatlar">TEST!$M$4:$M$5</definedName>
    <definedName name="takyidatsaat">TEST!$J$5</definedName>
    <definedName name="takyidattarih">TEST!$I$5</definedName>
    <definedName name="TAPUBELEDİYE2025">Sayfa1!$I$26</definedName>
    <definedName name="TAPUBELEDİYEFARKVARMI">TEST!$H$44</definedName>
    <definedName name="TAPUHARÇDHL">'FATURA VE ÜCRETLENDİRME'!$D$4</definedName>
    <definedName name="TAPUHARÇHRÇ">'FATURA VE ÜCRETLENDİRME'!$B$4</definedName>
    <definedName name="TAPUKAT">TEST!$G$13</definedName>
    <definedName name="TAPUKAYIT">TEST!$K$5</definedName>
    <definedName name="TAPUKAYITNOTU">TEST!$AW$6</definedName>
    <definedName name="TAPUNİTELİKBB">TEST!$G$16</definedName>
    <definedName name="TAPUPROJEUYG">TEST!$AX$17</definedName>
    <definedName name="TAPUTARIH">TAPUTAKYIDAT!$E$3</definedName>
    <definedName name="TAPUYEVMIYE">TAPUTAKYIDAT!$F$3</definedName>
    <definedName name="TAŞINMAZID">TAPU_BILGILERI!$B$3</definedName>
    <definedName name="TEKBAŞINAYAPILAŞMAHAKKI">Sayfa1!$K$10</definedName>
    <definedName name="TERAS">Sayfa1!$C$62</definedName>
    <definedName name="TERKETKİLEME">TEST!$L$37</definedName>
    <definedName name="TERKMİKTARI">TEST!$K$37</definedName>
    <definedName name="TEVHİDŞARTI">TEST!$G$41</definedName>
    <definedName name="TEZGAH">TEST!$K$82</definedName>
    <definedName name="TOPLAM_BB">Sayfa1!$K$53</definedName>
    <definedName name="TOPLAMHACİZ">Sayfa1!$M$7</definedName>
    <definedName name="TOPLAMİCRAİHACİZ">Sayfa1!$G$7</definedName>
    <definedName name="TOPLAMİHTİYATİHACİZ">Sayfa1!$K$7</definedName>
    <definedName name="TOPLAMKAMUHACZİ">Sayfa1!$I$7</definedName>
    <definedName name="TOPLAMTERASALANI">Sayfa1!$Q$102</definedName>
    <definedName name="TRAMPA2025İÇHACİMLER">TEST!$BB$12</definedName>
    <definedName name="trampaaçıklama">Sayfa1!$L$219</definedName>
    <definedName name="trampaaçıklama2">Sayfa1!$N$222</definedName>
    <definedName name="trampabbno">TEST!$BA$10</definedName>
    <definedName name="TRAMPABBÖZELLİK">Sayfa1!$B$212</definedName>
    <definedName name="trampabbyatayözellik">Sayfa1!$B$213</definedName>
    <definedName name="TRAMPAİÇHACİM">Sayfa1!$G$323</definedName>
    <definedName name="trampakat">TEST!$AY$10</definedName>
    <definedName name="trampakat.">Sayfa1!$G$223</definedName>
    <definedName name="trampayön">TEST!$AZ$10</definedName>
    <definedName name="UAVT">TEST!$K$13</definedName>
    <definedName name="ULAŞIM_TARİFİ">TEST!$M$8</definedName>
    <definedName name="ULAŞIMANAARTERİ">TEST!$R$8</definedName>
    <definedName name="ULAŞIMBDLDHL">'FATURA VE ÜCRETLENDİRME'!$D$3</definedName>
    <definedName name="ULAŞIMBDLHRÇ">'FATURA VE ÜCRETLENDİRME'!$B$3</definedName>
    <definedName name="UYGAÇIKLAMA">TEST!$N$44</definedName>
    <definedName name="UYGUNLUK">Sayfa1!$B$33:$B$41</definedName>
    <definedName name="uygunluk2">Sayfa1!$C$33:$C$38</definedName>
    <definedName name="UYGUNLUK2025">Sayfa1!$C$44</definedName>
    <definedName name="uygunluk3">Sayfa1!$C$42</definedName>
    <definedName name="uygunluk4">Sayfa1!$C$43</definedName>
    <definedName name="uygunluk5">Sayfa1!$J$29</definedName>
    <definedName name="ÜFEORANI">Sayfa1!$J$113</definedName>
    <definedName name="VAKIFMİMARİPROJE">Sayfa1!$G$23</definedName>
    <definedName name="vitrifiye">Sayfa1!$J$272</definedName>
    <definedName name="vitrifyeelemanları">VERİDOĞRULAMA!$CE$2:$CE$9</definedName>
    <definedName name="YAKIN_CEVRESI">TEST!$P$8</definedName>
    <definedName name="YANBAHÇE">TEST!$K$39</definedName>
    <definedName name="YAPI_NIZAM">TEST!$M$13</definedName>
    <definedName name="YAPIBİTİŞTARİHİ">Sayfa1!$G$65</definedName>
    <definedName name="YAPIDENETİM">TEST!$R$44</definedName>
    <definedName name="YAPIDENETİMAÇIKLAMA">TEST!$AW$12</definedName>
    <definedName name="YAPIKALİTESİ2025">Sayfa1!$N$101</definedName>
    <definedName name="yapılaşma">TEST!$O$17</definedName>
    <definedName name="YAPILAŞMAHIZI">TEST!$M$17</definedName>
    <definedName name="YAPIMAŞAMASI">Sayfa1!$P$99</definedName>
    <definedName name="YAPISINIFI">TEST!$H$47</definedName>
    <definedName name="YAPISINIFLARI">VERİDOĞRULAMA!$AF$3:$AF$20</definedName>
    <definedName name="YAPIYAŞI">Sayfa1!$G$61</definedName>
    <definedName name="YAPIYILI">Sayfa1!$G$63</definedName>
    <definedName name="YASALDURUMDEĞERİ">TEST!$G$85</definedName>
    <definedName name="YASALKATDAĞILIM2025">Sayfa1!$L$101</definedName>
    <definedName name="YASALKIRA">TEST!$J$85</definedName>
    <definedName name="YASALKULLANIMALANI">Sayfa1!$Q$100</definedName>
    <definedName name="YASALM2BİRİM">Sayfa1!$I$116</definedName>
    <definedName name="yataybbaçıklama">Sayfa1!$D$70</definedName>
    <definedName name="YILLIKKIRAMEVCUT">Sayfa1!$N$116</definedName>
    <definedName name="YIPRANMAMALİYET">Sayfa1!$M$113</definedName>
    <definedName name="YIPRANMAORANI">Sayfa1!$I$113</definedName>
    <definedName name="YIPRANMIŞMEVCUTYAPIDEĞERİ">Sayfa1!$O$113</definedName>
    <definedName name="YIPRANMIŞYASALYAPIDEĞERİ">Sayfa1!$N$113</definedName>
    <definedName name="YK_KONUT_ANATAŞINMAZ">Sayfa1!$O$46</definedName>
    <definedName name="YOLATERKVARMI">TEST!$J$37</definedName>
    <definedName name="YOLKOTUALTIKATADEDİ">Sayfa1!$B$64</definedName>
    <definedName name="YOLKOTUÜSTÜKATADEDİ">Sayfa1!$B$65</definedName>
    <definedName name="YÜZÖLÇÜMÜ">TEST!$K$7</definedName>
    <definedName name="ZEMİN">Sayfa1!$C$57</definedName>
    <definedName name="ZEMİNKAPLAMA">VERİDOĞRULAMA!$BY$2:$BY$13</definedName>
    <definedName name="ZEMİNTİPİ">TAPU_BILGILERI!$B$2</definedName>
    <definedName name="ZİRAATANAGAYRİMENKULNORMAL">Sayfa1!$J$224</definedName>
    <definedName name="ZİRAATANAGYDİĞER">Sayfa1!$L$226</definedName>
    <definedName name="ZRTDATE">Sayfa1!$R$107</definedName>
    <definedName name="ZRTMEVCUT">Sayfa1!$R$110</definedName>
    <definedName name="ZRTTBLBLGTR">Sayfa1!$R$106</definedName>
    <definedName name="ZRTTBLNO">Sayfa1!$R$108</definedName>
    <definedName name="ZRTYASAL">Sayfa1!$R$109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9" i="62" l="1"/>
  <c r="G29" i="62"/>
  <c r="A26" i="62"/>
  <c r="C27" i="62"/>
  <c r="C28" i="62"/>
  <c r="C29" i="62"/>
  <c r="C30" i="62"/>
  <c r="C31" i="62"/>
  <c r="C32" i="62"/>
  <c r="C33" i="62"/>
  <c r="C34" i="62"/>
  <c r="N21" i="53"/>
  <c r="M21" i="53"/>
  <c r="L21" i="53" a="1"/>
  <c r="L21" i="53"/>
  <c r="I21" i="53" a="1"/>
  <c r="I21" i="53"/>
  <c r="M22" i="63"/>
  <c r="M23" i="63"/>
  <c r="M24" i="63"/>
  <c r="M21" i="63"/>
  <c r="V19" i="63"/>
  <c r="T18" i="63"/>
  <c r="V18" i="63" s="1"/>
  <c r="V12" i="63"/>
  <c r="T11" i="63"/>
  <c r="V11" i="63" s="1"/>
  <c r="J21" i="53" a="1"/>
  <c r="J21" i="53" l="1"/>
  <c r="V20" i="63"/>
  <c r="V21" i="63" s="1"/>
  <c r="V22" i="63" s="1"/>
  <c r="V13" i="63"/>
  <c r="V14" i="63" s="1"/>
  <c r="V15" i="63" s="1"/>
  <c r="AZ15" i="4" a="1"/>
  <c r="AZ15" i="4" s="1"/>
  <c r="G14" i="62"/>
  <c r="B15" i="62"/>
  <c r="C15" i="62" s="1"/>
  <c r="B10" i="62"/>
  <c r="C10" i="62" s="1"/>
  <c r="C9" i="62"/>
  <c r="B8" i="62"/>
  <c r="C8" i="62" s="1"/>
  <c r="C11" i="62"/>
  <c r="C13" i="62"/>
  <c r="C14" i="62"/>
  <c r="C17" i="62"/>
  <c r="C19" i="62"/>
  <c r="C20" i="62"/>
  <c r="C21" i="62"/>
  <c r="C22" i="62"/>
  <c r="C24" i="62"/>
  <c r="C25" i="62"/>
  <c r="C26" i="62"/>
  <c r="BM50" i="4"/>
  <c r="BN50" i="4"/>
  <c r="BO50" i="4"/>
  <c r="BL50" i="4"/>
  <c r="BO51" i="4"/>
  <c r="BN51" i="4"/>
  <c r="BM51" i="4"/>
  <c r="BL51" i="4"/>
  <c r="G18" i="62"/>
  <c r="C23" i="62" l="1"/>
  <c r="B16" i="62"/>
  <c r="C16" i="62" s="1"/>
  <c r="C18" i="62" s="1"/>
  <c r="BP50" i="4"/>
  <c r="BP51" i="4"/>
  <c r="B73" i="6" s="1"/>
  <c r="K146" i="6" l="1"/>
  <c r="K153" i="6" s="1"/>
  <c r="D5" i="63"/>
  <c r="B5" i="63" s="1"/>
  <c r="B4" i="63"/>
  <c r="D4" i="63" s="1"/>
  <c r="E11" i="63"/>
  <c r="C34" i="63"/>
  <c r="C35" i="63"/>
  <c r="C33" i="63"/>
  <c r="C32" i="63"/>
  <c r="C31" i="63"/>
  <c r="C30" i="63"/>
  <c r="C29" i="63"/>
  <c r="C24" i="63"/>
  <c r="C25" i="63"/>
  <c r="C26" i="63"/>
  <c r="C23" i="63"/>
  <c r="C22" i="63"/>
  <c r="C21" i="63"/>
  <c r="C20" i="63"/>
  <c r="C19" i="63"/>
  <c r="C18" i="63"/>
  <c r="C11" i="63"/>
  <c r="C12" i="63"/>
  <c r="C13" i="63"/>
  <c r="C14" i="63"/>
  <c r="C15" i="63"/>
  <c r="C10" i="63"/>
  <c r="D3" i="63"/>
  <c r="D6" i="63"/>
  <c r="D7" i="63"/>
  <c r="K9" i="6"/>
  <c r="P116" i="6"/>
  <c r="O116" i="6"/>
  <c r="N116" i="6"/>
  <c r="M10" i="6"/>
  <c r="R110" i="6"/>
  <c r="R109" i="6"/>
  <c r="R108" i="6" l="1"/>
  <c r="R107" i="6" a="1"/>
  <c r="R107" i="6" s="1"/>
  <c r="N12" i="6"/>
  <c r="C7" i="62" l="1"/>
  <c r="C12" i="62" s="1"/>
  <c r="F69" i="4" l="1"/>
  <c r="O99" i="6"/>
  <c r="P99" i="6" s="1"/>
  <c r="AC30" i="17"/>
  <c r="AC31" i="17"/>
  <c r="AC32" i="17" s="1"/>
  <c r="AC34" i="17" l="1"/>
  <c r="AD31" i="17"/>
  <c r="AD32" i="17" s="1"/>
  <c r="L13" i="62"/>
  <c r="K41" i="6"/>
  <c r="A144" i="6"/>
  <c r="C144" i="6"/>
  <c r="E144" i="6"/>
  <c r="G144" i="6"/>
  <c r="K144" i="6"/>
  <c r="O144" i="6"/>
  <c r="N88" i="6" a="1"/>
  <c r="K40" i="6"/>
  <c r="K39" i="6"/>
  <c r="I146" i="6" l="1"/>
  <c r="I153" i="6" s="1"/>
  <c r="A146" i="6"/>
  <c r="A153" i="6" s="1"/>
  <c r="N88" i="6"/>
  <c r="R189" i="4" l="1"/>
  <c r="S189" i="4" s="1"/>
  <c r="R188" i="4"/>
  <c r="S188" i="4" s="1"/>
  <c r="R185" i="4"/>
  <c r="S185" i="4" s="1"/>
  <c r="R183" i="4"/>
  <c r="S183" i="4" s="1"/>
  <c r="S184" i="4"/>
  <c r="S187" i="4"/>
  <c r="S190" i="4"/>
  <c r="S191" i="4"/>
  <c r="S193" i="4"/>
  <c r="S194" i="4"/>
  <c r="S195" i="4"/>
  <c r="S196" i="4"/>
  <c r="S197" i="4"/>
  <c r="S198" i="4"/>
  <c r="S199" i="4"/>
  <c r="S200" i="4"/>
  <c r="S201" i="4"/>
  <c r="I5" i="6"/>
  <c r="P7" i="6" a="1"/>
  <c r="C7" i="6" a="1"/>
  <c r="R186" i="4" l="1"/>
  <c r="S186" i="4" s="1"/>
  <c r="S192" i="4" s="1"/>
  <c r="P7" i="6"/>
  <c r="C7" i="6"/>
  <c r="DQ12" i="17"/>
  <c r="DQ13" i="17"/>
  <c r="DQ14" i="17"/>
  <c r="DQ15" i="17"/>
  <c r="DQ16" i="17"/>
  <c r="DQ17" i="17"/>
  <c r="DQ18" i="17"/>
  <c r="DQ19" i="17"/>
  <c r="DQ20" i="17"/>
  <c r="DQ21" i="17"/>
  <c r="DQ22" i="17"/>
  <c r="DQ23" i="17"/>
  <c r="DQ24" i="17"/>
  <c r="DQ25" i="17"/>
  <c r="DQ26" i="17"/>
  <c r="DQ27" i="17"/>
  <c r="DQ28" i="17"/>
  <c r="DQ29" i="17"/>
  <c r="DQ30" i="17"/>
  <c r="DQ31" i="17"/>
  <c r="DQ32" i="17"/>
  <c r="DQ33" i="17"/>
  <c r="DQ34" i="17"/>
  <c r="DQ35" i="17"/>
  <c r="DQ11" i="17"/>
  <c r="DO12" i="17"/>
  <c r="DP12" i="17" s="1"/>
  <c r="DO13" i="17"/>
  <c r="DP13" i="17" s="1"/>
  <c r="DO14" i="17"/>
  <c r="DP14" i="17" s="1"/>
  <c r="DO15" i="17"/>
  <c r="DP15" i="17" s="1"/>
  <c r="DO16" i="17"/>
  <c r="DP16" i="17" s="1"/>
  <c r="DO17" i="17"/>
  <c r="DP17" i="17" s="1"/>
  <c r="DO18" i="17"/>
  <c r="DP18" i="17" s="1"/>
  <c r="DO19" i="17"/>
  <c r="DP19" i="17" s="1"/>
  <c r="DO20" i="17"/>
  <c r="DP20" i="17" s="1"/>
  <c r="DO21" i="17"/>
  <c r="DP21" i="17" s="1"/>
  <c r="DO22" i="17"/>
  <c r="DP22" i="17" s="1"/>
  <c r="DO23" i="17"/>
  <c r="DP23" i="17" s="1"/>
  <c r="DO24" i="17"/>
  <c r="DP24" i="17" s="1"/>
  <c r="DO25" i="17"/>
  <c r="DP25" i="17" s="1"/>
  <c r="DO26" i="17"/>
  <c r="DP26" i="17" s="1"/>
  <c r="DO27" i="17"/>
  <c r="DP27" i="17" s="1"/>
  <c r="DO28" i="17"/>
  <c r="DP28" i="17" s="1"/>
  <c r="DO29" i="17"/>
  <c r="DP29" i="17" s="1"/>
  <c r="DO30" i="17"/>
  <c r="DP30" i="17" s="1"/>
  <c r="DO31" i="17"/>
  <c r="DP31" i="17" s="1"/>
  <c r="DO32" i="17"/>
  <c r="DP32" i="17" s="1"/>
  <c r="DO33" i="17"/>
  <c r="DP33" i="17" s="1"/>
  <c r="DO34" i="17"/>
  <c r="DP34" i="17" s="1"/>
  <c r="DO35" i="17"/>
  <c r="DP35" i="17" s="1"/>
  <c r="DO11" i="17"/>
  <c r="DP11" i="17" s="1"/>
  <c r="DN12" i="17"/>
  <c r="DN13" i="17"/>
  <c r="DN14" i="17"/>
  <c r="DN15" i="17"/>
  <c r="DN16" i="17"/>
  <c r="DN17" i="17"/>
  <c r="DN18" i="17"/>
  <c r="DN19" i="17"/>
  <c r="DN20" i="17"/>
  <c r="DN21" i="17"/>
  <c r="DN22" i="17"/>
  <c r="DN23" i="17"/>
  <c r="DN24" i="17"/>
  <c r="DN25" i="17"/>
  <c r="DN26" i="17"/>
  <c r="DN27" i="17"/>
  <c r="DN28" i="17"/>
  <c r="DN29" i="17"/>
  <c r="DN30" i="17"/>
  <c r="DN31" i="17"/>
  <c r="DN32" i="17"/>
  <c r="DN33" i="17"/>
  <c r="DN34" i="17"/>
  <c r="DN35" i="17"/>
  <c r="DN11" i="17"/>
  <c r="DM12" i="17"/>
  <c r="DM13" i="17"/>
  <c r="DM14" i="17"/>
  <c r="DM15" i="17"/>
  <c r="DM16" i="17"/>
  <c r="DM17" i="17"/>
  <c r="DM18" i="17"/>
  <c r="DM19" i="17"/>
  <c r="DM20" i="17"/>
  <c r="DM21" i="17"/>
  <c r="DM22" i="17"/>
  <c r="DM23" i="17"/>
  <c r="DM24" i="17"/>
  <c r="DM25" i="17"/>
  <c r="DM26" i="17"/>
  <c r="DM27" i="17"/>
  <c r="DM28" i="17"/>
  <c r="DM29" i="17"/>
  <c r="DM30" i="17"/>
  <c r="DM31" i="17"/>
  <c r="DM32" i="17"/>
  <c r="DM33" i="17"/>
  <c r="DM34" i="17"/>
  <c r="DM35" i="17"/>
  <c r="DM11" i="17"/>
  <c r="DL12" i="17"/>
  <c r="DL13" i="17"/>
  <c r="DL14" i="17"/>
  <c r="DL15" i="17"/>
  <c r="DL16" i="17"/>
  <c r="DL17" i="17"/>
  <c r="DL18" i="17"/>
  <c r="DL19" i="17"/>
  <c r="DL20" i="17"/>
  <c r="DL21" i="17"/>
  <c r="DL22" i="17"/>
  <c r="DL23" i="17"/>
  <c r="DL24" i="17"/>
  <c r="DL25" i="17"/>
  <c r="DL26" i="17"/>
  <c r="DL27" i="17"/>
  <c r="DL28" i="17"/>
  <c r="DL29" i="17"/>
  <c r="DL30" i="17"/>
  <c r="DL31" i="17"/>
  <c r="DL32" i="17"/>
  <c r="DL33" i="17"/>
  <c r="DL34" i="17"/>
  <c r="DL35" i="17"/>
  <c r="DL11" i="17"/>
  <c r="DJ12" i="17"/>
  <c r="DJ13" i="17"/>
  <c r="DJ14" i="17"/>
  <c r="DJ15" i="17"/>
  <c r="DJ16" i="17"/>
  <c r="DJ17" i="17"/>
  <c r="DJ18" i="17"/>
  <c r="DJ19" i="17"/>
  <c r="DJ20" i="17"/>
  <c r="DJ21" i="17"/>
  <c r="DJ22" i="17"/>
  <c r="DJ23" i="17"/>
  <c r="DJ24" i="17"/>
  <c r="DJ25" i="17"/>
  <c r="DJ26" i="17"/>
  <c r="DJ27" i="17"/>
  <c r="DJ28" i="17"/>
  <c r="DJ29" i="17"/>
  <c r="DJ30" i="17"/>
  <c r="DJ31" i="17"/>
  <c r="DJ32" i="17"/>
  <c r="DJ33" i="17"/>
  <c r="DJ34" i="17"/>
  <c r="DJ35" i="17"/>
  <c r="DJ11" i="17"/>
  <c r="F170" i="4"/>
  <c r="G223" i="6"/>
  <c r="L100" i="6"/>
  <c r="CY2" i="17"/>
  <c r="P75" i="6" a="1"/>
  <c r="N97" i="6" a="1"/>
  <c r="R76" i="6" a="1"/>
  <c r="BO2" i="17" a="1"/>
  <c r="P79" i="6" a="1"/>
  <c r="T77" i="6" a="1"/>
  <c r="P77" i="6" a="1"/>
  <c r="P78" i="6" a="1"/>
  <c r="BO2" i="17" l="1"/>
  <c r="P75" i="6"/>
  <c r="R76" i="6"/>
  <c r="T77" i="6"/>
  <c r="P79" i="6"/>
  <c r="P78" i="6"/>
  <c r="P77" i="6"/>
  <c r="N97" i="6"/>
  <c r="CQ2" i="17"/>
  <c r="CP2" i="17"/>
  <c r="CO7" i="17" s="1"/>
  <c r="CO2" i="17"/>
  <c r="CP1" i="17" s="1"/>
  <c r="CJ7" i="17"/>
  <c r="CG7"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F8" i="17"/>
  <c r="F7" i="17"/>
  <c r="F6" i="17"/>
  <c r="F5" i="17"/>
  <c r="F4" i="17"/>
  <c r="F3" i="17"/>
  <c r="BW25" i="17"/>
  <c r="BW24" i="17"/>
  <c r="BW23" i="17"/>
  <c r="BW22" i="17"/>
  <c r="BW21" i="17"/>
  <c r="BW20" i="17"/>
  <c r="BW19" i="17"/>
  <c r="BW18" i="17"/>
  <c r="BW17" i="17"/>
  <c r="BW16" i="17"/>
  <c r="BW15" i="17"/>
  <c r="BW14" i="17"/>
  <c r="BW13" i="17"/>
  <c r="BW12" i="17"/>
  <c r="BW11" i="17"/>
  <c r="BW10" i="17"/>
  <c r="BW9" i="17"/>
  <c r="BW8" i="17"/>
  <c r="BW7" i="17"/>
  <c r="BW6" i="17"/>
  <c r="BW5" i="17"/>
  <c r="BW4" i="17"/>
  <c r="BW3" i="17"/>
  <c r="B67" i="6" a="1"/>
  <c r="F1" i="17" l="1"/>
  <c r="P76" i="6"/>
  <c r="BV2" i="17"/>
  <c r="B67" i="6"/>
  <c r="BG1" i="17"/>
  <c r="M222" i="6"/>
  <c r="N93" i="6" a="1"/>
  <c r="N93" i="6" l="1"/>
  <c r="G53" i="6" l="1"/>
  <c r="G7" i="6"/>
  <c r="M55" i="6" l="1"/>
  <c r="L57" i="6"/>
  <c r="A140" i="6" s="1"/>
  <c r="G58" i="6"/>
  <c r="V1" i="6"/>
  <c r="X1" i="6" s="1"/>
  <c r="M57" i="6" l="1"/>
  <c r="I7" i="6"/>
  <c r="K7" i="6"/>
  <c r="L32" i="6" l="1"/>
  <c r="C43" i="6"/>
  <c r="E12" i="6" l="1"/>
  <c r="M7" i="6" l="1"/>
  <c r="R5" i="6"/>
  <c r="I1" i="6"/>
  <c r="S5" i="6"/>
  <c r="R204" i="4" l="1"/>
  <c r="B31" i="6"/>
  <c r="F3" i="6" l="1"/>
  <c r="G18" i="6"/>
  <c r="O1" i="6"/>
  <c r="U5" i="6"/>
  <c r="J43" i="4"/>
  <c r="I43" i="4"/>
  <c r="D18" i="6"/>
  <c r="N101" i="54"/>
  <c r="N102" i="54"/>
  <c r="O35" i="54"/>
  <c r="O43" i="54"/>
  <c r="O51" i="54"/>
  <c r="O59" i="54"/>
  <c r="O67" i="54"/>
  <c r="O75" i="54"/>
  <c r="O83" i="54"/>
  <c r="O91" i="54"/>
  <c r="O99" i="54"/>
  <c r="O19" i="54"/>
  <c r="O20" i="54"/>
  <c r="O27" i="54"/>
  <c r="O28" i="54"/>
  <c r="N103" i="54"/>
  <c r="N104" i="54"/>
  <c r="N105" i="54"/>
  <c r="M101" i="54"/>
  <c r="M102" i="54"/>
  <c r="M103" i="54"/>
  <c r="M104" i="54"/>
  <c r="M105" i="54"/>
  <c r="AY26" i="4" a="1"/>
  <c r="AY26" i="4" s="1"/>
  <c r="AX26" i="4" a="1"/>
  <c r="AX26" i="4" s="1"/>
  <c r="AZ26" i="4" a="1"/>
  <c r="AZ26" i="4" s="1"/>
  <c r="AV26" i="4" a="1"/>
  <c r="AV26" i="4" s="1"/>
  <c r="D3" i="6"/>
  <c r="I3" i="29" a="1"/>
  <c r="I3" i="29" s="1"/>
  <c r="AI1" i="4" a="1"/>
  <c r="AI1" i="4" s="1"/>
  <c r="G5" i="29" a="1"/>
  <c r="G5" i="29" s="1"/>
  <c r="C132" i="6"/>
  <c r="C131" i="6"/>
  <c r="C130" i="6"/>
  <c r="K142" i="6"/>
  <c r="L12" i="6"/>
  <c r="R106" i="6" s="1"/>
  <c r="E5" i="6"/>
  <c r="D3" i="28"/>
  <c r="D4" i="28"/>
  <c r="D2" i="28"/>
  <c r="AW1" i="17"/>
  <c r="K10" i="6"/>
  <c r="L10" i="6" s="1"/>
  <c r="K152" i="6"/>
  <c r="G140" i="6"/>
  <c r="E152" i="6"/>
  <c r="C152" i="6"/>
  <c r="A152" i="6"/>
  <c r="G152" i="6"/>
  <c r="M142" i="6"/>
  <c r="M151" i="6" s="1"/>
  <c r="O152" i="6"/>
  <c r="J28" i="6"/>
  <c r="E142" i="6"/>
  <c r="K21" i="53" a="1"/>
  <c r="C12" i="6" a="1"/>
  <c r="B115" i="6" a="1"/>
  <c r="G65" i="6" a="1"/>
  <c r="C10" i="6" a="1"/>
  <c r="L101" i="6" a="1"/>
  <c r="L102" i="6" a="1"/>
  <c r="O100" i="54" l="1"/>
  <c r="O92" i="54"/>
  <c r="O84" i="54"/>
  <c r="O76" i="54"/>
  <c r="O68" i="54"/>
  <c r="O60" i="54"/>
  <c r="O52" i="54"/>
  <c r="O44" i="54"/>
  <c r="O36" i="54"/>
  <c r="P98" i="54"/>
  <c r="P90" i="54"/>
  <c r="O82" i="54"/>
  <c r="O74" i="54"/>
  <c r="P66" i="54"/>
  <c r="P58" i="54"/>
  <c r="O50" i="54"/>
  <c r="O42" i="54"/>
  <c r="P34" i="54"/>
  <c r="O18" i="54"/>
  <c r="O95" i="54"/>
  <c r="O87" i="54"/>
  <c r="O71" i="54"/>
  <c r="O63" i="54"/>
  <c r="O47" i="54"/>
  <c r="O39" i="54"/>
  <c r="O31" i="54"/>
  <c r="O23" i="54"/>
  <c r="O15" i="54"/>
  <c r="O102" i="54"/>
  <c r="O94" i="54"/>
  <c r="O86" i="54"/>
  <c r="O78" i="54"/>
  <c r="O70" i="54"/>
  <c r="O62" i="54"/>
  <c r="O54" i="54"/>
  <c r="O46" i="54"/>
  <c r="O38" i="54"/>
  <c r="O103" i="54"/>
  <c r="O79" i="54"/>
  <c r="O55" i="54"/>
  <c r="P105" i="54"/>
  <c r="O89" i="54"/>
  <c r="O65" i="54"/>
  <c r="O49" i="54"/>
  <c r="O33" i="54"/>
  <c r="O97" i="54"/>
  <c r="O81" i="54"/>
  <c r="P73" i="54"/>
  <c r="O57" i="54"/>
  <c r="P41" i="54"/>
  <c r="O25" i="54"/>
  <c r="O17" i="54"/>
  <c r="O101" i="54"/>
  <c r="O93" i="54"/>
  <c r="O85" i="54"/>
  <c r="O77" i="54"/>
  <c r="O69" i="54"/>
  <c r="O61" i="54"/>
  <c r="O53" i="54"/>
  <c r="O45" i="54"/>
  <c r="O37" i="54"/>
  <c r="O29" i="54"/>
  <c r="O21" i="54"/>
  <c r="O104" i="54"/>
  <c r="O96" i="54"/>
  <c r="O88" i="54"/>
  <c r="O80" i="54"/>
  <c r="O72" i="54"/>
  <c r="O64" i="54"/>
  <c r="O56" i="54"/>
  <c r="O48" i="54"/>
  <c r="O40" i="54"/>
  <c r="O32" i="54"/>
  <c r="O24" i="54"/>
  <c r="O16" i="54"/>
  <c r="O30" i="54"/>
  <c r="O22" i="54"/>
  <c r="O14" i="54"/>
  <c r="O105" i="54"/>
  <c r="P26" i="54"/>
  <c r="O73" i="54"/>
  <c r="O41" i="54"/>
  <c r="O98" i="54"/>
  <c r="O66" i="54"/>
  <c r="O34" i="54"/>
  <c r="P97" i="54"/>
  <c r="P89" i="54"/>
  <c r="P81" i="54"/>
  <c r="P65" i="54"/>
  <c r="P57" i="54"/>
  <c r="P49" i="54"/>
  <c r="P33" i="54"/>
  <c r="P25" i="54"/>
  <c r="P17" i="54"/>
  <c r="P104" i="54"/>
  <c r="P96" i="54"/>
  <c r="P88" i="54"/>
  <c r="P80" i="54"/>
  <c r="P72" i="54"/>
  <c r="P64" i="54"/>
  <c r="P56" i="54"/>
  <c r="P48" i="54"/>
  <c r="P40" i="54"/>
  <c r="P32" i="54"/>
  <c r="P24" i="54"/>
  <c r="P16" i="54"/>
  <c r="O90" i="54"/>
  <c r="O58" i="54"/>
  <c r="O26" i="54"/>
  <c r="P103" i="54"/>
  <c r="P95" i="54"/>
  <c r="P87" i="54"/>
  <c r="P79" i="54"/>
  <c r="P71" i="54"/>
  <c r="P63" i="54"/>
  <c r="P55" i="54"/>
  <c r="P47" i="54"/>
  <c r="P39" i="54"/>
  <c r="P31" i="54"/>
  <c r="P23" i="54"/>
  <c r="P15" i="54"/>
  <c r="P82" i="54"/>
  <c r="P18" i="54"/>
  <c r="P102" i="54"/>
  <c r="P94" i="54"/>
  <c r="P86" i="54"/>
  <c r="P78" i="54"/>
  <c r="P70" i="54"/>
  <c r="P62" i="54"/>
  <c r="P54" i="54"/>
  <c r="P46" i="54"/>
  <c r="P38" i="54"/>
  <c r="P30" i="54"/>
  <c r="P22" i="54"/>
  <c r="P14" i="54"/>
  <c r="P74" i="54"/>
  <c r="P50" i="54"/>
  <c r="P42" i="54"/>
  <c r="P101" i="54"/>
  <c r="P93" i="54"/>
  <c r="P85" i="54"/>
  <c r="P77" i="54"/>
  <c r="P69" i="54"/>
  <c r="P61" i="54"/>
  <c r="P53" i="54"/>
  <c r="P45" i="54"/>
  <c r="P37" i="54"/>
  <c r="P29" i="54"/>
  <c r="P21" i="54"/>
  <c r="P100" i="54"/>
  <c r="P92" i="54"/>
  <c r="P84" i="54"/>
  <c r="P76" i="54"/>
  <c r="P68" i="54"/>
  <c r="P60" i="54"/>
  <c r="P52" i="54"/>
  <c r="P44" i="54"/>
  <c r="P36" i="54"/>
  <c r="P28" i="54"/>
  <c r="P20" i="54"/>
  <c r="P99" i="54"/>
  <c r="P91" i="54"/>
  <c r="P83" i="54"/>
  <c r="P75" i="54"/>
  <c r="P67" i="54"/>
  <c r="P59" i="54"/>
  <c r="P51" i="54"/>
  <c r="P43" i="54"/>
  <c r="P35" i="54"/>
  <c r="P27" i="54"/>
  <c r="P19" i="54"/>
  <c r="K21" i="53"/>
  <c r="C10" i="6"/>
  <c r="C12" i="6"/>
  <c r="G65" i="6"/>
  <c r="B115" i="6"/>
  <c r="L102" i="6"/>
  <c r="L101" i="6"/>
  <c r="J38" i="6"/>
  <c r="R1" i="6"/>
  <c r="M9" i="6"/>
  <c r="M15" i="6"/>
  <c r="L85" i="4"/>
  <c r="N101" i="6"/>
  <c r="J132" i="6"/>
  <c r="J131" i="6"/>
  <c r="J130" i="6"/>
  <c r="I108" i="4"/>
  <c r="I107" i="4" s="1"/>
  <c r="K108" i="4"/>
  <c r="K107" i="4" s="1"/>
  <c r="M108" i="4"/>
  <c r="M107" i="4" s="1"/>
  <c r="O108" i="4"/>
  <c r="O107" i="4" s="1"/>
  <c r="Q108" i="4"/>
  <c r="Q107" i="4" s="1"/>
  <c r="S108" i="4"/>
  <c r="S107" i="4" s="1"/>
  <c r="G108" i="4"/>
  <c r="G107" i="4" s="1"/>
  <c r="G105" i="4"/>
  <c r="I105" i="4"/>
  <c r="K105" i="4"/>
  <c r="M105" i="4"/>
  <c r="O105" i="4"/>
  <c r="Q105" i="4"/>
  <c r="S105" i="4"/>
  <c r="K38" i="6"/>
  <c r="G63" i="6" a="1"/>
  <c r="G61" i="6" a="1"/>
  <c r="B127" i="6" a="1"/>
  <c r="B131" i="6" a="1"/>
  <c r="F10" i="6"/>
  <c r="N92" i="6" a="1"/>
  <c r="B129" i="6" a="1"/>
  <c r="B132" i="6" a="1"/>
  <c r="G12" i="6"/>
  <c r="N91" i="6" a="1"/>
  <c r="B128" i="6" a="1"/>
  <c r="B126" i="6" a="1"/>
  <c r="B130" i="6" a="1"/>
  <c r="I131" i="6" a="1"/>
  <c r="I127" i="6" a="1"/>
  <c r="I130" i="6" a="1"/>
  <c r="I132" i="6" a="1"/>
  <c r="I128" i="6" a="1"/>
  <c r="I126" i="6" a="1"/>
  <c r="I129" i="6" a="1"/>
  <c r="B132" i="6" l="1"/>
  <c r="B131" i="6"/>
  <c r="B130" i="6"/>
  <c r="B129" i="6"/>
  <c r="C129" i="6" s="1"/>
  <c r="B128" i="6"/>
  <c r="C128" i="6" s="1"/>
  <c r="B127" i="6"/>
  <c r="C127" i="6" s="1"/>
  <c r="B126" i="6"/>
  <c r="C126" i="6" s="1"/>
  <c r="N92" i="6"/>
  <c r="N91" i="6"/>
  <c r="G63" i="6"/>
  <c r="G61" i="6"/>
  <c r="I144" i="6" s="1"/>
  <c r="I132" i="6"/>
  <c r="I131" i="6"/>
  <c r="I130" i="6"/>
  <c r="I129" i="6"/>
  <c r="J129" i="6" s="1"/>
  <c r="I128" i="6"/>
  <c r="I127" i="6"/>
  <c r="I126" i="6"/>
  <c r="K4" i="26"/>
  <c r="L4" i="26"/>
  <c r="K5" i="26"/>
  <c r="L5" i="26"/>
  <c r="K6" i="26"/>
  <c r="L6" i="26"/>
  <c r="K7" i="26"/>
  <c r="L7" i="26"/>
  <c r="K8" i="26"/>
  <c r="L8" i="26"/>
  <c r="K9" i="26"/>
  <c r="L9" i="26"/>
  <c r="K10" i="26"/>
  <c r="L10" i="26"/>
  <c r="K11" i="26"/>
  <c r="L11" i="26"/>
  <c r="K12" i="26"/>
  <c r="L12" i="26"/>
  <c r="K13" i="26"/>
  <c r="L13" i="26"/>
  <c r="K14" i="26"/>
  <c r="L14" i="26"/>
  <c r="K15" i="26"/>
  <c r="L15" i="26"/>
  <c r="K16" i="26"/>
  <c r="L16" i="26"/>
  <c r="K17" i="26"/>
  <c r="L17" i="26"/>
  <c r="K18" i="26"/>
  <c r="L18" i="26"/>
  <c r="K19" i="26"/>
  <c r="L19" i="26"/>
  <c r="K20" i="26"/>
  <c r="L20" i="26"/>
  <c r="K21" i="26"/>
  <c r="L21" i="26"/>
  <c r="K22" i="26"/>
  <c r="L22" i="26"/>
  <c r="K23" i="26"/>
  <c r="L23" i="26"/>
  <c r="K24" i="26"/>
  <c r="L24" i="26"/>
  <c r="K25" i="26"/>
  <c r="L25" i="26"/>
  <c r="K26" i="26"/>
  <c r="L26" i="26"/>
  <c r="K27" i="26"/>
  <c r="L27" i="26"/>
  <c r="K28" i="26"/>
  <c r="L28" i="26"/>
  <c r="K29" i="26"/>
  <c r="L29" i="26"/>
  <c r="K30" i="26"/>
  <c r="L30" i="26"/>
  <c r="K31" i="26"/>
  <c r="L31" i="26"/>
  <c r="K32" i="26"/>
  <c r="L32" i="26"/>
  <c r="K33" i="26"/>
  <c r="L33" i="26"/>
  <c r="K34" i="26"/>
  <c r="L34" i="26"/>
  <c r="K35" i="26"/>
  <c r="L35" i="26"/>
  <c r="K36" i="26"/>
  <c r="L36" i="26"/>
  <c r="K37" i="26"/>
  <c r="L37" i="26"/>
  <c r="K38" i="26"/>
  <c r="L38" i="26"/>
  <c r="K39" i="26"/>
  <c r="L39" i="26"/>
  <c r="K40" i="26"/>
  <c r="L40" i="26"/>
  <c r="K41" i="26"/>
  <c r="L41" i="26"/>
  <c r="K42" i="26"/>
  <c r="L42" i="26"/>
  <c r="K43" i="26"/>
  <c r="L43" i="26"/>
  <c r="K44" i="26"/>
  <c r="L44" i="26"/>
  <c r="K45" i="26"/>
  <c r="L45" i="26"/>
  <c r="K46" i="26"/>
  <c r="L46" i="26"/>
  <c r="K47" i="26"/>
  <c r="L47" i="26"/>
  <c r="K48" i="26"/>
  <c r="L48" i="26"/>
  <c r="K49" i="26"/>
  <c r="L49" i="26"/>
  <c r="K50" i="26"/>
  <c r="L50" i="26"/>
  <c r="K51" i="26"/>
  <c r="L51" i="26"/>
  <c r="K52" i="26"/>
  <c r="L52" i="26"/>
  <c r="K53" i="26"/>
  <c r="L53" i="26"/>
  <c r="K54" i="26"/>
  <c r="L54" i="26"/>
  <c r="K55" i="26"/>
  <c r="L55" i="26"/>
  <c r="K56" i="26"/>
  <c r="L56" i="26"/>
  <c r="K57" i="26"/>
  <c r="L57" i="26"/>
  <c r="K58" i="26"/>
  <c r="L58" i="26"/>
  <c r="K59" i="26"/>
  <c r="L59" i="26"/>
  <c r="K60" i="26"/>
  <c r="L60" i="26"/>
  <c r="K61" i="26"/>
  <c r="L61" i="26"/>
  <c r="K62" i="26"/>
  <c r="L62" i="26"/>
  <c r="K63" i="26"/>
  <c r="L63" i="26"/>
  <c r="K64" i="26"/>
  <c r="L64" i="26"/>
  <c r="K65" i="26"/>
  <c r="L65" i="26"/>
  <c r="K66" i="26"/>
  <c r="L66" i="26"/>
  <c r="K67" i="26"/>
  <c r="L67" i="26"/>
  <c r="K68" i="26"/>
  <c r="L68" i="26"/>
  <c r="K69" i="26"/>
  <c r="L69" i="26"/>
  <c r="K70" i="26"/>
  <c r="L70" i="26"/>
  <c r="K71" i="26"/>
  <c r="L71" i="26"/>
  <c r="K72" i="26"/>
  <c r="L72" i="26"/>
  <c r="K73" i="26"/>
  <c r="L73" i="26"/>
  <c r="K74" i="26"/>
  <c r="L74" i="26"/>
  <c r="K75" i="26"/>
  <c r="L75" i="26"/>
  <c r="K76" i="26"/>
  <c r="L76" i="26"/>
  <c r="K77" i="26"/>
  <c r="L77" i="26"/>
  <c r="K78" i="26"/>
  <c r="L78" i="26"/>
  <c r="K79" i="26"/>
  <c r="L79" i="26"/>
  <c r="K80" i="26"/>
  <c r="L80" i="26"/>
  <c r="K81" i="26"/>
  <c r="L81" i="26"/>
  <c r="K82" i="26"/>
  <c r="L82" i="26"/>
  <c r="K83" i="26"/>
  <c r="L83" i="26"/>
  <c r="K84" i="26"/>
  <c r="L84" i="26"/>
  <c r="K85" i="26"/>
  <c r="L85" i="26"/>
  <c r="K86" i="26"/>
  <c r="L86" i="26"/>
  <c r="K87" i="26"/>
  <c r="L87" i="26"/>
  <c r="K88" i="26"/>
  <c r="L88" i="26"/>
  <c r="K89" i="26"/>
  <c r="L89" i="26"/>
  <c r="K90" i="26"/>
  <c r="L90" i="26"/>
  <c r="K91" i="26"/>
  <c r="L91" i="26"/>
  <c r="K92" i="26"/>
  <c r="L92" i="26"/>
  <c r="K93" i="26"/>
  <c r="L93" i="26"/>
  <c r="K94" i="26"/>
  <c r="L94" i="26"/>
  <c r="K95" i="26"/>
  <c r="L95" i="26"/>
  <c r="K96" i="26"/>
  <c r="L96" i="26"/>
  <c r="K97" i="26"/>
  <c r="L97" i="26"/>
  <c r="K98" i="26"/>
  <c r="L98" i="26"/>
  <c r="K99" i="26"/>
  <c r="L99" i="26"/>
  <c r="K100" i="26"/>
  <c r="L100" i="26"/>
  <c r="K101" i="26"/>
  <c r="L101" i="26"/>
  <c r="K102" i="26"/>
  <c r="L102" i="26"/>
  <c r="K103" i="26"/>
  <c r="L103" i="26"/>
  <c r="K104" i="26"/>
  <c r="L104" i="26"/>
  <c r="K105" i="26"/>
  <c r="L105" i="26"/>
  <c r="K106" i="26"/>
  <c r="L106" i="26"/>
  <c r="K107" i="26"/>
  <c r="L107" i="26"/>
  <c r="K108" i="26"/>
  <c r="L108" i="26"/>
  <c r="K109" i="26"/>
  <c r="L109" i="26"/>
  <c r="K110" i="26"/>
  <c r="L110" i="26"/>
  <c r="K111" i="26"/>
  <c r="L111" i="26"/>
  <c r="K112" i="26"/>
  <c r="L112" i="26"/>
  <c r="K113" i="26"/>
  <c r="L113" i="26"/>
  <c r="K114" i="26"/>
  <c r="L114" i="26"/>
  <c r="K115" i="26"/>
  <c r="L115" i="26"/>
  <c r="K116" i="26"/>
  <c r="L116" i="26"/>
  <c r="K117" i="26"/>
  <c r="L117" i="26"/>
  <c r="K118" i="26"/>
  <c r="L118" i="26"/>
  <c r="K119" i="26"/>
  <c r="L119" i="26"/>
  <c r="K120" i="26"/>
  <c r="L120" i="26"/>
  <c r="K121" i="26"/>
  <c r="L121" i="26"/>
  <c r="K122" i="26"/>
  <c r="L122" i="26"/>
  <c r="K123" i="26"/>
  <c r="L123" i="26"/>
  <c r="K124" i="26"/>
  <c r="L124" i="26"/>
  <c r="K125" i="26"/>
  <c r="L125" i="26"/>
  <c r="K126" i="26"/>
  <c r="L126" i="26"/>
  <c r="K127" i="26"/>
  <c r="L127" i="26"/>
  <c r="K128" i="26"/>
  <c r="L128" i="26"/>
  <c r="K129" i="26"/>
  <c r="L129" i="26"/>
  <c r="K130" i="26"/>
  <c r="L130" i="26"/>
  <c r="K131" i="26"/>
  <c r="L131" i="26"/>
  <c r="K132" i="26"/>
  <c r="L132" i="26"/>
  <c r="K133" i="26"/>
  <c r="L133" i="26"/>
  <c r="K134" i="26"/>
  <c r="L134" i="26"/>
  <c r="K135" i="26"/>
  <c r="L135" i="26"/>
  <c r="K136" i="26"/>
  <c r="L136" i="26"/>
  <c r="K137" i="26"/>
  <c r="L137" i="26"/>
  <c r="K138" i="26"/>
  <c r="L138" i="26"/>
  <c r="K139" i="26"/>
  <c r="L139" i="26"/>
  <c r="K140" i="26"/>
  <c r="L140" i="26"/>
  <c r="K141" i="26"/>
  <c r="L141" i="26"/>
  <c r="K142" i="26"/>
  <c r="L142" i="26"/>
  <c r="K143" i="26"/>
  <c r="L143" i="26"/>
  <c r="K144" i="26"/>
  <c r="L144" i="26"/>
  <c r="L3" i="26"/>
  <c r="K3" i="26"/>
  <c r="G145" i="26"/>
  <c r="H145" i="26"/>
  <c r="G146" i="26"/>
  <c r="H146" i="26"/>
  <c r="G147" i="26"/>
  <c r="H147" i="26"/>
  <c r="G148" i="26"/>
  <c r="H148" i="26"/>
  <c r="G149" i="26"/>
  <c r="H149" i="26"/>
  <c r="G150" i="26"/>
  <c r="H150" i="26"/>
  <c r="G151" i="26"/>
  <c r="H151" i="26"/>
  <c r="G152" i="26"/>
  <c r="H152" i="26"/>
  <c r="G153" i="26"/>
  <c r="H153" i="26"/>
  <c r="G154" i="26"/>
  <c r="H154" i="26"/>
  <c r="G155" i="26"/>
  <c r="H155" i="26"/>
  <c r="G156" i="26"/>
  <c r="H156" i="26"/>
  <c r="G157" i="26"/>
  <c r="H157" i="26"/>
  <c r="G158" i="26"/>
  <c r="H158" i="26"/>
  <c r="G159" i="26"/>
  <c r="H159" i="26"/>
  <c r="G160" i="26"/>
  <c r="H160" i="26"/>
  <c r="G161" i="26"/>
  <c r="H161" i="26"/>
  <c r="G162" i="26"/>
  <c r="H162" i="26"/>
  <c r="G163" i="26"/>
  <c r="H163" i="26"/>
  <c r="G164" i="26"/>
  <c r="H164" i="26"/>
  <c r="G165" i="26"/>
  <c r="H165" i="26"/>
  <c r="G166" i="26"/>
  <c r="H166" i="26"/>
  <c r="G167" i="26"/>
  <c r="H167" i="26"/>
  <c r="G168" i="26"/>
  <c r="H168" i="26"/>
  <c r="G169" i="26"/>
  <c r="H169" i="26"/>
  <c r="G170" i="26"/>
  <c r="H170" i="26"/>
  <c r="G171" i="26"/>
  <c r="H171" i="26"/>
  <c r="G172" i="26"/>
  <c r="H172" i="26"/>
  <c r="G173" i="26"/>
  <c r="H173" i="26"/>
  <c r="G174" i="26"/>
  <c r="H174" i="26"/>
  <c r="G175" i="26"/>
  <c r="H175" i="26"/>
  <c r="G176" i="26"/>
  <c r="H176" i="26"/>
  <c r="G177" i="26"/>
  <c r="H177" i="26"/>
  <c r="G178" i="26"/>
  <c r="H178" i="26"/>
  <c r="G179" i="26"/>
  <c r="H179" i="26"/>
  <c r="G180" i="26"/>
  <c r="H180" i="26"/>
  <c r="G181" i="26"/>
  <c r="H181" i="26"/>
  <c r="G182" i="26"/>
  <c r="H182" i="26"/>
  <c r="G183" i="26"/>
  <c r="H183" i="26"/>
  <c r="G184" i="26"/>
  <c r="H184" i="26"/>
  <c r="G185" i="26"/>
  <c r="H185" i="26"/>
  <c r="G186" i="26"/>
  <c r="H186" i="26"/>
  <c r="G187" i="26"/>
  <c r="H187" i="26"/>
  <c r="G188" i="26"/>
  <c r="H188" i="26"/>
  <c r="G189" i="26"/>
  <c r="H189" i="26"/>
  <c r="G190" i="26"/>
  <c r="H190" i="26"/>
  <c r="G191" i="26"/>
  <c r="H191" i="26"/>
  <c r="G192" i="26"/>
  <c r="H192" i="26"/>
  <c r="G193" i="26"/>
  <c r="H193" i="26"/>
  <c r="G194" i="26"/>
  <c r="H194" i="26"/>
  <c r="G195" i="26"/>
  <c r="H195" i="26"/>
  <c r="G196" i="26"/>
  <c r="H196" i="26"/>
  <c r="G197" i="26"/>
  <c r="H197" i="26"/>
  <c r="G198" i="26"/>
  <c r="H198" i="26"/>
  <c r="G199" i="26"/>
  <c r="H199" i="26"/>
  <c r="G200" i="26"/>
  <c r="H200" i="26"/>
  <c r="G201" i="26"/>
  <c r="H201" i="26"/>
  <c r="G202" i="26"/>
  <c r="H202" i="26"/>
  <c r="G203" i="26"/>
  <c r="H203" i="26"/>
  <c r="G204" i="26"/>
  <c r="H204" i="26"/>
  <c r="G205" i="26"/>
  <c r="H205" i="26"/>
  <c r="G206" i="26"/>
  <c r="H206" i="26"/>
  <c r="G207" i="26"/>
  <c r="H207" i="26"/>
  <c r="G208" i="26"/>
  <c r="H208" i="26"/>
  <c r="G209" i="26"/>
  <c r="H209" i="26"/>
  <c r="G210" i="26"/>
  <c r="H210" i="26"/>
  <c r="G211" i="26"/>
  <c r="H211" i="26"/>
  <c r="G212" i="26"/>
  <c r="H212" i="26"/>
  <c r="G213" i="26"/>
  <c r="H213" i="26"/>
  <c r="G214" i="26"/>
  <c r="H214" i="26"/>
  <c r="G215" i="26"/>
  <c r="H215" i="26"/>
  <c r="G216" i="26"/>
  <c r="H216" i="26"/>
  <c r="G217" i="26"/>
  <c r="H217" i="26"/>
  <c r="G218" i="26"/>
  <c r="H218" i="26"/>
  <c r="G219" i="26"/>
  <c r="H219" i="26"/>
  <c r="G220" i="26"/>
  <c r="H220" i="26"/>
  <c r="G221" i="26"/>
  <c r="H221" i="26"/>
  <c r="G222" i="26"/>
  <c r="H222" i="26"/>
  <c r="G223" i="26"/>
  <c r="H223" i="26"/>
  <c r="G224" i="26"/>
  <c r="H224" i="26"/>
  <c r="G225" i="26"/>
  <c r="H225" i="26"/>
  <c r="G226" i="26"/>
  <c r="H226" i="26"/>
  <c r="G227" i="26"/>
  <c r="H227" i="26"/>
  <c r="G228" i="26"/>
  <c r="H228" i="26"/>
  <c r="G229" i="26"/>
  <c r="H229" i="26"/>
  <c r="G230" i="26"/>
  <c r="H230" i="26"/>
  <c r="G231" i="26"/>
  <c r="H231" i="26"/>
  <c r="G232" i="26"/>
  <c r="H232" i="26"/>
  <c r="G233" i="26"/>
  <c r="H233" i="26"/>
  <c r="G234" i="26"/>
  <c r="H234" i="26"/>
  <c r="G235" i="26"/>
  <c r="H235" i="26"/>
  <c r="G236" i="26"/>
  <c r="H236" i="26"/>
  <c r="G237" i="26"/>
  <c r="H237" i="26"/>
  <c r="G238" i="26"/>
  <c r="H238" i="26"/>
  <c r="G239" i="26"/>
  <c r="H239" i="26"/>
  <c r="G240" i="26"/>
  <c r="H240" i="26"/>
  <c r="G241" i="26"/>
  <c r="H241" i="26"/>
  <c r="G242" i="26"/>
  <c r="H242" i="26"/>
  <c r="G243" i="26"/>
  <c r="H243" i="26"/>
  <c r="G244" i="26"/>
  <c r="H244" i="26"/>
  <c r="G245" i="26"/>
  <c r="H245" i="26"/>
  <c r="G246" i="26"/>
  <c r="H246" i="26"/>
  <c r="G247" i="26"/>
  <c r="H247" i="26"/>
  <c r="G248" i="26"/>
  <c r="H248" i="26"/>
  <c r="G249" i="26"/>
  <c r="H249" i="26"/>
  <c r="G250" i="26"/>
  <c r="H250" i="26"/>
  <c r="G251" i="26"/>
  <c r="H251" i="26"/>
  <c r="G252" i="26"/>
  <c r="H252" i="26"/>
  <c r="G253" i="26"/>
  <c r="H253" i="26"/>
  <c r="G254" i="26"/>
  <c r="H254" i="26"/>
  <c r="G255" i="26"/>
  <c r="H255" i="26"/>
  <c r="G256" i="26"/>
  <c r="H256" i="26"/>
  <c r="G257" i="26"/>
  <c r="H257" i="26"/>
  <c r="G258" i="26"/>
  <c r="H258" i="26"/>
  <c r="G259" i="26"/>
  <c r="H259" i="26"/>
  <c r="G260" i="26"/>
  <c r="H260" i="26"/>
  <c r="G261" i="26"/>
  <c r="H261" i="26"/>
  <c r="G262" i="26"/>
  <c r="H262" i="26"/>
  <c r="G263" i="26"/>
  <c r="H263" i="26"/>
  <c r="G264" i="26"/>
  <c r="H264" i="26"/>
  <c r="G265" i="26"/>
  <c r="H265" i="26"/>
  <c r="G266" i="26"/>
  <c r="H266" i="26"/>
  <c r="G267" i="26"/>
  <c r="H267" i="26"/>
  <c r="G268" i="26"/>
  <c r="H268" i="26"/>
  <c r="G269" i="26"/>
  <c r="H269" i="26"/>
  <c r="G270" i="26"/>
  <c r="H270" i="26"/>
  <c r="G271" i="26"/>
  <c r="H271" i="26"/>
  <c r="G272" i="26"/>
  <c r="H272" i="26"/>
  <c r="G273" i="26"/>
  <c r="H273" i="26"/>
  <c r="G274" i="26"/>
  <c r="H274" i="26"/>
  <c r="G275" i="26"/>
  <c r="H275" i="26"/>
  <c r="G276" i="26"/>
  <c r="H276" i="26"/>
  <c r="G4" i="26"/>
  <c r="H4" i="26"/>
  <c r="G5" i="26"/>
  <c r="H5" i="26"/>
  <c r="G6" i="26"/>
  <c r="H6" i="26"/>
  <c r="G7" i="26"/>
  <c r="H7" i="26"/>
  <c r="G8" i="26"/>
  <c r="H8" i="26"/>
  <c r="G9" i="26"/>
  <c r="H9" i="26"/>
  <c r="G10" i="26"/>
  <c r="H10" i="26"/>
  <c r="G11" i="26"/>
  <c r="H11" i="26"/>
  <c r="G12" i="26"/>
  <c r="H12" i="26"/>
  <c r="G13" i="26"/>
  <c r="H13" i="26"/>
  <c r="G14" i="26"/>
  <c r="H14" i="26"/>
  <c r="G15" i="26"/>
  <c r="H15" i="26"/>
  <c r="G16" i="26"/>
  <c r="H16" i="26"/>
  <c r="G17" i="26"/>
  <c r="H17" i="26"/>
  <c r="G18" i="26"/>
  <c r="H18" i="26"/>
  <c r="G19" i="26"/>
  <c r="H19" i="26"/>
  <c r="G20" i="26"/>
  <c r="H20" i="26"/>
  <c r="G21" i="26"/>
  <c r="H21" i="26"/>
  <c r="G22" i="26"/>
  <c r="H22" i="26"/>
  <c r="G23" i="26"/>
  <c r="H23" i="26"/>
  <c r="G24" i="26"/>
  <c r="H24" i="26"/>
  <c r="G25" i="26"/>
  <c r="H25" i="26"/>
  <c r="G26" i="26"/>
  <c r="H26" i="26"/>
  <c r="G27" i="26"/>
  <c r="H27" i="26"/>
  <c r="G28" i="26"/>
  <c r="H28" i="26"/>
  <c r="G29" i="26"/>
  <c r="H29" i="26"/>
  <c r="G30" i="26"/>
  <c r="H30" i="26"/>
  <c r="G31" i="26"/>
  <c r="H31" i="26"/>
  <c r="G32" i="26"/>
  <c r="H32" i="26"/>
  <c r="G33" i="26"/>
  <c r="H33" i="26"/>
  <c r="G34" i="26"/>
  <c r="H34" i="26"/>
  <c r="G35" i="26"/>
  <c r="H35" i="26"/>
  <c r="G36" i="26"/>
  <c r="H36" i="26"/>
  <c r="G37" i="26"/>
  <c r="H37" i="26"/>
  <c r="G38" i="26"/>
  <c r="H38" i="26"/>
  <c r="G39" i="26"/>
  <c r="H39" i="26"/>
  <c r="G40" i="26"/>
  <c r="H40" i="26"/>
  <c r="G41" i="26"/>
  <c r="H41" i="26"/>
  <c r="G42" i="26"/>
  <c r="H42" i="26"/>
  <c r="G43" i="26"/>
  <c r="H43" i="26"/>
  <c r="G44" i="26"/>
  <c r="H44" i="26"/>
  <c r="G45" i="26"/>
  <c r="H45" i="26"/>
  <c r="G46" i="26"/>
  <c r="H46" i="26"/>
  <c r="G47" i="26"/>
  <c r="H47" i="26"/>
  <c r="G48" i="26"/>
  <c r="H48" i="26"/>
  <c r="G49" i="26"/>
  <c r="H49" i="26"/>
  <c r="G50" i="26"/>
  <c r="H50" i="26"/>
  <c r="G51" i="26"/>
  <c r="H51" i="26"/>
  <c r="G52" i="26"/>
  <c r="H52" i="26"/>
  <c r="G53" i="26"/>
  <c r="H53" i="26"/>
  <c r="G54" i="26"/>
  <c r="H54" i="26"/>
  <c r="G55" i="26"/>
  <c r="H55" i="26"/>
  <c r="G56" i="26"/>
  <c r="H56" i="26"/>
  <c r="G57" i="26"/>
  <c r="H57" i="26"/>
  <c r="G58" i="26"/>
  <c r="H58" i="26"/>
  <c r="G59" i="26"/>
  <c r="H59" i="26"/>
  <c r="G60" i="26"/>
  <c r="H60" i="26"/>
  <c r="G61" i="26"/>
  <c r="H61" i="26"/>
  <c r="G62" i="26"/>
  <c r="H62" i="26"/>
  <c r="G63" i="26"/>
  <c r="H63" i="26"/>
  <c r="G64" i="26"/>
  <c r="H64" i="26"/>
  <c r="G65" i="26"/>
  <c r="H65" i="26"/>
  <c r="G66" i="26"/>
  <c r="H66" i="26"/>
  <c r="G67" i="26"/>
  <c r="H67" i="26"/>
  <c r="G68" i="26"/>
  <c r="H68" i="26"/>
  <c r="G69" i="26"/>
  <c r="H69" i="26"/>
  <c r="G70" i="26"/>
  <c r="H70" i="26"/>
  <c r="G71" i="26"/>
  <c r="H71" i="26"/>
  <c r="G72" i="26"/>
  <c r="H72" i="26"/>
  <c r="G73" i="26"/>
  <c r="H73" i="26"/>
  <c r="G74" i="26"/>
  <c r="H74" i="26"/>
  <c r="G75" i="26"/>
  <c r="H75" i="26"/>
  <c r="G76" i="26"/>
  <c r="H76" i="26"/>
  <c r="G77" i="26"/>
  <c r="H77" i="26"/>
  <c r="G78" i="26"/>
  <c r="H78" i="26"/>
  <c r="G79" i="26"/>
  <c r="H79" i="26"/>
  <c r="G80" i="26"/>
  <c r="H80" i="26"/>
  <c r="G81" i="26"/>
  <c r="H81" i="26"/>
  <c r="G82" i="26"/>
  <c r="H82" i="26"/>
  <c r="G83" i="26"/>
  <c r="H83" i="26"/>
  <c r="G84" i="26"/>
  <c r="H84" i="26"/>
  <c r="G85" i="26"/>
  <c r="H85" i="26"/>
  <c r="G86" i="26"/>
  <c r="H86" i="26"/>
  <c r="G87" i="26"/>
  <c r="H87" i="26"/>
  <c r="G88" i="26"/>
  <c r="H88" i="26"/>
  <c r="G89" i="26"/>
  <c r="H89" i="26"/>
  <c r="G90" i="26"/>
  <c r="H90" i="26"/>
  <c r="G91" i="26"/>
  <c r="H91" i="26"/>
  <c r="G92" i="26"/>
  <c r="H92" i="26"/>
  <c r="G93" i="26"/>
  <c r="H93" i="26"/>
  <c r="G94" i="26"/>
  <c r="H94" i="26"/>
  <c r="G95" i="26"/>
  <c r="H95" i="26"/>
  <c r="G96" i="26"/>
  <c r="H96" i="26"/>
  <c r="G97" i="26"/>
  <c r="H97" i="26"/>
  <c r="G98" i="26"/>
  <c r="H98" i="26"/>
  <c r="G99" i="26"/>
  <c r="H99" i="26"/>
  <c r="G100" i="26"/>
  <c r="H100" i="26"/>
  <c r="G101" i="26"/>
  <c r="H101" i="26"/>
  <c r="G102" i="26"/>
  <c r="H102" i="26"/>
  <c r="G103" i="26"/>
  <c r="H103" i="26"/>
  <c r="G104" i="26"/>
  <c r="H104" i="26"/>
  <c r="G105" i="26"/>
  <c r="H105" i="26"/>
  <c r="G106" i="26"/>
  <c r="H106" i="26"/>
  <c r="G107" i="26"/>
  <c r="H107" i="26"/>
  <c r="G108" i="26"/>
  <c r="H108" i="26"/>
  <c r="G109" i="26"/>
  <c r="H109" i="26"/>
  <c r="G110" i="26"/>
  <c r="H110" i="26"/>
  <c r="G111" i="26"/>
  <c r="H111" i="26"/>
  <c r="G112" i="26"/>
  <c r="H112" i="26"/>
  <c r="G113" i="26"/>
  <c r="H113" i="26"/>
  <c r="G114" i="26"/>
  <c r="H114" i="26"/>
  <c r="G115" i="26"/>
  <c r="H115" i="26"/>
  <c r="G116" i="26"/>
  <c r="H116" i="26"/>
  <c r="G117" i="26"/>
  <c r="H117" i="26"/>
  <c r="G118" i="26"/>
  <c r="H118" i="26"/>
  <c r="G119" i="26"/>
  <c r="H119" i="26"/>
  <c r="G120" i="26"/>
  <c r="H120" i="26"/>
  <c r="G121" i="26"/>
  <c r="H121" i="26"/>
  <c r="G122" i="26"/>
  <c r="H122" i="26"/>
  <c r="G123" i="26"/>
  <c r="H123" i="26"/>
  <c r="G124" i="26"/>
  <c r="H124" i="26"/>
  <c r="G125" i="26"/>
  <c r="H125" i="26"/>
  <c r="G126" i="26"/>
  <c r="H126" i="26"/>
  <c r="G127" i="26"/>
  <c r="H127" i="26"/>
  <c r="G128" i="26"/>
  <c r="H128" i="26"/>
  <c r="G129" i="26"/>
  <c r="H129" i="26"/>
  <c r="G130" i="26"/>
  <c r="H130" i="26"/>
  <c r="G131" i="26"/>
  <c r="H131" i="26"/>
  <c r="G132" i="26"/>
  <c r="H132" i="26"/>
  <c r="G133" i="26"/>
  <c r="H133" i="26"/>
  <c r="G134" i="26"/>
  <c r="H134" i="26"/>
  <c r="G135" i="26"/>
  <c r="H135" i="26"/>
  <c r="G136" i="26"/>
  <c r="H136" i="26"/>
  <c r="G137" i="26"/>
  <c r="H137" i="26"/>
  <c r="G138" i="26"/>
  <c r="H138" i="26"/>
  <c r="G139" i="26"/>
  <c r="H139" i="26"/>
  <c r="G140" i="26"/>
  <c r="H140" i="26"/>
  <c r="G141" i="26"/>
  <c r="H141" i="26"/>
  <c r="G142" i="26"/>
  <c r="H142" i="26"/>
  <c r="G143" i="26"/>
  <c r="H143" i="26"/>
  <c r="G144" i="26"/>
  <c r="H144" i="26"/>
  <c r="H3" i="26"/>
  <c r="G3" i="26"/>
  <c r="AO1" i="17"/>
  <c r="C5" i="6"/>
  <c r="K113" i="6"/>
  <c r="B56" i="6"/>
  <c r="B64" i="6" s="1"/>
  <c r="B53" i="6" a="1"/>
  <c r="I113" i="6" l="1"/>
  <c r="G5" i="6"/>
  <c r="C140" i="6"/>
  <c r="J126" i="6"/>
  <c r="J127" i="6"/>
  <c r="J128" i="6"/>
  <c r="M18" i="26"/>
  <c r="M116" i="26"/>
  <c r="M80" i="26"/>
  <c r="M72" i="26"/>
  <c r="M24" i="26"/>
  <c r="M12" i="26"/>
  <c r="M8" i="26"/>
  <c r="B53" i="6"/>
  <c r="M130" i="26"/>
  <c r="M4" i="26"/>
  <c r="M143" i="26"/>
  <c r="M135" i="26"/>
  <c r="M67" i="26"/>
  <c r="M141" i="26"/>
  <c r="M61" i="26"/>
  <c r="M83" i="26"/>
  <c r="M138" i="26"/>
  <c r="M91" i="26"/>
  <c r="M77" i="26"/>
  <c r="M25" i="26"/>
  <c r="M5" i="26"/>
  <c r="M144" i="26"/>
  <c r="I197" i="26"/>
  <c r="M75" i="26"/>
  <c r="M71" i="26"/>
  <c r="M82" i="26"/>
  <c r="M74" i="26"/>
  <c r="M113" i="26"/>
  <c r="M105" i="26"/>
  <c r="M101" i="26"/>
  <c r="M97" i="26"/>
  <c r="M93" i="26"/>
  <c r="M53" i="26"/>
  <c r="M69" i="26"/>
  <c r="M88" i="26"/>
  <c r="M84" i="26"/>
  <c r="M56" i="26"/>
  <c r="M31" i="26"/>
  <c r="M110" i="26"/>
  <c r="M98" i="26"/>
  <c r="M87" i="26"/>
  <c r="M63" i="26"/>
  <c r="M43" i="26"/>
  <c r="M27" i="26"/>
  <c r="M102" i="26"/>
  <c r="M94" i="26"/>
  <c r="M133" i="26"/>
  <c r="M86" i="26"/>
  <c r="M79" i="26"/>
  <c r="M66" i="26"/>
  <c r="M46" i="26"/>
  <c r="M38" i="26"/>
  <c r="M34" i="26"/>
  <c r="M30" i="26"/>
  <c r="M26" i="26"/>
  <c r="M45" i="26"/>
  <c r="M21" i="26"/>
  <c r="M136" i="26"/>
  <c r="M128" i="26"/>
  <c r="M85" i="26"/>
  <c r="M51" i="26"/>
  <c r="M11" i="26"/>
  <c r="M108" i="26"/>
  <c r="M104" i="26"/>
  <c r="M100" i="26"/>
  <c r="M96" i="26"/>
  <c r="M92" i="26"/>
  <c r="M48" i="26"/>
  <c r="M35" i="26"/>
  <c r="M15" i="26"/>
  <c r="I174" i="26"/>
  <c r="I166" i="26"/>
  <c r="I162" i="26"/>
  <c r="I158" i="26"/>
  <c r="M139" i="26"/>
  <c r="M127" i="26"/>
  <c r="M123" i="26"/>
  <c r="M119" i="26"/>
  <c r="M111" i="26"/>
  <c r="M103" i="26"/>
  <c r="I271" i="26"/>
  <c r="I255" i="26"/>
  <c r="M125" i="26"/>
  <c r="M117" i="26"/>
  <c r="M109" i="26"/>
  <c r="M90" i="26"/>
  <c r="M64" i="26"/>
  <c r="M49" i="26"/>
  <c r="M41" i="26"/>
  <c r="M37" i="26"/>
  <c r="M33" i="26"/>
  <c r="M29" i="26"/>
  <c r="M14" i="26"/>
  <c r="M7" i="26"/>
  <c r="M10" i="26"/>
  <c r="M131" i="26"/>
  <c r="M120" i="26"/>
  <c r="M112" i="26"/>
  <c r="M89" i="26"/>
  <c r="M52" i="26"/>
  <c r="M44" i="26"/>
  <c r="M40" i="26"/>
  <c r="M36" i="26"/>
  <c r="M32" i="26"/>
  <c r="M28" i="26"/>
  <c r="M13" i="26"/>
  <c r="M59" i="26"/>
  <c r="M55" i="26"/>
  <c r="M47" i="26"/>
  <c r="M39" i="26"/>
  <c r="M16" i="26"/>
  <c r="M115" i="26"/>
  <c r="M107" i="26"/>
  <c r="M99" i="26"/>
  <c r="M95" i="26"/>
  <c r="M58" i="26"/>
  <c r="M50" i="26"/>
  <c r="M42" i="26"/>
  <c r="M19" i="26"/>
  <c r="M3" i="26"/>
  <c r="M122" i="26"/>
  <c r="M114" i="26"/>
  <c r="M106" i="26"/>
  <c r="I208" i="26"/>
  <c r="M124" i="26"/>
  <c r="M121" i="26"/>
  <c r="M118" i="26"/>
  <c r="M60" i="26"/>
  <c r="M57" i="26"/>
  <c r="M54" i="26"/>
  <c r="M23" i="26"/>
  <c r="M20" i="26"/>
  <c r="M17" i="26"/>
  <c r="M142" i="26"/>
  <c r="M81" i="26"/>
  <c r="M78" i="26"/>
  <c r="M132" i="26"/>
  <c r="M129" i="26"/>
  <c r="M126" i="26"/>
  <c r="M68" i="26"/>
  <c r="M65" i="26"/>
  <c r="M62" i="26"/>
  <c r="M22" i="26"/>
  <c r="M6" i="26"/>
  <c r="M9" i="26"/>
  <c r="I157" i="26"/>
  <c r="M140" i="26"/>
  <c r="M137" i="26"/>
  <c r="M134" i="26"/>
  <c r="M76" i="26"/>
  <c r="M73" i="26"/>
  <c r="M70" i="26"/>
  <c r="I204" i="26"/>
  <c r="I137" i="26"/>
  <c r="I133" i="26"/>
  <c r="I129" i="26"/>
  <c r="I125" i="26"/>
  <c r="I109" i="26"/>
  <c r="I45" i="26"/>
  <c r="I154" i="26"/>
  <c r="I146" i="26"/>
  <c r="I188" i="26"/>
  <c r="I156" i="26"/>
  <c r="I46" i="26"/>
  <c r="I94" i="26"/>
  <c r="I53" i="26"/>
  <c r="I42" i="26"/>
  <c r="I38" i="26"/>
  <c r="I30" i="26"/>
  <c r="I26" i="26"/>
  <c r="I22" i="26"/>
  <c r="I207" i="26"/>
  <c r="I159" i="26"/>
  <c r="I151" i="26"/>
  <c r="I254" i="26"/>
  <c r="I143" i="26"/>
  <c r="I139" i="26"/>
  <c r="I131" i="26"/>
  <c r="I127" i="26"/>
  <c r="I123" i="26"/>
  <c r="I40" i="26"/>
  <c r="I36" i="26"/>
  <c r="I32" i="26"/>
  <c r="I24" i="26"/>
  <c r="I20" i="26"/>
  <c r="I12" i="26"/>
  <c r="I8" i="26"/>
  <c r="I245" i="26"/>
  <c r="I237" i="26"/>
  <c r="I229" i="26"/>
  <c r="I114" i="26"/>
  <c r="I102" i="26"/>
  <c r="I98" i="26"/>
  <c r="I71" i="26"/>
  <c r="I67" i="26"/>
  <c r="I59" i="26"/>
  <c r="I276" i="26"/>
  <c r="I268" i="26"/>
  <c r="I248" i="26"/>
  <c r="I224" i="26"/>
  <c r="I220" i="26"/>
  <c r="I212" i="26"/>
  <c r="I93" i="26"/>
  <c r="I243" i="26"/>
  <c r="I239" i="26"/>
  <c r="I235" i="26"/>
  <c r="I227" i="26"/>
  <c r="I196" i="26"/>
  <c r="I192" i="26"/>
  <c r="I180" i="26"/>
  <c r="I172" i="26"/>
  <c r="I164" i="26"/>
  <c r="I160" i="26"/>
  <c r="I124" i="26"/>
  <c r="I104" i="26"/>
  <c r="I37" i="26"/>
  <c r="I21" i="26"/>
  <c r="I140" i="26"/>
  <c r="I76" i="26"/>
  <c r="I238" i="26"/>
  <c r="I234" i="26"/>
  <c r="I230" i="26"/>
  <c r="I226" i="26"/>
  <c r="I191" i="26"/>
  <c r="I179" i="26"/>
  <c r="I175" i="26"/>
  <c r="I171" i="26"/>
  <c r="I163" i="26"/>
  <c r="I261" i="26"/>
  <c r="I253" i="26"/>
  <c r="I221" i="26"/>
  <c r="I213" i="26"/>
  <c r="I136" i="26"/>
  <c r="I144" i="26"/>
  <c r="I142" i="26"/>
  <c r="I122" i="26"/>
  <c r="I110" i="26"/>
  <c r="I39" i="26"/>
  <c r="I31" i="26"/>
  <c r="I15" i="26"/>
  <c r="I11" i="26"/>
  <c r="I7" i="26"/>
  <c r="I272" i="26"/>
  <c r="I260" i="26"/>
  <c r="I256" i="26"/>
  <c r="I252" i="26"/>
  <c r="I128" i="26"/>
  <c r="I138" i="26"/>
  <c r="I121" i="26"/>
  <c r="I117" i="26"/>
  <c r="I90" i="26"/>
  <c r="I86" i="26"/>
  <c r="I82" i="26"/>
  <c r="I78" i="26"/>
  <c r="I6" i="26"/>
  <c r="I244" i="26"/>
  <c r="I236" i="26"/>
  <c r="I189" i="26"/>
  <c r="I181" i="26"/>
  <c r="I173" i="26"/>
  <c r="I165" i="26"/>
  <c r="I3" i="26"/>
  <c r="I5" i="26"/>
  <c r="I274" i="26"/>
  <c r="I263" i="26"/>
  <c r="I240" i="26"/>
  <c r="I232" i="26"/>
  <c r="I228" i="26"/>
  <c r="I205" i="26"/>
  <c r="I202" i="26"/>
  <c r="I183" i="26"/>
  <c r="I152" i="26"/>
  <c r="I148" i="26"/>
  <c r="I74" i="26"/>
  <c r="I70" i="26"/>
  <c r="I54" i="26"/>
  <c r="I51" i="26"/>
  <c r="I269" i="26"/>
  <c r="I266" i="26"/>
  <c r="I251" i="26"/>
  <c r="I247" i="26"/>
  <c r="I216" i="26"/>
  <c r="I182" i="26"/>
  <c r="I155" i="26"/>
  <c r="I120" i="26"/>
  <c r="I101" i="26"/>
  <c r="I89" i="26"/>
  <c r="I65" i="26"/>
  <c r="I61" i="26"/>
  <c r="I34" i="26"/>
  <c r="I18" i="26"/>
  <c r="I10" i="26"/>
  <c r="I246" i="26"/>
  <c r="I219" i="26"/>
  <c r="I200" i="26"/>
  <c r="I185" i="26"/>
  <c r="I134" i="26"/>
  <c r="I130" i="26"/>
  <c r="I115" i="26"/>
  <c r="I17" i="26"/>
  <c r="I13" i="26"/>
  <c r="I9" i="26"/>
  <c r="I264" i="26"/>
  <c r="I241" i="26"/>
  <c r="I233" i="26"/>
  <c r="I225" i="26"/>
  <c r="I222" i="26"/>
  <c r="I218" i="26"/>
  <c r="I210" i="26"/>
  <c r="I199" i="26"/>
  <c r="I184" i="26"/>
  <c r="I176" i="26"/>
  <c r="I168" i="26"/>
  <c r="I149" i="26"/>
  <c r="I145" i="26"/>
  <c r="I103" i="26"/>
  <c r="I100" i="26"/>
  <c r="I96" i="26"/>
  <c r="I85" i="26"/>
  <c r="I81" i="26"/>
  <c r="I77" i="26"/>
  <c r="I66" i="26"/>
  <c r="I62" i="26"/>
  <c r="I58" i="26"/>
  <c r="I50" i="26"/>
  <c r="I29" i="26"/>
  <c r="I25" i="26"/>
  <c r="I14" i="26"/>
  <c r="I265" i="26"/>
  <c r="I262" i="26"/>
  <c r="I259" i="26"/>
  <c r="I242" i="26"/>
  <c r="I215" i="26"/>
  <c r="I201" i="26"/>
  <c r="I198" i="26"/>
  <c r="I195" i="26"/>
  <c r="I178" i="26"/>
  <c r="I161" i="26"/>
  <c r="I106" i="26"/>
  <c r="I88" i="26"/>
  <c r="I84" i="26"/>
  <c r="I69" i="26"/>
  <c r="I28" i="26"/>
  <c r="I275" i="26"/>
  <c r="I258" i="26"/>
  <c r="I231" i="26"/>
  <c r="I217" i="26"/>
  <c r="I214" i="26"/>
  <c r="I211" i="26"/>
  <c r="I194" i="26"/>
  <c r="I177" i="26"/>
  <c r="I167" i="26"/>
  <c r="I150" i="26"/>
  <c r="I147" i="26"/>
  <c r="I257" i="26"/>
  <c r="I193" i="26"/>
  <c r="I190" i="26"/>
  <c r="I187" i="26"/>
  <c r="I170" i="26"/>
  <c r="I153" i="26"/>
  <c r="I87" i="26"/>
  <c r="I83" i="26"/>
  <c r="I68" i="26"/>
  <c r="I56" i="26"/>
  <c r="I141" i="26"/>
  <c r="I126" i="26"/>
  <c r="I97" i="26"/>
  <c r="I79" i="26"/>
  <c r="I48" i="26"/>
  <c r="I23" i="26"/>
  <c r="I4" i="26"/>
  <c r="I273" i="26"/>
  <c r="I270" i="26"/>
  <c r="I267" i="26"/>
  <c r="I250" i="26"/>
  <c r="I223" i="26"/>
  <c r="I209" i="26"/>
  <c r="I206" i="26"/>
  <c r="I203" i="26"/>
  <c r="I186" i="26"/>
  <c r="I169" i="26"/>
  <c r="I118" i="26"/>
  <c r="I33" i="26"/>
  <c r="I249" i="26"/>
  <c r="I111" i="26"/>
  <c r="I108" i="26"/>
  <c r="I91" i="26"/>
  <c r="I64" i="26"/>
  <c r="I57" i="26"/>
  <c r="I47" i="26"/>
  <c r="I44" i="26"/>
  <c r="I27" i="26"/>
  <c r="I107" i="26"/>
  <c r="I80" i="26"/>
  <c r="I73" i="26"/>
  <c r="I63" i="26"/>
  <c r="I60" i="26"/>
  <c r="I43" i="26"/>
  <c r="I16" i="26"/>
  <c r="I113" i="26"/>
  <c r="I49" i="26"/>
  <c r="I19" i="26"/>
  <c r="I132" i="26"/>
  <c r="I119" i="26"/>
  <c r="I116" i="26"/>
  <c r="I99" i="26"/>
  <c r="I72" i="26"/>
  <c r="I55" i="26"/>
  <c r="I52" i="26"/>
  <c r="I35" i="26"/>
  <c r="I135" i="26"/>
  <c r="I112" i="26"/>
  <c r="I105" i="26"/>
  <c r="I95" i="26"/>
  <c r="I92" i="26"/>
  <c r="I75" i="26"/>
  <c r="I41" i="26"/>
  <c r="K61" i="6"/>
  <c r="K62" i="6"/>
  <c r="S1" i="6"/>
  <c r="J3" i="6" s="1"/>
  <c r="O86" i="6"/>
  <c r="G1" i="6"/>
  <c r="K53" i="6"/>
  <c r="D71" i="6"/>
  <c r="J113" i="6" a="1"/>
  <c r="B71" i="6" l="1"/>
  <c r="J113" i="6"/>
  <c r="K64" i="6"/>
  <c r="I142" i="6"/>
  <c r="G142" i="6"/>
  <c r="AE2" i="17"/>
  <c r="L113" i="6" l="1"/>
  <c r="M113" i="6"/>
  <c r="K215" i="6"/>
  <c r="R118" i="6" l="1"/>
  <c r="L219" i="6"/>
  <c r="Q12" i="6"/>
  <c r="P1" i="6"/>
  <c r="M140" i="6"/>
  <c r="T2" i="17"/>
  <c r="S4" i="17"/>
  <c r="G10" i="20"/>
  <c r="B7" i="20"/>
  <c r="A7" i="20"/>
  <c r="G5" i="20"/>
  <c r="B5" i="20"/>
  <c r="A5" i="20"/>
  <c r="C3" i="20"/>
  <c r="B3" i="20"/>
  <c r="A3" i="20"/>
  <c r="U1" i="6"/>
  <c r="N1" i="19" a="1"/>
  <c r="C9" i="6" a="1"/>
  <c r="W2" i="17"/>
  <c r="R12" i="6"/>
  <c r="J2" i="20" a="1"/>
  <c r="T4" i="17" l="1"/>
  <c r="C9" i="6"/>
  <c r="N1" i="19"/>
  <c r="J2" i="20"/>
  <c r="D18" i="18"/>
  <c r="E18" i="18"/>
  <c r="F18" i="18"/>
  <c r="G18" i="18"/>
  <c r="H18" i="18"/>
  <c r="J18" i="18"/>
  <c r="K18" i="18"/>
  <c r="L18" i="18"/>
  <c r="C18" i="18"/>
  <c r="I3" i="18"/>
  <c r="I2" i="18"/>
  <c r="BP33" i="4"/>
  <c r="BP34" i="4"/>
  <c r="BP35" i="4"/>
  <c r="BP36" i="4"/>
  <c r="BP37" i="4"/>
  <c r="BP38" i="4"/>
  <c r="BP39" i="4"/>
  <c r="BP40" i="4"/>
  <c r="BP41" i="4"/>
  <c r="BP42" i="4"/>
  <c r="BP43" i="4"/>
  <c r="BP44" i="4"/>
  <c r="BL32" i="4"/>
  <c r="E53" i="6"/>
  <c r="M1" i="6"/>
  <c r="F9" i="6"/>
  <c r="M2" i="18" a="1"/>
  <c r="V36" i="4" l="1"/>
  <c r="I18" i="18"/>
  <c r="M2" i="18"/>
  <c r="AJ174" i="4" l="1"/>
  <c r="AJ173" i="4"/>
  <c r="AJ172" i="4"/>
  <c r="AJ171" i="4"/>
  <c r="AJ169" i="4"/>
  <c r="AC165" i="4"/>
  <c r="AC163" i="4"/>
  <c r="M116" i="6"/>
  <c r="L86" i="4" l="1"/>
  <c r="M99" i="6"/>
  <c r="M84" i="6"/>
  <c r="L84" i="6"/>
  <c r="L85" i="6" l="1"/>
  <c r="AJ164" i="4"/>
  <c r="AV161" i="4"/>
  <c r="AJ166" i="4"/>
  <c r="AJ170" i="4" l="1"/>
  <c r="AC166" i="4"/>
  <c r="AV163" i="4"/>
  <c r="AJ168" i="4"/>
  <c r="AC160" i="4"/>
  <c r="AC164" i="4"/>
  <c r="AC162" i="4"/>
  <c r="AJ162" i="4"/>
  <c r="E1" i="6" l="1"/>
  <c r="H3" i="6" l="1"/>
  <c r="P86" i="6" l="1"/>
  <c r="Q86" i="6" s="1"/>
  <c r="G75" i="6"/>
  <c r="F71" i="4" l="1"/>
  <c r="J106" i="6" l="1"/>
  <c r="J107" i="6" s="1"/>
  <c r="AQ75" i="6"/>
  <c r="AQ78" i="6"/>
  <c r="AQ77" i="6"/>
  <c r="AQ76" i="6"/>
  <c r="K33" i="6" l="1"/>
  <c r="O140" i="6" l="1"/>
  <c r="O150" i="6" s="1"/>
  <c r="C142" i="6"/>
  <c r="L55" i="6"/>
  <c r="M56" i="6" s="1"/>
  <c r="O142" i="6"/>
  <c r="O151" i="6" s="1"/>
  <c r="A150" i="6" l="1"/>
  <c r="I152" i="6"/>
  <c r="E151" i="6"/>
  <c r="C150" i="6"/>
  <c r="G151" i="6"/>
  <c r="C151" i="6"/>
  <c r="G150" i="6"/>
  <c r="M150" i="6" l="1"/>
  <c r="K151" i="6"/>
  <c r="K140" i="6"/>
  <c r="K150" i="6" s="1"/>
  <c r="I151" i="6"/>
  <c r="I140" i="6"/>
  <c r="I150" i="6" s="1"/>
  <c r="A142" i="6"/>
  <c r="A151" i="6" l="1"/>
  <c r="C41" i="6" l="1"/>
  <c r="BR14" i="4" l="1"/>
  <c r="C33" i="6" l="1"/>
  <c r="C42" i="6" s="1"/>
  <c r="I25" i="6"/>
  <c r="I26" i="6" l="1"/>
  <c r="M224" i="6"/>
  <c r="M223" i="6"/>
  <c r="C44" i="6"/>
  <c r="Q102" i="6" l="1"/>
  <c r="H53" i="6" l="1"/>
  <c r="C1" i="6"/>
  <c r="K1" i="6" s="1"/>
  <c r="J29" i="6" l="1"/>
  <c r="K220" i="6"/>
  <c r="N222" i="6" l="1"/>
  <c r="B18" i="6"/>
  <c r="G22" i="6" s="1"/>
  <c r="BL8" i="4"/>
  <c r="BL9" i="4"/>
  <c r="D22" i="6" l="1"/>
  <c r="BL10" i="4"/>
  <c r="BL11" i="4"/>
  <c r="W83" i="6" l="1"/>
  <c r="W84" i="6"/>
  <c r="W85" i="6"/>
  <c r="W86" i="6"/>
  <c r="W87" i="6"/>
  <c r="W88" i="6"/>
  <c r="W89" i="6"/>
  <c r="W90" i="6"/>
  <c r="W91" i="6"/>
  <c r="W92" i="6"/>
  <c r="W93" i="6"/>
  <c r="W94" i="6"/>
  <c r="W95" i="6"/>
  <c r="W96" i="6"/>
  <c r="W97" i="6"/>
  <c r="W98" i="6"/>
  <c r="W99" i="6"/>
  <c r="W100" i="6"/>
  <c r="W101" i="6"/>
  <c r="W82" i="6"/>
  <c r="Q100" i="6"/>
  <c r="Q101" i="6"/>
  <c r="E10" i="63" s="1"/>
  <c r="B2" i="63" a="1"/>
  <c r="B112" i="6" a="1"/>
  <c r="B2" i="63" l="1"/>
  <c r="D2" i="63" s="1"/>
  <c r="D8" i="63" s="1"/>
  <c r="J109" i="6"/>
  <c r="O113" i="6"/>
  <c r="N113" i="6"/>
  <c r="L121" i="6"/>
  <c r="J121" i="6"/>
  <c r="I121" i="6"/>
  <c r="M106" i="6"/>
  <c r="K121" i="6"/>
  <c r="K118" i="6" s="1"/>
  <c r="N121" i="6"/>
  <c r="N118" i="6" s="1"/>
  <c r="M121" i="6"/>
  <c r="B112" i="6"/>
  <c r="R100" i="6"/>
  <c r="R101" i="6"/>
  <c r="J110" i="6"/>
  <c r="K116" i="6"/>
  <c r="J116" i="6"/>
  <c r="L116" i="6"/>
  <c r="I116" i="6"/>
  <c r="N86" i="4"/>
  <c r="BS32" i="4"/>
  <c r="BP32" i="4"/>
  <c r="BS30" i="4"/>
  <c r="BP30" i="4"/>
  <c r="BL30" i="4"/>
  <c r="BS29" i="4"/>
  <c r="BP29" i="4"/>
  <c r="BL29" i="4"/>
  <c r="BS28" i="4"/>
  <c r="BP28" i="4"/>
  <c r="BL28" i="4"/>
  <c r="BS27" i="4"/>
  <c r="BP27" i="4"/>
  <c r="BL27" i="4"/>
  <c r="BS26" i="4"/>
  <c r="BP26" i="4"/>
  <c r="BL26" i="4"/>
  <c r="BS25" i="4"/>
  <c r="BP25" i="4"/>
  <c r="BL25" i="4"/>
  <c r="BS24" i="4"/>
  <c r="BP24" i="4"/>
  <c r="BL24" i="4"/>
  <c r="BS23" i="4"/>
  <c r="BP23" i="4"/>
  <c r="BL23" i="4"/>
  <c r="BS22" i="4"/>
  <c r="BP22" i="4"/>
  <c r="BS21" i="4"/>
  <c r="BP21" i="4"/>
  <c r="BS20" i="4"/>
  <c r="BP20" i="4"/>
  <c r="L110" i="6" l="1"/>
  <c r="C56" i="6"/>
  <c r="B57" i="6"/>
  <c r="B58" i="6"/>
  <c r="C58" i="6" s="1"/>
  <c r="B59" i="6"/>
  <c r="C59" i="6" s="1"/>
  <c r="B61" i="6"/>
  <c r="C61" i="6" s="1"/>
  <c r="B62" i="6"/>
  <c r="C62" i="6" s="1"/>
  <c r="C57" i="6" l="1"/>
  <c r="J122" i="6"/>
  <c r="L122" i="6" s="1"/>
  <c r="K122" i="6" l="1"/>
  <c r="I122" i="6"/>
  <c r="M107" i="6" l="1"/>
  <c r="F213" i="4"/>
  <c r="F214" i="4"/>
  <c r="F216" i="4"/>
  <c r="F215" i="4"/>
  <c r="BQ61" i="4" l="1"/>
  <c r="L109" i="6" l="1"/>
  <c r="BU80" i="4"/>
  <c r="BS80" i="4"/>
  <c r="BU61" i="4"/>
  <c r="BU62" i="4"/>
  <c r="BU77" i="4"/>
  <c r="BU78" i="4"/>
  <c r="BU60" i="4"/>
  <c r="BS61" i="4"/>
  <c r="BS62" i="4"/>
  <c r="BS77" i="4"/>
  <c r="BS78" i="4"/>
  <c r="BS60" i="4"/>
  <c r="N109" i="6" l="1"/>
  <c r="M109" i="6" s="1"/>
  <c r="N110" i="6"/>
  <c r="M110" i="6" s="1"/>
  <c r="B60" i="6"/>
  <c r="N85" i="4" l="1"/>
  <c r="B65" i="6"/>
  <c r="R77" i="6"/>
  <c r="C60" i="6"/>
  <c r="G55" i="6" s="1"/>
  <c r="B63" i="6"/>
  <c r="J50" i="6"/>
  <c r="J51" i="6"/>
  <c r="J46" i="6"/>
  <c r="J47" i="6"/>
  <c r="J49" i="6"/>
  <c r="J224" i="6"/>
  <c r="D70" i="6"/>
  <c r="L226" i="6"/>
  <c r="J48" i="6"/>
  <c r="M144" i="6" l="1"/>
  <c r="M152" i="6" s="1"/>
  <c r="I157" i="6" s="1"/>
  <c r="BT4" i="17"/>
  <c r="BT3" i="17"/>
  <c r="E140" i="6"/>
  <c r="E150" i="6" s="1"/>
  <c r="A157" i="6" s="1"/>
  <c r="O50" i="6"/>
  <c r="S50" i="6" s="1"/>
  <c r="G76" i="6"/>
  <c r="G78" i="6"/>
  <c r="N96" i="6" l="1"/>
  <c r="F213" i="6"/>
  <c r="F216" i="6"/>
  <c r="F212" i="6"/>
  <c r="F217" i="6"/>
  <c r="N95" i="6" l="1"/>
  <c r="S6" i="17" l="1"/>
  <c r="AG92" i="6"/>
  <c r="EL136" i="4" l="1"/>
  <c r="EL138" i="4" l="1"/>
  <c r="D23" i="6"/>
  <c r="M14" i="6"/>
  <c r="F215" i="6"/>
  <c r="G23" i="6"/>
  <c r="D69" i="6"/>
  <c r="A218" i="6"/>
  <c r="G77" i="6"/>
  <c r="B69" i="6" l="1"/>
  <c r="B70" i="6"/>
  <c r="O48" i="6"/>
  <c r="O46" i="6"/>
  <c r="O21" i="6"/>
  <c r="F214" i="6"/>
  <c r="M16" i="6"/>
  <c r="S46" i="6" l="1"/>
  <c r="W46" i="6" s="1"/>
  <c r="G69" i="6"/>
  <c r="B106" i="6" a="1"/>
  <c r="B106"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B7B9E29-BE4E-42C9-8BAA-D27DAF77FE52}" keepAlive="1" name="Sorgu - ADRESKODU_VERI" description="Çalışma kitabındaki 'ADRESKODU_VERI' sorgusuna yönelik bağlantı." type="5" refreshedVersion="8" saveData="1">
    <dbPr connection="Provider=Microsoft.Mashup.OleDb.1;Data Source=$Workbook$;Location=ADRESKODU_VERI;Extended Properties=&quot;&quot;" command="SELECT * FROM [ADRESKODU_VERI]"/>
  </connection>
  <connection id="2" xr16:uid="{C1953986-D7CE-417B-892D-1C3A2E457929}" keepAlive="1" name="Sorgu - AdresPdfYolu" description="Çalışma kitabındaki 'AdresPdfYolu' sorgusuna yönelik bağlantı." type="5" refreshedVersion="0" background="1">
    <dbPr connection="Provider=Microsoft.Mashup.OleDb.1;Data Source=$Workbook$;Location=AdresPdfYolu;Extended Properties=&quot;&quot;" command="SELECT * FROM [AdresPdfYolu]"/>
  </connection>
  <connection id="3" xr16:uid="{4441B134-D9E4-428F-9976-9578396C0A6D}" keepAlive="1" name="Sorgu - Fiyat Endeksi (Üretici Fiyatları) (2003=100)" description="Çalışma kitabındaki 'Fiyat Endeksi (Üretici Fiyatları) (2003=100)' sorgusuna yönelik bağlantı." type="5" refreshedVersion="8" saveData="1">
    <dbPr connection="Provider=Microsoft.Mashup.OleDb.1;Data Source=$Workbook$;Location=&quot;Fiyat Endeksi (Üretici Fiyatları) (2003=100)&quot;;Extended Properties=&quot;&quot;" command="SELECT * FROM [Fiyat Endeksi (Üretici Fiyatları) (2003=100)]"/>
    <extLst>
      <ext xmlns:x15="http://schemas.microsoft.com/office/spreadsheetml/2010/11/main" uri="{DE250136-89BD-433C-8126-D09CA5730AF9}">
        <x15:connection id="" excludeFromRefreshAll="1"/>
      </ext>
    </extLst>
  </connection>
  <connection id="4" xr16:uid="{D5A88E4C-D23B-45BF-9524-AE2FD3ECC6DB}" keepAlive="1" name="Sorgu - Fiyat Endeksi (Üretici Fiyatları) (2003=100) (2)" description="Çalışma kitabındaki 'Fiyat Endeksi (Üretici Fiyatları) (2003=100) (2)' sorgusuna yönelik bağlantı." type="5" refreshedVersion="0" refreshOnLoad="1" saveData="1">
    <dbPr connection="Provider=Microsoft.Mashup.OleDb.1;Data Source=$Workbook$;Location=&quot;Fiyat Endeksi (Üretici Fiyatları) (2003=100) (2)&quot;;Extended Properties=&quot;&quot;" command="SELECT * FROM [Fiyat Endeksi (Üretici Fiyatları) (2003=100) (2)]"/>
    <extLst>
      <ext xmlns:x15="http://schemas.microsoft.com/office/spreadsheetml/2010/11/main" uri="{DE250136-89BD-433C-8126-D09CA5730AF9}">
        <x15:connection id="" excludeFromRefreshAll="1"/>
      </ext>
    </extLst>
  </connection>
  <connection id="5" xr16:uid="{C986C83F-5609-48E3-9D1D-18D3D042A217}" keepAlive="1" name="Sorgu - Fx_ExtractEdinmeSebebi" description="Çalışma kitabındaki 'Fx_ExtractEdinmeSebebi' sorgusuna yönelik bağlantı." type="5" refreshedVersion="0" background="1">
    <dbPr connection="Provider=Microsoft.Mashup.OleDb.1;Data Source=$Workbook$;Location=Fx_ExtractEdinmeSebebi;Extended Properties=&quot;&quot;" command="SELECT * FROM [Fx_ExtractEdinmeSebebi]"/>
  </connection>
  <connection id="6" xr16:uid="{EF8E23F7-85A3-4798-A0DE-771C2937B8D4}" keepAlive="1" name="Sorgu - MALIKLER" description="Çalışma kitabındaki 'MALIKLER' sorgusuna yönelik bağlantı." type="5" refreshedVersion="8" saveData="1">
    <dbPr connection="Provider=Microsoft.Mashup.OleDb.1;Data Source=$Workbook$;Location=MALIKLER;Extended Properties=&quot;&quot;" command="SELECT * FROM [MALIKLER]"/>
  </connection>
  <connection id="7" xr16:uid="{B16A42CB-61D0-4DAD-BD60-304376A3F7E9}" keepAlive="1" name="Sorgu - PQ_EKB_Oku" description="Çalışma kitabındaki 'PQ_EKB_Oku' sorgusuna yönelik bağlantı." type="5" refreshedVersion="8" saveData="1">
    <dbPr connection="Provider=Microsoft.Mashup.OleDb.1;Data Source=$Workbook$;Location=PQ_EKB_Oku;Extended Properties=&quot;&quot;" command="SELECT * FROM [PQ_EKB_Oku]"/>
  </connection>
  <connection id="8" xr16:uid="{D7036443-09AA-4F0A-942C-33B79D41D070}" keepAlive="1" name="Sorgu - TAPU_BILGILERI" description="Çalışma kitabındaki 'TAPU_BILGILERI' sorgusuna yönelik bağlantı." type="5" refreshedVersion="8" saveData="1">
    <dbPr connection="Provider=Microsoft.Mashup.OleDb.1;Data Source=$Workbook$;Location=TAPU_BILGILERI;Extended Properties=&quot;&quot;" command="SELECT * FROM [TAPU_BILGILERI]"/>
  </connection>
  <connection id="9" xr16:uid="{021DCE64-EDCB-4A2D-B8BE-1CE2A4C06E48}" keepAlive="1" name="Sorgu - tblBEYANLAR" description="Çalışma kitabındaki 'tblBEYANLAR' sorgusuna yönelik bağlantı." type="5" refreshedVersion="8" saveData="1">
    <dbPr connection="Provider=Microsoft.Mashup.OleDb.1;Data Source=$Workbook$;Location=tblBEYANLAR;Extended Properties=&quot;&quot;" command="SELECT * FROM [tblBEYANLAR]"/>
  </connection>
  <connection id="10" xr16:uid="{FCFFD36E-76BF-4785-8927-1F190C8FA70D}" keepAlive="1" name="Sorgu - tblIPOTEKLER" description="Çalışma kitabındaki 'tblIPOTEKLER' sorgusuna yönelik bağlantı." type="5" refreshedVersion="8" saveData="1">
    <dbPr connection="Provider=Microsoft.Mashup.OleDb.1;Data Source=$Workbook$;Location=tblIPOTEKLER;Extended Properties=&quot;&quot;" command="SELECT * FROM [tblIPOTEKLER]"/>
  </connection>
  <connection id="11" xr16:uid="{C3789169-3825-4740-8EE3-001ABA581B22}" keepAlive="1" name="Sorgu - tblPDF" description="Çalışma kitabındaki 'tblPDF' sorgusuna yönelik bağlantı." type="5" refreshedVersion="8" saveData="1">
    <dbPr connection="Provider=Microsoft.Mashup.OleDb.1;Data Source=$Workbook$;Location=tblPDF;Extended Properties=&quot;&quot;" command="SELECT * FROM [tblPDF]"/>
  </connection>
  <connection id="12" xr16:uid="{656B34A0-DB63-440A-93AB-AA0A26390DD1}" keepAlive="1" name="Sorgu - tblTakyidatTarihSaat" description="Çalışma kitabındaki 'tblTakyidatTarihSaat' sorgusuna yönelik bağlantı." type="5" refreshedVersion="8" saveData="1">
    <dbPr connection="Provider=Microsoft.Mashup.OleDb.1;Data Source=$Workbook$;Location=tblTakyidatTarihSaat;Extended Properties=&quot;&quot;" command="SELECT * FROM [tblTakyidatTarihSaat]"/>
  </connection>
  <connection id="13" xr16:uid="{9C3F1C69-4DDD-4A9B-A7A1-7BF410A2E5EB}" keepAlive="1" name="Sorgu - TKB_20251216185150329050 pdf" description="Çalışma kitabındaki 'TKB_20251216185150329050 pdf' sorgusuna yönelik bağlantı." type="5" refreshedVersion="0" background="1">
    <dbPr connection="Provider=Microsoft.Mashup.OleDb.1;Data Source=$Workbook$;Location=&quot;TKB_20251216185150329050 pdf&quot;;Extended Properties=&quot;&quot;" command="SELECT * FROM [TKB_20251216185150329050 pdf]"/>
  </connection>
  <connection id="14" xr16:uid="{A0CE29AA-6FD6-4A40-9D3F-CE6F923ECAAA}" keepAlive="1" name="Sorgu - TKB_20251216185150329050 pdf (2)" description="Çalışma kitabındaki 'TKB_20251216185150329050 pdf (2)' sorgusuna yönelik bağlantı." type="5" refreshedVersion="8" saveData="1">
    <dbPr connection="Provider=Microsoft.Mashup.OleDb.1;Data Source=$Workbook$;Location=&quot;TKB_20251216185150329050 pdf (2)&quot;;Extended Properties=&quot;&quot;" command="SELECT * FROM [TKB_20251216185150329050 pdf (2)]"/>
  </connection>
  <connection id="15" xr16:uid="{9B729D8C-3333-42C6-8F69-5251C9E1BCA8}" keepAlive="1" name="ThisWorkbookDataModel" description="Veri Modeli"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<sst xmlns="http://schemas.openxmlformats.org/spreadsheetml/2006/main" count="6445" uniqueCount="3402">
  <si>
    <t>BİNA NO</t>
  </si>
  <si>
    <t>UAVT KODU</t>
  </si>
  <si>
    <t>KAT</t>
  </si>
  <si>
    <t>İL</t>
  </si>
  <si>
    <t>İLÇE</t>
  </si>
  <si>
    <t>BÖLGE YAPILAŞMA KAT ADEDİ</t>
  </si>
  <si>
    <t>BÖLGE YAPILAŞMA KUL. AMACI</t>
  </si>
  <si>
    <t>BÖLGE YAPILAŞMA NİZAMI</t>
  </si>
  <si>
    <t>ALTYAPI OLANAKLARI</t>
  </si>
  <si>
    <t>BÖLGE GELİR SEVİYESİ</t>
  </si>
  <si>
    <t>YAKIN ÇEVRESİNDE BULUNAN ÖNEMLİ ARTERLER</t>
  </si>
  <si>
    <t>BLOK</t>
  </si>
  <si>
    <t>DAİRE</t>
  </si>
  <si>
    <t>YAPI SINIFI</t>
  </si>
  <si>
    <t>BLOK ADEDİ</t>
  </si>
  <si>
    <t>PROJE İNCELENEN KURUM</t>
  </si>
  <si>
    <t>ASMA</t>
  </si>
  <si>
    <t>ÇATI</t>
  </si>
  <si>
    <t>TERAS</t>
  </si>
  <si>
    <t>İMAR DURUMU</t>
  </si>
  <si>
    <t>İMAR PLAN ÖLÇEĞİ</t>
  </si>
  <si>
    <t>İMAR NİZAMI</t>
  </si>
  <si>
    <t>KAT ADEDİ</t>
  </si>
  <si>
    <t>HMAX</t>
  </si>
  <si>
    <t>TAKS</t>
  </si>
  <si>
    <t>KAKS</t>
  </si>
  <si>
    <t>ÖN BAHÇE</t>
  </si>
  <si>
    <t>YAN BAHÇE</t>
  </si>
  <si>
    <t>İÇ HACİMLER</t>
  </si>
  <si>
    <t>EMSALLER</t>
  </si>
  <si>
    <t xml:space="preserve">Konu taşınmazın değerlemesinde yakın çevresinde yer alan benzer özellikteki satılık emsallerden faydalanılmış olup emsal alanları mal sahipleri ve emlak ofisleri tarafından ifade edilmiş olup gerçekçi alanlardan %10 ile %20 oranında fazla söylendiği tahmin edilmektedir. </t>
  </si>
  <si>
    <t>DEĞERLENDİRME METNİ</t>
  </si>
  <si>
    <t>DEĞERLEME BÖLÜMÜ</t>
  </si>
  <si>
    <t>M2 BİRİM</t>
  </si>
  <si>
    <t>Osmangazi</t>
  </si>
  <si>
    <t>SOKAK/CADDE</t>
  </si>
  <si>
    <t>BAĞIMSIZ BÖLÜM NİTELİĞİ</t>
  </si>
  <si>
    <t>ayrık</t>
  </si>
  <si>
    <t>bitişik</t>
  </si>
  <si>
    <t>blok</t>
  </si>
  <si>
    <t>ikiz</t>
  </si>
  <si>
    <t>zemin ve normal katları konut</t>
  </si>
  <si>
    <t>zemin katları işyeri, normal katları konut</t>
  </si>
  <si>
    <t>zemin katları işyeri, normal katları ofis</t>
  </si>
  <si>
    <t>alt</t>
  </si>
  <si>
    <t>alt ve orta</t>
  </si>
  <si>
    <t>orta</t>
  </si>
  <si>
    <t>orta ve üst</t>
  </si>
  <si>
    <t>üst</t>
  </si>
  <si>
    <t>dairedir.</t>
  </si>
  <si>
    <t>ofistir.</t>
  </si>
  <si>
    <t>dükkandır.</t>
  </si>
  <si>
    <t>iyi</t>
  </si>
  <si>
    <t>vasat</t>
  </si>
  <si>
    <t>B.BÖLÜM KULLANIM AMACI</t>
  </si>
  <si>
    <t>ikamet</t>
  </si>
  <si>
    <t>ticaret</t>
  </si>
  <si>
    <t>ikamet ve ticaret</t>
  </si>
  <si>
    <t>kütle</t>
  </si>
  <si>
    <t>BİNA YAPI TARZI</t>
  </si>
  <si>
    <t>3/A</t>
  </si>
  <si>
    <t>3/B</t>
  </si>
  <si>
    <t>4/A</t>
  </si>
  <si>
    <t>4/B</t>
  </si>
  <si>
    <t>4/C</t>
  </si>
  <si>
    <t>tek</t>
  </si>
  <si>
    <t>YAPI YAŞI</t>
  </si>
  <si>
    <t>Konut</t>
  </si>
  <si>
    <t>İMAR LEJANTLARI</t>
  </si>
  <si>
    <t>Ticaret</t>
  </si>
  <si>
    <t>Konut + Ticaret</t>
  </si>
  <si>
    <t>bodrum kat</t>
  </si>
  <si>
    <t>zemin kat</t>
  </si>
  <si>
    <t>ara kat</t>
  </si>
  <si>
    <t>asma kat</t>
  </si>
  <si>
    <t>normal kat</t>
  </si>
  <si>
    <t>çatı kat</t>
  </si>
  <si>
    <t>teras kat</t>
  </si>
  <si>
    <t>B.BÖLÜM NO</t>
  </si>
  <si>
    <t>PLAN ADI</t>
  </si>
  <si>
    <t>PLAN ÖLÇEĞİ</t>
  </si>
  <si>
    <t>PLAN TARİHİ</t>
  </si>
  <si>
    <t>LEJANT</t>
  </si>
  <si>
    <t>DİĞER NOTLAR</t>
  </si>
  <si>
    <t>NK</t>
  </si>
  <si>
    <t>NK2</t>
  </si>
  <si>
    <t>4.B</t>
  </si>
  <si>
    <t>3.B</t>
  </si>
  <si>
    <t>2.B</t>
  </si>
  <si>
    <t>1.B</t>
  </si>
  <si>
    <t>Z</t>
  </si>
  <si>
    <t>ARA</t>
  </si>
  <si>
    <t>KAT DAĞILIMLARI</t>
  </si>
  <si>
    <t>DIŞ CEPHE KAP.</t>
  </si>
  <si>
    <t>MERD.BAS. VE SAH</t>
  </si>
  <si>
    <t>APT. İÇ DUVARLAR</t>
  </si>
  <si>
    <t>TOPLAM KAT ADEDİ</t>
  </si>
  <si>
    <t>kat</t>
  </si>
  <si>
    <t>TARİH</t>
  </si>
  <si>
    <t>NO</t>
  </si>
  <si>
    <t xml:space="preserve">PROJE İNCELENEN KURUMLAR </t>
  </si>
  <si>
    <t>KATLAR</t>
  </si>
  <si>
    <t>ORTAK ALANLAR</t>
  </si>
  <si>
    <t>daire</t>
  </si>
  <si>
    <t>dükkan</t>
  </si>
  <si>
    <t>ofis</t>
  </si>
  <si>
    <t>depo</t>
  </si>
  <si>
    <t>PROJEYE UYGUNLUK</t>
  </si>
  <si>
    <t>uygundur.</t>
  </si>
  <si>
    <t>mimari olarak uygun değildir.</t>
  </si>
  <si>
    <t>blok bazında konum olarak uygun değildir.</t>
  </si>
  <si>
    <t>ISINMA TÜRÜ</t>
  </si>
  <si>
    <t xml:space="preserve">ASANSÖR </t>
  </si>
  <si>
    <t>depodur.</t>
  </si>
  <si>
    <t>7. bodrum kat</t>
  </si>
  <si>
    <t>6. bodrum kat</t>
  </si>
  <si>
    <t>5. bodrum kat</t>
  </si>
  <si>
    <t>4. bodrum kat</t>
  </si>
  <si>
    <t>3. bodrum kat</t>
  </si>
  <si>
    <t>2. bodrum kat</t>
  </si>
  <si>
    <t>1. bodrum kat</t>
  </si>
  <si>
    <t>1. normal kat</t>
  </si>
  <si>
    <t>2. normal kat</t>
  </si>
  <si>
    <t>3. normal kat</t>
  </si>
  <si>
    <t>4. normal kat</t>
  </si>
  <si>
    <t>5. normal kat</t>
  </si>
  <si>
    <t>6. normal kat</t>
  </si>
  <si>
    <t>7. normal kat</t>
  </si>
  <si>
    <t>8. normal kat</t>
  </si>
  <si>
    <t>9. normal kat</t>
  </si>
  <si>
    <t>10. normal kat</t>
  </si>
  <si>
    <t>11. normal kat</t>
  </si>
  <si>
    <t>12. normal kat</t>
  </si>
  <si>
    <t>13. normal kat</t>
  </si>
  <si>
    <t>14. normal kat</t>
  </si>
  <si>
    <t>15. normal kat</t>
  </si>
  <si>
    <t>16. normal kat</t>
  </si>
  <si>
    <t>17. normal kat</t>
  </si>
  <si>
    <t>18. normal kat</t>
  </si>
  <si>
    <t>19. normal kat</t>
  </si>
  <si>
    <t>20. normal kat</t>
  </si>
  <si>
    <t>21. normal kat</t>
  </si>
  <si>
    <t>22. normal kat</t>
  </si>
  <si>
    <t>23. normal kat</t>
  </si>
  <si>
    <t>24. normal kat</t>
  </si>
  <si>
    <t>25. normal kat</t>
  </si>
  <si>
    <t>AÇIKLAMA</t>
  </si>
  <si>
    <t>salon</t>
  </si>
  <si>
    <t>oda</t>
  </si>
  <si>
    <t>mutfak</t>
  </si>
  <si>
    <t>banyo</t>
  </si>
  <si>
    <t>wc</t>
  </si>
  <si>
    <t>balkon</t>
  </si>
  <si>
    <t>teras</t>
  </si>
  <si>
    <t>duş</t>
  </si>
  <si>
    <t>antre-hol</t>
  </si>
  <si>
    <t>SOSYAL TESİSLER</t>
  </si>
  <si>
    <t>yok</t>
  </si>
  <si>
    <t>İNŞAAT SEVİYE</t>
  </si>
  <si>
    <t>ARKA BAHÇE</t>
  </si>
  <si>
    <t>1/A</t>
  </si>
  <si>
    <t>1/B</t>
  </si>
  <si>
    <t>2/A</t>
  </si>
  <si>
    <t>2/B</t>
  </si>
  <si>
    <t>2/C</t>
  </si>
  <si>
    <t>5/A</t>
  </si>
  <si>
    <t>5/B</t>
  </si>
  <si>
    <t>5/C</t>
  </si>
  <si>
    <t>5/D</t>
  </si>
  <si>
    <t>1.</t>
  </si>
  <si>
    <t>DEPREM DERECESİ</t>
  </si>
  <si>
    <t>ULAŞIM ANA ARTERİ</t>
  </si>
  <si>
    <t>SİGORTAYA ESAS DEĞER</t>
  </si>
  <si>
    <t xml:space="preserve">inşaatı yeni tamamlanmış veya inşaatı devam eden konut </t>
  </si>
  <si>
    <t>inşaatı yeni tamamlanmış veya inşaatı devam eden konut ve ticaret</t>
  </si>
  <si>
    <t>%</t>
  </si>
  <si>
    <t>HİSSELİ Mİ?</t>
  </si>
  <si>
    <t>Manzara Var mı?</t>
  </si>
  <si>
    <t>B. GİRİŞ KAPISI</t>
  </si>
  <si>
    <t>7. bodrum</t>
  </si>
  <si>
    <t>6. bodrum</t>
  </si>
  <si>
    <t>5. bodrum</t>
  </si>
  <si>
    <t>4. bodrum</t>
  </si>
  <si>
    <t>3. bodrum</t>
  </si>
  <si>
    <t>2. bodrum</t>
  </si>
  <si>
    <t>1. bodrum</t>
  </si>
  <si>
    <t>zemin</t>
  </si>
  <si>
    <t>asma</t>
  </si>
  <si>
    <t>ara</t>
  </si>
  <si>
    <t>1. normal</t>
  </si>
  <si>
    <t>2. normal</t>
  </si>
  <si>
    <t>3. normal</t>
  </si>
  <si>
    <t>4. normal</t>
  </si>
  <si>
    <t>5. normal</t>
  </si>
  <si>
    <t>BİNA GİRİŞ KAT / YÖNÜ</t>
  </si>
  <si>
    <t>veranda</t>
  </si>
  <si>
    <t>kiler</t>
  </si>
  <si>
    <t>sığınak</t>
  </si>
  <si>
    <t>çamaşırlık</t>
  </si>
  <si>
    <t>kömürlük</t>
  </si>
  <si>
    <t>otopark</t>
  </si>
  <si>
    <t>ZEMİNLER</t>
  </si>
  <si>
    <t>DUVARLAR</t>
  </si>
  <si>
    <t>laminant parke</t>
  </si>
  <si>
    <t>ahşap parke</t>
  </si>
  <si>
    <t>seramik</t>
  </si>
  <si>
    <t>fayans</t>
  </si>
  <si>
    <t>granit</t>
  </si>
  <si>
    <t>mineflö</t>
  </si>
  <si>
    <t>marley</t>
  </si>
  <si>
    <t>şap</t>
  </si>
  <si>
    <t>alçı sıva üzeri saten boya</t>
  </si>
  <si>
    <t>plastik boya</t>
  </si>
  <si>
    <t>duvar kağıdı kaplı</t>
  </si>
  <si>
    <t>mermer</t>
  </si>
  <si>
    <t>sıvalı</t>
  </si>
  <si>
    <t>sıvasız</t>
  </si>
  <si>
    <t>karotaş</t>
  </si>
  <si>
    <t>sedef boya</t>
  </si>
  <si>
    <t>beton</t>
  </si>
  <si>
    <t>KAPILAR</t>
  </si>
  <si>
    <t>camlı ahşap</t>
  </si>
  <si>
    <t>amerikan</t>
  </si>
  <si>
    <t>ahşap panel</t>
  </si>
  <si>
    <t>PVC</t>
  </si>
  <si>
    <t>alüminyum</t>
  </si>
  <si>
    <t>membran</t>
  </si>
  <si>
    <t>lake</t>
  </si>
  <si>
    <t>PENCERE DOĞRAMALARI</t>
  </si>
  <si>
    <t>ahşap görünümlü PVC</t>
  </si>
  <si>
    <t>ahşap</t>
  </si>
  <si>
    <t>MUTFAK DOLAPLARI</t>
  </si>
  <si>
    <t>MDF</t>
  </si>
  <si>
    <t>Hazır</t>
  </si>
  <si>
    <t>Ahşap</t>
  </si>
  <si>
    <t>Lamine</t>
  </si>
  <si>
    <t>henüz montajı yapılmamış,</t>
  </si>
  <si>
    <t>TEZGAH</t>
  </si>
  <si>
    <t>mermerit</t>
  </si>
  <si>
    <t>2 oda</t>
  </si>
  <si>
    <t>3 oda</t>
  </si>
  <si>
    <t>4 oda</t>
  </si>
  <si>
    <t>5 oda</t>
  </si>
  <si>
    <t>YASAL</t>
  </si>
  <si>
    <t>MEVCUT</t>
  </si>
  <si>
    <t>DIŞ KAPI</t>
  </si>
  <si>
    <t>İÇ KAPILAR</t>
  </si>
  <si>
    <t>PENCERELER</t>
  </si>
  <si>
    <t>RESMİ KURUM İNCELEMELERİ</t>
  </si>
  <si>
    <t>ANA GAYRİMENKUL KATLAR</t>
  </si>
  <si>
    <t>DEKORATİF ÖZELLİKLER</t>
  </si>
  <si>
    <t>MUTFAK DOLABI VE TEZGAH</t>
  </si>
  <si>
    <t xml:space="preserve">salon, </t>
  </si>
  <si>
    <t xml:space="preserve">mutfak, </t>
  </si>
  <si>
    <t xml:space="preserve">banyo, </t>
  </si>
  <si>
    <t xml:space="preserve">wc, </t>
  </si>
  <si>
    <t xml:space="preserve">duş, </t>
  </si>
  <si>
    <t xml:space="preserve">balkon, </t>
  </si>
  <si>
    <t xml:space="preserve">teras, </t>
  </si>
  <si>
    <t xml:space="preserve">veranda, </t>
  </si>
  <si>
    <t xml:space="preserve">kiler, </t>
  </si>
  <si>
    <t xml:space="preserve">depo, </t>
  </si>
  <si>
    <t xml:space="preserve">sığınak, </t>
  </si>
  <si>
    <t xml:space="preserve">çamaşırlık, </t>
  </si>
  <si>
    <t xml:space="preserve">kömürlük, </t>
  </si>
  <si>
    <t xml:space="preserve">otopark, </t>
  </si>
  <si>
    <t>2 teras,</t>
  </si>
  <si>
    <t>çelik</t>
  </si>
  <si>
    <t>RANDEVU BİLGİSİ</t>
  </si>
  <si>
    <t>SAAT</t>
  </si>
  <si>
    <t>13:00</t>
  </si>
  <si>
    <t>DERECE</t>
  </si>
  <si>
    <t>YEVMİYE NO</t>
  </si>
  <si>
    <t>YEV. NO</t>
  </si>
  <si>
    <t>BEYANLAR BÖLÜMÜ</t>
  </si>
  <si>
    <t>HAK VE MÜKELLEFİYETLER BÖLÜMÜ</t>
  </si>
  <si>
    <t>REHİNLER BÖLÜMÜ</t>
  </si>
  <si>
    <t>ALACAKLI</t>
  </si>
  <si>
    <t>TUTAR</t>
  </si>
  <si>
    <t>ŞERHLER BÖLÜMÜ</t>
  </si>
  <si>
    <t>ŞERH TÜRÜ</t>
  </si>
  <si>
    <t>BEYAN</t>
  </si>
  <si>
    <t>REHİN</t>
  </si>
  <si>
    <t>ŞERH</t>
  </si>
  <si>
    <t>MÜKELLEFİYET</t>
  </si>
  <si>
    <t>ŞERHLER</t>
  </si>
  <si>
    <t>davalıdır şerhi</t>
  </si>
  <si>
    <t>kat karşılığı inşaat sözleşmesi şerhi</t>
  </si>
  <si>
    <t>muvakkat inşaat şerhi</t>
  </si>
  <si>
    <t>Cebri İcra Satısının Tescili</t>
  </si>
  <si>
    <t xml:space="preserve">2 balkon, </t>
  </si>
  <si>
    <t xml:space="preserve">3 balkon, </t>
  </si>
  <si>
    <t xml:space="preserve">4 balkon, </t>
  </si>
  <si>
    <t xml:space="preserve">antre-hol </t>
  </si>
  <si>
    <t>Yeni Yapı Ruhsatı</t>
  </si>
  <si>
    <t>BELGE TÜRÜ</t>
  </si>
  <si>
    <t>Tadilat Ruhsatı</t>
  </si>
  <si>
    <t>Yenileme Ruhsatı</t>
  </si>
  <si>
    <t>Yeniden Yapı Ruhsatı</t>
  </si>
  <si>
    <t>İlave Ruhsatı</t>
  </si>
  <si>
    <t>Kat İlavesi Ruhsatı</t>
  </si>
  <si>
    <t>Güçlendirme Ruhsatı</t>
  </si>
  <si>
    <t>Geçici Ruhsat</t>
  </si>
  <si>
    <t>Restorasyon Ruhsatı</t>
  </si>
  <si>
    <t>İsim Değişikliği Ruhsatı</t>
  </si>
  <si>
    <t>Kullanım Değişimi Ruhsatı</t>
  </si>
  <si>
    <t>Yıldırım</t>
  </si>
  <si>
    <t>Gürsu</t>
  </si>
  <si>
    <t>Nilüfer</t>
  </si>
  <si>
    <t>Mudanya</t>
  </si>
  <si>
    <t>Gemlik</t>
  </si>
  <si>
    <t>Kestel</t>
  </si>
  <si>
    <t>İnegöl</t>
  </si>
  <si>
    <t>Yenişehir</t>
  </si>
  <si>
    <t>İznik</t>
  </si>
  <si>
    <t>Orhangazi</t>
  </si>
  <si>
    <t>Karacabey</t>
  </si>
  <si>
    <t>Mustafa Kemalpaşa</t>
  </si>
  <si>
    <t>Orhaneli</t>
  </si>
  <si>
    <t>Keles</t>
  </si>
  <si>
    <t>Büyükorhan</t>
  </si>
  <si>
    <t>Harmancık</t>
  </si>
  <si>
    <t>BELEDİYE PROJE TARİH</t>
  </si>
  <si>
    <t>katı yakıtlı soba</t>
  </si>
  <si>
    <t>projeye uygunluk tespit edilememiştir.</t>
  </si>
  <si>
    <t>BELEDİYE PROJE NO</t>
  </si>
  <si>
    <t>TAPU PROJESİNE UYGUN MU?</t>
  </si>
  <si>
    <t>kullanım alanı ve mimari olarak uygun değildir.</t>
  </si>
  <si>
    <t>kullanım alanı  olarak uygun değildir.</t>
  </si>
  <si>
    <t>PROJEYE UYGUNLUK AÇIKLAMA</t>
  </si>
  <si>
    <t>İLÇELER</t>
  </si>
  <si>
    <t>RUHSATLAR</t>
  </si>
  <si>
    <t>Projesi Bulunmamaktadır.</t>
  </si>
  <si>
    <t>BELEDİYE PROJESİNE UYGUN MU?</t>
  </si>
  <si>
    <t>mimari olarak</t>
  </si>
  <si>
    <t>blok bazında konum olarak</t>
  </si>
  <si>
    <t>kattaki konum olarak</t>
  </si>
  <si>
    <t>kullanım alanı olarak</t>
  </si>
  <si>
    <t>kullanım alanı ve mimari olarak</t>
  </si>
  <si>
    <t>henüz montajı yapılmamış</t>
  </si>
  <si>
    <t>doğalgaz kombi</t>
  </si>
  <si>
    <t>klima</t>
  </si>
  <si>
    <t>merkezi sistem</t>
  </si>
  <si>
    <t>merkezi sistem ısı pay ölçer</t>
  </si>
  <si>
    <t>Islak hacimler</t>
  </si>
  <si>
    <t>balkon/teras</t>
  </si>
  <si>
    <t>seçiniz..</t>
  </si>
  <si>
    <t>Salon</t>
  </si>
  <si>
    <t>Oda</t>
  </si>
  <si>
    <t>Mutfak</t>
  </si>
  <si>
    <t>Teras</t>
  </si>
  <si>
    <t>villa tipi konut</t>
  </si>
  <si>
    <t>inşa edilmiş apartman içinde yer almaktadır.</t>
  </si>
  <si>
    <t>%60 - %100</t>
  </si>
  <si>
    <t>%40 - %60</t>
  </si>
  <si>
    <t>%0 -%40</t>
  </si>
  <si>
    <t>manzara yok</t>
  </si>
  <si>
    <t>2.</t>
  </si>
  <si>
    <t>Trampa</t>
  </si>
  <si>
    <t>AYNA SİMETRİĞİ TEKNİĞİ</t>
  </si>
  <si>
    <t>TARAFIMIZA GÖSTERİLEN BAĞIMSIZ BÖLÜMÜN KATI, GİRİŞE GÖRE KONUMU VE BB NO'SU</t>
  </si>
  <si>
    <t>çatı</t>
  </si>
  <si>
    <t>Çatı</t>
  </si>
  <si>
    <t>Zemin</t>
  </si>
  <si>
    <t>Asma</t>
  </si>
  <si>
    <t>Ara</t>
  </si>
  <si>
    <t>7. Bodrum</t>
  </si>
  <si>
    <t>6. Bodrum</t>
  </si>
  <si>
    <t>5. Bodrum</t>
  </si>
  <si>
    <t>4. Bodrum</t>
  </si>
  <si>
    <t>3. Bodrum</t>
  </si>
  <si>
    <t>2. Bodrum</t>
  </si>
  <si>
    <t>1. Bodrum</t>
  </si>
  <si>
    <t>3.</t>
  </si>
  <si>
    <t>4.</t>
  </si>
  <si>
    <t>5.</t>
  </si>
  <si>
    <t>6.</t>
  </si>
  <si>
    <t>7.</t>
  </si>
  <si>
    <t>8.</t>
  </si>
  <si>
    <t>9.</t>
  </si>
  <si>
    <t>10.</t>
  </si>
  <si>
    <t>11.</t>
  </si>
  <si>
    <t>12.</t>
  </si>
  <si>
    <t>13.</t>
  </si>
  <si>
    <t>14.</t>
  </si>
  <si>
    <t>15.</t>
  </si>
  <si>
    <t>16.</t>
  </si>
  <si>
    <t>17.</t>
  </si>
  <si>
    <t>18.</t>
  </si>
  <si>
    <t>19.</t>
  </si>
  <si>
    <t>20.</t>
  </si>
  <si>
    <t>21.</t>
  </si>
  <si>
    <t>22.</t>
  </si>
  <si>
    <t>23.</t>
  </si>
  <si>
    <t>24.</t>
  </si>
  <si>
    <t>25.</t>
  </si>
  <si>
    <t>bağımsız bölüm bazında konum olarak</t>
  </si>
  <si>
    <t>PROJE ALAN</t>
  </si>
  <si>
    <t>MEVCUT ALAN</t>
  </si>
  <si>
    <t>TERAS ALAN</t>
  </si>
  <si>
    <t>7. bodrum katı</t>
  </si>
  <si>
    <t>6. bodrum katı</t>
  </si>
  <si>
    <t>5. bodrum katı</t>
  </si>
  <si>
    <t>4. bodrum katı</t>
  </si>
  <si>
    <t>3. bodrum katı</t>
  </si>
  <si>
    <t>2. bodrum katı</t>
  </si>
  <si>
    <t>1. bodrum katı</t>
  </si>
  <si>
    <t>1. normal katı</t>
  </si>
  <si>
    <t>2. normal katı</t>
  </si>
  <si>
    <t>3. normal katı</t>
  </si>
  <si>
    <t>4. normal katı</t>
  </si>
  <si>
    <t>5. normal katı</t>
  </si>
  <si>
    <t>6. normal katı</t>
  </si>
  <si>
    <t>7. normal katı</t>
  </si>
  <si>
    <t>8. normal katı</t>
  </si>
  <si>
    <t>9. normal katı</t>
  </si>
  <si>
    <t>10. normal katı</t>
  </si>
  <si>
    <t>11. normal katı</t>
  </si>
  <si>
    <t>12. normal katı</t>
  </si>
  <si>
    <t>13. normal katı</t>
  </si>
  <si>
    <t>14. normal katı</t>
  </si>
  <si>
    <t>15. normal katı</t>
  </si>
  <si>
    <t>16. normal katı</t>
  </si>
  <si>
    <t>17. normal katı</t>
  </si>
  <si>
    <t>18. normal katı</t>
  </si>
  <si>
    <t>19. normal katı</t>
  </si>
  <si>
    <t>20. normal katı</t>
  </si>
  <si>
    <t>21. normal katı</t>
  </si>
  <si>
    <t>22. normal katı</t>
  </si>
  <si>
    <t>23. normal katı</t>
  </si>
  <si>
    <t>24. normal katı</t>
  </si>
  <si>
    <t>25. normal katı</t>
  </si>
  <si>
    <t>Zemin katı</t>
  </si>
  <si>
    <t>Asma katı</t>
  </si>
  <si>
    <t>Ara katı</t>
  </si>
  <si>
    <t>Çatı katı</t>
  </si>
  <si>
    <t>Teras katı</t>
  </si>
  <si>
    <t>SATIŞ KABİLİYETİ</t>
  </si>
  <si>
    <t>BANYO VİTRİFİYE ELEMANLARI</t>
  </si>
  <si>
    <t>VİTRİFİYE</t>
  </si>
  <si>
    <t>lavabo</t>
  </si>
  <si>
    <t>hilton lavabo</t>
  </si>
  <si>
    <t>klozet</t>
  </si>
  <si>
    <t>duşakabin</t>
  </si>
  <si>
    <t>küvet</t>
  </si>
  <si>
    <t>sauna</t>
  </si>
  <si>
    <t>jakuzi</t>
  </si>
  <si>
    <t>sol</t>
  </si>
  <si>
    <t>EVET</t>
  </si>
  <si>
    <t>Onaylı mimari projesine göre  =bb.no bağımsız bölüm nolu taşınmaz binanın =kat.3 =bgyön yönünden sağlanan bina girişine göre =GİRİŞEGÖREKONUM tarafta kalmakta olup değerleme tarihi itibarı ile tarafımıza binanın =trampakat. katında bina girişine göre =trampayön tarafta kalan =trampabbno bağımsız bölüm nolu taşınmaz gösterilmiştir.</t>
  </si>
  <si>
    <t>Trampa ve Ayna Simetrisi</t>
  </si>
  <si>
    <t xml:space="preserve">Tarafımıza gösterilen taşınmazın konumlu olduğu bina incelenen kat planlarına göre =aynayön ayna simetrisi tekniği ile inşa edildiği tespit edilmiştir. Tarafımıza ayna simetrisi inşaat tekniği uygulandıktan sonra binanın =trampakat. katında bina girişine göre =trampayön tarafta kalan =trampabbno bağımsız bölüm nolu taşınmaz gösterilmiştir. </t>
  </si>
  <si>
    <t>Ayna Simetrisi (Konum Etkilenmiyor.)</t>
  </si>
  <si>
    <t>Tarafımıza gösterilen taşınmazın konumlu olduğu bina incelenen kat planlarına göre =aynayön ayna simetrisi tekniği ile inşa edildiği tespit edilmiştir.</t>
  </si>
  <si>
    <t>geniş deniz manzarası</t>
  </si>
  <si>
    <t>kısmi deniz manzarası</t>
  </si>
  <si>
    <t>orman manzarası</t>
  </si>
  <si>
    <t>şehir manzarası</t>
  </si>
  <si>
    <t>Taşınmaz geniş deniz manzarasına sahiptir.</t>
  </si>
  <si>
    <t>Taşınmaz kısmi deniz manzarasına sahiptir.</t>
  </si>
  <si>
    <t>Taşınmaz şehir manzarasına sahiptir.</t>
  </si>
  <si>
    <t>OLUMLU ÖZELLİKLER</t>
  </si>
  <si>
    <t>OLUMSUZ ÖZELLİKLER</t>
  </si>
  <si>
    <t>dikey</t>
  </si>
  <si>
    <t>Taşınmaz orman ve doğa manzarasına sahiptir.</t>
  </si>
  <si>
    <t>MALZEME VE İŞÇİLİK KALİTESİ</t>
  </si>
  <si>
    <t>kaliteli</t>
  </si>
  <si>
    <t>lüks</t>
  </si>
  <si>
    <t>vasat (kısmi tadilat ihtiyacı)</t>
  </si>
  <si>
    <t>kötü (kapsamlı tadilat ihtiyacı)</t>
  </si>
  <si>
    <t>Deprem Yön</t>
  </si>
  <si>
    <t xml:space="preserve">Geniş deniz manzarasına sahip olması, </t>
  </si>
  <si>
    <t xml:space="preserve">Kısmi deniz manzarasına sahip olması, </t>
  </si>
  <si>
    <t xml:space="preserve">Orman manzarasına sahip olması, </t>
  </si>
  <si>
    <t xml:space="preserve">Şehir manzarasına sahip olması, </t>
  </si>
  <si>
    <t>Belediye</t>
  </si>
  <si>
    <t>ANA GAYRİMENKUL PROJESİNE UYGUN MU?</t>
  </si>
  <si>
    <t>HAYIR</t>
  </si>
  <si>
    <t>CEZAİ TUTANAK, YIKIM KARARI VB. VAR MI?</t>
  </si>
  <si>
    <t>Taşınmazın incelemesi şube bilgisi dahilinde dışarıdan yapılmış olup mimari uygunluk tespit edilememiştir. =anagyuygaçıklama =belprojetescil</t>
  </si>
  <si>
    <t xml:space="preserve"> =ILCE Belediyesi İmar Arşivinde incelenen onaylı mimari projesine göre  =bb.no bağımsız bölüm nolu taşınmaz binanın =kat.3 =bgyön yönünden sağlanan bina girişine göre =GİRİŞEGÖREKONUM tarafta kalmakta olup değerleme tarihi itibarı ile tarafımıza binanın =trampakat. katında bina girişine göre =trampayön tarafta kalan =trampabbno bağımsız bölüm nolu taşınmaz gösterilmiştir.</t>
  </si>
  <si>
    <t xml:space="preserve"> =ILCE Tapu Müdürlüğü Arşivinde incelenen onaylı mimari projesine göre  =bb.no bağımsız bölüm nolu taşınmaz binanın =kat.3 =bgyön yönünden sağlanan bina girişine göre =GİRİŞEGÖREKONUM tarafta kalmakta olup değerleme tarihi itibarı ile tarafımıza binanın =trampakat. katında bina girişine göre =trampayön tarafta kalan =trampabbno bağımsız bölüm nolu taşınmaz gösterilmiştir.</t>
  </si>
  <si>
    <t>bel</t>
  </si>
  <si>
    <t>tapu</t>
  </si>
  <si>
    <t xml:space="preserve">Tarafımıza gösterilen taşınmazın konumlu olduğu bina =ILCE Tapu Müdürlüğünde incelenen kat planlarına göre =aynayön ayna simetrisi tekniği ile inşa edildiği tespit edilmiştir. Tarafımıza ayna simetrisi inşaat tekniği uygulandıktan sonra binanın =trampakat. katında bina girişine göre =trampayön tarafta kalan =trampabbno bağımsız bölüm nolu taşınmaz gösterilmiştir. </t>
  </si>
  <si>
    <t xml:space="preserve">Tarafımıza gösterilen taşınmazın konumlu olduğu bina =ILCE Belediyesi İmar Müdürlüğünde incelenen kat planlarına göre =aynayön ayna simetrisi tekniği ile inşa edildiği tespit edilmiştir. Tarafımıza ayna simetrisi inşaat tekniği uygulandıktan sonra binanın =trampakat. katında bina girişine göre =trampayön tarafta kalan =trampabbno bağımsız bölüm nolu taşınmaz gösterilmiştir. </t>
  </si>
  <si>
    <t>normal</t>
  </si>
  <si>
    <t>1. Derece</t>
  </si>
  <si>
    <t>dubleks</t>
  </si>
  <si>
    <t>tripleks</t>
  </si>
  <si>
    <t>fourleks</t>
  </si>
  <si>
    <t>ARSA PAYI</t>
  </si>
  <si>
    <t>ARSA M2 BİRİM DEĞERİ</t>
  </si>
  <si>
    <t>Yatay kat irtifakı</t>
  </si>
  <si>
    <t>Dikey kat irtifakı</t>
  </si>
  <si>
    <t>MÜLKİYET TÜRÜ</t>
  </si>
  <si>
    <t>villa</t>
  </si>
  <si>
    <t>villadır.</t>
  </si>
  <si>
    <t>YATAY KAT İRTİFAKI</t>
  </si>
  <si>
    <t>toplam =toplam_bb adet</t>
  </si>
  <si>
    <t>toplam =blokadedi blok ve =toplam_bb adet</t>
  </si>
  <si>
    <t>AMORTİSMAN</t>
  </si>
  <si>
    <t>Taşınmaz bakımlı olup tadilat ihtiyacı bulunmamaktadır. İç hacimlerde kullanılan malzeme ve işçilik kalitesi lüks seviyededir.</t>
  </si>
  <si>
    <t>Taşınmaz bakımlı olup tadilat ihtiyacı bulunmamaktadır.  İç hacimlerde kullanılan malzeme ve işçilik kalitesi orta seviyededir.</t>
  </si>
  <si>
    <t>Taşınmaz bakımlı olup tadilat ihtiyacı bulunmamaktadır. İç hacimlerde kullanılan malzeme ve işçilik kalitesi standart üstü seviyededir.</t>
  </si>
  <si>
    <t xml:space="preserve">Tarafımıza gösterilen taşınmazın konumlu olduğu bina incelenen kat planlarına göre =aynayön ayna simetrisi tekniği ile inşa edildiği tespit edilmiştir. Tarafımıza ayna simetrisi inşaat tekniği uygulandıktan sonra =trampabbno bağımsız bölüm nolu taşınmaz gösterilmiştir. </t>
  </si>
  <si>
    <t>Ekspertize konu taşınmaz =paypayda  =ARSAPAYI m2  arsa payına sahiptir. Taşınmaz projesine göre =ANAGY olmak üzere, toplam =ANA_GY_TOPLAM_KAT_ADEDİ adet kattan oluşmaktadır. Taşımazın =KATDAĞILIMALAN =aynasimetriaçıklama2 Yapılan ruhsata aykırı imalat taşınmazın konumunu etkilememektedir. =uygaçıklama Taşınmazın =İÇÖZELLİKLER2 =kapıpencere =mutfakdolapvetezgah =malzemeveişçilik =manzara1 Isınma sistemi =ISINMASİSTEMİ ile =sağlanmaktadır =inşaaseviye</t>
  </si>
  <si>
    <t>Ekspertize konu taşınmaz =paypayda  =ARSAPAYI m2  arsa payına sahiptir. Taşınmaz projesine göre =ANAGY olmak üzere, toplam =ANA_GY_TOPLAM_KAT_ADEDİ adet kattan oluşmaktadır. Taşımazın =KATDAĞILIMALAN 
=aynasimetri6 =uygaçıklama Tarafımıza gösterilen taşınmazın =TRAMPAİÇHACİM 
 Tarafımıza gösterilen taşınmazın iç özellikleri; =İÇÖZELLİKLER =kapıpencere =mutfakdolapvetezgah =malzemeveişçilik =manzara1 Isınma sistemi =ISINMASİSTEMİ ile =sağlanmaktadır =inşaaseviye</t>
  </si>
  <si>
    <t>Değerlemeye konu taşınmaz =anataşınmaznitelik nitelikli olup bağımsız bölüm içermemektedir.</t>
  </si>
  <si>
    <t>henüz montajı yapılmamıştır.</t>
  </si>
  <si>
    <t>Yok</t>
  </si>
  <si>
    <t>plastik boyalı</t>
  </si>
  <si>
    <t>mermer kaplı</t>
  </si>
  <si>
    <t>camlı demir</t>
  </si>
  <si>
    <t>SATIŞ KABİLİYETİ AÇIKLAMA</t>
  </si>
  <si>
    <t>DEĞERLEME METODU</t>
  </si>
  <si>
    <t>ŞEREFİYE</t>
  </si>
  <si>
    <t>dış cephe</t>
  </si>
  <si>
    <t>seramik kaplı</t>
  </si>
  <si>
    <t>mantolama üzeri plastik boyalı</t>
  </si>
  <si>
    <t>kompozit dış cephe malzemesi kaplı</t>
  </si>
  <si>
    <t>polimer asıllı dış cephe malzemesi kaplı</t>
  </si>
  <si>
    <t>kompakt laminat cephe kaplama sistemi ile kaplı</t>
  </si>
  <si>
    <t>ahşap kaplı</t>
  </si>
  <si>
    <t>ahşap panel kaplı</t>
  </si>
  <si>
    <t>dekoratif taş cephe kaplama malzemesi kaplı</t>
  </si>
  <si>
    <t>granit kaplı</t>
  </si>
  <si>
    <t>cephe kaplama tuğlası kaplı</t>
  </si>
  <si>
    <t>merdiven kaplama</t>
  </si>
  <si>
    <t>karomozaik kaplı</t>
  </si>
  <si>
    <t>henüz kaplaması yapılmamış vaziyette</t>
  </si>
  <si>
    <t>fayans kaplı</t>
  </si>
  <si>
    <t>apt iç duvarlar</t>
  </si>
  <si>
    <t>bina giriş kapısı</t>
  </si>
  <si>
    <t>camlı alüminyum</t>
  </si>
  <si>
    <t>demir doğrama</t>
  </si>
  <si>
    <t>ferforje</t>
  </si>
  <si>
    <t>ahşap kaplı çelik</t>
  </si>
  <si>
    <t>camlı demir doğramadır.</t>
  </si>
  <si>
    <t>camlı alüminyum doğramadır.</t>
  </si>
  <si>
    <t>demir doğramadır.</t>
  </si>
  <si>
    <t>ferforjedir.</t>
  </si>
  <si>
    <t>ahşap kaplı çelik doğramadır.</t>
  </si>
  <si>
    <t>sağ</t>
  </si>
  <si>
    <t>sağ ön</t>
  </si>
  <si>
    <t>sağ arka</t>
  </si>
  <si>
    <t>sol ön</t>
  </si>
  <si>
    <t>sol arka</t>
  </si>
  <si>
    <t>ön</t>
  </si>
  <si>
    <t>arka</t>
  </si>
  <si>
    <t>projesinde =bgyön yönünden sağlanan bina giriş istikametine göre sağ tarafta konumlu</t>
  </si>
  <si>
    <t>projesinde =bgyön yönünden sağlanan bina giriş istikametine göre sağ ön tarafta konumlu</t>
  </si>
  <si>
    <t>projesinde =bgyön yönünden sağlanan bina giriş istikametine göre sağ arka tarafta konumlu</t>
  </si>
  <si>
    <t>projesinde =bgyön yönünden sağlanan bina giriş istikametine göre sol tarafta konumlu</t>
  </si>
  <si>
    <t>projesinde =bgyön yönünden sağlanan bina giriş istikametine göre sol ön tarafta konumlu</t>
  </si>
  <si>
    <t>projesinde =bgyön yönünden sağlanan bina giriş istikametine göre sol arka tarafta konumlu</t>
  </si>
  <si>
    <t>projesinde =bgyön yönünden sağlanan bina giriş istikametine göre ön tarafta konumlu</t>
  </si>
  <si>
    <t>projesinde =bgyön yönünden sağlanan bina giriş istikametine göre arka tarafta konumlu</t>
  </si>
  <si>
    <r>
      <t xml:space="preserve">Ekspertize konu taşınmaz, incelenen onaylı mimari projesine göre, binanın </t>
    </r>
    <r>
      <rPr>
        <sz val="11"/>
        <color rgb="FFFF0000"/>
        <rFont val="Calibri"/>
        <family val="2"/>
        <charset val="162"/>
        <scheme val="minor"/>
      </rPr>
      <t>=KAT.3</t>
    </r>
    <r>
      <rPr>
        <sz val="11"/>
        <color theme="1"/>
        <rFont val="Calibri"/>
        <family val="2"/>
        <scheme val="minor"/>
      </rPr>
      <t xml:space="preserve"> yer alan, </t>
    </r>
    <r>
      <rPr>
        <sz val="11"/>
        <color rgb="FFFF0000"/>
        <rFont val="Calibri"/>
        <family val="2"/>
        <charset val="162"/>
        <scheme val="minor"/>
      </rPr>
      <t>=girişkonum</t>
    </r>
    <r>
      <rPr>
        <sz val="11"/>
        <color theme="1"/>
        <rFont val="Calibri"/>
        <family val="2"/>
        <scheme val="minor"/>
      </rPr>
      <t xml:space="preserve"> </t>
    </r>
    <r>
      <rPr>
        <sz val="11"/>
        <color rgb="FFFF0000"/>
        <rFont val="Calibri"/>
        <family val="2"/>
        <charset val="162"/>
        <scheme val="minor"/>
      </rPr>
      <t>=BB.NO</t>
    </r>
    <r>
      <rPr>
        <sz val="11"/>
        <color theme="1"/>
        <rFont val="Calibri"/>
        <family val="2"/>
        <scheme val="minor"/>
      </rPr>
      <t xml:space="preserve"> bağımsız bölüm no.lu </t>
    </r>
    <r>
      <rPr>
        <sz val="11"/>
        <color rgb="FFFF0000"/>
        <rFont val="Calibri"/>
        <family val="2"/>
        <charset val="162"/>
        <scheme val="minor"/>
      </rPr>
      <t xml:space="preserve">=NİTELİK </t>
    </r>
    <r>
      <rPr>
        <sz val="11"/>
        <color theme="1"/>
        <rFont val="Calibri"/>
        <family val="2"/>
        <scheme val="minor"/>
      </rPr>
      <t xml:space="preserve">Değerlemeye konu taşınmaz projesine göre;  </t>
    </r>
    <r>
      <rPr>
        <sz val="11"/>
        <color rgb="FFFF0000"/>
        <rFont val="Calibri"/>
        <family val="2"/>
        <charset val="162"/>
        <scheme val="minor"/>
      </rPr>
      <t>=KATDAĞILIMALAN</t>
    </r>
    <r>
      <rPr>
        <sz val="11"/>
        <color theme="1"/>
        <rFont val="Calibri"/>
        <family val="2"/>
        <scheme val="minor"/>
      </rPr>
      <t xml:space="preserve"> 
Değerleme tarihi itibarı ile tarafımıza binanın =trampakat. katında bina girişine göre =trampayön tarafta kalan =trampabbno bağımsız bölüm nolu taşınmaz gösterilmiştir. =uygaçıklama Tarafımıza gösterilen taşınmazın =TRAMPAİÇHACİM
 </t>
    </r>
    <r>
      <rPr>
        <sz val="11"/>
        <color rgb="FFFF0000"/>
        <rFont val="Calibri"/>
        <family val="2"/>
        <charset val="162"/>
        <scheme val="minor"/>
      </rPr>
      <t>Tarafımıza gösterilen taşınmazın iç özellikleri; =İÇÖZELLİKLER =kapıpencere</t>
    </r>
    <r>
      <rPr>
        <sz val="11"/>
        <color theme="1"/>
        <rFont val="Calibri"/>
        <family val="2"/>
        <charset val="162"/>
        <scheme val="minor"/>
      </rPr>
      <t xml:space="preserve"> </t>
    </r>
    <r>
      <rPr>
        <sz val="11"/>
        <color rgb="FFFF0000"/>
        <rFont val="Calibri"/>
        <family val="2"/>
        <charset val="162"/>
        <scheme val="minor"/>
      </rPr>
      <t>=mutfakdolapvetezgah =malzemeveişçilik =manzara1 Isınma sistemi =ISINMASİSTEMİ ile =sağlanmaktadır =inşaaseviye</t>
    </r>
  </si>
  <si>
    <t>ULAŞIM TARİFİ</t>
  </si>
  <si>
    <t>SIRA NO</t>
  </si>
  <si>
    <t>TELEFON</t>
  </si>
  <si>
    <t>BEYAN EDİLEN ALAN</t>
  </si>
  <si>
    <t>İÇ ÖZELLİKLER</t>
  </si>
  <si>
    <t>EMSAL KONUMU</t>
  </si>
  <si>
    <t>BULUNDUĞU YAPI YAŞI</t>
  </si>
  <si>
    <t>KONUM KARŞILAŞTIRMA SEBEP</t>
  </si>
  <si>
    <t>Bodrum kat</t>
  </si>
  <si>
    <t>Zemin kat</t>
  </si>
  <si>
    <t>Ara kat</t>
  </si>
  <si>
    <t>En üst kat</t>
  </si>
  <si>
    <t>Teras kat</t>
  </si>
  <si>
    <t>Bahçe Dubleks</t>
  </si>
  <si>
    <t>Çatı Dubleks</t>
  </si>
  <si>
    <t>NİTELİK</t>
  </si>
  <si>
    <t>işyeri</t>
  </si>
  <si>
    <t>Yeni</t>
  </si>
  <si>
    <t>ODA SAYISI</t>
  </si>
  <si>
    <t>1+0</t>
  </si>
  <si>
    <t>1+1</t>
  </si>
  <si>
    <t>2+1</t>
  </si>
  <si>
    <t>3+1</t>
  </si>
  <si>
    <t>4+1</t>
  </si>
  <si>
    <t>5+1</t>
  </si>
  <si>
    <t>6+1</t>
  </si>
  <si>
    <t>TAŞINMAZA GÖRE KONUM</t>
  </si>
  <si>
    <t>EMSAL DURUMU</t>
  </si>
  <si>
    <t>Satılık</t>
  </si>
  <si>
    <t>Kiralık</t>
  </si>
  <si>
    <t>Genel Beyan</t>
  </si>
  <si>
    <t>Satılmış</t>
  </si>
  <si>
    <t>PAZARLIK PAYI</t>
  </si>
  <si>
    <t>dubleks daire</t>
  </si>
  <si>
    <t>tripleks daire</t>
  </si>
  <si>
    <t>dubleks ofis</t>
  </si>
  <si>
    <t>tripleks ofis</t>
  </si>
  <si>
    <t>dubleks işyeri</t>
  </si>
  <si>
    <t>3 katlı işyeri</t>
  </si>
  <si>
    <t>4 katlı işyeri</t>
  </si>
  <si>
    <t>dubleks villa</t>
  </si>
  <si>
    <t>tripleks villa</t>
  </si>
  <si>
    <t>SATIŞ ZAMANI</t>
  </si>
  <si>
    <t>İRTİBAT</t>
  </si>
  <si>
    <t>BULUNDUĞU KAT</t>
  </si>
  <si>
    <t>DÜZELTİLMİŞ ALAN</t>
  </si>
  <si>
    <t>İNDİRGEME KAT SAYISI</t>
  </si>
  <si>
    <t>YATIRIM GERİ DÖNÜŞ</t>
  </si>
  <si>
    <t>EMSAL 1)</t>
  </si>
  <si>
    <t>EMSAL 2)</t>
  </si>
  <si>
    <t>EMSAL 3)</t>
  </si>
  <si>
    <t>EMSAL 4)</t>
  </si>
  <si>
    <t>DÜŞÜNÜLENE GÖRE M2 BİRİM DEĞERİ</t>
  </si>
  <si>
    <t>serbest</t>
  </si>
  <si>
    <t>EMSALLER İLE İLGİLİ AÇIKLAMALAR</t>
  </si>
  <si>
    <t>Köy Yerleşik Alanı</t>
  </si>
  <si>
    <t>betonarme karkas</t>
  </si>
  <si>
    <t xml:space="preserve"> </t>
  </si>
  <si>
    <t>Özel Proje Alanı</t>
  </si>
  <si>
    <t>.</t>
  </si>
  <si>
    <t>güney</t>
  </si>
  <si>
    <t>Webtapu Sistemi</t>
  </si>
  <si>
    <t>Webtapu Portalı</t>
  </si>
  <si>
    <t>YAPILAŞMA HIZI</t>
  </si>
  <si>
    <t>SOSYAL İHTİYAÇLAR</t>
  </si>
  <si>
    <t>kısa</t>
  </si>
  <si>
    <t>uzun</t>
  </si>
  <si>
    <t>SOS. İHTİYAÇLAR</t>
  </si>
  <si>
    <t>PLANCILIK İLKELERİ İLE UYUMU</t>
  </si>
  <si>
    <t>PLANCILIK İLKELERİ İLE UYUM</t>
  </si>
  <si>
    <t>uyumludur</t>
  </si>
  <si>
    <t>kısmen uyumludur</t>
  </si>
  <si>
    <t>uyumsuzdur. Çarpık yapılaşma mevccuttur.</t>
  </si>
  <si>
    <t>YÖNLER</t>
  </si>
  <si>
    <t>kuzey</t>
  </si>
  <si>
    <t>doğu</t>
  </si>
  <si>
    <t>batı</t>
  </si>
  <si>
    <t>kuzeydoğu</t>
  </si>
  <si>
    <t>kuzeybatı</t>
  </si>
  <si>
    <t>güneydoğu</t>
  </si>
  <si>
    <t>güneybatı</t>
  </si>
  <si>
    <t>BLOĞUN KONUMU</t>
  </si>
  <si>
    <t>SİTE/APARTMAN &gt;</t>
  </si>
  <si>
    <t>BİNA/BLOK &gt;</t>
  </si>
  <si>
    <t>Ara Kat</t>
  </si>
  <si>
    <t>OTOPARK</t>
  </si>
  <si>
    <t>Kapalı otopark</t>
  </si>
  <si>
    <t>Açık otopark</t>
  </si>
  <si>
    <t>Kapalı ve açık otopark</t>
  </si>
  <si>
    <t>Otopark imkanı bulunmayan</t>
  </si>
  <si>
    <t>BİNA/BLOK ADI</t>
  </si>
  <si>
    <t>ISITMA</t>
  </si>
  <si>
    <t>yerden ısıtma doğalgaz kombi</t>
  </si>
  <si>
    <t>OFİS</t>
  </si>
  <si>
    <t>DÜKKAN</t>
  </si>
  <si>
    <t>DEPO</t>
  </si>
  <si>
    <t>zemin katta yer alan ofislerin devamı</t>
  </si>
  <si>
    <t>ORTAK ALANLAR VE BAĞIMSIZ BÖLÜM DEVAMLARI</t>
  </si>
  <si>
    <t>4. Bodrum Kat</t>
  </si>
  <si>
    <t>3. Bodrum Kat</t>
  </si>
  <si>
    <t>2. Bodrum Kat</t>
  </si>
  <si>
    <t>1. Bodrum Kat</t>
  </si>
  <si>
    <t>Zemin Kat</t>
  </si>
  <si>
    <t>Asma Kat</t>
  </si>
  <si>
    <t>1. Normal Kat</t>
  </si>
  <si>
    <t>2. Normal Kat</t>
  </si>
  <si>
    <t>3. Normal Kat</t>
  </si>
  <si>
    <t>4. Normal Kat</t>
  </si>
  <si>
    <t>5. Normal Kat</t>
  </si>
  <si>
    <t>6. Normal Kat</t>
  </si>
  <si>
    <t>7. Normal Kat</t>
  </si>
  <si>
    <t>8. Normal Kat</t>
  </si>
  <si>
    <t>9. Normal Kat</t>
  </si>
  <si>
    <t>10. Normal Kat</t>
  </si>
  <si>
    <t>11. Normal Kat</t>
  </si>
  <si>
    <t>12. Normal Kat</t>
  </si>
  <si>
    <t>13. Normal Kat</t>
  </si>
  <si>
    <t>14. Normal Kat</t>
  </si>
  <si>
    <t>15. Normal Kat</t>
  </si>
  <si>
    <t>Çatı Kat</t>
  </si>
  <si>
    <t>BİNA/BLOK</t>
  </si>
  <si>
    <t>Konut Dışı Kentsel Çalışma</t>
  </si>
  <si>
    <t>Merkezi İş</t>
  </si>
  <si>
    <t>Ofis ve İş Merkezi</t>
  </si>
  <si>
    <t>Küçük Sanayi</t>
  </si>
  <si>
    <t>Sanayi</t>
  </si>
  <si>
    <t>Organize Sanayi Bölgesi</t>
  </si>
  <si>
    <t>Depolama</t>
  </si>
  <si>
    <t>Akaryakıt ve LPG İstasyonu</t>
  </si>
  <si>
    <t>Eğitim Tesis</t>
  </si>
  <si>
    <t>Sağlık Tesis</t>
  </si>
  <si>
    <t>Belediye Hizmet</t>
  </si>
  <si>
    <t>Resmi Kurum</t>
  </si>
  <si>
    <t>Dini Tesis</t>
  </si>
  <si>
    <t>Kültürel Tesis</t>
  </si>
  <si>
    <t>Spor</t>
  </si>
  <si>
    <t>Mesire ve Piknik</t>
  </si>
  <si>
    <t>Tarihi ve Kültürel Sit</t>
  </si>
  <si>
    <t>Arkeolojik Sit</t>
  </si>
  <si>
    <t>Doğal Sit</t>
  </si>
  <si>
    <t>Kentsel Sit</t>
  </si>
  <si>
    <t>Tarım</t>
  </si>
  <si>
    <t>YOLA PARKA TERKİ VARMI ?</t>
  </si>
  <si>
    <t>VAR İSE TERK MİKTARI</t>
  </si>
  <si>
    <t>YAPI TERKTEN ETKİLENİYOR MU?</t>
  </si>
  <si>
    <t>1/1.000</t>
  </si>
  <si>
    <t>1/5.000</t>
  </si>
  <si>
    <t>1/25.000</t>
  </si>
  <si>
    <t>1/100.000</t>
  </si>
  <si>
    <t>MİNİMUM CEPHE ŞARTI</t>
  </si>
  <si>
    <t>TEVHİD ŞARTI</t>
  </si>
  <si>
    <t xml:space="preserve">18. MD. UYG. YAPILMIŞ MI? </t>
  </si>
  <si>
    <t>KENTSEL DÖNÜŞÜM VE YENİLEME NOTU</t>
  </si>
  <si>
    <t>RUHSAT ALMAYA ENGEL BİR DURUM VAR MI</t>
  </si>
  <si>
    <t>NET PARSEL ALANI</t>
  </si>
  <si>
    <t>KONUM TEYİDİ</t>
  </si>
  <si>
    <t>PLAN İPTALİ</t>
  </si>
  <si>
    <t>KAPSAMI</t>
  </si>
  <si>
    <t>Hayır</t>
  </si>
  <si>
    <t>ESKİ ADA PARSEL</t>
  </si>
  <si>
    <t xml:space="preserve">Ekspertize konu bağımsız bölüm kat, kattaki konum, alan ve mimari olarak projesine uygundur. =anagyuygaçıklama </t>
  </si>
  <si>
    <t xml:space="preserve">Ekspertize konu taşınmaz vaziyet planına göre blok bazında konum olarak projesine uygun değildir. =uygaçıklama  =anagyuygaçıklama </t>
  </si>
  <si>
    <t xml:space="preserve">Ekspertize konu bağımsız bölüm vaziyet planına göre blok bazında konum, kat, kattaki konum ve kullanım alanı olarak projesine uygundur. =uygaçıklama  =anagyuygaçıklama </t>
  </si>
  <si>
    <t xml:space="preserve">Ekspertize konu bağımsız bölüm vaziyet planına göre blok bazında konum, kat, kattaki konum ve mimari olarak projesine uygundur. =uygaçıklama  =anagyuygaçıklama </t>
  </si>
  <si>
    <t xml:space="preserve">Ekspertize konu bağımsız bölüm vaziyet planına göre blok bazında konum, kat, kattaki konum olarak projesine uygundur. =uygaçıklama  =anagyuygaçıklama </t>
  </si>
  <si>
    <t xml:space="preserve">Ekspertize konu taşınmazın incelemesi şube bilgisi dahilinde dışarıdan yapılmış olup mimari uygunluk tespit edilememiştir.  =anagyuygaçıklama </t>
  </si>
  <si>
    <t xml:space="preserve">Ekspertize konu taşınmaz vaziyet planına göre blok bazında konum, kat, kattaki konum ve kullanım alanı olarak projesine uygun değildir. =trampaaçıklama =uygaçıklama  =anagyuygaçıklama </t>
  </si>
  <si>
    <t>Ekspertize konu taşınmaz kattaki konum olarak projesine uygun değildir. =aynasimetriaçıklama =uygaçıklama</t>
  </si>
  <si>
    <t>BİNA OTURUMU NASIL TESPİT EDİLDİ ?</t>
  </si>
  <si>
    <t>BİNA OTURUMU TESPİTİ</t>
  </si>
  <si>
    <t>bina girişi</t>
  </si>
  <si>
    <t>bina köşe kotları</t>
  </si>
  <si>
    <t>bina özgün şekli</t>
  </si>
  <si>
    <t>955/11</t>
  </si>
  <si>
    <t>Yapı Kullanma İzin Belgesi</t>
  </si>
  <si>
    <t>781/11</t>
  </si>
  <si>
    <t>RUHSAT KAPSAMI</t>
  </si>
  <si>
    <t>Parsel içindeki tüm blok ve bağımsız bölümler için</t>
  </si>
  <si>
    <t>Kısmi (Taşınmaza ait)</t>
  </si>
  <si>
    <t xml:space="preserve"> =TEST!BLOKADI Blok Tüm Bağımsız Bölümler için</t>
  </si>
  <si>
    <t>12/18</t>
  </si>
  <si>
    <t>Melih</t>
  </si>
  <si>
    <t>02.07.2014 tarih, 781/11 sayılı Yeni Yapı Ruhsatı, 12.04.2017 tarih, 955/11 sayılı Tadilat Ruhsatı,  tarih,  sayılı Yenileme Ruhsatı, 13.12.2025 tarih, 12/18 sayılı Yapı Kullanma İzin Belgesi (Melih) incelenmiştir.</t>
  </si>
  <si>
    <t>ASANSÖR</t>
  </si>
  <si>
    <t>1 Adet Asansör</t>
  </si>
  <si>
    <t>2 Adet Asansör</t>
  </si>
  <si>
    <t>3 Adet Asansör</t>
  </si>
  <si>
    <t>4 Adet Asansör</t>
  </si>
  <si>
    <t>Montajı henüz yapılmamıştır</t>
  </si>
  <si>
    <t>Taşınmazın yer aldığı binada asansör bulunmamaktadır.</t>
  </si>
  <si>
    <t xml:space="preserve"> =RANDEVUTARİHİ tarihinde =TEST!ILCE Belediyesinden alınan sözlü bilgiye göre =İMARMAKRO</t>
  </si>
  <si>
    <t>Normal katta yer alan dairelerin devamı</t>
  </si>
  <si>
    <t>Taşınmazın yer aldığı binada 1 adet asansör bulunmaktadır.</t>
  </si>
  <si>
    <t>Taşınmazın yer aldığı binada 2 adet asansör bulunmaktadır.</t>
  </si>
  <si>
    <t>Taşınmazın yer aldığı binada 3 adet asansör bulunmaktadır.</t>
  </si>
  <si>
    <t>Taşınmazın yer aldığı binada 4 adet asansör bulunmaktadır.</t>
  </si>
  <si>
    <t>Taşınmazın yer aldığı binada asansör bulunacak olup, henüz montajı yapılmamıştır.</t>
  </si>
  <si>
    <t>TAPU KAYDI DEĞİŞİKLİĞİ</t>
  </si>
  <si>
    <t>TAPU MAHALLE</t>
  </si>
  <si>
    <t>ADA PARSEL</t>
  </si>
  <si>
    <t>İDARİ MAHALLE</t>
  </si>
  <si>
    <t>ADRES VE TAPU BİLGİLERİ</t>
  </si>
  <si>
    <t>Müstakil bina</t>
  </si>
  <si>
    <t>ARSA YÜZÖLÇÜMÜ</t>
  </si>
  <si>
    <t>ANA TAŞINMAZ NİTELİK</t>
  </si>
  <si>
    <t>KAYIT NEREDEN ALINDI ?</t>
  </si>
  <si>
    <t>YAPI NİZAMI</t>
  </si>
  <si>
    <t>ANA GAYRİMENKUK</t>
  </si>
  <si>
    <t>zemintaşı kaplı</t>
  </si>
  <si>
    <t>alçı sıva üzeri saten boyalı</t>
  </si>
  <si>
    <t>ULAŞIM VE ÇEVRESEL ÖZELLİKLER</t>
  </si>
  <si>
    <t>KENTSEL DÖNÜŞÜM</t>
  </si>
  <si>
    <t xml:space="preserve">18. MD. UYG. </t>
  </si>
  <si>
    <t>RUHSAT ENGEL ?</t>
  </si>
  <si>
    <t xml:space="preserve"> TERKİ VARMI ?</t>
  </si>
  <si>
    <t>YAPIYA ETKİSİ</t>
  </si>
  <si>
    <t>TAPU/BEL. PROJE ARASINDA FARK VAR MI ?</t>
  </si>
  <si>
    <t>RANDEVU</t>
  </si>
  <si>
    <t>Evet</t>
  </si>
  <si>
    <t>ANA TAŞINMAZ BİLGİLERİ</t>
  </si>
  <si>
    <t>No</t>
  </si>
  <si>
    <t>Boylam</t>
  </si>
  <si>
    <t>Enlem</t>
  </si>
  <si>
    <t>Mesafe (m)</t>
  </si>
  <si>
    <t>PAFTA</t>
  </si>
  <si>
    <t>KOORDİNATLAR</t>
  </si>
  <si>
    <t>İÇHACİMLER</t>
  </si>
  <si>
    <t>Grup</t>
  </si>
  <si>
    <t>Birim Maliyet (TL/m²)</t>
  </si>
  <si>
    <t>Açıklama</t>
  </si>
  <si>
    <t>Basit hayvancılık/tarım yapıları, çardak, ihata duvarı, plastik sera vb.</t>
  </si>
  <si>
    <t>Basit padok, cam/plastik seralar, depo amaçlı oyma yapılar, yardımcı yapılar</t>
  </si>
  <si>
    <t>Betonarme su depoları, büyükbaş ahırları, istinat duvarı, şişirme yapılar</t>
  </si>
  <si>
    <t>Güneş enerji santralleri ve benzeri yapılar</t>
  </si>
  <si>
    <t>İskele, genel depo, hayvan barınağı, tarımsal endüstri yapıları</t>
  </si>
  <si>
    <t>Botanik park, konteyner kent, halı saha, hangar, kapalı pazar</t>
  </si>
  <si>
    <t>Bağ evi, bungalov, hal binası, mezbaha, taziye evi, sanayi tesisi (0–500 kg/m²)</t>
  </si>
  <si>
    <t>Akaryakıt istasyonu, konut (3 kata kadar), kreş, sosyal tesis</t>
  </si>
  <si>
    <t>112 istasyonu, ASM, apart otel, okul, iş merkezi (≤21.50 m), müstakil konut (≤200 m²)</t>
  </si>
  <si>
    <t>Diş sağlığı merkezi, lise, konut (21.50–30.50 m), yurt, iş merkezi, termal tesis</t>
  </si>
  <si>
    <t>AVM (&lt;25.000 m²), otel (1–2★), konut (30.50–51.50 m), yüzme havuzu tesisi</t>
  </si>
  <si>
    <t>Banka, ibadethane (500–1500 kişi), konut (&gt;51.50 m), 4 katlı iş merkezleri</t>
  </si>
  <si>
    <t>Adliye, büyük AVM, bakanlık binası, belediye, 3★ otel, hastane (&lt;200 yatak)</t>
  </si>
  <si>
    <t>Eğitim araştırma hastaneleri, AVM+ofis+konut karma, stadyum, kampüs</t>
  </si>
  <si>
    <t>4★ otel, askeri tesisler, 200–400 yataklı hastaneler, büyük ibadethaneler</t>
  </si>
  <si>
    <t>Opera, müze, 400+ yataklı hastane, kongre merkezi, restore yapılar</t>
  </si>
  <si>
    <t>Havalimanı terminali, metro istasyonu, 5★ otel, şehir hastanesi</t>
  </si>
  <si>
    <t>Rüzgâr enerji santrali (RES) ve benzeri yapılar</t>
  </si>
  <si>
    <t>Lake</t>
  </si>
  <si>
    <t>Akrilik</t>
  </si>
  <si>
    <t>porselen</t>
  </si>
  <si>
    <t>masif ahşap</t>
  </si>
  <si>
    <t>Antre-hol</t>
  </si>
  <si>
    <t>PROJEYE GÖRE B. BÖLÜMÜN BİNA GİRİŞİNE GÖRE KONUMU</t>
  </si>
  <si>
    <r>
      <t xml:space="preserve">Ekspertize konu taşınmaz, incelenen onaylı mimari projesine göre, binanın </t>
    </r>
    <r>
      <rPr>
        <sz val="11"/>
        <color rgb="FFFF0000"/>
        <rFont val="Calibri"/>
        <family val="2"/>
        <charset val="162"/>
        <scheme val="minor"/>
      </rPr>
      <t>=KAT.3</t>
    </r>
    <r>
      <rPr>
        <sz val="11"/>
        <color theme="1"/>
        <rFont val="Calibri"/>
        <family val="2"/>
        <scheme val="minor"/>
      </rPr>
      <t xml:space="preserve"> yer alan,</t>
    </r>
    <r>
      <rPr>
        <sz val="11"/>
        <color rgb="FFFF0000"/>
        <rFont val="Calibri"/>
        <family val="2"/>
        <charset val="162"/>
        <scheme val="minor"/>
      </rPr>
      <t xml:space="preserve"> =girişkonum</t>
    </r>
    <r>
      <rPr>
        <sz val="11"/>
        <color theme="1"/>
        <rFont val="Calibri"/>
        <family val="2"/>
        <scheme val="minor"/>
      </rPr>
      <t xml:space="preserve"> </t>
    </r>
    <r>
      <rPr>
        <sz val="11"/>
        <color rgb="FFFF0000"/>
        <rFont val="Calibri"/>
        <family val="2"/>
        <charset val="162"/>
        <scheme val="minor"/>
      </rPr>
      <t>=BB.NO</t>
    </r>
    <r>
      <rPr>
        <sz val="11"/>
        <color theme="1"/>
        <rFont val="Calibri"/>
        <family val="2"/>
        <scheme val="minor"/>
      </rPr>
      <t xml:space="preserve"> bağımsız bölüm no.lu </t>
    </r>
    <r>
      <rPr>
        <sz val="11"/>
        <color rgb="FFFF0000"/>
        <rFont val="Calibri"/>
        <family val="2"/>
        <charset val="162"/>
        <scheme val="minor"/>
      </rPr>
      <t xml:space="preserve">=NİTELİK </t>
    </r>
    <r>
      <rPr>
        <sz val="11"/>
        <color theme="1"/>
        <rFont val="Calibri"/>
        <family val="2"/>
        <scheme val="minor"/>
      </rPr>
      <t xml:space="preserve">Değerlemeye konu taşınmaz projesine göre;  </t>
    </r>
    <r>
      <rPr>
        <sz val="11"/>
        <color rgb="FFFF0000"/>
        <rFont val="Calibri"/>
        <family val="2"/>
        <charset val="162"/>
        <scheme val="minor"/>
      </rPr>
      <t>=KATDAĞILIMALAN</t>
    </r>
    <r>
      <rPr>
        <sz val="11"/>
        <color theme="1"/>
        <rFont val="Calibri"/>
        <family val="2"/>
        <scheme val="minor"/>
      </rPr>
      <t xml:space="preserve"> 
=aynasimetriaçıklama2 Yapılan ruhsata aykırı imalat taşınmazın konumunu etkilememektedir. =uygaçıklama  
Taşınmazın =İÇÖZELLİKLER2 =VİTRİFİYE2025 =kapıpencere =mutfakdolapvetezgah =malzemeveişçilik =manzara1 Isınma sistemi =ISINMASİSTEMİ ile =sağlanmaktadır =inşaaseviye</t>
    </r>
  </si>
  <si>
    <r>
      <t xml:space="preserve">Ekspertize konu taşınmaz, incelenen onaylı mimari projesine göre, binanın =KAT.3 yer alan, </t>
    </r>
    <r>
      <rPr>
        <sz val="12"/>
        <color rgb="FFFF0000"/>
        <rFont val="Calibri"/>
        <family val="2"/>
        <charset val="162"/>
        <scheme val="minor"/>
      </rPr>
      <t>=girişkonum</t>
    </r>
    <r>
      <rPr>
        <sz val="12"/>
        <color theme="1"/>
        <rFont val="Calibri"/>
        <family val="2"/>
        <scheme val="minor"/>
      </rPr>
      <t xml:space="preserve"> =BB.NO bağımsız bölüm no.lu =NİTELİK Değerlemeye konu taşınmaz projesine göre;  =KATDAĞILIMALAN 
=aynasimetriaçıklama Tarafımıza gösterilen taşınmazın =TRAMPAİÇHACİM 
 Tarafımıza gösterilen taşınmazın iç özellikleri; =İÇÖZELLİKLER =VİTRİFİYE2025 =kapıpencere =mutfakdolapvetezgah =malzemeveişçilik =manzara1 Isınma sistemi =ISINMASİSTEMİ ile =sağlanmaktadır =inşaaseviye</t>
    </r>
  </si>
  <si>
    <t>YASAL DURUM DEĞERİ</t>
  </si>
  <si>
    <t>MEVCUT DURUM DEĞERİ</t>
  </si>
  <si>
    <t>YASAL KİRA DEĞERİ</t>
  </si>
  <si>
    <t>MEVCUT KİRA DEĞERİ</t>
  </si>
  <si>
    <t>Serbest</t>
  </si>
  <si>
    <t xml:space="preserve"> =RANDEVUTARİHİ tarihinde, =TEST!ILCE Belediyesi İmar Müdürlüğü'nde yapılan incelemelerde, değerlemeye konu taşınmaza ait =BELTADPROJE tarih =beltadno sayılı mimari projesi incelenmiştir. =TEST!ILCE Tapu Müdürlüğü Webtapu Portalında taşınmaza ait mimari proje bulunamamıştır. =ESKIADAPARSEL </t>
  </si>
  <si>
    <t>Kapalı otopark imkanı bulunan</t>
  </si>
  <si>
    <t>YAPI DENETİM SÖZLEŞME FESHİ VAR MI ?</t>
  </si>
  <si>
    <t xml:space="preserve"> =RANDEVUTARİHİ tarihinde, =TEST!ILCE Belediyesi İmar Arşiv dosyasında yer alan =BELGELER2025 
=YAPIDENETİMAÇIKLAMA</t>
  </si>
  <si>
    <t>Emsal Karşılaştırma</t>
  </si>
  <si>
    <t>Maliyet</t>
  </si>
  <si>
    <t>Gelir İndirgeme</t>
  </si>
  <si>
    <t>1/C</t>
  </si>
  <si>
    <t>1/D</t>
  </si>
  <si>
    <t>3/C</t>
  </si>
  <si>
    <t>5/E</t>
  </si>
  <si>
    <t>SATILABİLİR</t>
  </si>
  <si>
    <t>ALICISI AZ</t>
  </si>
  <si>
    <t>SATIŞI GÜÇ</t>
  </si>
  <si>
    <t>SATILAMAZ</t>
  </si>
  <si>
    <t>YIPRANMA PAYI</t>
  </si>
  <si>
    <t>SİGORTAYA ESAS DEĞER AÇIKLANMA TARİHİ</t>
  </si>
  <si>
    <t>Column1</t>
  </si>
  <si>
    <t>Yıllık Değişim</t>
  </si>
  <si>
    <t>Yıllık Değişim_1</t>
  </si>
  <si>
    <t>Aylık Değişim</t>
  </si>
  <si>
    <t>Aylık Değişim_2</t>
  </si>
  <si>
    <t>ÜFE</t>
  </si>
  <si>
    <t>Yİ-ÜFE</t>
  </si>
  <si>
    <t/>
  </si>
  <si>
    <t>27.00</t>
  </si>
  <si>
    <t>1.63</t>
  </si>
  <si>
    <t>26.59</t>
  </si>
  <si>
    <t>2.52</t>
  </si>
  <si>
    <t>25.16</t>
  </si>
  <si>
    <t>2.48</t>
  </si>
  <si>
    <t>24.19</t>
  </si>
  <si>
    <t>1.73</t>
  </si>
  <si>
    <t>24.45</t>
  </si>
  <si>
    <t>2.46</t>
  </si>
  <si>
    <t>23.13</t>
  </si>
  <si>
    <t>22.50</t>
  </si>
  <si>
    <t>2.76</t>
  </si>
  <si>
    <t>23.50</t>
  </si>
  <si>
    <t>1.88</t>
  </si>
  <si>
    <t>25.21</t>
  </si>
  <si>
    <t>2.12</t>
  </si>
  <si>
    <t>27.20</t>
  </si>
  <si>
    <t>3.06</t>
  </si>
  <si>
    <t>28.52</t>
  </si>
  <si>
    <t>0.40</t>
  </si>
  <si>
    <t>29.47</t>
  </si>
  <si>
    <t>0.66</t>
  </si>
  <si>
    <t>32.24</t>
  </si>
  <si>
    <t>1.29</t>
  </si>
  <si>
    <t>33.09</t>
  </si>
  <si>
    <t>1.37</t>
  </si>
  <si>
    <t>35.75</t>
  </si>
  <si>
    <t>1.68</t>
  </si>
  <si>
    <t>41.37</t>
  </si>
  <si>
    <t>1.94</t>
  </si>
  <si>
    <t>50.09</t>
  </si>
  <si>
    <t>1.38</t>
  </si>
  <si>
    <t>57.68</t>
  </si>
  <si>
    <t>1.96</t>
  </si>
  <si>
    <t>55.66</t>
  </si>
  <si>
    <t>3.60</t>
  </si>
  <si>
    <t>51.47</t>
  </si>
  <si>
    <t>3.29</t>
  </si>
  <si>
    <t>47.29</t>
  </si>
  <si>
    <t>3.74</t>
  </si>
  <si>
    <t>44.20</t>
  </si>
  <si>
    <t>4.14</t>
  </si>
  <si>
    <t>44.22</t>
  </si>
  <si>
    <t>1.14</t>
  </si>
  <si>
    <t>42.25</t>
  </si>
  <si>
    <t>2.81</t>
  </si>
  <si>
    <t>39.39</t>
  </si>
  <si>
    <t>47.44</t>
  </si>
  <si>
    <t>3.40</t>
  </si>
  <si>
    <t>49.41</t>
  </si>
  <si>
    <t>5.89</t>
  </si>
  <si>
    <t>44.50</t>
  </si>
  <si>
    <t>8.23</t>
  </si>
  <si>
    <t>40.42</t>
  </si>
  <si>
    <t>6.50</t>
  </si>
  <si>
    <t>40.76</t>
  </si>
  <si>
    <t>0.65</t>
  </si>
  <si>
    <t>52.11</t>
  </si>
  <si>
    <t>0.81</t>
  </si>
  <si>
    <t>62.45</t>
  </si>
  <si>
    <t>0.44</t>
  </si>
  <si>
    <t>76.61</t>
  </si>
  <si>
    <t>1.56</t>
  </si>
  <si>
    <t>86.46</t>
  </si>
  <si>
    <t>4.15</t>
  </si>
  <si>
    <t>97.72</t>
  </si>
  <si>
    <t>-0.24</t>
  </si>
  <si>
    <t>136.02</t>
  </si>
  <si>
    <t>0.74</t>
  </si>
  <si>
    <t>157.69</t>
  </si>
  <si>
    <t>7.83</t>
  </si>
  <si>
    <t>151.50</t>
  </si>
  <si>
    <t>4.78</t>
  </si>
  <si>
    <t>143.75</t>
  </si>
  <si>
    <t>2.41</t>
  </si>
  <si>
    <t>144.61</t>
  </si>
  <si>
    <t>5.17</t>
  </si>
  <si>
    <t>138.31</t>
  </si>
  <si>
    <t>6.77</t>
  </si>
  <si>
    <t>132.16</t>
  </si>
  <si>
    <t>8.76</t>
  </si>
  <si>
    <t>121.82</t>
  </si>
  <si>
    <t>7.67</t>
  </si>
  <si>
    <t>114.97</t>
  </si>
  <si>
    <t>9.19</t>
  </si>
  <si>
    <t>105.01</t>
  </si>
  <si>
    <t>7.22</t>
  </si>
  <si>
    <t>93.53</t>
  </si>
  <si>
    <t>10.45</t>
  </si>
  <si>
    <t>79.89</t>
  </si>
  <si>
    <t>19.08</t>
  </si>
  <si>
    <t>54.62</t>
  </si>
  <si>
    <t>9.99</t>
  </si>
  <si>
    <t>46.31</t>
  </si>
  <si>
    <t>5.24</t>
  </si>
  <si>
    <t>43.96</t>
  </si>
  <si>
    <t>1.55</t>
  </si>
  <si>
    <t>45.52</t>
  </si>
  <si>
    <t>2.77</t>
  </si>
  <si>
    <t>44.92</t>
  </si>
  <si>
    <t>42.89</t>
  </si>
  <si>
    <t>4.01</t>
  </si>
  <si>
    <t>38.33</t>
  </si>
  <si>
    <t>3.92</t>
  </si>
  <si>
    <t>35.17</t>
  </si>
  <si>
    <t>4.34</t>
  </si>
  <si>
    <t>31.20</t>
  </si>
  <si>
    <t>4.13</t>
  </si>
  <si>
    <t>27.09</t>
  </si>
  <si>
    <t>1.22</t>
  </si>
  <si>
    <t>26.16</t>
  </si>
  <si>
    <t>2.66</t>
  </si>
  <si>
    <t>25.15</t>
  </si>
  <si>
    <t>2.36</t>
  </si>
  <si>
    <t>23.11</t>
  </si>
  <si>
    <t>4.08</t>
  </si>
  <si>
    <t>18.20</t>
  </si>
  <si>
    <t>3.55</t>
  </si>
  <si>
    <t>14.33</t>
  </si>
  <si>
    <t>2.65</t>
  </si>
  <si>
    <t>11.53</t>
  </si>
  <si>
    <t>2.35</t>
  </si>
  <si>
    <t>8.33</t>
  </si>
  <si>
    <t>1.02</t>
  </si>
  <si>
    <t>6.17</t>
  </si>
  <si>
    <t>0.69</t>
  </si>
  <si>
    <t>5.53</t>
  </si>
  <si>
    <t>1.54</t>
  </si>
  <si>
    <t>6.71</t>
  </si>
  <si>
    <t>1.28</t>
  </si>
  <si>
    <t>8.50</t>
  </si>
  <si>
    <t>0.87</t>
  </si>
  <si>
    <t>9.26</t>
  </si>
  <si>
    <t>0.48</t>
  </si>
  <si>
    <t>8.84</t>
  </si>
  <si>
    <t>1.84</t>
  </si>
  <si>
    <t>7.36</t>
  </si>
  <si>
    <t>4.26</t>
  </si>
  <si>
    <t>-0.08</t>
  </si>
  <si>
    <t>1.70</t>
  </si>
  <si>
    <t>0.17</t>
  </si>
  <si>
    <t>2.45</t>
  </si>
  <si>
    <t>0.13</t>
  </si>
  <si>
    <t>13.45</t>
  </si>
  <si>
    <t>-0.59</t>
  </si>
  <si>
    <t>21.66</t>
  </si>
  <si>
    <t>-0.99</t>
  </si>
  <si>
    <t>25.04</t>
  </si>
  <si>
    <t>0.09</t>
  </si>
  <si>
    <t>28.71</t>
  </si>
  <si>
    <t>2.67</t>
  </si>
  <si>
    <t>30.12</t>
  </si>
  <si>
    <t>2.98</t>
  </si>
  <si>
    <t>29.64</t>
  </si>
  <si>
    <t>1.58</t>
  </si>
  <si>
    <t>29.59</t>
  </si>
  <si>
    <t>32.93</t>
  </si>
  <si>
    <t>0.45</t>
  </si>
  <si>
    <t>33.64</t>
  </si>
  <si>
    <t>-2.22</t>
  </si>
  <si>
    <t>38.54</t>
  </si>
  <si>
    <t>-2.53</t>
  </si>
  <si>
    <t>45.01</t>
  </si>
  <si>
    <t>0.91</t>
  </si>
  <si>
    <t>46.15</t>
  </si>
  <si>
    <t>10.88</t>
  </si>
  <si>
    <t>32.13</t>
  </si>
  <si>
    <t>6.60</t>
  </si>
  <si>
    <t>25.00</t>
  </si>
  <si>
    <t>1.77</t>
  </si>
  <si>
    <t>23.71</t>
  </si>
  <si>
    <t>3.03</t>
  </si>
  <si>
    <t>20.16</t>
  </si>
  <si>
    <t>3.79</t>
  </si>
  <si>
    <t>16.37</t>
  </si>
  <si>
    <t>2.60</t>
  </si>
  <si>
    <t>14.28</t>
  </si>
  <si>
    <t>13.71</t>
  </si>
  <si>
    <t>2.68</t>
  </si>
  <si>
    <t>12.14</t>
  </si>
  <si>
    <t>0.99</t>
  </si>
  <si>
    <t>15.47</t>
  </si>
  <si>
    <t>17.30</t>
  </si>
  <si>
    <t>2.02</t>
  </si>
  <si>
    <t>17.28</t>
  </si>
  <si>
    <t>1.71</t>
  </si>
  <si>
    <t>16.28</t>
  </si>
  <si>
    <t>0.24</t>
  </si>
  <si>
    <t>16.34</t>
  </si>
  <si>
    <t>0.85</t>
  </si>
  <si>
    <t>15.45</t>
  </si>
  <si>
    <t>0.72</t>
  </si>
  <si>
    <t>14.87</t>
  </si>
  <si>
    <t>0.07</t>
  </si>
  <si>
    <t>15.26</t>
  </si>
  <si>
    <t>0.52</t>
  </si>
  <si>
    <t>0.76</t>
  </si>
  <si>
    <t>16.09</t>
  </si>
  <si>
    <t>1.04</t>
  </si>
  <si>
    <t>15.36</t>
  </si>
  <si>
    <t>1.26</t>
  </si>
  <si>
    <t>13.69</t>
  </si>
  <si>
    <t>3.98</t>
  </si>
  <si>
    <t>9.94</t>
  </si>
  <si>
    <t>6.41</t>
  </si>
  <si>
    <t>2.00</t>
  </si>
  <si>
    <t>2.84</t>
  </si>
  <si>
    <t>0.84</t>
  </si>
  <si>
    <t>1.78</t>
  </si>
  <si>
    <t>0.29</t>
  </si>
  <si>
    <t>0.08</t>
  </si>
  <si>
    <t>3.96</t>
  </si>
  <si>
    <t>0.21</t>
  </si>
  <si>
    <t>3.41</t>
  </si>
  <si>
    <t>0.41</t>
  </si>
  <si>
    <t>3.25</t>
  </si>
  <si>
    <t>1.48</t>
  </si>
  <si>
    <t>2.87</t>
  </si>
  <si>
    <t>3.80</t>
  </si>
  <si>
    <t>4.47</t>
  </si>
  <si>
    <t>-0.20</t>
  </si>
  <si>
    <t>5.94</t>
  </si>
  <si>
    <t>0.55</t>
  </si>
  <si>
    <t>5.71</t>
  </si>
  <si>
    <t>-0.33</t>
  </si>
  <si>
    <t>5.25</t>
  </si>
  <si>
    <t>-1.42</t>
  </si>
  <si>
    <t>5.74</t>
  </si>
  <si>
    <t>6.92</t>
  </si>
  <si>
    <t>1.53</t>
  </si>
  <si>
    <t>6.21</t>
  </si>
  <si>
    <t>0.98</t>
  </si>
  <si>
    <t>5.62</t>
  </si>
  <si>
    <t>-0.32</t>
  </si>
  <si>
    <t>6.73</t>
  </si>
  <si>
    <t>0.25</t>
  </si>
  <si>
    <t>6.52</t>
  </si>
  <si>
    <t>1.11</t>
  </si>
  <si>
    <t>4.80</t>
  </si>
  <si>
    <t>1.43</t>
  </si>
  <si>
    <t>1.05</t>
  </si>
  <si>
    <t>3,10</t>
  </si>
  <si>
    <t>1,20</t>
  </si>
  <si>
    <t>3.28</t>
  </si>
  <si>
    <t>0.33</t>
  </si>
  <si>
    <t>6.36</t>
  </si>
  <si>
    <t>-0.76</t>
  </si>
  <si>
    <t>8.36</t>
  </si>
  <si>
    <t>-0.97</t>
  </si>
  <si>
    <t>10.10</t>
  </si>
  <si>
    <t>0.92</t>
  </si>
  <si>
    <t>9.84</t>
  </si>
  <si>
    <t>9.88</t>
  </si>
  <si>
    <t>0.42</t>
  </si>
  <si>
    <t>9.46</t>
  </si>
  <si>
    <t>0.73</t>
  </si>
  <si>
    <t>9.75</t>
  </si>
  <si>
    <t>0.06</t>
  </si>
  <si>
    <t>11.28</t>
  </si>
  <si>
    <t>-0.52</t>
  </si>
  <si>
    <t>12.98</t>
  </si>
  <si>
    <t>12.31</t>
  </si>
  <si>
    <t>12.40</t>
  </si>
  <si>
    <t>10.72</t>
  </si>
  <si>
    <t>3.32</t>
  </si>
  <si>
    <t>6.97</t>
  </si>
  <si>
    <t>5.67</t>
  </si>
  <si>
    <t>0.62</t>
  </si>
  <si>
    <t>6.23</t>
  </si>
  <si>
    <t>0.88</t>
  </si>
  <si>
    <t>6.38</t>
  </si>
  <si>
    <t>0.04</t>
  </si>
  <si>
    <t>6.61</t>
  </si>
  <si>
    <t>5.23</t>
  </si>
  <si>
    <t>1.46</t>
  </si>
  <si>
    <t>2.17</t>
  </si>
  <si>
    <t>1.00</t>
  </si>
  <si>
    <t>-0.51</t>
  </si>
  <si>
    <t>2.30</t>
  </si>
  <si>
    <t>-0.13</t>
  </si>
  <si>
    <t>-0.18</t>
  </si>
  <si>
    <t>-0.12</t>
  </si>
  <si>
    <t>1.66</t>
  </si>
  <si>
    <t>2.57</t>
  </si>
  <si>
    <t>4.03</t>
  </si>
  <si>
    <t>1.03</t>
  </si>
  <si>
    <t>4.56</t>
  </si>
  <si>
    <t>0.26</t>
  </si>
  <si>
    <t>6.13</t>
  </si>
  <si>
    <t>-0.31</t>
  </si>
  <si>
    <t>6.44</t>
  </si>
  <si>
    <t>-1.49</t>
  </si>
  <si>
    <t>8.06</t>
  </si>
  <si>
    <t>0.53</t>
  </si>
  <si>
    <t>7.65</t>
  </si>
  <si>
    <t>8.22</t>
  </si>
  <si>
    <t>0.36</t>
  </si>
  <si>
    <t>9.15</t>
  </si>
  <si>
    <t>-0.09</t>
  </si>
  <si>
    <t>11.13</t>
  </si>
  <si>
    <t>0.38</t>
  </si>
  <si>
    <t>13.33</t>
  </si>
  <si>
    <t>13.67</t>
  </si>
  <si>
    <t>12.58</t>
  </si>
  <si>
    <t>1.60</t>
  </si>
  <si>
    <t>12.15</t>
  </si>
  <si>
    <t>11.00</t>
  </si>
  <si>
    <t>1.76</t>
  </si>
  <si>
    <t>10.34</t>
  </si>
  <si>
    <t>-0.03</t>
  </si>
  <si>
    <t>10.19</t>
  </si>
  <si>
    <t>0.01</t>
  </si>
  <si>
    <t>9.63</t>
  </si>
  <si>
    <t>0.15</t>
  </si>
  <si>
    <t>8.21</t>
  </si>
  <si>
    <t>0.61</t>
  </si>
  <si>
    <t>10.08</t>
  </si>
  <si>
    <t>10.87</t>
  </si>
  <si>
    <t>1.72</t>
  </si>
  <si>
    <t>10.80</t>
  </si>
  <si>
    <t>8.87</t>
  </si>
  <si>
    <t>1.31</t>
  </si>
  <si>
    <t>8.17</t>
  </si>
  <si>
    <t>9.92</t>
  </si>
  <si>
    <t>1.21</t>
  </si>
  <si>
    <t>8.91</t>
  </si>
  <si>
    <t>0.51</t>
  </si>
  <si>
    <t>9.03</t>
  </si>
  <si>
    <t>1.15</t>
  </si>
  <si>
    <t>8.24</t>
  </si>
  <si>
    <t>-0.16</t>
  </si>
  <si>
    <t>7.64</t>
  </si>
  <si>
    <t>-0.50</t>
  </si>
  <si>
    <t>9.21</t>
  </si>
  <si>
    <t>-1.15</t>
  </si>
  <si>
    <t>10.42</t>
  </si>
  <si>
    <t>8.58</t>
  </si>
  <si>
    <t>6.82</t>
  </si>
  <si>
    <t>6.30</t>
  </si>
  <si>
    <t>0.58</t>
  </si>
  <si>
    <t>5.93</t>
  </si>
  <si>
    <t>1.51</t>
  </si>
  <si>
    <t>0.19</t>
  </si>
  <si>
    <t>0.28</t>
  </si>
  <si>
    <t>0.47</t>
  </si>
  <si>
    <t>-1.04</t>
  </si>
  <si>
    <t>-3.75</t>
  </si>
  <si>
    <t>-0.71</t>
  </si>
  <si>
    <t>-1.86</t>
  </si>
  <si>
    <t>0.94</t>
  </si>
  <si>
    <t>-2.46</t>
  </si>
  <si>
    <t>-0.05</t>
  </si>
  <si>
    <t>-0.35</t>
  </si>
  <si>
    <t>3.46</t>
  </si>
  <si>
    <t>6.43</t>
  </si>
  <si>
    <t>1.17</t>
  </si>
  <si>
    <t>7.90</t>
  </si>
  <si>
    <t>0.23</t>
  </si>
  <si>
    <t>8.11</t>
  </si>
  <si>
    <t>-3.54</t>
  </si>
  <si>
    <t>12.25</t>
  </si>
  <si>
    <t>13.29</t>
  </si>
  <si>
    <t>0.57</t>
  </si>
  <si>
    <t>12.49</t>
  </si>
  <si>
    <t>-0.90</t>
  </si>
  <si>
    <t>14.67</t>
  </si>
  <si>
    <t>-2.34</t>
  </si>
  <si>
    <t>18.41</t>
  </si>
  <si>
    <t>1.25</t>
  </si>
  <si>
    <t>17.03</t>
  </si>
  <si>
    <t>0.32</t>
  </si>
  <si>
    <t>16.53</t>
  </si>
  <si>
    <t>14.56</t>
  </si>
  <si>
    <t>4.50</t>
  </si>
  <si>
    <t>10.50</t>
  </si>
  <si>
    <t>3.17</t>
  </si>
  <si>
    <t>8.15</t>
  </si>
  <si>
    <t>2.56</t>
  </si>
  <si>
    <t>5.65</t>
  </si>
  <si>
    <t>0.89</t>
  </si>
  <si>
    <t>4.41</t>
  </si>
  <si>
    <t>5.02</t>
  </si>
  <si>
    <t>3.72</t>
  </si>
  <si>
    <t>2.08</t>
  </si>
  <si>
    <t>2.89</t>
  </si>
  <si>
    <t>-0.11</t>
  </si>
  <si>
    <t>7.14</t>
  </si>
  <si>
    <t>0.39</t>
  </si>
  <si>
    <t>9.68</t>
  </si>
  <si>
    <t>0.80</t>
  </si>
  <si>
    <t>10.92</t>
  </si>
  <si>
    <t>0.97</t>
  </si>
  <si>
    <t>10.13</t>
  </si>
  <si>
    <t>0.95</t>
  </si>
  <si>
    <t>9.37</t>
  </si>
  <si>
    <t>11.58</t>
  </si>
  <si>
    <t>11.67</t>
  </si>
  <si>
    <t>-0.29</t>
  </si>
  <si>
    <t>10.94</t>
  </si>
  <si>
    <t>11.19</t>
  </si>
  <si>
    <t>-0.23</t>
  </si>
  <si>
    <t>12.32</t>
  </si>
  <si>
    <t>-0.75</t>
  </si>
  <si>
    <t>14.34</t>
  </si>
  <si>
    <t>0.86</t>
  </si>
  <si>
    <t>12.52</t>
  </si>
  <si>
    <t>4.02</t>
  </si>
  <si>
    <t>7.66</t>
  </si>
  <si>
    <t>4.96</t>
  </si>
  <si>
    <t>4.21</t>
  </si>
  <si>
    <t>5.26</t>
  </si>
  <si>
    <t>5.11</t>
  </si>
  <si>
    <t>-0.04</t>
  </si>
  <si>
    <t>-0.95</t>
  </si>
  <si>
    <t>0.68</t>
  </si>
  <si>
    <t>4.38</t>
  </si>
  <si>
    <t>0.78</t>
  </si>
  <si>
    <t>4.32</t>
  </si>
  <si>
    <t>-0.74</t>
  </si>
  <si>
    <t>4.25</t>
  </si>
  <si>
    <t>-0.48</t>
  </si>
  <si>
    <t>5.59</t>
  </si>
  <si>
    <t>0.20</t>
  </si>
  <si>
    <t>10.17</t>
  </si>
  <si>
    <t>11.33</t>
  </si>
  <si>
    <t>10.58</t>
  </si>
  <si>
    <t>0.11</t>
  </si>
  <si>
    <t>10.70</t>
  </si>
  <si>
    <t>-0.41</t>
  </si>
  <si>
    <t>15.35</t>
  </si>
  <si>
    <t>-1.08</t>
  </si>
  <si>
    <t>17.15</t>
  </si>
  <si>
    <t>0.00</t>
  </si>
  <si>
    <t>19.63</t>
  </si>
  <si>
    <t>2.47</t>
  </si>
  <si>
    <t>17.99</t>
  </si>
  <si>
    <t>17.04</t>
  </si>
  <si>
    <t>16.54</t>
  </si>
  <si>
    <t>17.84</t>
  </si>
  <si>
    <t>16.62</t>
  </si>
  <si>
    <t>4.54</t>
  </si>
  <si>
    <t>10.47</t>
  </si>
  <si>
    <t>2.27</t>
  </si>
  <si>
    <t>7.13</t>
  </si>
  <si>
    <t>0.59</t>
  </si>
  <si>
    <t>3.77</t>
  </si>
  <si>
    <t>1.06</t>
  </si>
  <si>
    <t>0.54</t>
  </si>
  <si>
    <t>-0.98</t>
  </si>
  <si>
    <t>-0.82</t>
  </si>
  <si>
    <t>2.20</t>
  </si>
  <si>
    <t>+</t>
  </si>
  <si>
    <t>EMSAL KONUM VE İNŞAAT SEVİYE</t>
  </si>
  <si>
    <t>1-2</t>
  </si>
  <si>
    <t>3-4</t>
  </si>
  <si>
    <t>5-6</t>
  </si>
  <si>
    <t>7-8</t>
  </si>
  <si>
    <t>8-9</t>
  </si>
  <si>
    <t>10-15</t>
  </si>
  <si>
    <t>15-20</t>
  </si>
  <si>
    <t>20-25</t>
  </si>
  <si>
    <t>25-30</t>
  </si>
  <si>
    <t>30-35</t>
  </si>
  <si>
    <t>35-40</t>
  </si>
  <si>
    <t>40-45</t>
  </si>
  <si>
    <t>45-50</t>
  </si>
  <si>
    <t>50-55</t>
  </si>
  <si>
    <t>55-60</t>
  </si>
  <si>
    <t>İSTENEN FİYAT</t>
  </si>
  <si>
    <t>PAZARLIKLI FİYATI</t>
  </si>
  <si>
    <t>KİRA DEĞERİ</t>
  </si>
  <si>
    <t>Konu taşınmaz</t>
  </si>
  <si>
    <t>İNDİRGENMİŞ M2 BİRİM DEĞERİ</t>
  </si>
  <si>
    <t>-</t>
  </si>
  <si>
    <t>Emsal 1)</t>
  </si>
  <si>
    <t>Emsal 2)</t>
  </si>
  <si>
    <t>Emsal 3)</t>
  </si>
  <si>
    <t>Emsal 4)</t>
  </si>
  <si>
    <t>Emsal 5)</t>
  </si>
  <si>
    <t>Emsal 6)</t>
  </si>
  <si>
    <t>Emsal 7)</t>
  </si>
  <si>
    <t>EMSAL 5)</t>
  </si>
  <si>
    <t>EMSAL 6)</t>
  </si>
  <si>
    <t>EMSAL 7)</t>
  </si>
  <si>
    <t>YAPI KALİTESİ</t>
  </si>
  <si>
    <t>YAPI YIPRANMA ORANI &gt;</t>
  </si>
  <si>
    <t>TAPU KAYIT NOTU &gt;</t>
  </si>
  <si>
    <t>ANA GAYRİMENKUL NOTU &gt;</t>
  </si>
  <si>
    <t>CEZAİ NOTU &gt;</t>
  </si>
  <si>
    <t>DIŞARIDAN GÖRÜLDÜ İSE SEBEBİ &gt;</t>
  </si>
  <si>
    <t>PLAN İPTALİ NOTU &gt;</t>
  </si>
  <si>
    <t>YAPI DENETİM AÇIKLAMA &gt;</t>
  </si>
  <si>
    <t>FESİH TARİHİ &gt;</t>
  </si>
  <si>
    <t>FESİH SEVİYESİ &gt;</t>
  </si>
  <si>
    <t>Emsal Karşılaştırma ve Gelir İndirgeme</t>
  </si>
  <si>
    <t>Emsal Karşılaştırma ve Maliyet</t>
  </si>
  <si>
    <t xml:space="preserve">Taşınmazın iç özellikleri vasat seviyede olup, kısmi tadilat ihtiyacı bulunmaktadır. </t>
  </si>
  <si>
    <t xml:space="preserve">Taşınmazın iç özellikleri çok vasat seviyede olup, kapsamlı tadilat ihtiyacı bulunmaktadır. </t>
  </si>
  <si>
    <t>YOL KOTU ALTI KAT ADEDİ</t>
  </si>
  <si>
    <t>YOL KOTU ÜSTÜ KAT ADEDİ</t>
  </si>
  <si>
    <t>YAPI KULLANMA İZİN BELGESİ VAR MI?</t>
  </si>
  <si>
    <t>* İncelenen Belgelere Göre Mevcut Durum İle Yasal Durum Arasında Fark Varmı?:</t>
  </si>
  <si>
    <t>18.Md. İmar Uygulaması Problemi Var mı?:</t>
  </si>
  <si>
    <t xml:space="preserve"> =SİTEMİAPARTMANMI =YÜZÖLÇÜMÜ m2 alanlı =ADA no =PARSEL no.lu parsel üzerinde, =MEVCUT_YAPI_NİZAMI nizam, =BİNA_YAPI_TARZI yapı tarzında ( yapı sınıfı =YAPISINIFI ) =BLOKADEDİ blok olarak inşa edilmiştir. =BLOKKONUM1 Taşınmazın konumlu olduğu =BİNABLOK projesine göre; =ANAGY olmak üzere, toplam =ANA_GY_TOPLAM_KAT_ADEDİ kat olarak inşa edilmiştir. 
Ana taşınmazın =PROJEİNCELENENKURUM Arşivinde incelenen mimari projesinde ve mahallinde yapılan incelemelere göre =ANATAŞINMAZ1 Bina girişi =BGYÖN yönünden, =BGGİRİŞ kat seviyesinden sağlanmaktadır. Taşınmazın bulunduğu binanın giriş kapısı =BİNAGİRİŞKAPISI Bina dış cephesi =DIŞCEPHEBOYA olup, merdiven basamakları ve sahanlıklar =MERDİVEN_BASAMAK_VE_SAH_KAPLAMA apartman duvarları =APARTMAN_İÇ_DUVARLAR  vaziyettedir. =ASANSÖR =OTOPARK =BİNASİTE  ısınma =ISINMASİSTEMİ ile yapılacak şekilde tesisat bulunmaktadır. 
 =SOSYALTESİSSON</t>
  </si>
  <si>
    <t xml:space="preserve">STATİK OLARAK UYGUN MU ? </t>
  </si>
  <si>
    <t>Taşınmazın =ILCE Belediyesi dosyasında bulunan statik proje incelenmiştir. Statik proje, mimari proje ve mahal durum ile birbiriyle uyumludur.</t>
  </si>
  <si>
    <t>STATİK AÇIKLAMA</t>
  </si>
  <si>
    <t>STATİK KONTROL</t>
  </si>
  <si>
    <t>BULUNAMADI</t>
  </si>
  <si>
    <t>Taşınmazın =ILCE Belediyesi dosyasında bulunan statik proje incelenmiştir. Statik proje, mimari proje ve mahal durum ile birbiriyle uyumlu değildir. =STATİKAÇIKLAMA</t>
  </si>
  <si>
    <t>Taşınmazın =ILCE Belediyesi dosyasında Statik Projesi bulunamamıştır.</t>
  </si>
  <si>
    <t>27.23</t>
  </si>
  <si>
    <t>Y. TERAS</t>
  </si>
  <si>
    <t>M. TERAS</t>
  </si>
  <si>
    <t>hayır</t>
  </si>
  <si>
    <t>RİSK KODU</t>
  </si>
  <si>
    <t>TAKYİDAT - DURUM</t>
  </si>
  <si>
    <t>RAPOR AÇIKLAMASI</t>
  </si>
  <si>
    <t>MS1</t>
  </si>
  <si>
    <t>Müteahhitten Satış - Kat Karşılığı Sözleşmesiyle Doğrudan Mülkiyet Kazanımı</t>
  </si>
  <si>
    <t>Müteahhitten satışta olan boş ve 0-5 yaş aralığında konuttur. (MS1 Risk Kodu)</t>
  </si>
  <si>
    <t>MS2</t>
  </si>
  <si>
    <t>Müteahhitten Satış - Kat Karşılığı Sözleşmesine Bağlı Arsa Sahiplerinden Mülkiyet Kazanımı</t>
  </si>
  <si>
    <t>Müteahhitten satışta olan, kat karşılığı temlik sözleşmesine bağlı olarak tapuda satış gösterilerek müteahhit mülkiyetine devredilen, boş ve 0-5 yaş aralığında konuttur. (MS2 Risk Kodu)</t>
  </si>
  <si>
    <t>AS1</t>
  </si>
  <si>
    <t>Arsa Sahibinden Satış - Kat Karşılığı Sözleşmesine Bağlı Mülkiyet Kazanımı</t>
  </si>
  <si>
    <t>Arsa sahibinden satışta olan, kat karşılığı temlik sözleşmesine bağlı olarak edinilmiş, boş ve 0-5 yaş aralığında konuttur. (AS1 Risk Kodu)</t>
  </si>
  <si>
    <t>Takyidat-Özel Durum Yok</t>
  </si>
  <si>
    <t>Yapılan incelemeye göre değerleme konusu taşınmaz üzerinde herhangi bir takyidat veya riskli durum bulunmamaktadır.</t>
  </si>
  <si>
    <t>68A</t>
  </si>
  <si>
    <t>Yönetim Planı Beyanı</t>
  </si>
  <si>
    <t>Taşınmaz üzerinde Yönetim Planı Beyanı bulunmaktadır. (68A Risk Kodu)</t>
  </si>
  <si>
    <t>110A</t>
  </si>
  <si>
    <t>Yasal Olmayan Bina Büyütmesi</t>
  </si>
  <si>
    <t>Taşınmazın alanı onaylı projesine aykırı şekilde büyütülmüştür. Onaylı projesindeki alana göre yasal durum değeri, mahallindeki alana göre büyümeler de dahil edilerek mevcut durum değeri takdir edilmiştir. (110A Risk Kodu)</t>
  </si>
  <si>
    <t>1A</t>
  </si>
  <si>
    <t>İpotek- Halkbank Lehine</t>
  </si>
  <si>
    <t>Taşınmaz üzerinde Halkbank lehine ipotek bulunmaktadır. (1A Risk Kodu)</t>
  </si>
  <si>
    <t>1B</t>
  </si>
  <si>
    <t>İpotek- 3. Kişiler Lehine</t>
  </si>
  <si>
    <t>Taşınmaz üzerinde 3. Kişiler/Kurumlar Lehine İpotek bulunmakta olup ipoteğin kaldırılması koşuluyla değer takdir edilmiştir. (1B Risk Kodu)</t>
  </si>
  <si>
    <t>2A</t>
  </si>
  <si>
    <t>Kamu Haczi (Amme Alacağı Haczi) - Haciz Tutarı Taşınmazın Mevcut Değerinin %10'undan Fazla</t>
  </si>
  <si>
    <t>Taşınmaz üzerinde Kamu (Amme Alacağı) Haczi bulunmakta olup haczin kaldırılması koşuluyla değer takdir edilmiştir. (2A Risk Kodu)</t>
  </si>
  <si>
    <t>2B</t>
  </si>
  <si>
    <t>Haciz Şerhi - Haciz Tutarı Taşınmazın Mevcut Değerinin %10'undan Fazla</t>
  </si>
  <si>
    <t>Taşınmaz üzerinde özel kişiler/kurumlar lehine Haciz bulunmakta olup haczin kaldırılması koşuluyla değer takdir edilmiştir. (2B Risk Kodu)</t>
  </si>
  <si>
    <t>2C</t>
  </si>
  <si>
    <t>İhtiyati Haciz Şerhi - Haciz Tutarı Taşınmazın Mevcut Değerinin %10'Undan Fazla</t>
  </si>
  <si>
    <t>Taşınmaz üzerinde İhtiyati Haciz şerhi bulunmakta olup haczin kaldırılması koşuluyla değer takdir edilmiştir. (2C Risk Kodu)</t>
  </si>
  <si>
    <t>2D</t>
  </si>
  <si>
    <t>Haciz; İhtiyati Haciz veya Kamu Haczi Şerhi - Haciz Tutarı Taşınmazın Mevcut Değerinin %10'undan Az</t>
  </si>
  <si>
    <t>Taşınmaz üzerinde özel kişiler/kurumlar lehine Haciz bulunmakta olup haczin kaldırılması koşuluyla değer takdir edilmiştir. (2D Risk Kodu)</t>
  </si>
  <si>
    <t>2E</t>
  </si>
  <si>
    <t>Haciz, İhtiyati Haciz veya Kamu Haczi Şerhi - Halkbank'a İpotekli ve Haciz Tutarı Taşınmazın Mevcut Değerinin %30'Undan Az</t>
  </si>
  <si>
    <t>Taşınmaz üzerinde 3. kişiler/kurumlar lehine haciz ve Halkbank ipoteği bulunmakta olup haczin kaldırılması koşuluyla değer takdir edilmiştir. (2E Risk Kodu)</t>
  </si>
  <si>
    <t>3A</t>
  </si>
  <si>
    <t>Hisseli Taşınmaz Değerlemesi</t>
  </si>
  <si>
    <t>Taşınmaz hisseli olup hisselerin tamamının değeri takdir edilmiştir. Taşınmazın hisse bazında satışı güç olacağından tüm hisselerinin teminat alınması önerilmektedir. (3A Risk Kodu)</t>
  </si>
  <si>
    <t>6A</t>
  </si>
  <si>
    <t>İrtifak Hakkı - TEK, TEDAŞ, İSKİ, İETT, Kanalizasyon Geçiş, Vb.</t>
  </si>
  <si>
    <t>Taşınmaz üzerinde TEK, İSKİ, TEDAŞ, İETT, enerji veya su-pis su nakil hatları vb. lehine İrtifak Hakkı bulunmaktadır. (6A Risk Kodu)</t>
  </si>
  <si>
    <t>74A</t>
  </si>
  <si>
    <t>Risk İçermeyen veya Geçerliliğini Yitirmiş, Geçerlilik Süresi Dolmuş Şerhler, Beyanlar</t>
  </si>
  <si>
    <t>Taşınmaz üzerinde risk içermeyen ya da geçerliliğini yitirmiş, süresi dolmuş şerh/beyan bulunmaktadır. Değer takdirinde dikkate alınmamıştır. (74A Risk Kodu)</t>
  </si>
  <si>
    <t>101B</t>
  </si>
  <si>
    <t>İnşa Halinde Bağımsız Bölüm - Betonarme İnşaatı, Dış Cephe, Bina Girişi, Merdivenler ve Daire Dış Kapısı Tamamlanmış</t>
  </si>
  <si>
    <t>Taşınmaz inşaat halindedir. Bağımsız bölümün inşa seviyesine göre yasal ve mevcut değerleri takdir edilmiş, inşaatın tamamlanması durumundaki tahmini değeri bilgi amaçlı verilmiştir. (101B Risk Kodu)</t>
  </si>
  <si>
    <t>101C</t>
  </si>
  <si>
    <t>İnşa Halinde Bağımsız Bölüm - Betonarme İnşaatı Bitmiş, Dış Cephe, Bina Girişi, Merdivenler ve Daire Dış Kapısı Tamamlanmamış</t>
  </si>
  <si>
    <t>Taşınmaz inşaat halindedir. Binanın genel inşa seviyesine göre yasal ve mevcut değerleri takdir edilmiş, inşaatın tamamlanması durumundaki tahmini değeri bilgi amaçlı verilmiştir. (101C Risk Kodu)</t>
  </si>
  <si>
    <t>101K</t>
  </si>
  <si>
    <t>Yapı Denetim Firmasının/Şantiye Şefinin İstifa Ettiğine İlişkin Tutanak</t>
  </si>
  <si>
    <t>İnşa halindeki binada Yapı Denetim Firmasının/Şantiye Şefinin istifa ettiğine dair tutanak bulunmaktadır. Binanın yapı ruhsatına ve projelerine uygun şekilde tamamlanması koşuluyla değer takdir edilmiştir. (101k Risk Kodu)</t>
  </si>
  <si>
    <t>108A</t>
  </si>
  <si>
    <t>Dışarıdan Ekspertiz Yapılması</t>
  </si>
  <si>
    <t>Taşınmazın konum tespiti bina dışından yapılmıştır. (108A Risk Kodu)</t>
  </si>
  <si>
    <t>109B</t>
  </si>
  <si>
    <t>Taşıyıcı Sistemi Onaylı Statik Projesine Uygun Olmayan Taşınmaz</t>
  </si>
  <si>
    <t>Taşınmazın taşıyıcı sisteminin onaylı statik projesine uygun olmadığı tespit edilmiştir. Statik risklerinin ayrıca incelenmesi önerilir. (109B)</t>
  </si>
  <si>
    <t>109E</t>
  </si>
  <si>
    <t>Tapu Tescilsiz Tadilat Projesi</t>
  </si>
  <si>
    <t>Binanın Tapu Sicil Müdürlüğündeki kat irtifakına esas projesi ve Belediyede incelenen onaylı tadilat projesi arasında farklılıklar bulunmaktadır. Tadilat projesinin tapu siciline tescil edilmesi tavsiye edilir. (109E Risk Kodu)</t>
  </si>
  <si>
    <t xml:space="preserve">F22:T25;F28:T31 hücreleri boş ise </t>
  </si>
  <si>
    <t>F22:K25 hücrelerinde "Yönetim Planı" kelime grubu geçiyor ise</t>
  </si>
  <si>
    <t>MEVCUTKULLANIMALANI adlı hücre ve YASALKULLANIMALANI adlı hücre eşit değil ise</t>
  </si>
  <si>
    <t>N22:O25 hücreleri arasında "Türkiye Halk Bankası A.Ş." ibaresi var ise</t>
  </si>
  <si>
    <t>N22:O25 hücreleri arasında "Türkiye Halk Bankası A.Ş." ibaresi yok ve hücrelerin tamamı boş değil ise (Yani diğer bankalar lehine ipotek var ise)</t>
  </si>
  <si>
    <t>F28:K31 hücrelerinden biri dolu ise</t>
  </si>
  <si>
    <t>İNŞASEVİYE hücresi %50 - %99 arasında ise</t>
  </si>
  <si>
    <t>İNŞASEVİYE hücresi %0 - %49 arasında ise</t>
  </si>
  <si>
    <t>RANDEVUTÜRÜ hücresi "dışarıdan görülmüştür." ise</t>
  </si>
  <si>
    <t>STATIKUYGMU hücresi "HAYIR" ise</t>
  </si>
  <si>
    <t>YAPIDENETİM isimli hücre "HAYIR" ise</t>
  </si>
  <si>
    <t>HİSSE2025 isimli hücre "EVET" ise</t>
  </si>
  <si>
    <t>TAPUBELEDİYEFARKVARMI hücresi "EVET" ise</t>
  </si>
  <si>
    <t>CHAT GPT YAPILACAKLAR</t>
  </si>
  <si>
    <t>Türkiye Halk Bankası A.Ş.</t>
  </si>
  <si>
    <t>Türkiye Cumhuriyeti Ziraat Bankası A.Ş.</t>
  </si>
  <si>
    <t>Türkiye İş Bankası A.Ş.</t>
  </si>
  <si>
    <t>Akbank T.A.Ş.</t>
  </si>
  <si>
    <t>Yapı ve Kredi Bankası A.Ş.</t>
  </si>
  <si>
    <t>QNB Finansbank A.Ş.</t>
  </si>
  <si>
    <t>Denizbank A.Ş.</t>
  </si>
  <si>
    <t>ING Bank A.Ş.</t>
  </si>
  <si>
    <t>Şekerbank T.A.Ş.</t>
  </si>
  <si>
    <t>Kuveyt Türk Katılım Bankası A.Ş.</t>
  </si>
  <si>
    <t>Türkiye Finans Katılım Bankası A.Ş.</t>
  </si>
  <si>
    <t>Vakıf Katılım Bankası A.Ş.</t>
  </si>
  <si>
    <t>Ziraat Katılım Bankası A.Ş.</t>
  </si>
  <si>
    <t>Emlak Katılım Bankası A.Ş.</t>
  </si>
  <si>
    <t>Albaraka Türk Katılım Bankası A.Ş.</t>
  </si>
  <si>
    <t>HSBC Bank A.Ş.</t>
  </si>
  <si>
    <t>Fibabanka A.Ş.</t>
  </si>
  <si>
    <t>Odea Bank A.Ş.</t>
  </si>
  <si>
    <t>Burgan Bank A.Ş.</t>
  </si>
  <si>
    <t>ICBC Turkey Bank A.Ş.</t>
  </si>
  <si>
    <t>Alternatifbank A.Ş.</t>
  </si>
  <si>
    <t>Anadolubank A.Ş.</t>
  </si>
  <si>
    <t>Arap Türk Bankası A.Ş.</t>
  </si>
  <si>
    <t>Birleşik Fon Bankası A.Ş.</t>
  </si>
  <si>
    <t>Deutsche Bank A.Ş.</t>
  </si>
  <si>
    <t>MUFG Bank Turkey A.Ş.</t>
  </si>
  <si>
    <t>BankPozitif Kredi ve Kalkınma Bankası A.Ş.</t>
  </si>
  <si>
    <t>Aktif Yatırım Bankası A.Ş.</t>
  </si>
  <si>
    <t>Diler Yatırım Bankası A.Ş.</t>
  </si>
  <si>
    <t>GSD Yatırım Bankası A.Ş.</t>
  </si>
  <si>
    <t>Türkiye Kalkınma ve Yatırım Bankası A.Ş.</t>
  </si>
  <si>
    <t>Türkiye Garanti Bankası A.Ş.</t>
  </si>
  <si>
    <t>Türkiye Vakıflar Bankası T.A.O.</t>
  </si>
  <si>
    <t>Türk Ekonomi Bankası A.Ş.</t>
  </si>
  <si>
    <t>İller Bankası A.Ş.</t>
  </si>
  <si>
    <t>Türkiye Sınai Kalkınma Bankası A.Ş.</t>
  </si>
  <si>
    <t>İstanbul Takas ve Saklama Bankası A.Ş.</t>
  </si>
  <si>
    <t>BANKALAR</t>
  </si>
  <si>
    <t>KULLANICI</t>
  </si>
  <si>
    <t>Mal Sahibi</t>
  </si>
  <si>
    <t>Kiracı</t>
  </si>
  <si>
    <t>İşgalci</t>
  </si>
  <si>
    <t>Ekspertize konu taşınmaz mal sahibi tarafından kullanılmaktadır.</t>
  </si>
  <si>
    <t>Ekspertize konu taşınmaz kiracı tarafından kullanılmaktadır.</t>
  </si>
  <si>
    <t>Ekspertize konu taşınmaz işgalci tarafından kullanılmaktadır.</t>
  </si>
  <si>
    <r>
      <t>DAHA ÖNCE SATIŞ GÖRMÜŞ MÜ?</t>
    </r>
    <r>
      <rPr>
        <b/>
        <sz val="8"/>
        <color theme="1"/>
        <rFont val="Calibri"/>
        <family val="2"/>
        <charset val="162"/>
        <scheme val="minor"/>
      </rPr>
      <t xml:space="preserve"> (Kat Karşılığı Söz. Kaps. Yapılan Devirler Hariç)</t>
    </r>
  </si>
  <si>
    <t>KAÇINCI EL</t>
  </si>
  <si>
    <t>1. El</t>
  </si>
  <si>
    <t>2. El</t>
  </si>
  <si>
    <t>Boş (Hiç Kullanılmamış)</t>
  </si>
  <si>
    <t>Boş (Kullanılmış)</t>
  </si>
  <si>
    <t>Ekspertize konu taşınmaz boş vaziyette olup, inşa edildiğinden itibaren kullanılmamış durumdadır.</t>
  </si>
  <si>
    <t>Ekspertize konu taşınmaz boş vaziyette olup, yerinde yapılan gözlemlerde daha önceden kullanıldığı gözlemlenmiştir.</t>
  </si>
  <si>
    <t>SATIŞ DURUMU</t>
  </si>
  <si>
    <t>AW6-AW7-AW8-AW9-AW10-AW12-AW13-AW14-AU17-AV17-AW17-AX17-AV19-AZ6-AZ17</t>
  </si>
  <si>
    <t>16B</t>
  </si>
  <si>
    <t>Malik/İlgili Bizzat Gelmeden İşlem Yapılamaz Beyanı</t>
  </si>
  <si>
    <t>18A</t>
  </si>
  <si>
    <t>18B</t>
  </si>
  <si>
    <t>Satışa Arz (İİK 150/C Maddesi) Şerhi, İpoteğin Paraya Çevrilmesi - Halkbank Talebiyle Satışa Arz</t>
  </si>
  <si>
    <t>Satışa Arz (İİK 150/C Maddesi) Şerhi, İpoteğin Paraya Çevrilmesi - Halkbank Dışında Satışa Arz</t>
  </si>
  <si>
    <t>Taşınmaz üzerinde Satışa Arz (İİK 150/C Maddesi) şerhi bulunmakta olup Halkbank tarafından satışa arz edilmiştir. (18A Risk Kodu)</t>
  </si>
  <si>
    <t>Taşınmaz üzerinde Satışa Arz (İİK 150/C Maddesi) şerhi bulunmakta olup 3. kişiler/kurumlar tarafından satış talep edildiğinden şerhin kaldırılması koşuluyla değer takdir edilmiştir. (18B Risk Kodu)</t>
  </si>
  <si>
    <t>İflas/ Konkordato Şerhi</t>
  </si>
  <si>
    <t>21A</t>
  </si>
  <si>
    <t>Taşınmaz üzerinde İflas/Konkordato şerhi bulunmakta olup şerhin kaldırılması koşuluyla değer takdir edilmiştir.(21A Risk Kodu)</t>
  </si>
  <si>
    <t>36A</t>
  </si>
  <si>
    <t>İhtiyati Tedbir ve Ferağdan Men Şerhi</t>
  </si>
  <si>
    <t>İhtiyati tedbir/Ferağdan men şerhi</t>
  </si>
  <si>
    <t>Taşınmaz üzerinde İhtiyati Tedbir/Ferağdan Men Şerhi bulunmakta olup şerhin kaldırılması koşuluyla değer takdir edilmiştir. (Satış Kabiliyeti: SATILAMAZ) (36A Risk Kodu)</t>
  </si>
  <si>
    <t>TAPU B. BÖLÜM TÜRÜ</t>
  </si>
  <si>
    <t>FİİLİ KULLANIM TÜRÜ</t>
  </si>
  <si>
    <t>Taşınmaz üzerinde malik veya ilgilinin bizzat gelmeden işlem yapılamayacağı beyanı bulunmakta olup ilgilisi olmadan alım satım veya teminat işlemleri yapılamayacaktır.</t>
  </si>
  <si>
    <t>104D</t>
  </si>
  <si>
    <t>Yapı Ruhsat ve Projesinde Belirtilenden Farklı Amaçla Kullanılan Taşınmaz</t>
  </si>
  <si>
    <t>Taşınmaz ruhsat ve projesinde izin verilenden farklı bir fonksiyonda kullanılmaktadır. Onaylı projesindeki kullanım fonksiyonuna göre Yasal Durum Değeri, mevcut kullanım fonksiyonuna göre Mevcut Durum Değeri takdir edilmiştir. (104D Risk Kodu)</t>
  </si>
  <si>
    <t>101M</t>
  </si>
  <si>
    <t>Onaylı Projesine Göre Küçük İnşa Edilen Taşınmaz</t>
  </si>
  <si>
    <t>Taşınmaz yapı ruhsatı ve onaylı projesindeki alandan daha küçük inşa edilmiştir. Mahallinde inşa edilmiş alan dikkate alınarak değerleme yapılmıştır. (101M Risk Kodu)</t>
  </si>
  <si>
    <t xml:space="preserve">APT./SİTE ADI </t>
  </si>
  <si>
    <t>YAPILAŞMA YOĞUNLUĞU</t>
  </si>
  <si>
    <t>UE1</t>
  </si>
  <si>
    <t>Büyüme/projesi hilafına uygulama mevcut ise;</t>
  </si>
  <si>
    <t>UE1A</t>
  </si>
  <si>
    <t>Büyüme/projesi hilafına uygulama mevcut ise;
-Yapı tatil tutanağı ve/veya encümen kararı yok ise;
-Yapı tatil tutanağı ve/veya encümen kararı var ancak düzeltilebilir ise</t>
  </si>
  <si>
    <t>Yapılan proje hilafı uygulaması rapor içeriğinde mimari proje bölümünde ayrıntılı olarak açıklanmalı ve projesine uygun hale dönüştürülüp dönüştürülemeyeceği hakkında kesin yorum yapılmalı, düzeltilebilir bir durum ise proje üzerindeki alana yasal değer takdir edilip, "Satılabilir" seçilmelidir. Düzeltilemeyecek bir durum ise iskanlı dahi olsa, tutanak/encümen kararı var ise "Satışı Güç " seçilip yasal değer verilmemeli, mevcut durum değeri belirtilmelidir. Projesindeki alana esas değer de değerleme uzmanı görüşü bölümünde belirtilmelidir.
Düzeltilemeyecek bir durum ise iskanlı dahi olsa, tutanak/encümen kararı var ise "Satışı Güç " seçilip yasal değer verilmemeli, mevcut durum değeri belirtilmelidir. Projesindeki alana esas değer de değerleme uzmanı görüşü bölümünde belirtilmelidir.
NOT:Projesine aykırı yapılan imalatlar rapor içeriğinde ayrıntılı olarak anlatılmalı, düzeltilip düzeltilemeyeceği yorumlanmalıdır. (var ise binanın kontöründeki büyümelerin, kolonlar arası açıklıklardaki büyümelerin, kolonların yerleri ile ilgili uyumsuzlukların düzeltilemeyeceği belirtilmelidir. Kolondan sonra büyüme yapılmış, binanın iskeleti -ana taşıyıcı sistemi- projesindeki gibi ise maliyetler dikkate alınarak düzeltileceği belirtilmelidir)</t>
  </si>
  <si>
    <t>UE1B</t>
  </si>
  <si>
    <t>Büyüme/projesi hilafına uygulama mevcut ise;
-Yapı tatil tutanağı ve/veya encümen kararı yok ise;
-Yapı tatil tutanağı ve/veya encümen kararı var ve düzeltilemez ise</t>
  </si>
  <si>
    <t>UE2</t>
  </si>
  <si>
    <t>Kat irtifakı / kat mülkiyeti kurulmamış binalarda, binanın tamamı değerlendiriliyor ve proje hilafı uygulamalara yönelik yapı tatil tutanağı ve/veya encümen kararı varsa;</t>
  </si>
  <si>
    <t>Tapuya tescil edilmiş ancak kat irtifakı / kat mülkiyeti kurulmamış binalarda, binanın tamamı değerlendiriliyor ve proje hilafı uygulamalara yönelik yapı tatil tutanağı ve/veya encümen kararı varsa;</t>
  </si>
  <si>
    <t>Tutanağın içeriğine bağlı olarak eksper raporda yorum yapmalı, taşınmaz projesine uygun hale dönüştürülebiliyor ise, bu dönüşüme ait masraflar da dikkate alınarak arsa+binaya yasal durum değeri verilmeli, "Satılabilir" seçilmeli ve mevcut durum değeri ( Mülkiyet İhlali Hariç ) belirtilmelidir. Projesine uygun hale dönüştürülemiyorsa; yasal durum değeri arsa için takdir edilip, "Satılabilir" seçilmeli, mevcut durum değeri belirtilmelidir. Projesindeki alana esas değer de değerleme uzmanı görüşü bölümünde belirtilmelidir.</t>
  </si>
  <si>
    <t>UE55</t>
  </si>
  <si>
    <t>Eksik kolon olması, kolon yönü, boyutunun farklı olması durumlarında;</t>
  </si>
  <si>
    <t>UE55A</t>
  </si>
  <si>
    <t>Eksik kolon olması, kolon yönü, boyutunun farklı olması durumlarında;
- Eksik kolon var ancak tutanak/tespit yok ise</t>
  </si>
  <si>
    <t>Tespit edilebiliyor ise riskler anlatılarak tutanak/encümen kararı yok ise yasal ve mevcut değer verilip "Satılabilir" sonuçlandırılmalıdır. 
Tutanak var ise; UE1 maddesinin açıklamasına bakılmalıdır.</t>
  </si>
  <si>
    <t>UE55B</t>
  </si>
  <si>
    <t>Eksik kolon olması, kolon yönü, boyutunun farklı olması durumlarında;
- Eksik kolon var ve tutanak/tespit var ise</t>
  </si>
  <si>
    <t>UE5</t>
  </si>
  <si>
    <t>ÇATI ARASI PİYESLİ meskenlerdeki uygulama</t>
  </si>
  <si>
    <t>UE5A</t>
  </si>
  <si>
    <t>ÇATI ARASI PİYESLİ meskenlerdeki uygulama (Çatı arası, normal kattan ayrılmış, normal kat görülmüş ve taşınmaz hisseli değil ise)</t>
  </si>
  <si>
    <t>GENEL AÇIKLAMA: Normal kat ve Ç.A.P. ve teras alanları mutlaka ayrı ayrı belirtilmelidir. Emsallerde mutlaka Ç.A.P. ilave normal kat daireler de yer almalıdır. (Minumum 4 emsal raporda bulunmalı ve 2 dubleks, 2 normal kat şeklinde belirtilmelidir.) Normal kat dairelerin m² birim fiyatları dikkate alınıp, Ç.A.P. in, uzmanın Ç.A.P nin kullanılabilirliğine göre kendi kanaatine dayalı (tavan yüksekliği, kullanım etkisi, vb.)olarak verdiği düzeltme katsayısı ile çarpılmış hali dikkate alınarak değer takdir etmesi gerekmekte olup tabloda bu değerleri ayrı ayrı göstererek rapora resim olarak eklenmeli ya da yazıyla belirtmelidir. Teras alanlarının kullanım alanına dahil edilmemiş olmasına ancak değer hesabına dahil edilmiş olmasına dikkat edilmelidir. 
Yapılan büyümeler proje hilafına yapılan uygulamalardaki gibi değerlendirilecek olup, yasal ve mevcut durum takdirinde Ç.A.P in düzeltme katsayısıyla çarpıldığına dikkat edilmelidir.
BANKA AÇIKLAMASI: 
Sadece normal katın gösterilmesi durumunda, belediye dosyasında tutanak/ tespit yok ise; bütün geri dönüştürme maliyetleri dikkate alınarak, çatı katının vasat olduğu kabul edilerek toplam yasal alan üzerinden değer verilmelidir.
Sadece çatı katının gösterilmesi durumunda; projesindeki yasal ve görülen kısım için "yasal değer", gösterilen kısmın tamamı için "mevcut değer" verilmesi gerekmektedir.
Ayrıca, ikiye ayrılmış taşınmazlarda sadece tek katın gösterilmesi durumunda, taşınmazın hisseli olup olmadığına dikkat edilmeli, hisseli olduğu tespit edilirise, normal kat gösterilse dahi "satışı güç" olarak sonuçlandırılmalıdır. Tamamının teminat altına alınacağı şube tarafından belirtilir ise, sorumlu mühendis yönlendirmesi ile "satılabilir" olarak sonuçlandırılmalıdır.</t>
  </si>
  <si>
    <t>UE5B</t>
  </si>
  <si>
    <t>ÇATI ARASI PİYESLİ meskenlerdeki uygulama 
-Çatı arası, normal kattan ayrılmış ve normal kat görülememiş ise;
-çatı arası, normal kattan ayrılmış, normal kat görülmüş ancak taşınmaz
hisseli ise;</t>
  </si>
  <si>
    <t>UE6</t>
  </si>
  <si>
    <t>Tapu Sicil Müdürlüğü ve ilgili Belediyesindeki projelerin kat planlarında numarataj olmaması sebebiyle veya farklı sebeplerle bağımsız bölüm ve blok bazında konum tespiti yapılamıyor ise;</t>
  </si>
  <si>
    <t>UE6A</t>
  </si>
  <si>
    <t>Tapu Sicil Müdürlüğü ve ilgili Belediyesindeki projelerin kat planlarında numarataj olmaması sebebiyle veya farklı sebeplerle bağımsız bölüm ve blok bazında konum tespiti yapılamıyor ise ( Tapuda proje görülmüş ve numarataj yok ise)</t>
  </si>
  <si>
    <t xml:space="preserve">Çeşitli sebepler ile konum tespiti yapılamıyor ise; iskan şartı aranmadan kattaki düşük şerefiyeli ve alanlı taşınmaz baz alınarak yasal değer, görülen taşınmaza göre mevcut değer verilmeli, "Satılabilir" sonuçlandırılmalıdır. Değerleme uzman görüşü bölümünde detaylı açıklama yapılmalı ve riskler kesinlikle anlatılmalıdır. İlgili madde, konumunun yanlış olduğu tespit edilen (trampa gerektiren ) bağımsız bölümler için değil, sadece konumu tespit edilemeyen bağımsız bölümler için geçerlidir.
Blok bazında konum tespiti yapılamıyor ise ; Değerleme raporu ve emsaller tablosu eksiksiz doldurulmalı, yasal durum değeri arsa payı oranında, mevcut değer ise görülen taşınmaz ise verilmeli "Satışı Güç " sonuçlandırılmalıdır. 
</t>
  </si>
  <si>
    <t>UE6B</t>
  </si>
  <si>
    <t>Tapu Sicil Müdürlüğü ve ilgili Belediyesindeki projelerin kat planlarında numarataj olmaması sebebiyle veya farklı sebeplerle bağımsız bölüm ve blok bazında konum tespiti yapılamıyor ise 
- Tapuda proje görülememiş ve belediye projesinde numarataj yok ise
- Blok bazında konum tespiti yapılamıyor ise</t>
  </si>
  <si>
    <t>UE7</t>
  </si>
  <si>
    <t>Projesinde bulunmayan kat ilave edilmesi durumunda;</t>
  </si>
  <si>
    <t>UE7A</t>
  </si>
  <si>
    <t>Projesinde bulunmayan kat ilave edilmesi durumunda 
- Kat irtifaklı olup ruhsat dışı 1 kat kaçak olması durumunda (çatı katı sayılmadan)
- Kat irtifakı kurulmamış ise
- Kat irtifaklı olup ruhsat dışı 1 kattan fazla kaçak olması ve tutanak olmaması durumunda (çatı katı sayılmadan)</t>
  </si>
  <si>
    <t>Ruhsat dışı 1 kat kaçak olması durumunda (çatı katı sayılmadan ), tutanak/ tespit mevcut olsa dahi yasal değer verilmelidir ve "Satılabilir " olarak sonuçlandırılmalıdır.</t>
  </si>
  <si>
    <t>Ruhsat dışı 1 kattan fazla kaçak kat olması durumunda (çatı katı sayılmadan ), tutanak/tespit mevcut değil ise, kaçak kat/katların, statik olarak olumsuz etkileme riski anlatılarak yasal alana göre yasal değer, mahaline göre mevcut durum değeri verilmeli "Satılabilir " olarak sonuçlandırılmalıdır.</t>
  </si>
  <si>
    <t>Ruhsat dışı 1 kattan fazla kaçak kat olması durumunda (çatı katı sayılmadan ), tutanak/tespit mevcut ise, kaçak kat/katların, statik olarak olumsuz etkileme riski anlatılarak yasal alana göre yasal değer, mahaline göre mevcut durum değeri verilmeli "Satışı Güç " olarak sonuçlandırılmalıdır.</t>
  </si>
  <si>
    <t>UE7B</t>
  </si>
  <si>
    <t>Projesinde bulunmayan kat ilave edilmesi durumunda 
- Kat irtifaklı olup ruhsat dışı 1 kattan fazla kaçak olması ve tutanak mevcut olması durumunda (çatı katı sayılmadan)</t>
  </si>
  <si>
    <t>UE9</t>
  </si>
  <si>
    <t>Hisseli Taşınmazlar</t>
  </si>
  <si>
    <t>UE9A</t>
  </si>
  <si>
    <t>Hisseli Taşınmazlar ( Tamamı teminat altına alınıyor ise)</t>
  </si>
  <si>
    <t>Tarafımıza hisseli tapunun bir kısmı gönderilmiş ise;
Kat irtifakı kurulmamış hisseli binalarda, hisse sahibinin kullanımında olan alan tarafımıza gösteriliyor ise tarafımıza gösterilen ve incelenen yerin değeri bilgi amaçlı olarak verilmeli, yasal ve mevcut değer verilmemeli ve "Satışı Güç" seçilmelidir. 
Ek olarak, üzerinde bina olmasa dahi ya da kaçak yapı bulunsa dahi, çok büyük bir alan olması ve bir kısmının aslında gösterilmiş olması veya bir kısmının teminata konu olduğu düşüncesi mevcut ise, yine yukarıda belirtildiği gibi ilerlenmelidir. (Gecekondu mahallesi, köyde bir hisseli arsa vs.)
Hisseli arsalarda; yasal durum değeri tamamı üzerinden verilmeli, değerleme uzman görüşü bölümünde hissesine düşen değer mutlaka belirtilmeli ve hisse bazında satışının güç olacağı, ancak tamamının teminat altına alınması koşuluyla satılabilir nitelikte olduğu belirtilerek "Satışı Güç" olarak sonuçlandırılmalıdır. Ancak şube tarafından sistem notunda tamamının ipotek altına alınacağı belirtilen işlemlerde, şube notuna istinaden rapor "Satılabilir" olarak sonuçlandırılır.
Tarafımıza tapunun tamamı gönderilmiş hisseli taşınmaz ise; Şube notuna gerek duyulmaksızın "Tamamının teminat altına alınması koşuluyla satılabilir nitelikte olup, hisse bazında satışı güçtür" notu mutlaka eklenmeli ve "Satılabilir" olarak sonuçlandırılmalıdır.
Hisseli taşınmazlarda uzman görüşüne mutlaka hisse değerleri belirtilmelidir.</t>
  </si>
  <si>
    <t>UE9B</t>
  </si>
  <si>
    <t>Hisseli Taşınmazlar ( Tamamı teminat altına alınmıyor ise)</t>
  </si>
  <si>
    <t>UE9C</t>
  </si>
  <si>
    <t>Hisseli Taşınmazlar ( Kat irtifakı kurulmamış hisseli binalarda sadece hisse sahibinin kullanımına ait alan gösteriliyor ise )</t>
  </si>
  <si>
    <t>UE10</t>
  </si>
  <si>
    <t>Ana taşınmazın su basman kotunun, projesinde belirtilenden yüksek inşa edilmiş ve gabarisinin değişmiş olması durumunda;</t>
  </si>
  <si>
    <t>UE10A</t>
  </si>
  <si>
    <t>Ana taşınmazın su basman kotunun, projesinde belirtilenden yüksek inşa edilmiş ve gabarisinin değişmiş olması durumunda ( Tutanak/Encümen kararı yok ise)</t>
  </si>
  <si>
    <t>İlgili belediyede bu duruma dair tutanak/encümen kararı mevcut ise; yasal değer verilmemeli, mevcut durum değeri verilmeli ve "Satışı Güç " sonuçlandırılmalıdır. 
Tutanak/encümen kararı yok ise, bu durumdan "değerleme uzman görüşü " bölümünde bahsedilmeli, bu tespitin yetkili kişilerce yapılması gerektiği açıklanarak, oluşabilecek riskler belirtilerek iskan şartı aranmadan yasal değer verilmeli ve "Satılabilir " olarak sonuçlandırılmalıdır.</t>
  </si>
  <si>
    <t>UE10B</t>
  </si>
  <si>
    <t>Ana taşınmazın su basman kotunun, projesinde belirtilenden yüksek inşa edilmiş ve gabarisinin değişmiş olması durumunda ( Tutanak/Encümen kararı var ise)</t>
  </si>
  <si>
    <t>UE11</t>
  </si>
  <si>
    <t>Bağımsız Bölüm / Blok numaratajında mahalli ile proje arasında uyumsuzluk bulunması;</t>
  </si>
  <si>
    <t>Bağımsız Bölüm / Blok numaratajında mahali ile proje arasında uyumsuzluk bulunması;</t>
  </si>
  <si>
    <t>Taşınmaza yasal ve mevcut değer takdiri yapılmamalı, "satışı güç" seçilmelidir. 
“Trampa yapılması ya da Tapu ve Kadastro Genel Müdürlüğü Tapu Dairesi Başkanlığı’nın 19.09.2011 tarih 2011/3 no.lu Hatalı Blok ve Bağımsız Bölüm Numaralarının düzeltilmesi hakkındaki genelge esaslarınca düzeltme yapılması durumunda tarafımıza gösterilen dairenin değerinin ….. olacağı düşünülmektedir” ibaresi değerleme uzman görüşü bölümünde belirtilmelidir. 
Konu taşınmazın konumu doğru olsa dahi, uyumsuzluğa dair beyan bulunması durumunda, olumsuz olarak ilerlenmesi, beyanın "düzeltme yapılmıştır" / "bağımsız bölüm / blok numarası değiştirilmiştir." beyanına dönüşmesi durumunda olumlu olarak düzenlenmesi gerekmektedir. 
Ek olarak hazırlanan numarataj raporunda tespitlerin doğru olması ve uyumsuzluk beyanı kalkmış olsa dahi, projede gerekli düzeltme işleminin yapılmış olması, taşınmazın konumunun doğru olduğu teyidinin yapılmış olması gerekmektedir. Sisteme taranmış olan projelerde, kat planında numarataj düzeltilmemiş ise hangi bağımsız bölümlerde değişiklik yapıldığına dair beyan olması durumunda olumlu ilerlenmelidir
NOT: Proje üzerinde güncel olarak Tapu Müdürlüklerinde fiilen düzeltme yapılmamaktadır. Beyan kaydına ve hazırlanan krokiye göre ilerlendiği durumlar da söz konusudur.
Tapuda bulunan projesindeki vaziyet planında blok numaralarının bulunmaması durumunda, belediye projesinde var ise dikkate alınmalı, imar paftasındaki numarataj dikkate alınmamalıdır. Kat mülkiyetli yapılar için kadastro tescil belgeside dikkate alınabilir. 
Sıralamanın bağlantılı olması A,B,C-1,2,3 gibi durumunda varsayım yapılmalıdır. Sıralamanın dikkate alınması bağımsız bölümler için de kullanılmaktadır. Ancak sıralamanın dikkate alınarak kabul yapıldığının mutlaka belirtilmesi gerekmektedir.
Sisteme taranmış olan projelerde, kat planında numarataj düzeltilmemiş ise hangi bağımsız bölümlerde değişiklik yapıldığına dair beyan olması durumunda olumlu ilerlenmelidir.</t>
  </si>
  <si>
    <t>UE13</t>
  </si>
  <si>
    <t>İmar Uygulaması var ise;
18. Madde</t>
  </si>
  <si>
    <t>UE13A</t>
  </si>
  <si>
    <t>İmar Uygulaması var ise (Kat irtifaklı veya kat mülkiyetli ise)</t>
  </si>
  <si>
    <t>UE13B</t>
  </si>
  <si>
    <t>İmar Uygulaması var ise 
-Boş arsa
-Kat irtifakına tabi olmayan ruhsatlı bina olması durumunda)</t>
  </si>
  <si>
    <t>UE14</t>
  </si>
  <si>
    <t>Değerlemesi yapılan arsanın park, yeşil alan, yol, belediye hizmet alanı vb. alanlarda kalması durumunda;</t>
  </si>
  <si>
    <t>Ada parsel bazında vergiye esas rayiç değer öğrenilmeli ve "satışı güç" olarak sonuçlandırılmalıdır. Yasal ve mevcut durum değeri de aynı olmalıdır. El değiştirme bedeli oluştuğu düşünülen durumlarda "mevcut durum değeri" "el değiştirme bedeli" takdir edilebilir.</t>
  </si>
  <si>
    <t>UE15</t>
  </si>
  <si>
    <t>Yıkılması durumunda inşaat izni alamayan park alanı gibi kamuya özel alanlarda kalan parseller için,</t>
  </si>
  <si>
    <t>UE15A</t>
  </si>
  <si>
    <t>Yıkılması durumunda inşaat izni alamayan park alanı gibi kamuya özel alanlarda kalan parseller için 
- Boğaziçi imar kanunu kapsamındaki yapılar
- 40 yaş altı yapılar
- Sit alanında kalan yapılar
- Ağaçlandırılacak alan, mera, orman alanlarında kalan ancak plan notlarında tarla olarak kulanılmasına izin verilen taşınmazlar</t>
  </si>
  <si>
    <t>UE15B</t>
  </si>
  <si>
    <t>Yıkılması durumunda inşaat izni alamayan park alanı gibi kamuya özel alanlarda kalan parseller için 
-40 yaş ve üzeri yapılar
-İmar hakkı azalışı olan 40 yaş üstü yapılar
-Ağaçlandırılacak alan, mera, orman alanlarında kalan ancak plan notlarında tarla olarak kulanılmasına izin verilmeyen taşınmazlar</t>
  </si>
  <si>
    <t>UE20</t>
  </si>
  <si>
    <t>Belediye dosyasının incelenememesi durumunda;</t>
  </si>
  <si>
    <t>UE20A</t>
  </si>
  <si>
    <t>Belediye dosyasının incelenememesi durumunda (
-Şifahi bilgi alınabiliyor ise
-Şifahi bilgi alınamıyor ancak iskan var ise)</t>
  </si>
  <si>
    <t>Belediye incelemesi, koşulsuz her çalışma için yapılmalıdır ve sadece şifahi inceleme yapılmasına izin verilen belediyelerden, şifahen sorgulama yapılacak olup, “… Belediyesi’nde … ile yapılan şifahi görüşmeye göre, konu taşınmazın üzerinde herhangi bir tespit/tutanak/yıkım kararının olmadığı bilgisi alınmıştır.”ibaresi yazılmalıdır. Ayrıca konu taşınmaza ait ruhsat ve varsa yapı kullanma izin belgesi tarih ve sayısı da raporda mutlaka belirtilmelidir. 
Dosyasında bulunan projesine aykırı uygulamalara ait tutanak/tespitler/yıkım kararları rapor içeriğinde tarih, sayı, içerik olarak belirtilmeli, ayrıca tutanakta yer alan durumun düzeltilip düzeltilemeyeceği hakkında yorum yapılmalıdır. Bu maddede eksikliği olan raporlar değerleme firmasına iade edilecek ve rapor sorunlu rapor olarak işaretlenecektir. 
Hiçbir şekilde şifahi bilgi de alınamıyorsa;Değerleme Uzman Görüşü alanında gerekli açıklamalar yapılmalı, yasal değer verilerek "Satışı Güç " olarak sonuçlandırılmalıdır.
TAŞINMAZ İÇİN TESPİT TUTANAK YIKIM KARARI OLMASI DURUMUNDA MEVCUT DURUMDA ALAN NE İSE (YIKIM KARARLI KISIMLAR DAHİL) MEVCUT DURUM DEĞERİ BELİRTİLİR.</t>
  </si>
  <si>
    <t>UE20B</t>
  </si>
  <si>
    <t>Belediye dosyasının incelenememesi durumunda (Şifahi bilgi alınamıyor ve iskan yok ise)</t>
  </si>
  <si>
    <t>UE21</t>
  </si>
  <si>
    <t>Yatayda/dikeyde kat irtifakı kurulu ancak üzerinde yapı yok veya rapora konu bağımsız bölümler eksik inşa edilmiş ise;</t>
  </si>
  <si>
    <t>UE21A</t>
  </si>
  <si>
    <t>Yatayda/dikeyde kat irtifakı kurulu ancak üzerinde yapı yok veya bazı katlar eksik inşa edilmiş ise ( Parsel üzerindeki tüm bağımsız bölümler rapora konu ise)</t>
  </si>
  <si>
    <t>Arsa payı için yasal ve mevcut değer verilmeli ve "Satışı Güç " olarak sonuçlandırılmalıdır. Ancak parselin tamamının Bankamız tarafından teminat altına alındığı durumlarda, bu şart belirtilerek arsa payı değeri takdir edilip "Satılabilir " seçilmelidir.</t>
  </si>
  <si>
    <t>UE21B</t>
  </si>
  <si>
    <t>Yatayda/dikeyde kat irtifakı kurulu ancak üzerinde yapı yok veya bazı katlar eksik inşa edilmiş ise 
- Parsel üzerindeki tüm bağımsız bölümler rapora konu değil ise
- Değerlemeye konu taşınmaz (bağımsız bölüm) inşa edilmemiş ise)</t>
  </si>
  <si>
    <t>UE22</t>
  </si>
  <si>
    <t>Değerlemeye konu mülk imar durumuna göre tevhid şartı varsa;</t>
  </si>
  <si>
    <t>UE22A</t>
  </si>
  <si>
    <t>Değerlemeye konu mülk imar durumuna göre tevhid şartı varsa 
- Tevhide konu tüm parsellerin rapora konu olması
- 40 yaş altı yapılar</t>
  </si>
  <si>
    <t>UE22B</t>
  </si>
  <si>
    <t>Değerlemeye konu mülk imar durumuna göre tevhid şartı varsa; 
- 40 yaş ve üzeri yapılar
- Boş arsalar</t>
  </si>
  <si>
    <t>UE23</t>
  </si>
  <si>
    <t>Mimari projesinin tapu arşivinde olmaması
durumunda</t>
  </si>
  <si>
    <t>UE23A</t>
  </si>
  <si>
    <t>Mimari projesinin tapu arşivinde olmaması durumunda
(Belediyedeki projesi ile uyumlu ise)</t>
  </si>
  <si>
    <t>Belediyede kat irtifak projesi olup, projesinde bağımsız bölüm numaraları var, ancak tapuda projesi yok ise; konum olarak mahalli ile uyumlu, belediye projesinde yer alan daire sayıları ve daire iç hacim yerleşim ve büyüklükleri teyit edildikten sonra (belediye projesinde tespit edilen daire sayısı, yazıyorsa arsa payları ile tapu kütüğündeki bağımsız bölüm sayısı ve arsa paylarının tutarlılığı kontrol edilerek) belediyedeki kat irtifak projesi baz alınarak yasal değer verilip "Satılabilir " sonuçlandırılmalıdır. Belediye projesi uyumsuz ise Yasal Durum Değeri verilmemeli "Satışı Güç " seçilmelidir. (ID: 494219 Mevcut Değer verilmesi istenmektedir.)
Ancak öncelikle bu durumunun Banka'ya iletilmesi ve Banka'nın müşterinin tapu arşivinde araştırma yapmasının sağlanması gerekmektedir. Mimari projenin nerede incelendiğinin raporda belirtilmesi şarttır. 
KENDİ NOTUMUZ : Madde dükkan ve ticari özelliği bulunan taşınmazlar için geçerli değil, Dükkan ve ticari özelliği bulunan taşınmazlarda ise; konum, şerefiye ve alan olarak değer kaybı oluşması öngörülmüyorsa belediye projesi baz alınabilir.</t>
  </si>
  <si>
    <t>UE23B</t>
  </si>
  <si>
    <t>Mimari projesinin tapu arşivinde olmaması durumunda
(Belediyedeki projesi ile uyumlu değil ise)</t>
  </si>
  <si>
    <t>UE24</t>
  </si>
  <si>
    <t>Belediyede tadilat projesi var, ancak tapu
arşivinde tadilat projesi yok ise</t>
  </si>
  <si>
    <t>UE24A</t>
  </si>
  <si>
    <t>Belediyede tadilat projesi var, ancak tapu arşivinde tadilat projesi yok ise 
(Tapu ve belediye tadilat projesi arasındaki fark kabul edilebilir ise)</t>
  </si>
  <si>
    <t>Eksper tadilat projesini inceleyerek tadilat projesi ve eski proje arasındaki farkları tespit ederek, kat irtifakının bozulup tekrar kurulmasına sebep olacak bir durumunun oluşma riskini raporda yorumlamalıdır. Bağımsız bölüm sayısının değişmesi, bağımsız bölümlerden herhangi birinin niteliğinin değişmesi, tadilat projesindeki bağımsız bölüm listesindeki (var ise ) arsa payları ile kütük arasında uyumsuzluk olması, kattaki daireler arasında mülkiyet sınırları değiştirilirek büyüme veya küçülmeler olması gibi durumlar değerleme uzman görüşü bölümünde açıklanmalıdır. Olumsuz durumlar ile ilgili gerekli risklerin detaylı olarak açıklanması gerekmekte olup, tadilat projesinin ilgili Tapu Müdürlüğü'ne de verilmesi durumunda yaşanılacak bütün riskler anlatılmalıdır. Ancak tapudaki kat irtifak projesi dikkate alınarak yasal değer, mevcut ile tadilat projesi uyumlu ise tadilat projesi dikkate alınarak mevcut durum değeri takdir edilerek "Satılabilir" sonuçlandırılmalıdır.
Ancak tapu projesindeki alanın, mevcutta kullanılan ve tadilat projesindeki alana göre fazla olması durumunda, yasal alan sadece Tapu projesi ve mevcut kullanılan alanlardan oluşmalıdır. 
Yerindeki taşınmaz, Tapu projesinden tamamen farklı bir projeye göre inşa edilmiş ise yasal değer verilmemeli mevcut durum değeri verilerek "Satışı Güç" sonuçlandırılmalıdır. Konum olarak da farklılık tespit edilir ise mevcut değer verilmemedir. Değerleme uzman görüşü bölümünde tapuya tescil edilmesi gerektiği ve var ise oluşabilecek riskler de mutlaka belirtilmelidir.</t>
  </si>
  <si>
    <t>UE24B</t>
  </si>
  <si>
    <t>Belediyede tadilat projesi var, ancak tapu arşivinde tadilat projesi yok ise 
-Mahalindeki taşınmaz tapu projesinden tamamen farklı inşa edildi ise
-Tapu ve belediye tadilat projesi arasında konum farkı var ise)</t>
  </si>
  <si>
    <t>UE27</t>
  </si>
  <si>
    <t>Tapu ve belediyede projesine ulaşılamamış
ancak, ruhsat mevcut ise</t>
  </si>
  <si>
    <t>UE27A</t>
  </si>
  <si>
    <t>Tapu ve belediyede projesine ulaşılamamış ancak, ruhsat mevcut ise ( Kat irtifakı kurulmamış (arsa + bina ) ise)</t>
  </si>
  <si>
    <t>Kat irtifakı kurulmuş yapılarda, yasal değer arsa payı değeri, mevcut durum dikkate alınarak mevcut değer takdir edilmeli "Satışı Güç " seçilmelidir. Projesiyle uygunluğu ve konumunun tespit edilememesi sebebiyle yasal değer takdir edilmediği açıklanmalıdır. 
Kat irtifakı kurulmayan yapılar için ise, rapor bazında, ruhsattaki büyüklük, kat sayısı vb. verilerin nasıl verildiği incelenerek taban oturumu tespitine göre karar verilmelidir.</t>
  </si>
  <si>
    <t>UE27B</t>
  </si>
  <si>
    <t>Tapu ve belediyede projesine ulaşılamamış ancak, ruhsat mevcut ise ( Kat irtifaklı ise)</t>
  </si>
  <si>
    <t>UE28</t>
  </si>
  <si>
    <t>Zemine yönelik hisse bulunması durumunda;</t>
  </si>
  <si>
    <t>UE28A</t>
  </si>
  <si>
    <t>Zemine yönelik hisse bulunması durumunda 
-Zemine yönelik hisse belediyeye ait ise
-Milli Emlak Genel Tebliği'ne göre doğrudan satış yapılabilecek alan ise</t>
  </si>
  <si>
    <t>UE28B</t>
  </si>
  <si>
    <t>Zemine yönelik hisse bulunması durumunda 
- Zemine yönelik hisse şahsa ait ise
- Zemine yönelik hisse Hazineye ait ise
--Milli Emlak Genel Tebliği'ne göre doğrudan satış yapılabilecek alan ise</t>
  </si>
  <si>
    <t>UE30</t>
  </si>
  <si>
    <t>Taşınmazın 6306 Sayılı Kanun kapsamında olması durumunda</t>
  </si>
  <si>
    <t>UE30A</t>
  </si>
  <si>
    <t>Taşınmazın 6306 Sayılı Kanun kapsamında olması durumunda 
-İlan tarihinden sonra ruhsat almış ise
-İlan tarihinden önce ruhsat almış bina olup resmi yazı alınmış ise
-ilgili kanun kapsamında inşa edilmiş büyük çaplı bir projede yer alıyor ise</t>
  </si>
  <si>
    <t>UE30B</t>
  </si>
  <si>
    <t>Taşınmazın 6306 Sayılı Kanun kapsamında olması durumunda 
- Ruhsatlı bina olup resmi yazı alınmamış ise
- Boş arsa ise</t>
  </si>
  <si>
    <t>UE31</t>
  </si>
  <si>
    <t>Aynalama yapılmış olması</t>
  </si>
  <si>
    <t>UE31A</t>
  </si>
  <si>
    <t>Aynalama yapılmış olması ( Tutanak/ Encümen Kararı mevcut değil ise)</t>
  </si>
  <si>
    <t>Tek tip projenin çizilmiş olduğu anlaşılan, yatayda kat irtifakı olan villalarda, mahalindeki oturum ile vaziyet planı uyumlu, ancak tek tip proje çizilmesi sebebiyle, vaziyet planı ile kat planı uyumsuz ise mahalinde görülen taşınmaza yasal durum değeri verilerek "Satılabilir" verilmelidir.(Bu durum dikey kat irtifaklı binalarda da vaziyet planındaki oturum doğru ancak, örnek olarak A,B,C bloklu sitede sadece tek bir proje bulunup, bu projenin kapağında A,B,C bloklara ait olduğunun belirtilmesi durumunda da geçerlidir.
Dikey kat irtifaklı yapılarda iskan şartı aranmaksızın tutanak/encümen kararı bulunmuyor ise, en düşük alan ve şerefiyeye göre yasal durum değeri verilmeli, mevcut durum değeri mahalindeki durum dikkate alınarak takdir edilmeli "Satılabilir " seçilmelidir. Projenin aynalanmış hali de mutlaka raporlarda belirtilmelidir. 
Arsa+bina ve yatay kat irtifakı ise de tutanak/encümen kararı bulunmuyor ise, yasal ve mevcut durum değeri verilerek "Satılabilir" olarak sonuçlandırılmalıdır.</t>
  </si>
  <si>
    <t>UE31B</t>
  </si>
  <si>
    <t>Aynalama yapılmış olması ( Tutanak/ Encümen Kararı mevcut ise)</t>
  </si>
  <si>
    <t>UE32</t>
  </si>
  <si>
    <t>Binanın döndürülmüş olması;</t>
  </si>
  <si>
    <t>UE32A</t>
  </si>
  <si>
    <t>Binanın döndürülmüş olması ( Tutanak/ Encümen Kararı mevcut değil ise)</t>
  </si>
  <si>
    <t>Dikey kat irtifaklı yapılarda iskan şartı aranmaksızın tutanak/encümen kararı bulunmuyor ise, en düşük alan ve şerefiyeye göre yasal durum değeri verilmeli, mevcut durum değeri mahalindeki durum dikkate alınarak takdir edilmeli "Satılabilir" seçilmelidir.
Arsa+bina ve yatay kat irtifakı ise de tutanak/encümen kararı bulunmuyor ise, yasal ve mevcut durum değeri verilerek "Satılabilir" olarak sonuçlandırılmalıdır.</t>
  </si>
  <si>
    <t>UE32B</t>
  </si>
  <si>
    <t>Binanın döndürülmüş olması ( Tutanak/ Encümen Kararı mevcut ise)</t>
  </si>
  <si>
    <t>UE33</t>
  </si>
  <si>
    <t>Taşınmazın vaziyet planında gösterildiği halinden farklı konumda olması durumunda;</t>
  </si>
  <si>
    <t>UE33A</t>
  </si>
  <si>
    <t>Taşınmazın vaziyet planında gösterildiği halinden farklı konumda olması durumunda
(Tutanak/ Encümen Kararı mevcut değil ise)</t>
  </si>
  <si>
    <t>Tutanak/encümen kararı bulunmuyor ise, yasal ve mevcut değer verilmeli ve "Satılabilir" seçilmelidir.</t>
  </si>
  <si>
    <t>UE33B</t>
  </si>
  <si>
    <t>Taşınmazın vaziyet planında gösterildiği halinden farklı konumda olması durumunda
(Tutanak/ Encümen Kararı mevcut ise)</t>
  </si>
  <si>
    <t>UE34</t>
  </si>
  <si>
    <t>Sel-taşkın, heyalan alanında kalması</t>
  </si>
  <si>
    <t>Sel-taşkın, heyalan alanında kalması;</t>
  </si>
  <si>
    <t>Yasal değer verilecek olup, eksperin gerekli bilgileri toplaması, durumu yorumlaması gerekmektedir. Risk teşkil etmediğine, yapının etkilenmediğine dair raporda açıklama yapılıyor ise rapor olumlu sonuçlandırılabilir. Aksi durumunda "Satışı Güç" sonuçlandırılmalıdır.
NOT:Arsa olması durumunda yasal değerde arsa rayiç değeri, mevcut durumda el değiştirme bedeli verilerek satış kabiliyeti Satışı güç istenmiştir.</t>
  </si>
  <si>
    <t>UE36</t>
  </si>
  <si>
    <t>Yapı Denetim Şirketi, Şantiye Şefi Vb. İle İlgili
Sorunlar</t>
  </si>
  <si>
    <t>UE36A</t>
  </si>
  <si>
    <t>Yapı Denetim Şirketi, Şantiye Şefi Vb. İle İlgili Sorunlar 
- %75 ve üzeri inşaat tamamlanma oranı var ve projesine uygun ya da aykırılıklar düzeltilebilir ise</t>
  </si>
  <si>
    <t>İnşaat %75 ve üzeri tamamlanmış ise; yapı denetim şirketi veya şantiye şefi ile anlaşmazlık oluşmasına ilişkin tutanak/tespit, mevcut ise, ana taşınmazın projesi ile uygunluğuna göre karar verilmelidir. Projesi hilafına, basit tadilat ile düzeltilebilecek (balkonun odaya katılması, sundurma yapılması vs .) bir uygulama mevcut ya da projesine uygun ise; başka bir olumsuz durum firma tarafından öngörülmüyor ve evrakların düzenlenmesi ile sorunun çözüleceğine kanaati getiriliyor ise rapor "Satılabilir " olarak sonuçlandırılmalı yasal değer verilmelidir. 
Düzeltilemeyecek bir uygulama var ve düzeltilemeyecek uygulamaya dair tunanak yok ise yasal değer verilip "Satışı Güç " seçilmelidir.
İnşaat seviyesi %75’ın altında ise yasal ve mevcut değer verilip "Satışı Güç" sonuçlandırılmaldır.</t>
  </si>
  <si>
    <t>UE36B</t>
  </si>
  <si>
    <t>Yapı Denetim Şirketi, Şantiye Şefi Vb. İle İlgili Sorunlar 
- İnşaat tamamlanmamış ( %75 altında ise)
- Projesine uygun değil ya da aykırılıklar düzeltilemez ise</t>
  </si>
  <si>
    <t>UE37</t>
  </si>
  <si>
    <t>Ruhsat süresi dolmuş</t>
  </si>
  <si>
    <t>UE37A</t>
  </si>
  <si>
    <t>Ruhsat süresi dolmuş 
- %75 ve üzeri inşaat tamamlanma oranı var ve projesine uygun ya da aykırılıklar düzeltilebilir ise
- Kat irtifakı bulunmayıp arsa değeri verilebiliyor ise )</t>
  </si>
  <si>
    <t>İnşaatın %75ve üzeri tamamlanmış olması ve projesine uygun ya da düzeltilebilir nitelikte uyumsuzlukların olması durumunda konu ile ilgili tutanak olsa dahi yasal değer verilip SATILABİLİR olarak sonuçlandırılmalıdır. 
Ruhsat süresi dolmuş, inşaat seviyesi %75’ın altında ise yasal ve mevcut değer verilip "satışı güç" sonuçlandırılmaldır. Tutanak/encümen kararı var ise yasal değer takdir edilmeyecek olup, mevcut durum değeri verilerek "satışı güç" olarak sonuçlandırılmalıdır.
Taşınmazın kat İrtifakına tabi olmadığı (bina, vb.) durumlarda ise mevcut imar koşullarına göre arsa değeri takdir edilip SATILABİLİR sonuçlandırılmalıdır.</t>
  </si>
  <si>
    <t>UE37B</t>
  </si>
  <si>
    <t>Ruhsat süresi dolmuş 
- İnşaat tamamlanmamış ( %75 altında ise)
- Projesine uygun değil ya da aykırılıklar düzeltilemez ise )</t>
  </si>
  <si>
    <t>UE41</t>
  </si>
  <si>
    <t>Orta ve ağır hasarlı yapılarda;</t>
  </si>
  <si>
    <t>UE41A</t>
  </si>
  <si>
    <t>Orta ve ağır hasarlı yapılarda; 
- Güçlendirmeye esas iskan alınmış ise
- Kat irtifakı bulunmayıp arsa değeri verilebiliyor ise )</t>
  </si>
  <si>
    <t>Güçlendirme ruhsatı alınmış ancak, güçlendirme iskanı alınmamış ise ve belediyede güçlendirmenin ruhsatına uygun şekilde tamamlandığına dair herhangi bir belge bulunamıyor ise yapıya yasal ve mevcut değer verilmeli, "Satışı Güç" olarak sonuçlandırılmalıdır. Az hasarlı yapılarda ise rapor olumlu olarak sonuçlandırılmalıdır.</t>
  </si>
  <si>
    <t>UE41B</t>
  </si>
  <si>
    <t>Orta ve ağır hasarlı yapılarda;(Güçlendirmeye esas iskan alınmamış ise)</t>
  </si>
  <si>
    <t>UE42</t>
  </si>
  <si>
    <t>Numarataj ile ilgili çelişki bulunması</t>
  </si>
  <si>
    <t>Proje üzerinde iki farklı numarataj sebebi ile konum tespitinde belirsizlik olması durumunda kattaki düşük alanlı ve şerefiyeli taşınmaza göre yasal değer verilmeli, mevcut değer görülen taşınmaz için takdir edilip "Satılabilir" sonuçlandırılmalıdır. Ancak çelişkili numaratajlarda, kat İrtifakına konu olmayan numaratajlar dikkate alınmamalıdır. Ek olarak çelişkili numaratajlardan birinin imzalanmış (imzanın doğruluğu sorgulanarak) veya mühür altına alınarak imzalanmış olması durumunda, bu numaratajın dikkate alınması gerekmektedir.</t>
  </si>
  <si>
    <t>UE45</t>
  </si>
  <si>
    <t>1/1000 ölçekli Uygulama İmar Planı revizyonda olan ya da iptal olan ancak 1/5000 ölçekli Nazım İmar Planı olan arsalar</t>
  </si>
  <si>
    <t>1/1.000 ölçekli Uygulama İmar Planı revizyonda olan ya da iptal olan ancak 1/5.000 ölçekli Nazım İmar Planı olan arsalar</t>
  </si>
  <si>
    <t>Değerleme konusu taşınmazın konut, ticaret, sanayi ve benzeri alanlarda kalması halinde, benzer emsallerle karşılaştırılarak el değiştirme bedeli takdir edilmeli, ancak satış kabiliyeti belirsizliklerin devam etmesi sebebiyle "Satışı Güç" sonuçlandırılmalıdır.
Değerleme uzman görüşü bölümüne 1/1.000 Ölçekli planların onaylanması ile revize edilmesi tavsiye edilmelidir.</t>
  </si>
  <si>
    <t>UE46</t>
  </si>
  <si>
    <t>1/1.000 ölçekli Uygulama İmar Planı ve 1/5.000 ölçekli Nazım İmar Planı hiç yapılmamış üst ölçek planı bulunan taşınmazlar</t>
  </si>
  <si>
    <t>UE46A</t>
  </si>
  <si>
    <t>1/1.000 ölçekli Uygulama İmar Planı ve 1/5.000 ölçekli Nazım İmar Planı hiç yapılmamış üst ölçek planı bulunan taşınmazlar ( - Ağaçlandırılacak alan, orman, mera alanında kalıp plan notu tarım yapılmasına izin veriyor ise
- Konut,Turizm,Ticaret vb alanda kalıyor ise )</t>
  </si>
  <si>
    <t>Üst ölçek planları hakkında bilgi verilmelidir. Üst ölçekli planlarda, tarımsal niteliği korunacak alan ise tarla değeri verilip SATILABİLİR sonuçlandırılmalıdır.
*Konu taşınmazın 1/1.000 ve 1/5.000 ölçekli planlar dışındaki üst ölçek planlarında ağaçlandırılacak alan, mera ve orman alanında kalması durumunda plan notlarının araştırılması ve yorumlanması gerekmektedir. Özel mülkiyete konu olan taşınmazın plan notlarında“ tarım amaçlı ağaçlandırmaya ve ya tarım amaçlı kullanıma”izin verildiği belirtilmiş ve açıklamalarda kısıtlayıcı bi rhusus bulunmuyor ise tarla değeri takdir edilip, “SATILABİLİR”olarak sonuçlandırılmalıdır. Ancak, plan notlarında “ alt ölçekli planlarda ağaçlandırılacak alan olarak belirlenmemesi durumunda”vb. gibi bir kısıtlama var ise yasal değer rayiç değer verilmeli mevcut değer el değiştirme değeri verilerek “Satışı Güç” olarak sonuçlandırılmalıdır. 
Üst ölçek planlarında konut, turizm, ticare tvb. gibi alanlarda ise yasal mevcut değer piyasa el değiştirme değeri verilip planların onaylanması durumunda oluşabilecek riskler (parselin yeşil alan,yol vb.gibi kamuya özel alanlarda kalması) mutlaka belirtilerek SATILABİLİR sonuçlandırılmalıdır.</t>
  </si>
  <si>
    <t>UE46B</t>
  </si>
  <si>
    <t>1/1.000 ölçekli Uygulama İmar Planı ve 1/5.000 ölçekli Nazım İmar Planı
hiç yapılmamış üst ölçek planı bulunan taşınmazlar ( Ağaçlandırılacak alan, orman, mera alanında kalıp plan notu tarım yapılmasına izin vermiyor ise )</t>
  </si>
  <si>
    <t>UE47</t>
  </si>
  <si>
    <t>1/1.000 ölçekli Uygulama İmar Planı ve 1/5.000 ölçekli Nazım İmar Planı yapılmış ancak iptal edilmiş ya da revizyonda olması durumunda;</t>
  </si>
  <si>
    <t>UE47A</t>
  </si>
  <si>
    <t>1/1.000 ölçekli Uygulama İmar Planı ve 1/5.000 ölçekli Nazım İmar Planı yapılmış ancak iptal edilmiş ya da revizyonda olması durumunda ( Üst ölçekli planda tarımsal niteliği korunacak alanda kalması ve mevcutta tarla niteliğini koruması durumunda)</t>
  </si>
  <si>
    <t>UE47B</t>
  </si>
  <si>
    <t>1/1.000 ölçekli Uygulama İmar Planı ve 1/5.000 ölçekli Nazım İmar Planı yapılmış ancak iptal edilmiş ya da revizyonda olması durumunda</t>
  </si>
  <si>
    <t>UE48</t>
  </si>
  <si>
    <t>Hissedarlardan biri belediye, Maliye Hazinesi
olan taşınmazlar;</t>
  </si>
  <si>
    <t>Maliklerden biri belediye, Maliye Hazinesi olan taşınmazlar;</t>
  </si>
  <si>
    <t>Yasal mevcut değer verilip "Satışı Güç" olarak sonuçlandırılmalıdır.
Zemine yönelik hisse olarak konulması gerekirken, tapu niteliğinin "arsa " olarak gözükmesi sebebiyle hisseli hale geldiği düşünülen taşınmazlar için ilgili belediyeden araştırmanın mutlaka yapılması gerekmektedir. Konu hakkında yazı temin edilmeye çalışılmalı ve zemine yönelik olduğununda emin olunması durumunda ( Belediyeye ödenecek tutarda yapı için bedel değil, sadece arsa için bedel talep ediliyor ise) 28. madde esas alınarak rapor sonuçlandırılmalıdır.</t>
  </si>
  <si>
    <t>UE49</t>
  </si>
  <si>
    <t>Üzerinde yapı bulunan taşınmazlarda 1/1.000 ölçekli imar planlarının iptal edilmesi durumda;</t>
  </si>
  <si>
    <t>UE49A</t>
  </si>
  <si>
    <t>Üzerinde yapı bulunan taşınmazlarda 1/1.000 ölçekli imar planlarının iptal edilmesi durumda 
-Ruhsat tarihi plan iptal tarihinden önce ise
-Ruhat tarihi plan iptal kararından sonra ancak tespit/tutanak yok ise</t>
  </si>
  <si>
    <t>Ruhsat tarihi, plan iptal karar tarihinden (belediyeye tebliğ tarihi) sonra ise; ruhsatın hangi plana dayandırılarak verildiği araştırılmalıdır, iptal edilen plana göre ruhsat verilmiş ve tutanak/encümen kararı mevcut ise; yasal değer verilmemeli, mevcut durum değeri verilerek "satışı güç" sonuçlandırılmalıdır.(Sancaktepe'de iptal tarihleri kontrol edilmelidir. Ancak 22.08.2010 tarihinde yeni planlar hazırlanmış olup, bu tarihten sonra bu imar planına göre ruhsat alınmış ise sıkıntı bulunmamaktadır). 
Diğer durumlarda yasal ve mevcut değer verilmeli, var ise risklerden bahsedilmelidir. 
İmar planlarına dava açılmış, ancak davaların henüz kesinleşmemiş olması sebebiyle plan iptalinden bahsedilemiyor ise, bu durum sebebiyle yaşanabilecek her türlü risk (plan iptali ve buna bağlı olarak ruhsat iptali olabileceği vb.) detaylı olarak açıklanmalıdır. Ancak henüz imar planı iptali olmadığı için yasal değer verilecek olup, mevcut piyasa koşullarında satışıyla ilgili herhangi bir sorun yok ise, değerleme uzmanı, taşınmazın satılabileceği hakkında olumlu görüş veriyor ise, mevcut piyasa koşullarının dikkate alındığı ve taşınmazın satışının mevcut piyasa koşullarında gerçekleştiği belirtilerek SATILABİLİR olarak sonuçlandırılmalıdır. 
Arsa+bina olarak değerlemesi yapılacak olan kat İrtifakı kurulmayan taşınmazlar için de aynı hususlar geçerlidir.</t>
  </si>
  <si>
    <t>UE49B</t>
  </si>
  <si>
    <t>Üzerinde yapı bulunan taşınmazlarda 1/1.000 ölçekli imar planlarının iptal edilmesi durumda 
-Ruhsat tarihi plan iptal tarihinden sonra ve tutanak/tespit var ise</t>
  </si>
  <si>
    <t>UE51</t>
  </si>
  <si>
    <t>Değerlemeye konu mülk üzerinde tecavüzlü olduğu beyanı mevcut ise;</t>
  </si>
  <si>
    <t>UE51A</t>
  </si>
  <si>
    <t>Değerlemeye konu mülk üzerinde tecavüzlü olduğu beyanı mevcut ise 
-Tecavüz yapı inşaasından sonra değişen imar planı sebebi ile oluşmuş ve tutanak yok ise
-Tecavüz yapı inşaası sırasında oluşmuş ancak iskanlı ise</t>
  </si>
  <si>
    <t>Konu parselin tecavüzünün neden kaynaklandığı tespit edilmeli, yapı inşatı sırasında mı yoksa sonradan oluşan imar durumunda mı oluştuğu tespit edilmelidir. 
Sonradan oluşan imar durumu sebebiyle yapı tecavüzlü duruma düşmüş ise, yapı iskanlı veya mevcut ruhsatına uygun inşa edilmiş ve üzerinde herhangi bir tutanak bulunmuyor ise yapıya yasal değer verilmelidir. Mevcut riskler ayrıntılı şekilde belirtilerek "satılabilir" sonuçlandırılmalıdır. 
Bina inşası sırasında oluşması durumunda iskanlı ise yasal değer verilmeli ve riskler belirtilerek "satılabilir" sonuçlandırılmalıdır. İskan yok veya başka parsele tecavüz var ise binaya yasal değer verilmemeli "satışı güç" sonuçlandırılmalıdır. Binanın kullanım ömrünü tamamlamış olması, değere etki edeceği düşünülen bir imar hakkı azalışı mevcut veya yeni yapının yapılamayacağı bilgisi alınıyor ise yapıya yasal değer verilmemeli mevcut durum değeri verilerek "Satışı Güç" sonuçlandırılmalıdır.</t>
  </si>
  <si>
    <t>UE51B</t>
  </si>
  <si>
    <t>Değerlemeye konu mülk üzerinde tecavüzlü olduğu beyanı mevcut ise 
-Tecavüz yapı inşaası sırasında oluşmuş ancak iskan yok ise
-Bina kullanım ömrünü doldurmuş ve arsa için imar hakkı azalışı mevcut
ise
-Tutanak var ise</t>
  </si>
  <si>
    <t>UE53</t>
  </si>
  <si>
    <t>Projesinde bodrum kat bulunup, yerinde inşa edilmemiş ise;</t>
  </si>
  <si>
    <t>UE53A</t>
  </si>
  <si>
    <t>Projesinde bodrum kat bulunup, yerinde inşa edilmemiş ise 
-Tutanak/ Encümen Kararı mevcut değil ise
-Kat irtifakı bulunmayıp ve arsa değeri verilebiliyor ise)</t>
  </si>
  <si>
    <t>Tutanak/encümen kararı bulunmuyor ise, risklerden bahsedilerek yasal ve mevcut değer verilmeli ve "Satılabilir" seçilmelidir.
Taşınmazın kat İrtifakına tabi olmadığı (bina, vb.) durumlarda ise mevcut imar koşullarına göre arsa değeri takdir edilip "Satılabilir" sonuçlandırılmalıdır.</t>
  </si>
  <si>
    <t>UE53B</t>
  </si>
  <si>
    <t>Projesinde bodrum kat bulunup, yerinde inşa edilmemiş ise -Tutanak/ Encümen Kararı mevcut ise)</t>
  </si>
  <si>
    <t>UE54</t>
  </si>
  <si>
    <t>Mahallinde tek fonksiyona dönüştürülmüş kat irtifaklı ya da kat mülkiyetli bağımsız bölümlerde;</t>
  </si>
  <si>
    <t>UE54A</t>
  </si>
  <si>
    <t>Mahallinde tek fonksiyona dönüştürülmüş kat irtifaklı ya da kat mülkiyetli bağımsız bölümlerde ( Ana taşınmazdaki tüm bağımsız bölümler rapora konu ise)</t>
  </si>
  <si>
    <t>UE54B</t>
  </si>
  <si>
    <t>Mahallinde tek fonksiyona dönüştürülmüş kat irtifaklı ya da kat mülkiyetli bağımsız bölümlerde ( Ana taşınmazdaki bazı bağımsız bölümler rapora konu ve tek başına da değeri olduğu düşünülüyor ise)</t>
  </si>
  <si>
    <t>UE54C</t>
  </si>
  <si>
    <t>Mahallinde tek fonksiyona dönüştürülmüş kat irtifaklı ya da kat mülkiyetli bağımsız bölümlerde ( Ana taşınmazdaki bazı bağımsız bölümler rapora konu ve tek başına değeri olmadığı düşünülüyor ise)</t>
  </si>
  <si>
    <t>Tespit edilebiliyor ise riskler anlatılarak tutanak/encümen kararı yok ise yasal ve mevcut değer verilip "satılabilir" sonuçlandırılmalıdır. Eksik kolon- iskan olmasa dahi dosyasında olumsuz bir evrak yok ise yasal-mevcut takdir edilir Satılabilir olarak sonuçlandırılır. Tutanak var ise; UE1 maddesinin açıklamasına bakılmalıdır.</t>
  </si>
  <si>
    <t>UE57</t>
  </si>
  <si>
    <t>Kıyı kanunu;</t>
  </si>
  <si>
    <t>UE57A</t>
  </si>
  <si>
    <t>7121 sayılı Kıyı kanunu 
-11 Temmuz 1992 den önce ruhsat almış yapılar: Sahil şeridinde ve 40 yaşından küçük ise
- 11 Temmuz 1992 den sonra ruhsat almış yapılar: İskanlı ise veya Projesine uygun ise
- Arsalar; kıyıda kalmıyor veya bir kısmı kıyıda kalıyor ancak bu alan değerleme dışı tutuluyor ise</t>
  </si>
  <si>
    <t>Taşınmazın kıyı, sahil şeridinin ilk 50 m ya da ikinci 50 m' lik alanında kaldığı hakkında bilgi verilmelidir.
Kıyıda kalması durumunda riskler belirtilerek "yasal ve mevcut durum değeri verilerek "satışı güç" sonuçlandırılmalıdır.
Boş arsalarda; ilk 50m ve ikinci 50m de "yasal ve mevcut durum değeri verilerek "satılabilir" sonuçlandırılmalıdır.
Sahil şeridinde kalıyor ise; 11 temmuz 1992 tarihinden önce ruhsat almış yapılara "yasal değer" verilmelidir. Arsa+bina değerlemesinde bina kullanım ömrü devam ediyor ise "arsa değeri" için "el değiştirme bedeli" takdir edilmelidir. Ancak yıkılması durumunda yeni binanın yapılamama riski bulunduğu belirtilmeli, bina yaşı dikkate alınarak satış kabiliyeti yorumlanmalı, 30 yaşından sonraki yapılar için, satış kabiliyetinin mevcut durum değeri dikkate alınarak yorumlandığı belirtilerek “SATILABİLİR” sonuçlandırılmalıdır.
• 11 temmuz 1992 tarihinden sonra ruhsat alınmış ise; 
- Bölgede yapılan U.İ.P’na istinaden ruhsat alınmış ise, “yasal ve mevcut değer” verilmelidir. 
Değerleme uzman görüşü bölümünde büyük harfler ile “KONU TAŞINMAZ ÜZERİNDE BULUNAN YAPIYA …… BELEDİYESİ TARAFINDAN …. TARİH VE …. SAYILI 1/1.000 ÖLÇEKLİ UYGULAMA İMAR PLANI’NA İSTİNADEN RUHSAT VERİLMİŞTİR. YAPININ TAMAMLANMA SÜRECİNDE YASAL PROSEDÜRLERİNİN YERİNE GETİRİLEREK GERÇEKLEŞTİRİLDİĞİ VE RUHSATINA ESAS MİMARİ PROJESİNE UYGUN İNŞA EDİLDİĞİ (BASİT UYGULAMALAR VAR İSE … DIŞINDA OLARAK BELİRTİLECEK) GÖRÜLMÜŞTÜR. KONU TAŞINMAZIN BULUNDUĞU PARSEL ÜZERİNDE KIYI KANUNU DİKKATE ALINDIĞINDA, KONU YAPININ İNŞA EDİLMESİ İLGİLİ KANUN DİKKATE ALINDIĞINDA, YAPININ BİRİNCİ 50 M. / İKİNCİ 50 M İÇİNDE KALMASI NEDENİYLE SORUN YAŞANABİLECEĞİ DÜŞÜNÜLMEKLE BİRLİKTE, …… BELEDİYESİ’NİN RAPORA KONU TAŞINMAZA RUHSAT VERMİŞ OLMASI VE TAŞINMAZIN DA VERİLMİŞ BU RUHSATA UYGUN İNŞA EDİLMİŞ OLMASI DİKKATE ALINARAK YAPIYA “YASAL DEĞER” VERİLMİŞTİR. TAŞINMAZIN RUHSATINA İLİŞKİN HERHANGİ BİR DAVA AÇILMASI DURUMUNDA, MEVCUT RUHSATIN GEÇERLİLİĞİ, MAHKEME SONUCUNA GÖRE KESİNLİK KAZANACAKTIR.” notu istisnasız eklenmelidir.</t>
  </si>
  <si>
    <t>UE57B</t>
  </si>
  <si>
    <t>Kıyı kanunu
- Taşınmaz kıyıda kalıyor ise
- 11 Temmuz 1992 den önce ruhsat almış yapılar: 40 yaşından büyük ise
- 11 Temmuz 1992 den sonra ruhsat almış yapılar: Projesine uygun değil ise</t>
  </si>
  <si>
    <t>UE59</t>
  </si>
  <si>
    <t>Eğitim, sağlık, spor, rekreasyon ve sosyal-kültürel tesis lejantlarında kalan taşınmazların değerlemesi yapılırken;</t>
  </si>
  <si>
    <t>UE59A</t>
  </si>
  <si>
    <t>Eğitim, sağlık, spor, rekreasyon ve sosyal-kültürel tesis lejantlarında kalan taşınmazların değerlemesi yapılırken 
- Boş arsa ve imar planında özel ibaresi bulunuyor ise
- Boş arsa, imar planında özel ibaresi bulunmuyor ancak ilgili kurumlardan yazılar alınmış ise
- Taşınmaz üzerinde imara uygun ruhsat almış yapı mevcut ise )</t>
  </si>
  <si>
    <t>UE59B</t>
  </si>
  <si>
    <t>Eğitim, sağlık, spor, rekreasyon ve sosyal-kültürel tesis lejantlarında kalan taşınmazların değerlemesi yapılırken 
- Boş arsa, imar planında özel ibaresi bulunmuyor ve ilgili kurumlardan yazılar alınamıyor ise</t>
  </si>
  <si>
    <t>UE100</t>
  </si>
  <si>
    <t>İMAR BARIŞI</t>
  </si>
  <si>
    <t>UE100A</t>
  </si>
  <si>
    <t>İMAR BARIŞI 
Uygulama Esasları Ek-1 (İmar Barışı Kapsamındaki Taşınmazlar İçin Rapor Kontrol Uygulamaları)'de yer alan maddelere göre satış kabiliyeti "satılabilir" ise;</t>
  </si>
  <si>
    <t>Ek-1 (İmar Barışı Kapsamındaki Taşınmazlar İçin Rapor Kontrol Uygulamaları))</t>
  </si>
  <si>
    <t>UE100B</t>
  </si>
  <si>
    <t>İMAR BARIŞI 
Uygulama Esasları Ek-1 (İmar Barışı Kapsamındaki Taşınmazlar İçin Rapor Kontrol Uygulamaları)'de yer alan maddelere göre satış kabiliyeti olumsuz ise</t>
  </si>
  <si>
    <t>DİĞER UYGULAMALAR</t>
  </si>
  <si>
    <t>Tapu Açıklaması Kısmında;</t>
  </si>
  <si>
    <t>Tarafımıza iletine tapu sureti ile tapu kaydı arasında farklılık ( Malik bilgisi, ada/parsel, tarih/yevmiye,, cilt/sayfa, ana taşınmaz nitelik, vb.) var ise beliritlmelidir.</t>
  </si>
  <si>
    <t>Takyidat Bilgileri Kısmında;</t>
  </si>
  <si>
    <t>Takyidat bilgileri kodlara göre eksiksiz doldurulmalıdır. Takydatlar konularına göre takyidat bilgileri ve ipotek ve haciz bilgileri kısmına girilmelidir.</t>
  </si>
  <si>
    <t>Mevcut durum değeri tanımı ve değer takdir edilmemesi gereken durumlar</t>
  </si>
  <si>
    <t>Mülkiyet hakkı ihlali sonucu oluşan kullanım alanlarına, mevcut durum değeri verilmemelidir, sadece değerleme uzman görüşü bölümünde bilgi amaçlı olarak değerinin belirtilmesi gerekmektedir. (Farklı bağımsız bölümden dahil edilen alan,vb) 
Ortak alandan yapılan büyümelere ve silolara mevcut durum değeri verilmeli, ancak bu husus mutlaka değerleme uzman görüşü bölümünde dikkat çekici olarak açıklanmalı ve gerekli uyarı yapılmalıdır. 
Mevcut durum değeri: Mevzuat uyarınca alınması gerekli izin ve belgelerin tam ve eksiksiz olup olmadığı, yasal gereklerin yerine getirilip getirilmediği, imar mevzuatına aykırı olup olmadığı ve ruhsata bağlanma durumu dikkate alınmaksızın mahalinde gösterilen taşınmazın mülkiyet hakkı ihlali dışındaki alanı baz alınarak takdir edilen değeridir.
Yasal durum değeri: Mevzuat uyarınca alınması gerekli izinleri alınmış, ruhsata bağlanmış, projesindeki yasal kullanım alanı (mülkiyet sınırları) dikkate alınarak takdir edilen değerdir.</t>
  </si>
  <si>
    <t>Fabrika değerlemeleri, silo vb.</t>
  </si>
  <si>
    <t>10/2015 V.03 FABRİKA DEĞERLEMESİ 3.5.4 ilgili maddesi aşağıda belirtildiği gibidir. 
3.5.4. Fabrikalar değerlenirken taşınmaz bir kompleks (tesis) olarak ele alınacak, değerlemede tesis bütünlüğü ve yapıların birbirleri ile olan ilişkileri dikkate alınacaktır. Ayrıca bu kompleks (tesis) içindeki binalar inşai olarak yapım özellikleri, inşaat kaliteleri, yapı malzeme türleri dikkate alınarak, her bir yapı kendi özelliklerine göre (idari bina - üretim binası - depo alanları - açık ve kapalı sundurmalar vb.) belirtilecek, inşai unsurların ayrı ayrı alanları, varsa inşaat seviyeleri ve takdir edilen m² birim fiyatları tablo halinde gösterilecektir (soğuk hava depoları, ısıtma, soğutma, havalandırma sistemleri vb.). İnşaat ruhsatına bağlanmış/bağlanmamış olan silo ve benzeri taşınabilir veya demontabl ünitelerden rapor içeriğinde bahsedilmeli fakat takdir edilecek değer sadece “mevcut durum değeri” olarak belirtilecektir.</t>
  </si>
  <si>
    <t>Dışarıdan yapılan çalışmalarda
İçerisi görülememiş taşınmaz</t>
  </si>
  <si>
    <t>- İlk önce ve mutlaka Banka Genel Müdürlüğünden onay alınması gerekmekte ve sisteme not girişi eklenmesi gerekemektedir. ONAYSIZ KONTROLE İLETİLMEMELİDİR.
'- Onay verilmesi durumunda; Vasat kabulü ile değerleme yapılması ve uzman görüşünde mutlaka belirtilmesi
'- Konum ve alan uyumluluğu bölümüne mutlaka " Konu taşınmaz bankanın bilgisi ve onayı dahilinde dışarıdan görülmüş olup, konum, alan ve mimari olarak projesi ile uyumlu olduğu, 
'- Yaklaşık Kira değeri mutlaka yazılmalıdır.</t>
  </si>
  <si>
    <t>Hisseli Taşınmazlarda Hisse Hatası bulunması durumunda</t>
  </si>
  <si>
    <t>Hisse hata olan çalışmalarda, (hisseler toplamı 1 den küçük veya büyük olması durumu), yasal ve mevcut durum değeri takdir edilerek satış kabiliyetinin ''satışı güç'' olacağı belirtilmiştir.</t>
  </si>
  <si>
    <t>Ahşap yapılar ile ilgili madde</t>
  </si>
  <si>
    <t>İnşa türü ahşap olan tarihi eser nitelikli binalar için ahşap binalara değer verilmeli, ancak mutlaka, yangın riski, yeniden yapılma güçlüğü gibi konulara değerleme uzman görüşü bölümünde vurgulanarak, belirtilmelidir.</t>
  </si>
  <si>
    <t>Birlikte kullanılan ve bina bazında tüm bağımsız bölümlerin rapor kapsamında olması durumunda. BKZ UE54 A,B,C</t>
  </si>
  <si>
    <t>Binaya ait tüm taşınmazların aynı raporda teminata konu olması durumunda ortak alanlarda, her taşınmaza dağıtılacak şekilde yasal alana dahil edilmeli ve yine tabloda taşınmazlara dağıtılarak yasal değer verilmelidir. Ancak değerleme uzman görüşü bölümünde yapılan bu uygulama anlatılmalı ve tabloda takdir edilen değerin sadece taşınmazların tamamının birlikte teminat altına alınması durumunda geçerli olacağı, binanın komple bir bina olarak dikkate alınarak değer verildiği vurgulanmalıdır. Birlikte teminat alınmaması durumundaki taşınmazların ayrı ayrı değerleri de ileride sorun yaşanmaması için belirtilebilir. 
Birlikte teminat altına alınması durumunda değer veya daha yüksek yasal değer takdir edilen raporlarda; “Birlikte teminat altına alınması ve birlikte çözülmesi durumunda tabloda takdir edilen değer geçerlidir.” Notuna benzer bir not eklenmesine özen gösterilmesi gerekmektedir. İyi çalışmalar dilerim.</t>
  </si>
  <si>
    <t>Rezerv Yapı Alanında Kalan Arsa Nitelikli Taşınmazlar</t>
  </si>
  <si>
    <t>Yasal -mevcut durumda el değiştirme bedeli takdir edilerek satılabilir sonuçlandırılacağı bilgisi alınmıştır.</t>
  </si>
  <si>
    <t>Çepeçevre balkon</t>
  </si>
  <si>
    <t>Taşınmazların çatı katlarında yer alan teras hacimleri, zemine oturan teras hacimleri ve binaları tamamen çevreleyen balkonların alanları rapor içeriğinde belirtilecek, ancak; taşınmazın brüt alanına ilave edilmeyecektir. 
Çepeçevre balkon alanları değere eksper kanaatine ve etki oranına göre yansıtılacak, tamamen göz ardı edilmeyecektir.</t>
  </si>
  <si>
    <t>Bağımsız bölüm ancak rapora konu bağımsız bölümler birlikte kullanılıyor ve komple binayı oluşturuyor ise
Kar irtifaklı/mülkiyetli bağımsız bölümler birlikte kullanılıyor ve tamamı rapora konu ise BKZ UE54 A,B,C</t>
  </si>
  <si>
    <t>Ana taşınmazda yer alan bağımsız bölümler birllikte kullanılıyor ve tamamı rapora konu ise ortak alanlar her taşınmaza dağıtılarak değerlemede dikkate alınmalıdır. Uzman görüşünde yapılan uygulama detaylıca açıklanmalıdır. Bağımsız bölümlerin birlikte teminat altına alınması ile ortak alanların değerlemeye dahil edildiği açıklamalıdır. “Birlikte teminat altına alınması ve birlikte çözülmesi durumunda tabloda takdir edilen değer geçerlidir.” Notuna benzer bir not eklenmesine özen gösterilmesi gerekmektedir.</t>
  </si>
  <si>
    <t>Bina yaşı</t>
  </si>
  <si>
    <t>• Binanın yapı kullanma izin belgesi var ise ve bu belge, ruhsat tarihinden sonra bina yapımı dikkate alındığında (geçmişte daha uzun olabilmekteydi) makul süre içinde ise, örnek olarak ruhsat 1976, yapı kullanma izin belgesi 1979 tarihinde ise, yapı kullanma izin belgesi tarihi dikkate alınarak yapı yaşı 43 olarak hesaplanabilir. 
• Ancak ruhsat 1995 yılında alınmış olmasına karşın, yapının kaba halde uzun süre beklemesi sonucu yenileme ruhsatı sonrasında yapı kullanma izin belgesi 2017 yılında alınmış ise yapı kullanma izin belgesi tarihi dikkate alınarak bina yaşı 3 yazılabiliyor, bu tarafımızca gerçekçi bulunmamakta olup, bu durumda bina yaşının ruhsat tarihine yaklaşık bir süre eklenmesi ile hesaplanması, bu durumunda da binanın kabasının yapıldığı, sonrasında ince işlerinin yapılarak binanın tamamlandığının belirtilmesi gerekmektedir. 
• Yapı kullanma izin belgesi alınmamış ise de ruhsat tarihine yine yaklaşık binanın bitirilebileceği süre eklenerek bina yaşı hesaplanmalıdır.</t>
  </si>
  <si>
    <t>Kanal, vb ( yol, sulama kanalı, tünel, müfez,)</t>
  </si>
  <si>
    <t>Vakıfbank GM’den Öznur Hanım ile yapılan görüşmede, taşınmazın tapu kaydındaki vasfının KANAL vb (YOL – SULAMA KANALI-TÜNEL-MENFEZ) olması durumunda yasal mevcut değer verilmeden satışı güç seçilmesini istemiştir.</t>
  </si>
  <si>
    <t>Tapu İptal Davası</t>
  </si>
  <si>
    <t>Taşınmazın üzerinde yer alan tapu iptal davası şerhi, yada dosyasında yer alan tapu iptal davası bilgisi edilnilmesi, (Tapudan bağımsız bölüm ile ilgili olup olmadığının bilgisi alınmamaması durumundai) Yasal-Mevcut değer takdir edilip Satışı Güç olarak nitelendirilir.</t>
  </si>
  <si>
    <t>Enerji Kimlik Belgesi</t>
  </si>
  <si>
    <t>Banka Duyurusu
"Bununla birlikte Bankamızca talebe konu bağımsız bölümlerin Covid-19 kapsamında görülmesi mümkün olmasa dahi bağımsız bölümün yer aldığı ana taşınmazın giriş holünde bulunan Enerji Kimlik belgesinin görülebileceği mümkündür. 
Bundan sonraki işlemlerde Bankamız için önem arz eden EKB bilgilerinin eksiksiz tespiti için uzman ve denetmenlerinizin bu konuda uyarılması ve her ne kadar bağımsız bölüm incelemesi yapılamasa dahi ana taşınmaz giriş holünde yer alan Enerji Kimlik Belgesinin (EKB) incelenmesi ve sistem üzerinde yer alan EKB’ne ilişkin alanların doldurularak yerinde incelemelerde bu hususunda dikkate alınmasını rica ederim."</t>
  </si>
  <si>
    <t>Ruhsat İptali</t>
  </si>
  <si>
    <t>Ruhsat iptali olması durumunda Yasal değer verilmeyerek Satışı Güç olarak nitelendirilir. Mevcut durum değeri takdir edilir.</t>
  </si>
  <si>
    <t>Üst Hakkı Değerlemesi</t>
  </si>
  <si>
    <t>Tablodaki 2/3 formülünün gözükmeden ve açıklamalarda bu şekilde değerleme yapıldığı belirtilmeden rapor hazırlanması istenmektedir. Diğerlerinden farkı çıplak mülkiyeti değil tam mülkiyet üzerinden hesaplanması istenmiştir. 2/3 dikkate alınmamıştır.</t>
  </si>
  <si>
    <t>Kiralama Çalışmalarında</t>
  </si>
  <si>
    <t>Uzmanlarımız sahaya çıktığında mutlaka Kasa dairesi Arşiv bölümü var mı sorusunu müşteriye sorulmalı ve girilmesi ve gösterilmesi istenmemesi halinde yaklaşık alan bilgisi alınarak raporlarımızda bunu belirtmemiz gerekmektedir. Ayrıca, Banka Şubesini bir bütün olarak düşünülerek bütün banka şubesi kira taleplerinde aksi belirtilmediği müddetçe mutlaka bodrum kat en az %25, asma kat vs %50 zemine indirgeyerek hesaplamalarımızı yapmalıyız. Bu durum sadece Vakıf kira raporları için değil genel kira talepleri içinde kabul edilmelidir. Her zaman olduğu gibi raporlarımızı kontrol ederken bu hususlara dikkat edilerek sonuçlandırılmasını bekler, Bağlı uzmanlarımıza konunun önemini bir daha hatırlatma konusunda desteğinizi beklemekteyiz.</t>
  </si>
  <si>
    <t>Bodrum kat dahil toplam kat adedi yazılmalıdır.</t>
  </si>
  <si>
    <r>
      <t xml:space="preserve">İmar uygulama yöntemi hakkında detaylı bilgi alınmalıdır. 
1) Mal Sahibinin İsteği Üzerine Yapılan Uygulamalar (3194 İmar Kanunu 15. 16. Ve 17. Madde) * Yeni düzenleme ile ciddi anlamda sınırlandırılmıştır. 
2)18. Madde Uygulaması 
Hamur yöntemi olarak da bilinir. Bir uygulama sınırı belirlenir. Bu sınır içinde ki binalı, binasız, özel mülkiyet, kamu mülkiyeti vs. ayırmaksızın tüm arsalar hamur edilir. 
Uygulama sonucunda bir DOP (Düzenleme Ortaklık Payı) orantısı belirlenir. Bu orantı her parsel için uygulanarak yol, park, çocuk bahçesi, otopark, meydan, ibadet alanı ve milli eğitime bağlı eğitim tesisleri için her arsadan bu oran kesilir. Örnek olarak DOP %35 ise arsa sahiplerine arsa yüzölçümünün %65’i oranında net ya da hisseli parsel verilir.
NOT: En fazla kesinti oranı %45 dir. 
18. Madde uygulama sınırı için de kalan diğer kamu alanları için (sağlık, kültürel tesisi, belediye hizmet alanı, spor alanı, ağaçlandırılacak alan vb. gibi kamunun kullanacağı alanlar) ise kamulaştırma uygulanır.
- 18. madde uygulaması var veya uygulama yöntemi hakkında kesin bilgi alınamıyor yada müşteri isteği üzerine yapılan uygulama var ise de net parsel hakkında kesin yorum yapılamıyor ise;
- </t>
    </r>
    <r>
      <rPr>
        <b/>
        <u/>
        <sz val="9"/>
        <color theme="1"/>
        <rFont val="Arial"/>
        <family val="2"/>
        <charset val="162"/>
      </rPr>
      <t>Üzerinde kat irtifaklı/kat mülkiyetli bağımsız bölüm değerlemelerinde</t>
    </r>
    <r>
      <rPr>
        <u/>
        <sz val="9"/>
        <color theme="1"/>
        <rFont val="Arial"/>
        <family val="2"/>
        <charset val="162"/>
      </rPr>
      <t xml:space="preserve">; yasal değer verilmeli, bütün riskler belirtilerek (zemine yönelik hisse oluşma riski) "satılabilir" olarak sonuçlandırılmalıdır.
- </t>
    </r>
    <r>
      <rPr>
        <b/>
        <u/>
        <sz val="9"/>
        <color theme="1"/>
        <rFont val="Arial"/>
        <family val="2"/>
        <charset val="162"/>
      </rPr>
      <t>Üzerinde komple bina, arsa+bina değerlemelerinde;</t>
    </r>
    <r>
      <rPr>
        <u/>
        <sz val="9"/>
        <color theme="1"/>
        <rFont val="Arial"/>
        <family val="2"/>
        <charset val="162"/>
      </rPr>
      <t xml:space="preserve"> konu taşınmazın arsasındaki kesintiler belirsiz, emsaller konu taşınmaz gibi kesintileri yapılacak olan ham parseller ise kesinti yapılmadan el değiştirme bedeli; kesintileri yapılmış net parseller ise maksimum %45 kesinti yapılarak arsasına değer verilmeli ve riskler belirtilerek "satışı güç" olarak sonuçlandırılmalıdır.
-</t>
    </r>
    <r>
      <rPr>
        <b/>
        <u/>
        <sz val="9"/>
        <color theme="1"/>
        <rFont val="Arial"/>
        <family val="2"/>
        <charset val="162"/>
      </rPr>
      <t xml:space="preserve"> Arsa ise; </t>
    </r>
    <r>
      <rPr>
        <u/>
        <sz val="9"/>
        <color theme="1"/>
        <rFont val="Arial"/>
        <family val="2"/>
        <charset val="162"/>
      </rPr>
      <t>kesintiler belirsiz, emsaller konu taşınmaz gibi kesintileri yapılacak olan ham parseller ise kesinti yapılmadan el değiştirme bedeli, kesintileri yapılmış net parseller ise maksimum %45 kesinti yapılarak değer verilerek "Satışı Güç" olarak sonuçlandırılmalıdır.
Değerleme uzman görüşü bölümünde mutlaka oluşabilecek riskler belirtilmelidir (konumunda, şeklinde değişiklik olabileceği, hisseli hale gelebileceği, değer tespitinin yapılmasındaki güçlük nedeni ile sağlıklı değerin belirlenemediği, takdir edilen yasal değerde değişiklik olabileceği vb . belirtilmelidir).Uygulama yöntemi kesin değil ise kesintinin maksimum olacağı şekilde kesinti yapılmalıdır. (müşteri isteğine yönelik yöntemlere göre belirtilen kesinti miktarı %45 dan fazla ise o miktarlar dikkate alınır.)</t>
    </r>
  </si>
  <si>
    <r>
      <t>Kat irtifaklı yapılarda</t>
    </r>
    <r>
      <rPr>
        <sz val="9"/>
        <color theme="1"/>
        <rFont val="Arial"/>
        <family val="2"/>
        <charset val="162"/>
      </rPr>
      <t xml:space="preserve">, bina yaşı dikkate alınarak (30 yaşına kadar) değerlemeyi yapan uzmanın olumsuz bir takdiri oluşmaz ise "Satılabilir" , 30-40 yaş aralığında, uzmanın olumsuz bir takdiri oluşmaz ise "ALICISI AZ" , ancak 40 yaş ve üzeri yapılar için "Satışı Güç" olarak sonuçlandırılmalıdır. 
</t>
    </r>
    <r>
      <rPr>
        <b/>
        <sz val="9"/>
        <color theme="1"/>
        <rFont val="Arial"/>
        <family val="2"/>
        <charset val="162"/>
      </rPr>
      <t>Üzerinde ruhsatlı/iskanlı komple bina var ise</t>
    </r>
    <r>
      <rPr>
        <sz val="9"/>
        <color theme="1"/>
        <rFont val="Arial"/>
        <family val="2"/>
        <charset val="162"/>
      </rPr>
      <t xml:space="preserve">; yasal değerde; arsa değeri ada/parsel bazında rayiç değerinden verilerek arsa+bina değeri verilmeli ancak ruhsat yenilemesi ve yıkıldığı zaman yerine yenisinin yapılamayacağı gibi riskler MUTLAKA detaylı olarak açıklanarak bina yaşı dikkate alınarak sonuçlandırılmalıdır. Mevcut durum değerinde ise arsa için el değiştirme bedeli+ bina maliyeti dikkate alınarak değer takdir edilmelidir. MALİKİN BELEDİYE olması durumunda da bu madde geçerlidir. 
</t>
    </r>
    <r>
      <rPr>
        <b/>
        <sz val="9"/>
        <color theme="1"/>
        <rFont val="Arial"/>
        <family val="2"/>
        <charset val="162"/>
      </rPr>
      <t>SİT ALANINDA KALAN</t>
    </r>
    <r>
      <rPr>
        <sz val="9"/>
        <color theme="1"/>
        <rFont val="Arial"/>
        <family val="2"/>
        <charset val="162"/>
      </rPr>
      <t xml:space="preserve"> taşınmazların üzerinde yasal kabul edilebilecek, kullanım ömrü olduğu düşünülen bir yapı bulunması durumunda mevcut riskler detaylı olarak açıklanarak "arsa değeri" için "el değiştirme bedeli" verilerek raporların sonuçlandırılması gerekmektedir. Üzerinde dükkan bulunan bir parsel değerlemesi için; dükkanın bugünkü değeri ön planda olarak, arsa değeri el değiştirme verilecektir, ancak üzerinde yasal bir yapı yok ise, rayiç değer verilmeye devam edilecektir. 
Bankadan Nihan hanım ile yapılan görüşmede, imarlı arsalarda, derecesi ne olursa olsun, sit alanında kalan taşınmazlar için yasal-mevcut el değiştirme bedeli verilerek satılabilir seçilmesi gerektiği belirtilmiştir. Rushatlandırma aşamasında ilgili kurumlardan gerekli izinlerin alınması geretktiği ile ilgili bir not eklenmesi istenmiştir.
</t>
    </r>
    <r>
      <rPr>
        <b/>
        <sz val="9"/>
        <color theme="1"/>
        <rFont val="Arial"/>
        <family val="2"/>
        <charset val="162"/>
      </rPr>
      <t>Boğaziçi İmar Kanunu kapsamındaki yapılar</t>
    </r>
    <r>
      <rPr>
        <sz val="9"/>
        <color theme="1"/>
        <rFont val="Arial"/>
        <family val="2"/>
        <charset val="162"/>
      </rPr>
      <t xml:space="preserve"> için konu madde geçerli olmayıp, bina yaşına bakılmaksızın, olumsuzluklar belirtilerek (yıkılması durumunda yeşil alan olacağı ve yeni yapı yapılamayacağı vs.) sonuçlandırılacaktır. Arsa+bina olarak hazırlanan raporlarda, "arsa değeri" için "el değiştirme bedeli" dikkate alınmalıdır.
Konu taşınmazın 1/1000 ve 1/5000 ölçekli planlar dışında ki üst ölçek planlarında ağaçlandırılacak alanda kalması durumun da plan notlarının araştırılması ve yorumlanması gerekmektedir. Özel mülkiyete konu olan taşınmazın plan notlarında “tarım amaçlı ağaçlandırmaya” izin verildiği belirtilmiş ve açıklamalarda kısıtlayıcı bir husus bulunmuyor ise tarla değeri takdir edilip, “satılabilir” olarak sonuçlandırılmalıdır. Ancak, plan notlarında “alt ölçekli planlar da ağaçlandırılacak alan olarak belirlenmemesi durumunda ”vb. gibi bir kısıtlama var ise “rayiç değer” verilmeli ve “satışı güç” seçilmelidir. 
Mera ve orman alanında gözükmesi durumunda da plan notlarına bakılmalı ve tarla olarak kullanılabileceği belirtilir ve başka bir kısıtlayıcı husus bulunmaz ise "tarla" değeri verilmelidir. 
Özel mülkiyete konu taşınmazlar için geçerlidir.
Güncel imar planına göre üzerindeki ruhsatlı binanın yıkılması durumunda aynı taşınmazın inşasının mümkün olmaması, imar hakkı azalışına bağlı ciddi olarak değer kaybının oluşacağının ekspertiz firması tarafından tespit edilmiş olması durumunda bina yaşına bakılarak satışı kabiliyetinin yorumlanması gerekmektedir.</t>
    </r>
  </si>
  <si>
    <r>
      <t xml:space="preserve">Konu parselin imar durumuna göre tevhid şartı varsa;
</t>
    </r>
    <r>
      <rPr>
        <b/>
        <sz val="9"/>
        <color theme="1"/>
        <rFont val="Arial"/>
        <family val="2"/>
        <charset val="162"/>
      </rPr>
      <t xml:space="preserve">Arsa </t>
    </r>
    <r>
      <rPr>
        <sz val="9"/>
        <color theme="1"/>
        <rFont val="Arial"/>
        <family val="2"/>
        <charset val="162"/>
      </rPr>
      <t xml:space="preserve">ise tevhid şartı bulunan parsel/parseller ile beraber teminat altına alınması gerektiği belirtilmeli ve tek başına rapora konu ise "satışı güç" olarak seçilmeli, ancak yasal değer çevre arsa emsalleri göz önünde bulundurularak, güvenli tarafta kalınarak takdir edilmelidir. Tevhid şartı olan diğer parseller ile beraber rapora konu ise beraber teminat altına alınması gerektiği belirtilerek ''satılabilir'' olarak değer takdir edilebilir.
</t>
    </r>
    <r>
      <rPr>
        <b/>
        <sz val="9"/>
        <color theme="1"/>
        <rFont val="Arial"/>
        <family val="2"/>
        <charset val="162"/>
      </rPr>
      <t>Ekonomik ömrünü tamamlamamış kat irtifaklı/kat mülkiyetli bağımsız bölüm veya üzerinde ruhsatlı bina var ise</t>
    </r>
    <r>
      <rPr>
        <sz val="9"/>
        <color theme="1"/>
        <rFont val="Arial"/>
        <family val="2"/>
        <charset val="162"/>
      </rPr>
      <t xml:space="preserve"> raporda belirtilmeli "satılabilir/ satışı güç" olarak değer takdir edilmelidir. (Bina yaşı dikkate alınarak 40 yaşına kadar değerlemeyi yapan uzmanın olumsuz bir takdiri oluşmaz ise "Satılabilir", 40 yaş ve üzeri yapılar için"Satışı Güç" olarak sonuçlandırılmalıdır.)</t>
    </r>
  </si>
  <si>
    <r>
      <t>Eğer hisse belediyeye ait ise</t>
    </r>
    <r>
      <rPr>
        <sz val="9"/>
        <color theme="1"/>
        <rFont val="Arial"/>
        <family val="2"/>
        <charset val="162"/>
      </rPr>
      <t xml:space="preserve">; bölgedeki arsa fiyatları araştırılmalı ve konu taşınmazın arsa payı oranında bu miktar değerden düşülerek satılabilir olarak rapor sonuçlandırılmalıdır.
</t>
    </r>
    <r>
      <rPr>
        <b/>
        <sz val="9"/>
        <color theme="1"/>
        <rFont val="Arial"/>
        <family val="2"/>
        <charset val="162"/>
      </rPr>
      <t>Ancak hisse şahıs veya şirket adına ise</t>
    </r>
    <r>
      <rPr>
        <sz val="9"/>
        <color theme="1"/>
        <rFont val="Arial"/>
        <family val="2"/>
        <charset val="162"/>
      </rPr>
      <t xml:space="preserve">; bölgedeki arsa fiyatları araştırılmalı ve konu taşınmazın arsa payı oranında bu miktar değerden düşülerek "Satışı Güç" olarak rapor sonuçlandırılmalıdır. 
</t>
    </r>
    <r>
      <rPr>
        <b/>
        <sz val="9"/>
        <color theme="1"/>
        <rFont val="Arial"/>
        <family val="2"/>
        <charset val="162"/>
      </rPr>
      <t xml:space="preserve">Maliye hazinesi adına ise </t>
    </r>
    <r>
      <rPr>
        <sz val="9"/>
        <color theme="1"/>
        <rFont val="Arial"/>
        <family val="2"/>
        <charset val="162"/>
      </rPr>
      <t>arsa minha edilmeli ve Milli Emlak Genel Tebliği'nin maddesi dikkate alınarak; 
"c) Hazinenin Hissedar Olduğu Taşınmazların Diğer Hissedar veya Hissedarlara Satışı 
(1) Çeşitli nedenlerle hisseli hale gelmiş taşınmazlardaki Hazine hissesi, uygulama imar planı sınırları içinde dörtyüz, dışında ise dörtbin metrekareyi ve her iki durumda da taşınmazın yüzde kırk hissesini aşmamak kaydıyla talep sahibi hissedar veya hissedarlarına doğrudan satılabilecektir." maddesi şartlarının sağlanması durumunda "Satılabilir", aksi durumda "Satışı Güç" olarak sonuçlandırılmalıdır.</t>
    </r>
  </si>
  <si>
    <r>
      <t>*</t>
    </r>
    <r>
      <rPr>
        <b/>
        <sz val="9"/>
        <color theme="1"/>
        <rFont val="Arial"/>
        <family val="2"/>
        <charset val="162"/>
      </rPr>
      <t xml:space="preserve"> Değerleme konu taşınmaz kat irtifaklı/kat mülkiyetli/ruhsatlı taşınmaz ise;</t>
    </r>
    <r>
      <rPr>
        <sz val="9"/>
        <color theme="1"/>
        <rFont val="Arial"/>
        <family val="2"/>
        <charset val="162"/>
      </rPr>
      <t xml:space="preserve"> Konu taşınmazın ilgili yasa kapsamında "Kentsel Dönüşüm, Riskli Alan, Rezerv Alanında" kalması durumunda; değerleme uzman görüşü bölümünde risklerden detaylı olarak bahsedilerek yasal değer verilmeli ve "satışı güç" seçilmelidir. İlgili kanun kapsamında olduğunun ilan edilme tarihinden sonra, Bakanlık yetkiyi ilgili belediyeye devretmiş ve taşınmaz için ruhsat verilmiş ise; yasal ve mevcut değer verilmeli, risklerden bahsedilerek "satılabilir" olarak sonuçlandırılmadır. 
* </t>
    </r>
    <r>
      <rPr>
        <b/>
        <sz val="9"/>
        <color theme="1"/>
        <rFont val="Arial"/>
        <family val="2"/>
        <charset val="162"/>
      </rPr>
      <t>Değerleme konu taşınmaz arsa ise;</t>
    </r>
    <r>
      <rPr>
        <sz val="9"/>
        <color theme="1"/>
        <rFont val="Arial"/>
        <family val="2"/>
        <charset val="162"/>
      </rPr>
      <t xml:space="preserve"> Konu taşınmazın ilgili yasa kapsamında "Kentsel Dönüşüm, Rezerv veya Riskli Alanında" kalması durumunda; el değiştirme bedeli verilmeli, değerin spekülatif değer olabileceği risklerinden de bahsedilmelidir. Değerleme uzman görüşü bölümünde 6306 sayılı Kanun hükümlerine tabi olması sebebiyle oluşabilecek risklerden detaylı olarak mutlaka bahsedilmeli mevcut piyasa koşullarında talep gören, el değiştireceği öngörülen bir taşınmaz için satış kabiliyeti "Satılabilir" olarak sonuçlandırılmalıdır.
NOT: Ruhsatlı binalar için, bölgenin ilgili Kanun kapsamına zemin yapısı kaynaklı değil, bölgedeki yapılaşma kaynaklı girdiğini, Bakanlığın yetkiyi ilgili Belediye' ye devrettiği, yetkinin ilgili belediyeye ait olduğunu ve konu taşınmazın mevcut hali ile korunacağını, olumsuz bir durumun bulunmadığını belirtir resmi bir yazı alınması durumu değerlendirilmelidir.
NOT2: Değerlemeye konu taşınmaz bölgenin ilgili kanun kapsamına alınması sonrasında ruhsat almış ve ilgili kanun kapsamında inşaa edilmiş büyük çaplı bir projede yer alması ayrıca değerlendirilmelidir.</t>
    </r>
  </si>
  <si>
    <r>
      <t xml:space="preserve">Yasal değer, ada/parsel bazında rayiç değer, mevcut durum değeri bölgedeki el değiştirme bedeli takdir edilmeli, "Satışı Güç" sonuçlandırılmalıdır. 
Üst ölçek planında (Özel mülkiyete konu taşınmazlar için geçerlidir.) tarımsal niteliği koruncak alanda kalması durumunda tarla değeri verilerek "satılabilir" sonuçlandırılmalıdır. 
NOT: Plan notu tarım yapılmasına izin vermiyor ise rayiç değer verilerek ''satışı güç'' sonuçlandırılmalıdır.
</t>
    </r>
    <r>
      <rPr>
        <sz val="9"/>
        <color rgb="FFFF0000"/>
        <rFont val="Arial"/>
        <family val="2"/>
        <charset val="162"/>
      </rPr>
      <t xml:space="preserve">Boş arsalar içindir, üzerinde yapı bulunan parseller için kullanılmaması beliritlmiştir. </t>
    </r>
  </si>
  <si>
    <r>
      <t xml:space="preserve">BAĞIMSIZ BÖLÜM NİTELİĞİNDE OLAN MESKEN - DÜKKAN NİTELİĞİNDEKİ BİRLEŞTİRİLEN BİNANIN TAMAMINI OLUŞTURMAYAN TAŞINMAZLARIN BİRLİKTE TEMİNAT ALTINA ALINMA ZORUNLULUĞU BULUNMAMAKTADIR. Taşınmazlarda yapılan proje hilafı birleştirmenin basit tadilat ile düzeltilebilir nitelikte olduğu belirtilmeli ve Satılabilir olarak nitelendirilmelidir. 
Ana taşınmazdaki tüm bağımsız bölümler rapora konu ise; birlikte teminat altına alınıp fek edilmesi koşulu ile ortak alanlar da arsa payı oranında bağımsız bölümlere dağıtılarak yasal ve mevcut durum değeri verilerek SATILABİLİR sonuçlandırılır. Uzman görüşünde taşınmazın komple bir bina şeklinde değerlendirildiği açıklanmalıdır. 
Ana taşınmazdaki bazı bağımsız bölümler rapora konu ise ve bağımsız bölümlerin müstakil kullanım özellikleri kalmadı ise sadece mevcut durum değeri verilerek "satışı güç" sonuçlandırılır.
Birlikte kullanım özelliği olan ancak tek başına da değeri olduğu (OTEL HASTANE YURT) düşünülen bağımsız bölümler için (bir binanın projesinde ciddi değişiklikler yapılmadan, öğrencilere kiralanan apart haline dönüştürülmesi vb.) yasal ve mevcut durum değeri verilerek "satışı güç" sonuçlandırılır.
</t>
    </r>
    <r>
      <rPr>
        <sz val="9"/>
        <color rgb="FFFF0000"/>
        <rFont val="Arial"/>
        <family val="2"/>
        <charset val="162"/>
      </rPr>
      <t>Tüm yapının tek fonksiyona dönüştürüldüğü durumlar için geçerli olup, yapıdaki bir kaç mülkün birleştirilmesi durumu için kullanılmaması istenmektedir.</t>
    </r>
  </si>
  <si>
    <r>
      <t xml:space="preserve">- </t>
    </r>
    <r>
      <rPr>
        <b/>
        <sz val="9"/>
        <color theme="1"/>
        <rFont val="Arial"/>
        <family val="2"/>
        <charset val="162"/>
      </rPr>
      <t xml:space="preserve">Taşınmazın boş arsa olması </t>
    </r>
    <r>
      <rPr>
        <sz val="9"/>
        <color theme="1"/>
        <rFont val="Arial"/>
        <family val="2"/>
        <charset val="162"/>
      </rPr>
      <t>ve imar planında özel ibaresi bulunmaması durumunda, ilgili Belediye’den “herhangi bir kamulaştırma programı olmadığına ve özel okul olarak inşaat yapma talebi olması durumunda yapı ruhsatı verileceği” içerikli bir resmi yazı, Milli Eğitim Müdürlüğü’nden “ilgili taşınmazın kamulaştırma ve kamuya ait eğitim tesisi yapılması programında olup olmadığı” içerikli resmi yazı alınması sonrasında yasal ve mevcut değer için el değiştirme bedeli takdir edilerek “satılabilir” olarak raporlar sonuçlandırılmalıdır (Kreşler için Aile ve Sosyal Politikalar İl Müdürlüğü’nden resmi yazı alınmalıdır). Yazıların alınamaması durumunda ise yasal durum değeri rayiç değer, mevcut durum değeri ise el değiştirme değeri olarak takdir edilmeli ve “Satışı Güç” olarak sonuçlandırılmalıdır. İhtiyaç duyulması halinde kamulaştırılma riskinin her zaman olduğu, alınan resmi yazılara istinaden ve günümüz araştırma sonuçlarına göre değerlendirme yapıldığı, ruhsat alınmaması durumunda ileride oluşabilecek risklerin (kamulaştırılacak bir parsel haline gelip uzun süre kamulaştırılmaması, kamulaştırma bedelinin takdir edilen değerden farklı olması vb) belirtilmesi gerekmektedir.
-</t>
    </r>
    <r>
      <rPr>
        <b/>
        <sz val="9"/>
        <color theme="1"/>
        <rFont val="Arial"/>
        <family val="2"/>
        <charset val="162"/>
      </rPr>
      <t xml:space="preserve"> Taşınmazın üzerinde ruhsat almış</t>
    </r>
    <r>
      <rPr>
        <sz val="9"/>
        <color theme="1"/>
        <rFont val="Arial"/>
        <family val="2"/>
        <charset val="162"/>
      </rPr>
      <t xml:space="preserve"> bir özel okul bulunması ve imar planında özel ibaresi bulunmaması durumunda ise; “mevcut durumda planlarda özel ibaresi geçmemesi sebebiyle ileriki yıllarda söz konusu durumdan kaynaklı kamulaştırma riski bulunmakta olup, ilgili belediyenin mevcut yapıya “eğitim tesisi” olarak ruhsat vermesi, belediyenin yapıyı “eğitim tesisi” olarak yasal kıldığından, belediyenin konu ile alakalı sorumlu ve yetkili merci olduğu da düşünüldüğünde, taşınmazın yasal olduğu kanaati oluşmuş, yasal değer takdir edilmiştir” İçerikli bir açıklama ile yasal ve mevcut durum değeri verilerek “Satılabilir” sonuçlandırılmalıdır. İhtiyaç duyulması halinde kamulaştırılma riskinin her zaman olduğu, alınan resmi yazılara istinaden ve günümüz araştırma sonuçlarına göre değerlendirme yapıldığı, ruhsat alınmaması durumunda ileride oluşabilecek risklerin (kamulaştırılacak bir parsel haline gelip uzun süre kamulaştırılmaması, kamulaştırma bedelinin takdir edilen değerden farklı olması vb) belirtilmesi gerekmektedir.</t>
    </r>
  </si>
  <si>
    <r>
      <t xml:space="preserve">Mevcut yapı hangi yapı sınıfına giriyorsa o yapı sınıfının bayındırlık bakanlığı tarafından belirlenen güncel birim değeri esas alınarak takdir edilir.
*Sigorta birim değerinde amortisman uygulanmaz,
*Sigorta birim değer inşaat seviyesi ile çarpılıp değerleme bölümünde bulunan Açıklama bölümüne sigortaya esas değer için "sigortaya esas değer 650TL/M2 olup konu taşınmaz %90 inşaat seviyeli olduğundan 1450*0,90=1160 TL/M2 alındı" ibaresi yazılmalıdır.
*Sigortaya esas değer yapı için takdir edilen toplam değerden fazla oluyorsa değerleme uzmanı bölümüne "Sigortaya esas değer .... TL/M2 olarak takdir edilmiştir." şeklinde yazılmalıdır. Örneğin 100m2 lik taşınmaz için 55.000TL takdir edilmiş ise, sigortaya esas birim değer 550TL/M2 den daha küçük bir değer alınmalıdır.
*Sigorta Değeri her şartta belirtilir. (Yasal-mevcut Değer verilmese dahi)
</t>
    </r>
    <r>
      <rPr>
        <sz val="9"/>
        <color rgb="FFFF0000"/>
        <rFont val="Arial"/>
        <family val="2"/>
        <charset val="162"/>
      </rPr>
      <t xml:space="preserve">* Sigortaya esas değerin yasal/mevcut değerlende yüksek olmaması istenmekedir. </t>
    </r>
  </si>
  <si>
    <t xml:space="preserve"> =RANDEVUTARİHİ tarihinde =PROJEKURUM2025 kurumlarında incelenen mevcut =PROJE_TARİHİ tarih =PROJE_NO sayılı mimari projesi incelenmiştir. =ESKIADAPARSEL </t>
  </si>
  <si>
    <t>İSKAN TARİHİ</t>
  </si>
  <si>
    <t>Hamitler</t>
  </si>
  <si>
    <t>Cumhuriyet</t>
  </si>
  <si>
    <t>MEVKİİ</t>
  </si>
  <si>
    <t>Kocakoru</t>
  </si>
  <si>
    <t>B. BÖLÜM TAPU NİTELİK</t>
  </si>
  <si>
    <t>KULLANIM DURUMU/
ÖNCEDEN KULLANIM</t>
  </si>
  <si>
    <t>İlçe</t>
  </si>
  <si>
    <t>Mahalle</t>
  </si>
  <si>
    <t>Posta Kodu</t>
  </si>
  <si>
    <t>Beyazıt</t>
  </si>
  <si>
    <t>Esenevler</t>
  </si>
  <si>
    <t>Davutkadı</t>
  </si>
  <si>
    <t>Arabayatağı</t>
  </si>
  <si>
    <t>Ortabahçeler</t>
  </si>
  <si>
    <t>16980</t>
  </si>
  <si>
    <t>16740</t>
  </si>
  <si>
    <t>16770</t>
  </si>
  <si>
    <t>16990</t>
  </si>
  <si>
    <t>16900</t>
  </si>
  <si>
    <t>16800</t>
  </si>
  <si>
    <t>Mustafakemalpaşa</t>
  </si>
  <si>
    <t>16500</t>
  </si>
  <si>
    <t>16450</t>
  </si>
  <si>
    <t>16400</t>
  </si>
  <si>
    <t>16580</t>
  </si>
  <si>
    <t>16600</t>
  </si>
  <si>
    <t>16940</t>
  </si>
  <si>
    <t>Tüfekçi̇konak</t>
  </si>
  <si>
    <t>Turgutalp</t>
  </si>
  <si>
    <t>Turgutalpköy</t>
  </si>
  <si>
    <t>Tuzla</t>
  </si>
  <si>
    <t>Yeni̇</t>
  </si>
  <si>
    <t>Yeni̇ce</t>
  </si>
  <si>
    <t>Yeni̇ceköy</t>
  </si>
  <si>
    <t>Yeni̇köy</t>
  </si>
  <si>
    <t>Yeni̇yörük</t>
  </si>
  <si>
    <t>Yi̇ği̇t</t>
  </si>
  <si>
    <t>Yukariballik</t>
  </si>
  <si>
    <t>Yunusemre</t>
  </si>
  <si>
    <t>Adaköy</t>
  </si>
  <si>
    <t>Ağaköy</t>
  </si>
  <si>
    <t>Canbazlarköyü</t>
  </si>
  <si>
    <t>Dişkayaköyü</t>
  </si>
  <si>
    <t>Eri̇cekköyü</t>
  </si>
  <si>
    <t>Hasanköy</t>
  </si>
  <si>
    <t>İğdi̇rköyü</t>
  </si>
  <si>
    <t>İpekyolu</t>
  </si>
  <si>
    <t>İsti̇klal</t>
  </si>
  <si>
    <t>Karahidirköyü</t>
  </si>
  <si>
    <t>Kazikliköyü</t>
  </si>
  <si>
    <t>Kumlukalan</t>
  </si>
  <si>
    <t>Kurtuluş</t>
  </si>
  <si>
    <t>Kurtuluş Osb</t>
  </si>
  <si>
    <t>Yeni̇doğan</t>
  </si>
  <si>
    <t>Yeni̇doğan Osb</t>
  </si>
  <si>
    <t>Zafer</t>
  </si>
  <si>
    <t>Adli̇ye</t>
  </si>
  <si>
    <t>Ata</t>
  </si>
  <si>
    <t>Ata Sb</t>
  </si>
  <si>
    <t>Balikpazari</t>
  </si>
  <si>
    <t>Büyükkumla</t>
  </si>
  <si>
    <t>Ci̇hatli</t>
  </si>
  <si>
    <t>Cumhuri̇yet</t>
  </si>
  <si>
    <t>Demi̇rsubaşi</t>
  </si>
  <si>
    <t>Dr. Zi̇ya Kaya</t>
  </si>
  <si>
    <t>Engürücük</t>
  </si>
  <si>
    <t>Eşref Di̇nçer</t>
  </si>
  <si>
    <t>Feyzi̇ye</t>
  </si>
  <si>
    <t>Findicak</t>
  </si>
  <si>
    <t>Gençali̇</t>
  </si>
  <si>
    <t>Güvenli̇</t>
  </si>
  <si>
    <t>Hali̇tpaşa</t>
  </si>
  <si>
    <t>Hami̇di̇ye</t>
  </si>
  <si>
    <t>Hami̇di̇yeköy</t>
  </si>
  <si>
    <t>Haydari̇ye</t>
  </si>
  <si>
    <t>Hi̇sar</t>
  </si>
  <si>
    <t>Karacaali̇</t>
  </si>
  <si>
    <t>Katirli</t>
  </si>
  <si>
    <t>Kayhan</t>
  </si>
  <si>
    <t>Küçükkumla</t>
  </si>
  <si>
    <t>Kumla</t>
  </si>
  <si>
    <t>Kurşunlu</t>
  </si>
  <si>
    <t>Kurtul</t>
  </si>
  <si>
    <t>Muratoba</t>
  </si>
  <si>
    <t>Narli</t>
  </si>
  <si>
    <t>Orhani̇ye</t>
  </si>
  <si>
    <t>Osmani̇ye</t>
  </si>
  <si>
    <t>Şahi̇nyurdu</t>
  </si>
  <si>
    <t>Şükri̇ye</t>
  </si>
  <si>
    <t>Umurbey</t>
  </si>
  <si>
    <t>Akköy</t>
  </si>
  <si>
    <t>Altintaş</t>
  </si>
  <si>
    <t>Aydinpinar</t>
  </si>
  <si>
    <t>Bademli̇</t>
  </si>
  <si>
    <t>Balabancik</t>
  </si>
  <si>
    <t>Çağrişan</t>
  </si>
  <si>
    <t>Çamlik</t>
  </si>
  <si>
    <t>Çayönü</t>
  </si>
  <si>
    <t>Çekri̇ce</t>
  </si>
  <si>
    <t>Çepni̇</t>
  </si>
  <si>
    <t>Çinarli</t>
  </si>
  <si>
    <t>Dedeköy</t>
  </si>
  <si>
    <t>Dereköy</t>
  </si>
  <si>
    <t>Eğerce</t>
  </si>
  <si>
    <t>Emi̇rler</t>
  </si>
  <si>
    <t>Emi̇rkeni̇cesi̇</t>
  </si>
  <si>
    <t>Esence</t>
  </si>
  <si>
    <t>Evci̇ler</t>
  </si>
  <si>
    <t>Göynüklü</t>
  </si>
  <si>
    <t>Güzelyali Burgaz</t>
  </si>
  <si>
    <t>Güzelyali Eği̇ti̇m</t>
  </si>
  <si>
    <t>Güzelyali Si̇teler</t>
  </si>
  <si>
    <t>Güzelyali Yali</t>
  </si>
  <si>
    <t>Hançerli̇</t>
  </si>
  <si>
    <t>Hasanbey</t>
  </si>
  <si>
    <t>Hasköy</t>
  </si>
  <si>
    <t>İpekyayla</t>
  </si>
  <si>
    <t>Işikli</t>
  </si>
  <si>
    <t>Kaymakoba</t>
  </si>
  <si>
    <t>Küçükyeni̇ce</t>
  </si>
  <si>
    <t>Kumyaka</t>
  </si>
  <si>
    <t>Mesudi̇ye</t>
  </si>
  <si>
    <t>Mi̇rzaoba</t>
  </si>
  <si>
    <t>Mürsel</t>
  </si>
  <si>
    <t>Mütareke</t>
  </si>
  <si>
    <t>Ömerbey</t>
  </si>
  <si>
    <t>Söğütpinar</t>
  </si>
  <si>
    <t>Şükrüçavuş</t>
  </si>
  <si>
    <t>Ti̇ri̇lye</t>
  </si>
  <si>
    <t>Ülkü</t>
  </si>
  <si>
    <t>Yaliçi̇ftli̇k</t>
  </si>
  <si>
    <t>Yaman</t>
  </si>
  <si>
    <t>Yaylacik</t>
  </si>
  <si>
    <t>Yörükali̇</t>
  </si>
  <si>
    <t>Yörükyeni̇cesi̇</t>
  </si>
  <si>
    <t>19 Mayıs</t>
  </si>
  <si>
    <t>23 Nisan</t>
  </si>
  <si>
    <t>29 Ekim</t>
  </si>
  <si>
    <t>30 Ağustos Zafer</t>
  </si>
  <si>
    <t>Ahmet Yesevi</t>
  </si>
  <si>
    <t>Akçalar</t>
  </si>
  <si>
    <t>Alaaddinbey</t>
  </si>
  <si>
    <t>Altınşehir</t>
  </si>
  <si>
    <t>Ataevler</t>
  </si>
  <si>
    <t>Atlas</t>
  </si>
  <si>
    <t>Ayvaköy</t>
  </si>
  <si>
    <t>Badırga</t>
  </si>
  <si>
    <t>Balat</t>
  </si>
  <si>
    <t>Balat Osb</t>
  </si>
  <si>
    <t>Balkan</t>
  </si>
  <si>
    <t>Barış</t>
  </si>
  <si>
    <t>Başköy</t>
  </si>
  <si>
    <t>Beşevler</t>
  </si>
  <si>
    <t>Büyükbalıklı</t>
  </si>
  <si>
    <t>Çalı</t>
  </si>
  <si>
    <t>Çamlıca</t>
  </si>
  <si>
    <t>Çataldağ</t>
  </si>
  <si>
    <t>Çaylı</t>
  </si>
  <si>
    <t>Dağyenice</t>
  </si>
  <si>
    <t>Demirci</t>
  </si>
  <si>
    <t>Doğanköy</t>
  </si>
  <si>
    <t>Dumlupınar</t>
  </si>
  <si>
    <t>Ertuğrul</t>
  </si>
  <si>
    <t>Esentepe</t>
  </si>
  <si>
    <t>Fadıllı</t>
  </si>
  <si>
    <t>Fethiye</t>
  </si>
  <si>
    <t>Fethiye Osb</t>
  </si>
  <si>
    <t>Gökçe</t>
  </si>
  <si>
    <t>Gölyazı</t>
  </si>
  <si>
    <t>Görükle</t>
  </si>
  <si>
    <t>Gümüştepe</t>
  </si>
  <si>
    <t>Güngören</t>
  </si>
  <si>
    <t>Hasanağa</t>
  </si>
  <si>
    <t>Hasanağa Osb</t>
  </si>
  <si>
    <t>İhsaniye</t>
  </si>
  <si>
    <t>İnegazi</t>
  </si>
  <si>
    <t>İrfaniye</t>
  </si>
  <si>
    <t>Işıktepe</t>
  </si>
  <si>
    <t>Işıktepe Osb</t>
  </si>
  <si>
    <t>Kadriye</t>
  </si>
  <si>
    <t>Karacaoba</t>
  </si>
  <si>
    <t>Karaman</t>
  </si>
  <si>
    <t>Kayapa</t>
  </si>
  <si>
    <t>Kızılcıklı</t>
  </si>
  <si>
    <t>Konak</t>
  </si>
  <si>
    <t>Konaklı</t>
  </si>
  <si>
    <t>Koru</t>
  </si>
  <si>
    <t>Kültür</t>
  </si>
  <si>
    <t>Kuruçeşme</t>
  </si>
  <si>
    <t>Maksempınarı</t>
  </si>
  <si>
    <t>Minareliçavuş Bursa Osb</t>
  </si>
  <si>
    <t>Minareliçavuş</t>
  </si>
  <si>
    <t>Minareliçavuş Osb</t>
  </si>
  <si>
    <t>Odunluk</t>
  </si>
  <si>
    <t>Özlüce</t>
  </si>
  <si>
    <t>Tahtalı</t>
  </si>
  <si>
    <t>Üçevler</t>
  </si>
  <si>
    <t>Üçpınar</t>
  </si>
  <si>
    <t>Unçukuru</t>
  </si>
  <si>
    <t>Ürünlü</t>
  </si>
  <si>
    <t>Yaylacık</t>
  </si>
  <si>
    <t>Yolçatı</t>
  </si>
  <si>
    <t>Yüzüncü Yıl</t>
  </si>
  <si>
    <t>Adalet</t>
  </si>
  <si>
    <t>Ahmetbey</t>
  </si>
  <si>
    <t>Ahmetpaşa</t>
  </si>
  <si>
    <t>Akpınar</t>
  </si>
  <si>
    <t>Aksungur</t>
  </si>
  <si>
    <t>Aktarhüssam</t>
  </si>
  <si>
    <t>Alaaddin</t>
  </si>
  <si>
    <t>Alacahırka</t>
  </si>
  <si>
    <t>Alacamescit</t>
  </si>
  <si>
    <t>Alaşarköy</t>
  </si>
  <si>
    <t>Alemdar</t>
  </si>
  <si>
    <t>Alipaşa</t>
  </si>
  <si>
    <t>Altınova</t>
  </si>
  <si>
    <t>Altıparmak</t>
  </si>
  <si>
    <t>Armutköy</t>
  </si>
  <si>
    <t>Atıcılar</t>
  </si>
  <si>
    <t>Avdancık</t>
  </si>
  <si>
    <t>Bağlarbaşı</t>
  </si>
  <si>
    <t>Bağlı</t>
  </si>
  <si>
    <t>Bahar</t>
  </si>
  <si>
    <t>Başaran</t>
  </si>
  <si>
    <t>Büyükdeliller</t>
  </si>
  <si>
    <t>Çağlayan</t>
  </si>
  <si>
    <t>Çaybaşı</t>
  </si>
  <si>
    <t>Çekirge</t>
  </si>
  <si>
    <t>Çeltikköy</t>
  </si>
  <si>
    <t>Çiftehavuzlar</t>
  </si>
  <si>
    <t>Çırışhane</t>
  </si>
  <si>
    <t>Çırpan</t>
  </si>
  <si>
    <t>Çukurcaköy</t>
  </si>
  <si>
    <t>Dağakça</t>
  </si>
  <si>
    <t>Demirkapı</t>
  </si>
  <si>
    <t>Demirtaş Barbaros</t>
  </si>
  <si>
    <t>Demirtaş Cumhuriyet</t>
  </si>
  <si>
    <t>Demirtaş Dumlupınar</t>
  </si>
  <si>
    <t>Demirtaş Dumlupınar Osb</t>
  </si>
  <si>
    <t>Demirtaş Sakarya</t>
  </si>
  <si>
    <t>Demirtaşpaşa</t>
  </si>
  <si>
    <t>Dereçavuşköy</t>
  </si>
  <si>
    <t>Dikkaldırım</t>
  </si>
  <si>
    <t>Doburca</t>
  </si>
  <si>
    <t>Doğanbey</t>
  </si>
  <si>
    <t>Doğancı</t>
  </si>
  <si>
    <t>Doğanevler</t>
  </si>
  <si>
    <t>Dürdane</t>
  </si>
  <si>
    <t>Ebulishak</t>
  </si>
  <si>
    <t>Elmacık</t>
  </si>
  <si>
    <t>Elmasbahçeler</t>
  </si>
  <si>
    <t>Emek Adnan Menderes</t>
  </si>
  <si>
    <t>Emek Fatih Sultan Mehmet</t>
  </si>
  <si>
    <t>Emek Zekai Gümüşdiş</t>
  </si>
  <si>
    <t>Fatih</t>
  </si>
  <si>
    <t>Gaziakdemir</t>
  </si>
  <si>
    <t>Geçit</t>
  </si>
  <si>
    <t>Gökçören</t>
  </si>
  <si>
    <t>Gülbahçe</t>
  </si>
  <si>
    <t>Gündoğdu</t>
  </si>
  <si>
    <t>Güneştepe</t>
  </si>
  <si>
    <t>Güneybayır</t>
  </si>
  <si>
    <t>Güneybudaklar</t>
  </si>
  <si>
    <t>Hacıilyas</t>
  </si>
  <si>
    <t>Hamzabey</t>
  </si>
  <si>
    <t>Hocaalizade</t>
  </si>
  <si>
    <t>Hocahasan</t>
  </si>
  <si>
    <t>Hüdavendigar</t>
  </si>
  <si>
    <t>Hürriyet</t>
  </si>
  <si>
    <t>Hüseyinalan</t>
  </si>
  <si>
    <t>İbrahimpaşa</t>
  </si>
  <si>
    <t>İnkaya</t>
  </si>
  <si>
    <t>İntizam</t>
  </si>
  <si>
    <t>İsmetiye</t>
  </si>
  <si>
    <t>İstiklal</t>
  </si>
  <si>
    <t>İvazpaşa</t>
  </si>
  <si>
    <t>Karabalçık</t>
  </si>
  <si>
    <t>Karaislah</t>
  </si>
  <si>
    <t>Kavaklı</t>
  </si>
  <si>
    <t>Kayıhan</t>
  </si>
  <si>
    <t>Kemerçeşme</t>
  </si>
  <si>
    <t>Kirazlı</t>
  </si>
  <si>
    <t>Kırcaali</t>
  </si>
  <si>
    <t>Kiremitçi</t>
  </si>
  <si>
    <t>Kocanaip</t>
  </si>
  <si>
    <t>Koğukçınar</t>
  </si>
  <si>
    <t>Küçükbalıklı</t>
  </si>
  <si>
    <t>Küçükdeliller</t>
  </si>
  <si>
    <t>Kükürtlü</t>
  </si>
  <si>
    <t>Küplüpınar</t>
  </si>
  <si>
    <t>Maksemi</t>
  </si>
  <si>
    <t>Mehmet Akif</t>
  </si>
  <si>
    <t>Mollafenari</t>
  </si>
  <si>
    <t>Molla Gürani</t>
  </si>
  <si>
    <t>Muradiye</t>
  </si>
  <si>
    <t>Mürseller</t>
  </si>
  <si>
    <t>Nalbantoğlu</t>
  </si>
  <si>
    <t>Namık Kemal</t>
  </si>
  <si>
    <t>Nilüferköy</t>
  </si>
  <si>
    <t>Orhanbey</t>
  </si>
  <si>
    <t>Ovaakça Çeşmebaşı</t>
  </si>
  <si>
    <t>Ovaakça Eğitim</t>
  </si>
  <si>
    <t>Ovaakça Merkez</t>
  </si>
  <si>
    <t>Ovaakça Santral</t>
  </si>
  <si>
    <t>Panayır</t>
  </si>
  <si>
    <t>Pınarbaşı</t>
  </si>
  <si>
    <t>Reyhan</t>
  </si>
  <si>
    <t>Sakarya</t>
  </si>
  <si>
    <t>Santral Garaj</t>
  </si>
  <si>
    <t>Seç</t>
  </si>
  <si>
    <t>Seferışıklar</t>
  </si>
  <si>
    <t>Şehabettinpaşa</t>
  </si>
  <si>
    <t>Şehreküstü</t>
  </si>
  <si>
    <t>Selamet</t>
  </si>
  <si>
    <t>Selçukgazi</t>
  </si>
  <si>
    <t>Selimiye</t>
  </si>
  <si>
    <t>Sırameşeler</t>
  </si>
  <si>
    <t>Soğanlı</t>
  </si>
  <si>
    <t>Soğukkuyu</t>
  </si>
  <si>
    <t>Soğukpınar</t>
  </si>
  <si>
    <t>Tahtakale</t>
  </si>
  <si>
    <t>Tayakadın</t>
  </si>
  <si>
    <t>Tuna</t>
  </si>
  <si>
    <t>Tuzaklı</t>
  </si>
  <si>
    <t>Tuzpazarı</t>
  </si>
  <si>
    <t>Ulu</t>
  </si>
  <si>
    <t>Ulucam</t>
  </si>
  <si>
    <t>Veysel Karani</t>
  </si>
  <si>
    <t>Yahşibey</t>
  </si>
  <si>
    <t>Yenibağlar</t>
  </si>
  <si>
    <t>Yeniceabat</t>
  </si>
  <si>
    <t>Yenikaramam</t>
  </si>
  <si>
    <t>Yenikent</t>
  </si>
  <si>
    <t>Yeşilova</t>
  </si>
  <si>
    <t>Yiğitali</t>
  </si>
  <si>
    <t>Yunuseli</t>
  </si>
  <si>
    <t>152 Evler</t>
  </si>
  <si>
    <t>75. Yıl</t>
  </si>
  <si>
    <t>Akçağlayan</t>
  </si>
  <si>
    <t>Anadolu</t>
  </si>
  <si>
    <t>Bağlaraltı</t>
  </si>
  <si>
    <t>Balaban</t>
  </si>
  <si>
    <t>Baruthane</t>
  </si>
  <si>
    <t>Çelebi Mehmet</t>
  </si>
  <si>
    <t>Çınarönü</t>
  </si>
  <si>
    <t>Cumalıkızık</t>
  </si>
  <si>
    <t>Davutdede</t>
  </si>
  <si>
    <t>Değirmenlikızık</t>
  </si>
  <si>
    <t>Değirmenönü</t>
  </si>
  <si>
    <t>Demetevler</t>
  </si>
  <si>
    <t>Duaçınarı</t>
  </si>
  <si>
    <t>Eğitim</t>
  </si>
  <si>
    <t>Emirsultan</t>
  </si>
  <si>
    <t>Erikli</t>
  </si>
  <si>
    <t>Ertuğrulgazi</t>
  </si>
  <si>
    <t>Fidyekızık</t>
  </si>
  <si>
    <t>Güllük</t>
  </si>
  <si>
    <t>Hacıseyfettin</t>
  </si>
  <si>
    <t>Hacivat</t>
  </si>
  <si>
    <t>Hamamlıkızık</t>
  </si>
  <si>
    <t>Hocataşkın</t>
  </si>
  <si>
    <t>İsabey</t>
  </si>
  <si>
    <t>Kaplıkaya</t>
  </si>
  <si>
    <t>Karaağaç</t>
  </si>
  <si>
    <t>Karamazak</t>
  </si>
  <si>
    <t>Karapınar</t>
  </si>
  <si>
    <t>Kazım Karabekir</t>
  </si>
  <si>
    <t>Kurtoğlu</t>
  </si>
  <si>
    <t>Maltepe</t>
  </si>
  <si>
    <t>Mehmet Akif Ersoy</t>
  </si>
  <si>
    <t>Mevlana</t>
  </si>
  <si>
    <t>Meydancık</t>
  </si>
  <si>
    <t>Millet</t>
  </si>
  <si>
    <t>Mimarsinan</t>
  </si>
  <si>
    <t>Mollaarap</t>
  </si>
  <si>
    <t>Musababa</t>
  </si>
  <si>
    <t>Namazgah</t>
  </si>
  <si>
    <t>Piremir</t>
  </si>
  <si>
    <t>Samanlı</t>
  </si>
  <si>
    <t>Selçukbey</t>
  </si>
  <si>
    <t>Selimzade</t>
  </si>
  <si>
    <t>Sinandede</t>
  </si>
  <si>
    <t>Sıracevizler</t>
  </si>
  <si>
    <t>Şirinevler</t>
  </si>
  <si>
    <t>Siteler</t>
  </si>
  <si>
    <t>Şükraniye</t>
  </si>
  <si>
    <t>Teferrüç</t>
  </si>
  <si>
    <t>Ulus</t>
  </si>
  <si>
    <t>Vakif</t>
  </si>
  <si>
    <t>Vatan</t>
  </si>
  <si>
    <t>Yavuzselim</t>
  </si>
  <si>
    <t>Yediselviler</t>
  </si>
  <si>
    <t>Yenimahalle</t>
  </si>
  <si>
    <t>Yeşil</t>
  </si>
  <si>
    <t>Yeşilyayla</t>
  </si>
  <si>
    <t>Yiğitler</t>
  </si>
  <si>
    <t>Zeyniler</t>
  </si>
  <si>
    <t>Zümrütevler</t>
  </si>
  <si>
    <t>300 Evler</t>
  </si>
  <si>
    <t>Ağaçhi̇sar</t>
  </si>
  <si>
    <t>Akalan</t>
  </si>
  <si>
    <t>Akçabük</t>
  </si>
  <si>
    <t>Argin</t>
  </si>
  <si>
    <t>Balioğlu</t>
  </si>
  <si>
    <t>Belenoluk</t>
  </si>
  <si>
    <t>Çeki̇</t>
  </si>
  <si>
    <t>Celepler</t>
  </si>
  <si>
    <t>Çinarcik</t>
  </si>
  <si>
    <t>Çi̇vi̇li̇</t>
  </si>
  <si>
    <t>Çöreler</t>
  </si>
  <si>
    <t>Dağgüney</t>
  </si>
  <si>
    <t>Deli̇ballilar</t>
  </si>
  <si>
    <t>Demi̇rci̇</t>
  </si>
  <si>
    <t>Dere</t>
  </si>
  <si>
    <t>Dündar</t>
  </si>
  <si>
    <t>Emi̇r</t>
  </si>
  <si>
    <t>Erenler</t>
  </si>
  <si>
    <t>Eski̇danişment</t>
  </si>
  <si>
    <t>Fadil</t>
  </si>
  <si>
    <t>Fevzi̇paşa</t>
  </si>
  <si>
    <t>Fi̇roz</t>
  </si>
  <si>
    <t>Gazi̇oluk</t>
  </si>
  <si>
    <t>Gazi̇paşa</t>
  </si>
  <si>
    <t>Gi̇renci̇k</t>
  </si>
  <si>
    <t>Göktepe</t>
  </si>
  <si>
    <t>Göynükbelen</t>
  </si>
  <si>
    <t>Gümüşpinar</t>
  </si>
  <si>
    <t>İki̇zoluk</t>
  </si>
  <si>
    <t>İsmetpaşa</t>
  </si>
  <si>
    <t>Kabaklar</t>
  </si>
  <si>
    <t>Kadi</t>
  </si>
  <si>
    <t>Karabeki̇rpaşa</t>
  </si>
  <si>
    <t>Karaoğlanlar</t>
  </si>
  <si>
    <t>Karisasi</t>
  </si>
  <si>
    <t>Karincali</t>
  </si>
  <si>
    <t>Koçu</t>
  </si>
  <si>
    <t>Küçükorhan</t>
  </si>
  <si>
    <t>Kuşumlar</t>
  </si>
  <si>
    <t>Letafet</t>
  </si>
  <si>
    <t>Mahaller</t>
  </si>
  <si>
    <t>Nalinlar</t>
  </si>
  <si>
    <t>Orta</t>
  </si>
  <si>
    <t>Osmani̇yeçatak</t>
  </si>
  <si>
    <t>Sadaği</t>
  </si>
  <si>
    <t>Semerci̇</t>
  </si>
  <si>
    <t>Serçeler</t>
  </si>
  <si>
    <t>Sirli</t>
  </si>
  <si>
    <t>Söğüt</t>
  </si>
  <si>
    <t>Süleymanbey</t>
  </si>
  <si>
    <t>Tepeci̇k</t>
  </si>
  <si>
    <t>Topuk</t>
  </si>
  <si>
    <t>Yakuplar</t>
  </si>
  <si>
    <t>Yeni̇danişment</t>
  </si>
  <si>
    <t>Yeşi̇ller</t>
  </si>
  <si>
    <t>Yörükler</t>
  </si>
  <si>
    <t>Akçapinar</t>
  </si>
  <si>
    <t>Alpağut</t>
  </si>
  <si>
    <t>Avdan</t>
  </si>
  <si>
    <t>Barakli</t>
  </si>
  <si>
    <t>Başak</t>
  </si>
  <si>
    <t>Belenören</t>
  </si>
  <si>
    <t>Biyiklialani</t>
  </si>
  <si>
    <t>Çukur</t>
  </si>
  <si>
    <t>Cuma</t>
  </si>
  <si>
    <t>Dağ Demi̇rci̇ler</t>
  </si>
  <si>
    <t>Dağdi̇bi̇</t>
  </si>
  <si>
    <t>Davutlar</t>
  </si>
  <si>
    <t>Dedeler</t>
  </si>
  <si>
    <t>Deli̇ce</t>
  </si>
  <si>
    <t>Deni̇zler</t>
  </si>
  <si>
    <t>Durak</t>
  </si>
  <si>
    <t>Düvenli̇</t>
  </si>
  <si>
    <t>Epçeler</t>
  </si>
  <si>
    <t>Ertuğrulgazi̇</t>
  </si>
  <si>
    <t>Gelemi̇ç</t>
  </si>
  <si>
    <t>Gököz</t>
  </si>
  <si>
    <t>Harmanalani</t>
  </si>
  <si>
    <t>Harmancik Demi̇rci̇</t>
  </si>
  <si>
    <t>Haydar</t>
  </si>
  <si>
    <t>Hereke</t>
  </si>
  <si>
    <t>Issizören</t>
  </si>
  <si>
    <t>Karadi̇rci̇</t>
  </si>
  <si>
    <t>Kemali̇ye</t>
  </si>
  <si>
    <t>Kiran Işiklar</t>
  </si>
  <si>
    <t>Ki̇razli</t>
  </si>
  <si>
    <t>Koca Kovacik</t>
  </si>
  <si>
    <t>Kozbudaklar</t>
  </si>
  <si>
    <t>Küçük Kovacik</t>
  </si>
  <si>
    <t>Menteşe</t>
  </si>
  <si>
    <t>Pinarcik</t>
  </si>
  <si>
    <t>Sofular</t>
  </si>
  <si>
    <t>Sorgun</t>
  </si>
  <si>
    <t>Uzunöz</t>
  </si>
  <si>
    <t>Yağcilar</t>
  </si>
  <si>
    <t>Yazibaşi</t>
  </si>
  <si>
    <t>Yunuslar</t>
  </si>
  <si>
    <t>Akpinar</t>
  </si>
  <si>
    <t>Alutca</t>
  </si>
  <si>
    <t>Balatdanişment</t>
  </si>
  <si>
    <t>Balisaray</t>
  </si>
  <si>
    <t>Bekdemi̇rler</t>
  </si>
  <si>
    <t>Çakmak</t>
  </si>
  <si>
    <t>Çamoğlu</t>
  </si>
  <si>
    <t>Çatalsöğüt</t>
  </si>
  <si>
    <t>Dedebali̇</t>
  </si>
  <si>
    <t>Deli̇cegüney</t>
  </si>
  <si>
    <t>Dutluca</t>
  </si>
  <si>
    <t>Ece</t>
  </si>
  <si>
    <t>Gedi̇kören</t>
  </si>
  <si>
    <t>Gökçeler</t>
  </si>
  <si>
    <t>Gülözü</t>
  </si>
  <si>
    <t>Harmancikalan</t>
  </si>
  <si>
    <t>Hopandanişment</t>
  </si>
  <si>
    <t>Ilicaksu</t>
  </si>
  <si>
    <t>İshaklar</t>
  </si>
  <si>
    <t>Karaca</t>
  </si>
  <si>
    <t>Kepekdere</t>
  </si>
  <si>
    <t>Kilavuzlar</t>
  </si>
  <si>
    <t>Kişmanlar</t>
  </si>
  <si>
    <t>Koçpinar</t>
  </si>
  <si>
    <t>Kozluca</t>
  </si>
  <si>
    <t>Merkez</t>
  </si>
  <si>
    <t>Nalbant</t>
  </si>
  <si>
    <t>Okçular</t>
  </si>
  <si>
    <t>Saçakli</t>
  </si>
  <si>
    <t>Yayabaşi</t>
  </si>
  <si>
    <t>Yeşi̇lyurt</t>
  </si>
  <si>
    <t>Akçasaz</t>
  </si>
  <si>
    <t>Aktaş</t>
  </si>
  <si>
    <t>Armutçuk</t>
  </si>
  <si>
    <t>Bademli̇k</t>
  </si>
  <si>
    <t>Bayindir</t>
  </si>
  <si>
    <t>Burunca</t>
  </si>
  <si>
    <t>Çakiryeni̇ce</t>
  </si>
  <si>
    <t>Ceri̇başi</t>
  </si>
  <si>
    <t>Danaçali</t>
  </si>
  <si>
    <t>Danacilar</t>
  </si>
  <si>
    <t>Demi̇rler</t>
  </si>
  <si>
    <t>Dereci̇k</t>
  </si>
  <si>
    <t>Düğüncüler</t>
  </si>
  <si>
    <t>Durhasan</t>
  </si>
  <si>
    <t>Eleçkali</t>
  </si>
  <si>
    <t>Eri̇cek</t>
  </si>
  <si>
    <t>Gedi̇kler</t>
  </si>
  <si>
    <t>Geyni̇k</t>
  </si>
  <si>
    <t>Haciahmetler</t>
  </si>
  <si>
    <t>Hacilar</t>
  </si>
  <si>
    <t>Hemşeri̇ler</t>
  </si>
  <si>
    <t>Hocasan</t>
  </si>
  <si>
    <t>İsmeti̇ye</t>
  </si>
  <si>
    <t>Karaağiz</t>
  </si>
  <si>
    <t>Karacukur</t>
  </si>
  <si>
    <t>Karalar</t>
  </si>
  <si>
    <t>Kinik</t>
  </si>
  <si>
    <t>Kuşlar</t>
  </si>
  <si>
    <t>Mazlumlar</t>
  </si>
  <si>
    <t>Örenci̇k</t>
  </si>
  <si>
    <t>Orhan</t>
  </si>
  <si>
    <t>Osmanlar</t>
  </si>
  <si>
    <t>Perçi̇n</t>
  </si>
  <si>
    <t>Pinarköy</t>
  </si>
  <si>
    <t>Pi̇rebi̇yeler</t>
  </si>
  <si>
    <t>Sarniç</t>
  </si>
  <si>
    <t>Tekerler</t>
  </si>
  <si>
    <t>Zaferi̇ye</t>
  </si>
  <si>
    <t>Afşar</t>
  </si>
  <si>
    <t>Akbiyik</t>
  </si>
  <si>
    <t>Akdere</t>
  </si>
  <si>
    <t>Alayli</t>
  </si>
  <si>
    <t>Ayaz</t>
  </si>
  <si>
    <t>Aydoğdu</t>
  </si>
  <si>
    <t>Barcin</t>
  </si>
  <si>
    <t>Beypinar</t>
  </si>
  <si>
    <t>Burcun</t>
  </si>
  <si>
    <t>Çamönü</t>
  </si>
  <si>
    <t>Çardak</t>
  </si>
  <si>
    <t>Çayir</t>
  </si>
  <si>
    <t>Çayirli</t>
  </si>
  <si>
    <t>Çelebi̇</t>
  </si>
  <si>
    <t>Çelti̇kçi̇</t>
  </si>
  <si>
    <t>Çi̇çeközü</t>
  </si>
  <si>
    <t>Ci̇hadi̇ye</t>
  </si>
  <si>
    <t>Demi̇rboğa</t>
  </si>
  <si>
    <t>Ebeköy</t>
  </si>
  <si>
    <t>Fethi̇ye</t>
  </si>
  <si>
    <t>Gökçesu</t>
  </si>
  <si>
    <t>Gündoğan</t>
  </si>
  <si>
    <t>Günece</t>
  </si>
  <si>
    <t>Hayri̇ye</t>
  </si>
  <si>
    <t>Hidirbali</t>
  </si>
  <si>
    <t>İnci̇rli̇</t>
  </si>
  <si>
    <t>Karaamca</t>
  </si>
  <si>
    <t>Karabahadir</t>
  </si>
  <si>
    <t>Karacaahmet</t>
  </si>
  <si>
    <t>Karaköy</t>
  </si>
  <si>
    <t>Karasili</t>
  </si>
  <si>
    <t>Kavakli</t>
  </si>
  <si>
    <t>Kiblepinar</t>
  </si>
  <si>
    <t>Ki̇razliyayla</t>
  </si>
  <si>
    <t>Kizilhi̇sar</t>
  </si>
  <si>
    <t>Kizilköy</t>
  </si>
  <si>
    <t>Köprühi̇sar</t>
  </si>
  <si>
    <t>Koyunhi̇sar</t>
  </si>
  <si>
    <t>Kozdere</t>
  </si>
  <si>
    <t>Mahmudi̇ye</t>
  </si>
  <si>
    <t>Marmaracik</t>
  </si>
  <si>
    <t>Meci̇di̇ye</t>
  </si>
  <si>
    <t>Papatya</t>
  </si>
  <si>
    <t>Paşayayla</t>
  </si>
  <si>
    <t>Reşadi̇ye</t>
  </si>
  <si>
    <t>Seli̇mi̇ye</t>
  </si>
  <si>
    <t>Söylemi̇ş</t>
  </si>
  <si>
    <t>Subaşi</t>
  </si>
  <si>
    <t>Süleymani̇ye</t>
  </si>
  <si>
    <t>Tabakhane</t>
  </si>
  <si>
    <t>Terzi̇ler</t>
  </si>
  <si>
    <t>Toprakdere</t>
  </si>
  <si>
    <t>Toprakocak</t>
  </si>
  <si>
    <t>Ulucami̇</t>
  </si>
  <si>
    <t>Yahşi̇sar</t>
  </si>
  <si>
    <t>Yazili</t>
  </si>
  <si>
    <t>Yeni̇gün</t>
  </si>
  <si>
    <t>Yildirim</t>
  </si>
  <si>
    <t>Yilmaz</t>
  </si>
  <si>
    <t>Yolören</t>
  </si>
  <si>
    <t>Yüzüncüyil</t>
  </si>
  <si>
    <t>Akharem</t>
  </si>
  <si>
    <t>Arapzade</t>
  </si>
  <si>
    <t>Bayirköy</t>
  </si>
  <si>
    <t>Çakirli</t>
  </si>
  <si>
    <t>Cami̇kebi̇r</t>
  </si>
  <si>
    <t>Ci̇hanköy</t>
  </si>
  <si>
    <t>Fati̇h</t>
  </si>
  <si>
    <t>Findikli</t>
  </si>
  <si>
    <t>Gedelek</t>
  </si>
  <si>
    <t>Gemi̇ç</t>
  </si>
  <si>
    <t>Gölyaka</t>
  </si>
  <si>
    <t>Gürle</t>
  </si>
  <si>
    <t>Hamzali</t>
  </si>
  <si>
    <t>Heceler</t>
  </si>
  <si>
    <t>Hürri̇yet</t>
  </si>
  <si>
    <t>Karsak</t>
  </si>
  <si>
    <t>Keramet</t>
  </si>
  <si>
    <t>Muradi̇ye</t>
  </si>
  <si>
    <t>Narlica</t>
  </si>
  <si>
    <t>Örnekköy</t>
  </si>
  <si>
    <t>Ortaköy</t>
  </si>
  <si>
    <t>Paşapinar</t>
  </si>
  <si>
    <t>Sölöz</t>
  </si>
  <si>
    <t>Tekke</t>
  </si>
  <si>
    <t>Üreği̇l</t>
  </si>
  <si>
    <t>Yeni̇gürle</t>
  </si>
  <si>
    <t>Yeni̇sölöz</t>
  </si>
  <si>
    <t>Ağaçli</t>
  </si>
  <si>
    <t>Akarca</t>
  </si>
  <si>
    <t>Alacaat</t>
  </si>
  <si>
    <t>Ali̇seydi̇</t>
  </si>
  <si>
    <t>Aralik</t>
  </si>
  <si>
    <t>Aşağibali</t>
  </si>
  <si>
    <t>Atari̇ye</t>
  </si>
  <si>
    <t>Atatürk</t>
  </si>
  <si>
    <t>Bahariye</t>
  </si>
  <si>
    <t>Bariş</t>
  </si>
  <si>
    <t>Behram</t>
  </si>
  <si>
    <t>Boğaz</t>
  </si>
  <si>
    <t>Bostandere</t>
  </si>
  <si>
    <t>Bük</t>
  </si>
  <si>
    <t>Çakallar</t>
  </si>
  <si>
    <t>Çaltilibük</t>
  </si>
  <si>
    <t>Camandar</t>
  </si>
  <si>
    <t>Çamlica</t>
  </si>
  <si>
    <t>Çardakbelen</t>
  </si>
  <si>
    <t>Çavuş</t>
  </si>
  <si>
    <t>Çirpan</t>
  </si>
  <si>
    <t>Çi̇vi̇lçi̇</t>
  </si>
  <si>
    <t>Çömlekçi̇</t>
  </si>
  <si>
    <t>Çördük</t>
  </si>
  <si>
    <t>Dalica</t>
  </si>
  <si>
    <t>Demi̇rdere</t>
  </si>
  <si>
    <t>Demi̇reli̇</t>
  </si>
  <si>
    <t>Derekadi</t>
  </si>
  <si>
    <t>Deveci̇konaği</t>
  </si>
  <si>
    <t>Doğanalan</t>
  </si>
  <si>
    <t>Doğanci</t>
  </si>
  <si>
    <t>Döllük</t>
  </si>
  <si>
    <t>Dorak</t>
  </si>
  <si>
    <t>Durumtay</t>
  </si>
  <si>
    <t>Eski̇balcik</t>
  </si>
  <si>
    <t>Eski̇kizilelma</t>
  </si>
  <si>
    <t>Fevzi̇dede</t>
  </si>
  <si>
    <t>Garpçi̇tekke</t>
  </si>
  <si>
    <t>Güller</t>
  </si>
  <si>
    <t>Güllüce</t>
  </si>
  <si>
    <t>Güveçdere</t>
  </si>
  <si>
    <t>Güvem</t>
  </si>
  <si>
    <t>Haciahmet</t>
  </si>
  <si>
    <t>Haciali̇</t>
  </si>
  <si>
    <t>Hi̇saralti</t>
  </si>
  <si>
    <t>İlyasçilar</t>
  </si>
  <si>
    <t>İnceali̇pinar</t>
  </si>
  <si>
    <t>Işiklar</t>
  </si>
  <si>
    <t>Kabulbaba</t>
  </si>
  <si>
    <t>Kadirçeşme</t>
  </si>
  <si>
    <t>Kapaklikulak</t>
  </si>
  <si>
    <t>Karacalar</t>
  </si>
  <si>
    <t>Karaoğlan</t>
  </si>
  <si>
    <t>Karaorman</t>
  </si>
  <si>
    <t>Karapinar</t>
  </si>
  <si>
    <t>Kayabaşi</t>
  </si>
  <si>
    <t>Kazanpinar</t>
  </si>
  <si>
    <t>Keltaş</t>
  </si>
  <si>
    <t>Kestelek</t>
  </si>
  <si>
    <t>Ki̇li̇k</t>
  </si>
  <si>
    <t>Kömürcükadi</t>
  </si>
  <si>
    <t>Körekem</t>
  </si>
  <si>
    <t>Kösehoroz</t>
  </si>
  <si>
    <t>Kosova</t>
  </si>
  <si>
    <t>Kuşboğazi</t>
  </si>
  <si>
    <t>Kumkadi</t>
  </si>
  <si>
    <t>Lalaşahi̇n</t>
  </si>
  <si>
    <t>Lütfi̇ye</t>
  </si>
  <si>
    <t>Meli̇k</t>
  </si>
  <si>
    <t>Muradi̇yesarniç</t>
  </si>
  <si>
    <t>Ocakli</t>
  </si>
  <si>
    <t>Ömeralti</t>
  </si>
  <si>
    <t>Onaç</t>
  </si>
  <si>
    <t>Ormankadi</t>
  </si>
  <si>
    <t>Ovaazatli</t>
  </si>
  <si>
    <t>Paşalar</t>
  </si>
  <si>
    <t>Şapçi</t>
  </si>
  <si>
    <t>Sarimustafalar</t>
  </si>
  <si>
    <t>Şehri̇man</t>
  </si>
  <si>
    <t>Şerefi̇ye</t>
  </si>
  <si>
    <t>Şevketi̇ye</t>
  </si>
  <si>
    <t>Şeyhmüftü</t>
  </si>
  <si>
    <t>Si̇ncansarniç</t>
  </si>
  <si>
    <t>Soğucak</t>
  </si>
  <si>
    <t>Soğukpinar</t>
  </si>
  <si>
    <t>Söğütalan</t>
  </si>
  <si>
    <t>Sünlük</t>
  </si>
  <si>
    <t>Taşköprü</t>
  </si>
  <si>
    <t>Taşpinar</t>
  </si>
  <si>
    <t>Tatkavakli</t>
  </si>
  <si>
    <t>Tirnova</t>
  </si>
  <si>
    <t>Üçbeyli̇</t>
  </si>
  <si>
    <t>Uğurlupinar</t>
  </si>
  <si>
    <t>Viraca</t>
  </si>
  <si>
    <t>Yalintaş</t>
  </si>
  <si>
    <t>Yamanli</t>
  </si>
  <si>
    <t>Yavelli̇</t>
  </si>
  <si>
    <t>Yaylacayir</t>
  </si>
  <si>
    <t>Yeni̇balçik</t>
  </si>
  <si>
    <t>Yeni̇dere</t>
  </si>
  <si>
    <t>Yeni̇kizilalma</t>
  </si>
  <si>
    <t>Yeşi̇lova</t>
  </si>
  <si>
    <t>Yoncağaç</t>
  </si>
  <si>
    <t>Yukaribali</t>
  </si>
  <si>
    <t>Yumurcakli</t>
  </si>
  <si>
    <t>Yunus Emre</t>
  </si>
  <si>
    <t>Yüzbaşi Sabri̇bey</t>
  </si>
  <si>
    <t>Züferbey</t>
  </si>
  <si>
    <t>Ağlaşan</t>
  </si>
  <si>
    <t>Ahmet Vefi̇k Paşa Osb</t>
  </si>
  <si>
    <t>Ahmetvefi̇kpaşa</t>
  </si>
  <si>
    <t>Aksu</t>
  </si>
  <si>
    <t>Alaçam</t>
  </si>
  <si>
    <t>Babasultan</t>
  </si>
  <si>
    <t>Barakfaki̇h</t>
  </si>
  <si>
    <t>Barakfaki̇h Osb</t>
  </si>
  <si>
    <t>Burhani̇ye</t>
  </si>
  <si>
    <t>Çataltepe</t>
  </si>
  <si>
    <t>Derekizik</t>
  </si>
  <si>
    <t>Dudakli</t>
  </si>
  <si>
    <t>Erdoğan</t>
  </si>
  <si>
    <t>Gölbaşi</t>
  </si>
  <si>
    <t>Gölcük</t>
  </si>
  <si>
    <t>Gözede</t>
  </si>
  <si>
    <t>Kale</t>
  </si>
  <si>
    <t>Kayacik</t>
  </si>
  <si>
    <t>Kazanci</t>
  </si>
  <si>
    <t>Kozlören</t>
  </si>
  <si>
    <t>Narlidere</t>
  </si>
  <si>
    <t>Nüzheti̇ye</t>
  </si>
  <si>
    <t>Sai̇tabat</t>
  </si>
  <si>
    <t>Sayfi̇ye</t>
  </si>
  <si>
    <t>Serme</t>
  </si>
  <si>
    <t>Seymen</t>
  </si>
  <si>
    <t>Soğuksu</t>
  </si>
  <si>
    <t>Turanköy</t>
  </si>
  <si>
    <t>Ümi̇talan</t>
  </si>
  <si>
    <t>Vani̇mehmet</t>
  </si>
  <si>
    <t>Yağmurlu</t>
  </si>
  <si>
    <t>Akbaşlar</t>
  </si>
  <si>
    <t>Akhi̇sar</t>
  </si>
  <si>
    <t>Akincilar</t>
  </si>
  <si>
    <t>Ali̇bey</t>
  </si>
  <si>
    <t>Aşağiballik</t>
  </si>
  <si>
    <t>Babaoğlu</t>
  </si>
  <si>
    <t>Bahçekaya</t>
  </si>
  <si>
    <t>Baykoca</t>
  </si>
  <si>
    <t>Bayramşah</t>
  </si>
  <si>
    <t>Bi̇la Köy</t>
  </si>
  <si>
    <t>Boğazköy</t>
  </si>
  <si>
    <t>Çavuşköy</t>
  </si>
  <si>
    <t>Çaylica</t>
  </si>
  <si>
    <t>Çayyaka</t>
  </si>
  <si>
    <t>Cemi̇yet</t>
  </si>
  <si>
    <t>Cerrah</t>
  </si>
  <si>
    <t>Çi̇ftli̇kköy</t>
  </si>
  <si>
    <t>Çi̇tli̇</t>
  </si>
  <si>
    <t>Deydi̇nler</t>
  </si>
  <si>
    <t>Di̇psi̇zgöl</t>
  </si>
  <si>
    <t>Doğanyurdu</t>
  </si>
  <si>
    <t>Dömez</t>
  </si>
  <si>
    <t>Edebey</t>
  </si>
  <si>
    <t>Elmacayir</t>
  </si>
  <si>
    <t>Esenköy</t>
  </si>
  <si>
    <t>Eski̇ Bahçekaya</t>
  </si>
  <si>
    <t>Eski̇karacakaya</t>
  </si>
  <si>
    <t>Eski̇köy</t>
  </si>
  <si>
    <t>Eymi̇r</t>
  </si>
  <si>
    <t>Fevzi̇ye</t>
  </si>
  <si>
    <t>Gazelli̇</t>
  </si>
  <si>
    <t>Gedi̇kpinar</t>
  </si>
  <si>
    <t>Gündüzlü</t>
  </si>
  <si>
    <t>Güneykestane</t>
  </si>
  <si>
    <t>Güzelyurt</t>
  </si>
  <si>
    <t>Hacikara</t>
  </si>
  <si>
    <t>Halhalca</t>
  </si>
  <si>
    <t>Hamamli</t>
  </si>
  <si>
    <t>Hami̇tabat</t>
  </si>
  <si>
    <t>Hamzabey Osb</t>
  </si>
  <si>
    <t>Hasanpaşa</t>
  </si>
  <si>
    <t>Hi̇lmi̇ye</t>
  </si>
  <si>
    <t>Hocaköy</t>
  </si>
  <si>
    <t>Huzur</t>
  </si>
  <si>
    <t>Iclali̇ye</t>
  </si>
  <si>
    <t>İhsani̇ye</t>
  </si>
  <si>
    <t>İsaören</t>
  </si>
  <si>
    <t>Karagölet</t>
  </si>
  <si>
    <t>Karahasanlar</t>
  </si>
  <si>
    <t>Karakadi</t>
  </si>
  <si>
    <t>Kayapinar</t>
  </si>
  <si>
    <t>Kemalpaşa</t>
  </si>
  <si>
    <t>Kestanealani</t>
  </si>
  <si>
    <t>Kiran</t>
  </si>
  <si>
    <t>Kocakonak</t>
  </si>
  <si>
    <t>Konurlar</t>
  </si>
  <si>
    <t>Kulaca</t>
  </si>
  <si>
    <t>Madenköy</t>
  </si>
  <si>
    <t>Mezi̇t</t>
  </si>
  <si>
    <t>Muratbey</t>
  </si>
  <si>
    <t>Olukman</t>
  </si>
  <si>
    <t>Osmani̇yeköy</t>
  </si>
  <si>
    <t>Paşaören</t>
  </si>
  <si>
    <t>Rüşti̇ye</t>
  </si>
  <si>
    <t>Saadet</t>
  </si>
  <si>
    <t>Saripinar</t>
  </si>
  <si>
    <t>Şehi̇tler</t>
  </si>
  <si>
    <t>Si̇nanbey</t>
  </si>
  <si>
    <t>Şi̇pali̇</t>
  </si>
  <si>
    <t>Soğukdere</t>
  </si>
  <si>
    <t>Süle</t>
  </si>
  <si>
    <t>Süleymani̇ye Osb</t>
  </si>
  <si>
    <t>Sulhi̇ye</t>
  </si>
  <si>
    <t>Sultani̇ye</t>
  </si>
  <si>
    <t>Sülüklügöl</t>
  </si>
  <si>
    <t>Sungurpaşa</t>
  </si>
  <si>
    <t>Süpürtü</t>
  </si>
  <si>
    <t>Tahtaköprü</t>
  </si>
  <si>
    <t>Tekkeköy</t>
  </si>
  <si>
    <t>Tokuş</t>
  </si>
  <si>
    <t>Id</t>
  </si>
  <si>
    <t>Name</t>
  </si>
  <si>
    <t>Kind</t>
  </si>
  <si>
    <t>Table001</t>
  </si>
  <si>
    <t>Table001 (Page 1)</t>
  </si>
  <si>
    <t>Table</t>
  </si>
  <si>
    <t>Table002</t>
  </si>
  <si>
    <t>Table002 (Page 1)</t>
  </si>
  <si>
    <t>Table003</t>
  </si>
  <si>
    <t>Table003 (Page 1)</t>
  </si>
  <si>
    <t>Table004</t>
  </si>
  <si>
    <t>Table004 (Page 1)</t>
  </si>
  <si>
    <t>Table005</t>
  </si>
  <si>
    <t>Table005 (Page 2)</t>
  </si>
  <si>
    <t>Table006</t>
  </si>
  <si>
    <t>Table006 (Page 2)</t>
  </si>
  <si>
    <t>Table007</t>
  </si>
  <si>
    <t>Table007 (Page 3)</t>
  </si>
  <si>
    <t>Table008</t>
  </si>
  <si>
    <t>Table008 (Page 4)</t>
  </si>
  <si>
    <t>Table009</t>
  </si>
  <si>
    <t>Table009 (Page 4)</t>
  </si>
  <si>
    <t>Arsa</t>
  </si>
  <si>
    <t>Mesken</t>
  </si>
  <si>
    <t>Column2</t>
  </si>
  <si>
    <t>Zemin Tipi:</t>
  </si>
  <si>
    <t>KatIrtifaki</t>
  </si>
  <si>
    <t>Taşınmaz Kimlik No:</t>
  </si>
  <si>
    <t>132811527</t>
  </si>
  <si>
    <t>İl/İlçe:</t>
  </si>
  <si>
    <t>BURSA/MUDANYA</t>
  </si>
  <si>
    <t>Kurum Adı:</t>
  </si>
  <si>
    <t>Mahalle/Köy Adı:</t>
  </si>
  <si>
    <t>HALİTPAŞA</t>
  </si>
  <si>
    <t>Mevkii:</t>
  </si>
  <si>
    <t>Cilt/Sayfa No:</t>
  </si>
  <si>
    <t>98/9690</t>
  </si>
  <si>
    <t>Kayıt Durum:</t>
  </si>
  <si>
    <t>Aktif</t>
  </si>
  <si>
    <t>Ada/Parsel:</t>
  </si>
  <si>
    <t>1557/7</t>
  </si>
  <si>
    <t>AT Yüzölçüm(m2):</t>
  </si>
  <si>
    <t>1633.84</t>
  </si>
  <si>
    <t>Bağımsız Bölüm Nitelik:</t>
  </si>
  <si>
    <t>Bağımsız Bölüm Brüt
YüzÖlçümü:</t>
  </si>
  <si>
    <t>Bağımsız Bölüm Net
YüzÖlçümü:</t>
  </si>
  <si>
    <t>Blok/Kat/Giriş/BBNo:</t>
  </si>
  <si>
    <t>C/1.NORMAL KAT//4</t>
  </si>
  <si>
    <t>Arsa Pay/Payda:</t>
  </si>
  <si>
    <t>3/69</t>
  </si>
  <si>
    <t>Ana Taşınmaz Nitelik:</t>
  </si>
  <si>
    <t>(Hisse) Sistem
No</t>
  </si>
  <si>
    <t>Malik</t>
  </si>
  <si>
    <t>El Birliği
No</t>
  </si>
  <si>
    <t>Hisse Pay/
Payda</t>
  </si>
  <si>
    <t>(SN:193663911) TURGUT AKŞEHİR :
MUSTAFA Oğlu</t>
  </si>
  <si>
    <t>(SN:173304730) SIDIKA KAVUŞ : REFİK
Kızı</t>
  </si>
  <si>
    <t>Column3</t>
  </si>
  <si>
    <t>Ş/B/İ</t>
  </si>
  <si>
    <t>Malik/Lehtar</t>
  </si>
  <si>
    <t>Beyan</t>
  </si>
  <si>
    <t>Yönetim Planı : 15/09/2023( Şablon: Yönetim Planının Belirtilmesi)</t>
  </si>
  <si>
    <t>Kısıtlı Malik
(Hisse) Ad
Soyad</t>
  </si>
  <si>
    <t>Serh</t>
  </si>
  <si>
    <t>Kamu Haczi : BURSA SOSYAL GÜVENLİK
İL MÜDÜRLÜĞÜ nin 24/10/2025 tarih
1bfa1d789a7c439caaede80f5bccbe33
sayılı Haciz Yazısı sayılı yazıları ile. Borç :
13000000 TL (Alacaklı : SGK )</t>
  </si>
  <si>
    <t>TURGUT
AKŞEHİR</t>
  </si>
  <si>
    <t>Ipotek</t>
  </si>
  <si>
    <t>Alacaklı</t>
  </si>
  <si>
    <t>Müşterek
Mi?</t>
  </si>
  <si>
    <t>Borç</t>
  </si>
  <si>
    <t>(SN:31) TÜRKİYE HALK BANKASI A.Ş.
VKN:4560004685</t>
  </si>
  <si>
    <t>20000000.00 TL</t>
  </si>
  <si>
    <t>İpoteğin Konulduğu Hisse Bilgisi</t>
  </si>
  <si>
    <t>Taşınmaz</t>
  </si>
  <si>
    <t>Borçlu Malik</t>
  </si>
  <si>
    <t>Mudanya - HALİTPAŞA - (Aktif) -1557 Ada - 7 Parsel - 4 nolu Bağ.
Bölüm</t>
  </si>
  <si>
    <t>1/2</t>
  </si>
  <si>
    <t>(SN:173304730) SIDIKA KAVUŞ :
REFİK Kızı</t>
  </si>
  <si>
    <t>[image] BİLG</t>
  </si>
  <si>
    <t>Makbuz No</t>
  </si>
  <si>
    <t>Dekont No</t>
  </si>
  <si>
    <t>Başvuru No</t>
  </si>
  <si>
    <t>20251216-851-F09026</t>
  </si>
  <si>
    <t>027225453065</t>
  </si>
  <si>
    <t>45306</t>
  </si>
  <si>
    <t>832229896</t>
  </si>
  <si>
    <t>832229897</t>
  </si>
  <si>
    <t>D:\2025\12-ARALIK\HALK-202501903 mudanya 1 adet daire\TKB_20251216185150329050.pdf</t>
  </si>
  <si>
    <t>PDF_YOLU</t>
  </si>
  <si>
    <t>Alan</t>
  </si>
  <si>
    <t>Deger1</t>
  </si>
  <si>
    <t>Deger2</t>
  </si>
  <si>
    <t>Deger3</t>
  </si>
  <si>
    <t>Deger4</t>
  </si>
  <si>
    <t>Deger5</t>
  </si>
  <si>
    <t xml:space="preserve"> =RANDEVUTARİHİ tarihinde =TEST!ILCE Belediyesinden alınan sözlü bilgiye göre =KISAİMARMAKRO</t>
  </si>
  <si>
    <t>girişi</t>
  </si>
  <si>
    <t>bb</t>
  </si>
  <si>
    <t>TOPLAM İCRAİ HACİZ MİKTARI</t>
  </si>
  <si>
    <t>TOPLAM KAMU HACİZ MİKTARI</t>
  </si>
  <si>
    <t>TOPLAM İHTİYATİ HACİZ MİKTARI</t>
  </si>
  <si>
    <t>TOPLAM HACİZ MİKTARI</t>
  </si>
  <si>
    <t>İcrai haciz</t>
  </si>
  <si>
    <t>Kamu haczi</t>
  </si>
  <si>
    <t>İhtiyati haciz</t>
  </si>
  <si>
    <t>Satışa arz şerhi (İİK.m 150/C)</t>
  </si>
  <si>
    <t>Satış vaadi şerhi</t>
  </si>
  <si>
    <t>Aile konutu şerhi</t>
  </si>
  <si>
    <t>Kiralama şerhi</t>
  </si>
  <si>
    <t>Arsa Pay</t>
  </si>
  <si>
    <t>Arsa Payda</t>
  </si>
  <si>
    <t>(SN:173304730) SIDIKA KAVUŞ : REFİK
Kızı (1/2)</t>
  </si>
  <si>
    <t>Taşınmaz =TEST!ILCE Belediyesi İmar ve Şehircilik Müdürlüğünde incelenen mimari projesine uygun olarak inşa edilmiştir. Taşınmaz =uygunluk3 Webtapu Portalında incelenen mimari proje ile uyumsuzdur. =aynasimetriaçıklama3 =aynasimetri4 =trampaaçıklama2  =uygaçıklama =anagyuygaçıklama =belprojetescil</t>
  </si>
  <si>
    <t>Taşınmazın =TEST!ILCE Belediyesinde incelenen mimari projesinin =TEST!ILCE Tapu Müdürlüğüne tescil ettirilmediği göz önüne alınarak, değerleme esnasında Webtapu Portalında incelenen mimari proje dikkate alınmıştır. =TEST!ILCE Belediyesinde incelenen tadilat projesinin tapuya tescil ettirilmesi durumunda rapor tarafımızca revize edilecektir.</t>
  </si>
  <si>
    <t xml:space="preserve"> =TAPUBELEDİYE2025  =aynasimetriaçıklama2 Yapılan ruhsata aykırı imalat taşınmazın konumunu etkilememektedir. =uygaçıklama</t>
  </si>
  <si>
    <t xml:space="preserve"> Ana gayrimenkulle ilgili olarak ada, parsel bazında yerinin doğruluğu parselasyon planından ve imar planından tespit edilmiştir. =RANDEVUTARİHİ tarihinde yapılan incelemelerde değerlemeye konu taşınmaza ait =TEST!ILCE Tapu Müdürlüğü Webtapu Portalında =PROJE_TARİHİ tarih =PROJE_NO sayılı mimari projesi, =TEST!ILCE Belediyesi İmar ve Şehircilik Arşivinde =BELTADPROJE tarih, =beltadno sayılı mimari projesi incelenmiştir. =ESKIADAPARSEL </t>
  </si>
  <si>
    <t>Taşınmaz Webtapu Portalında ve =TEST!ILCE Belediyesi İmar ve Şehircilik Müdürlüğünde incelenen mimari projesine göre =uygunluk3 uygun değildir. =Aynasimetriaçıklama3 =aynasimetri4 =trampaaçıklama =uygaçıklama =anagyuygaçıklama</t>
  </si>
  <si>
    <t xml:space="preserve">Webtapu Portalında ve =TEST!ILCE Belediyesi İmar ve Şehircilik Müdürlüğünde incelenen mimari projeler arasında vaziyet planı ve kat planı bazında taşınmazın konumunu ve kullanım alanını etkileyen bir farklılık bulunmamaktadır. </t>
  </si>
  <si>
    <t xml:space="preserve"> =RANDEVUTARİHİ tarihinde, =TEST!ILCE Tapu Müdürlüğü Webtapu Portalında yapılan incelemelerde, değerlemeye konu taşınmaza ait =PROJE_TARİHİ tarih =PROJE_NO sayılı mimari projesi incelenmiştir. =ESKIADAPARSEL  =TEST!ILCE Belediyesi İmar ve Şehircilik Müdürlüğünde taşınmaza ait mimari proje bulunamamıştır. </t>
  </si>
  <si>
    <t>TAŞINMAZ DAHA ÖNCE SATIŞ GÖRMEMİŞ Mİ</t>
  </si>
  <si>
    <t xml:space="preserve"> =RANDEVUTARİHİ tarihinde =PROJEKURUM2025 kurumlarında ekspertize konu taşınmaza ait =PROJE_TARİHİ tarih =PROJE_NO sayılı mimari projesi incelenmiştir. =ESKIADAPARSEL </t>
  </si>
  <si>
    <t xml:space="preserve">Ana gayrimenkulle ilgili olarak ada, parsel bazında yerinin doğruluğu parselasyon planından ve imar planından, =BLOKBİNA bazında ve bağımsız bölüm bazında yerinin doğruluğu =PROJEKURUM2025 kurumlarında ekspertize konu taşınmaza ait =PROJE_TARİHİ tarih =PROJE_NO sayılı Mimari Projesi incelenmek suretiyle tespit edilmiştir. =ESKIADAPARSEL </t>
  </si>
  <si>
    <t xml:space="preserve"> =RANDEVUTARİHİ tarihinde yapılan incelemelerde ekspertize konu taşınmaza ait =TEST!ILCE Tapu Müdürlüğü Webtapu Portalında =PROJE_TARİHİ tarih =PROJE_NO sayılı mimari projesi, =TEST!ILCE Belediyesi İmar ve Şehircilik Arşivinde =BELTADPROJE tarih, =beltadno sayılı mimari projesi incelenmiştir. =ESKIADAPARSEL </t>
  </si>
  <si>
    <r>
      <rPr>
        <sz val="8"/>
        <color rgb="FFFF0000"/>
        <rFont val="Calibri"/>
        <family val="2"/>
        <charset val="162"/>
        <scheme val="minor"/>
      </rPr>
      <t xml:space="preserve"> =projeaçıklama1 
=TAPUBELEDİYE2025 </t>
    </r>
    <r>
      <rPr>
        <sz val="8"/>
        <color theme="1"/>
        <rFont val="Calibri"/>
        <family val="2"/>
        <scheme val="minor"/>
      </rPr>
      <t xml:space="preserve">
Bina oturumu; vaziyet planında belirtilen =BİNAOTURUMU referansından tespit edilmiştir. Bina girişi, projesine göre binanın =BGGİRİŞ katından ve yapının =BGYÖN cephesinden sağlanmaktadır.
=uygunluk4 </t>
    </r>
  </si>
  <si>
    <t xml:space="preserve"> =SİTEMİAPARTMANMI =YÜZÖLÇÜMÜ m2 alanlı =ADA ada =PARSEL no.lu parsel üzerinde, =MEVCUT_YAPI_NİZAMI nizam, =BİNA_YAPI_TARZI yapı tarzında ( yapı sınıfı =YAPISINIFI ) =BLOKADEDİ blok olarak inşa edilmiştir. =BLOKKONUM1 Taşınmazın konumlu olduğu =BLOKBİNA projesine göre; =ANAGY olmak üzere, toplam =ANA_GY_TOPLAM_KAT_ADEDİ kat olarak inşa edilmiştir. 
Ana taşınmazın =PROJEİNCELENENKURUM Arşivinde incelenen mimari projesinde ve mahallinde yapılan incelemelere göre =ANATAŞINMAZ1 Bina girişi =BGYÖN yönünden, =BGGİRİŞ kat seviyesinden sağlanmaktadır. Taşınmazın bulunduğu binanın giriş kapısı =BİNAGİRİŞKAPISI Bina dış cephesi =DIŞCEPHEBOYA olup, merdiven basamakları ve sahanlıklar =MERDİVEN_BASAMAK_VE_SAH_KAPLAMA apartman duvarları =APARTMAN_İÇ_DUVARLAR  vaziyettedir. =ASANSÖR =OTOPARK =BİNASİTE ısınma =ISINMASİSTEMİ ile yapılacak şekilde tesisat bulunmaktadır. 
 =SOSYALTESİSSON
</t>
  </si>
  <si>
    <t>TAKYIDAT_TARIH</t>
  </si>
  <si>
    <t>TAKYIDAT_SAAT</t>
  </si>
  <si>
    <t>RAW_SNIP</t>
  </si>
  <si>
    <t>AdresPdfYolu</t>
  </si>
  <si>
    <t>IL</t>
  </si>
  <si>
    <t>ILCE</t>
  </si>
  <si>
    <t>MAHALLE</t>
  </si>
  <si>
    <t>SOKAK_CADDE</t>
  </si>
  <si>
    <t>DIS_KAPI_NO</t>
  </si>
  <si>
    <t>IC_KAPI_NO</t>
  </si>
  <si>
    <t>SITE_ADI</t>
  </si>
  <si>
    <t>BLOK_ADI</t>
  </si>
  <si>
    <t>UAVT_NO</t>
  </si>
  <si>
    <t>ADDR_RAW</t>
  </si>
  <si>
    <t> BURSA</t>
  </si>
  <si>
    <t>MALIK</t>
  </si>
  <si>
    <t>HISSE</t>
  </si>
  <si>
    <t>TAPU_TARIHI</t>
  </si>
  <si>
    <t>YEVMİYE_NO</t>
  </si>
  <si>
    <t>TAPU_TARIHI_YEVMIYE</t>
  </si>
  <si>
    <t>_MergedText</t>
  </si>
  <si>
    <t>EDINME_SEBEBI</t>
  </si>
  <si>
    <t xml:space="preserve">                     </t>
  </si>
  <si>
    <t>_SYSNO</t>
  </si>
  <si>
    <t xml:space="preserve">                                                       </t>
  </si>
  <si>
    <t xml:space="preserve">                                                               </t>
  </si>
  <si>
    <t xml:space="preserve">                                                                                              </t>
  </si>
  <si>
    <t xml:space="preserve">  </t>
  </si>
  <si>
    <t>_SERH_ID</t>
  </si>
  <si>
    <t>ACIKLAMA</t>
  </si>
  <si>
    <t>SERH_TURU</t>
  </si>
  <si>
    <t>KISITLI_MALIK_ADI</t>
  </si>
  <si>
    <t>ILCE_ADI</t>
  </si>
  <si>
    <t>YEVMIYE_NO</t>
  </si>
  <si>
    <t>HACIZ_TUTARI</t>
  </si>
  <si>
    <t>27.67</t>
  </si>
  <si>
    <t>0.75</t>
  </si>
  <si>
    <t>IpotekLehdari</t>
  </si>
  <si>
    <t>VKN</t>
  </si>
  <si>
    <t>IpotekDerecesi</t>
  </si>
  <si>
    <t>TesisTarihi</t>
  </si>
  <si>
    <t>TesisSaati</t>
  </si>
  <si>
    <t>YevmiyeNo</t>
  </si>
  <si>
    <t>IpotekTutari</t>
  </si>
  <si>
    <t>Aciklama</t>
  </si>
  <si>
    <t>Tarih_Text</t>
  </si>
  <si>
    <t>Yevmiye</t>
  </si>
  <si>
    <t>KayitTuru</t>
  </si>
  <si>
    <t>ESKİ ADA PARSEL &gt;</t>
  </si>
  <si>
    <t>&gt;&gt;&gt;&gt;&gt;&gt;</t>
  </si>
  <si>
    <t>İÇİ GÖRÜLDÜ MÜ &gt;</t>
  </si>
  <si>
    <t>SOKAK. &gt;&gt;&gt;</t>
  </si>
  <si>
    <t>APARTMAN.BLOK.ADI. &gt;&gt;&gt;&gt;
(Silinebilir)</t>
  </si>
  <si>
    <t>BLOK &gt;&gt;&gt;</t>
  </si>
  <si>
    <t>APTBLOK &gt;&gt;&gt;</t>
  </si>
  <si>
    <t>BBTÜRÜ &gt;&gt;&gt;&gt;&gt;</t>
  </si>
  <si>
    <t>FİİLİBBTÜRÜ &gt;&gt;&gt;&gt;&gt;&gt;</t>
  </si>
  <si>
    <t>TAKYİDAT 2025 &gt;&gt;&gt;&gt;</t>
  </si>
  <si>
    <t>MALIKLER</t>
  </si>
  <si>
    <t>HISSE PAY</t>
  </si>
  <si>
    <t>HISSE PAYDA</t>
  </si>
  <si>
    <t>EDINME SEBEBI</t>
  </si>
  <si>
    <t>TAPU TARIHI</t>
  </si>
  <si>
    <t>YEVMIYE NO</t>
  </si>
  <si>
    <t>KISA İMAR MAKRO &gt;&gt;&gt;&gt;</t>
  </si>
  <si>
    <t>UZUN İMAR MAKRO &gt;&gt;&gt;&gt;&gt;</t>
  </si>
  <si>
    <t>İMAR DURUMU UZUN &gt;&gt;&gt;&gt;</t>
  </si>
  <si>
    <t>İMAR DURUMU KISA &gt;&gt;&gt;&gt;</t>
  </si>
  <si>
    <t>HESAPLANAN EMSAL &gt;&gt;&gt;&gt;</t>
  </si>
  <si>
    <t>TEK BAŞINA YAPILAŞMA HAKKI &gt;&gt;&gt;&gt;</t>
  </si>
  <si>
    <t>ADRES &gt;&gt;&gt;&gt;&gt;&gt;</t>
  </si>
  <si>
    <t xml:space="preserve">ADRES VE ÇEVRE </t>
  </si>
  <si>
    <t>YER GÖRME İŞLEMİ</t>
  </si>
  <si>
    <t>TAPU BİLGİLERİ VE KULLANIM DURUMU</t>
  </si>
  <si>
    <t>TAKYİDAT BİLGİLERİ</t>
  </si>
  <si>
    <t>İMAR DURUMU BİLGİLERİ</t>
  </si>
  <si>
    <t xml:space="preserve">Ana gayrimenkulle ilgili olarak ada, parsel bazında yerinin doğruluğu parselasyon planından ve imar planından tesipt edilmiştir. =RANDEVUTARİHİ tarihinde, =TEST!ILCE Belediyesi İmar Müdürlüğü'nde yapılan incelemelerde, değerlemeye konu taşınmaza ait =BELTADPROJE tarih =beltadno sayılı mimari projesi incelenmiştir. =TEST!ILCE Tapu Müdürlüğü Webtapu Portalında taşınmaza ait mimari proje bulunamamıştır. =ESKIADAPARSEL </t>
  </si>
  <si>
    <t xml:space="preserve">Ana gayrimenkulle ilgili olarak ada, parsel bazında yerinin doğruluğu parselasyon planından ve imar planından tesipt edilmiştir. =RANDEVUTARİHİ tarihinde, =TEST!ILCE Tapu Müdürlüğü Webtapu Portalında yapılan incelemelerde, değerlemeye konu taşınmaza ait =PROJE_TARİHİ tarih =PROJE_NO sayılı mimari projesi incelenmiştir. =ESKIADAPARSEL  =TEST!ILCE Belediyesi İmar ve Şehircilik Müdürlüğünde taşınmaza ait mimari proje bulunamamıştır. </t>
  </si>
  <si>
    <t xml:space="preserve"> Ana gayrimenkulle ilgili olarak ada, parsel bazında yerinin doğruluğu parselasyon planından ve imar planından tespit edilmiştir. =RANDEVUTARİHİ tarihinde, =TEST!ILCE Tapu Müdürlüğü Webtapu Portalında ve  =TEST!ILCE Belediyesi İmar ve Şehircilik Arşivinde yapılan incelemelerde taşınmaza ait mimari proje bulunamamıştır. =uygaçıklama</t>
  </si>
  <si>
    <t xml:space="preserve"> =RANDEVUTARİHİ tarihinde, =TEST!ILCE Tapu Müdürlüğü Webtapu Portalında ve  =TEST!ILCE Belediyesi İmar ve Şehircilik Arşivinde yapılan incelemelerde taşınmaza ait mimari proje bulunamamıştır. =uygaçıklama</t>
  </si>
  <si>
    <t>RUHSAT VE İSKAN BELGELERİ VE YAPI DENETİM</t>
  </si>
  <si>
    <t>BELGELER 2025 &gt;&gt;&gt;&gt;</t>
  </si>
  <si>
    <t>RUHSATVEİSKANLAR2025 &gt;&gt;&gt;&gt;</t>
  </si>
  <si>
    <t>VERSİYON 1 (Vakıfbank Benzeri Bankalar)</t>
  </si>
  <si>
    <t>VERSİYON 1 (İşbankası - Akbank - Halkbank vb. Bankalar)</t>
  </si>
  <si>
    <t>VERSİYONLAR</t>
  </si>
  <si>
    <t>PROJE HANGİ KURUM / KURUMLARDA İNCELENDİ</t>
  </si>
  <si>
    <t>TAPU BELEDİYE FARK VAR MI?
CEVAP:  HAYIR</t>
  </si>
  <si>
    <t>TAPU BELEDİYE FARK VAR MI?
CEVAP:  EVET</t>
  </si>
  <si>
    <t>PROJE AÇIKLAMALARI</t>
  </si>
  <si>
    <t>Taşınmaz Webtapu Portalında incelenen mimari projesine uygun olarak inşa edilmiştir. Taşınmaz =uygunluk3 =TEST!ILCE Belediyesi İmar ve Şehircilik Müdürlüğünde incelenen mimari projesi ile uyumsuzdur.  =uygaçıklama =anagyuygaçıklama</t>
  </si>
  <si>
    <t>ANA GAYRİMENKUL PROJEYE UYGUN MU?</t>
  </si>
  <si>
    <t>AÇIKLAMA &gt;&gt;&gt;&gt;</t>
  </si>
  <si>
    <t>ANA GAYRİMENKUL PROJEYE UYGUNLUK AÇIKLAMA</t>
  </si>
  <si>
    <t>TAPU BELEDİYE PROJESİ ARASINDA FARK VAR MI ?</t>
  </si>
  <si>
    <t>BELEDİYE UYGUN - 
TAPU UYUMSUZ</t>
  </si>
  <si>
    <t>BELEDİYE VE TAPU UYGUN</t>
  </si>
  <si>
    <t>BELEDİYE UYGUN DEĞİL - TAPU UYGUN</t>
  </si>
  <si>
    <t>BELEDİYE VE TAPU UYGUN DEĞİL</t>
  </si>
  <si>
    <t>DIŞARIDAN EKSPERTİZ</t>
  </si>
  <si>
    <t>TAPU VE BELEDİYE PROJESİ ARASINDA VAR VAR İSE</t>
  </si>
  <si>
    <t>STATİK PROJEYE UYGUN İNŞA EDİLMİŞTİR.</t>
  </si>
  <si>
    <t>STATİK PROJESİNE UYGUN DEĞİLDİR.</t>
  </si>
  <si>
    <t>STATİK PROJE BULUNAMAMIŞTIR.</t>
  </si>
  <si>
    <t>STATİK PROJEYE UYGUNLUK AÇIKLAMA</t>
  </si>
  <si>
    <t>&gt;&gt;&gt;&gt;&gt;</t>
  </si>
  <si>
    <t>TAPU PROJESİNİN DEĞERLEMEDE ESAS ALINMASI İLE İLGİLİ AÇIKLAMA</t>
  </si>
  <si>
    <t>UYGUNLUK 3 &gt;&gt;&gt;&gt;</t>
  </si>
  <si>
    <t>UYGUNLUK 4 &gt;&gt;&gt;&gt;</t>
  </si>
  <si>
    <t>UYGUNLUK 5</t>
  </si>
  <si>
    <t>UYGUNLUK 2025 &gt;&gt;&gt;&gt;</t>
  </si>
  <si>
    <t>TEST SAYFASI MİMARİ UYGUNLUK SEÇİMİ</t>
  </si>
  <si>
    <t>ANA GAYRİMENKUL ÖZELLİKLERİ</t>
  </si>
  <si>
    <t>DİKEY KAT İRTİFAKI</t>
  </si>
  <si>
    <t>NORMAL EKSPERTİZ</t>
  </si>
  <si>
    <t xml:space="preserve"> =SİTEMİAPARTMANMI =YÜZÖLÇÜMÜ m2 alanlı =ADA ada =PARSEL no.lu parsel üzerinde, =MEVCUT_YAPI_NİZAMI nizam, =BİNA_YAPI_TARZI yapı tarzında ( yapı sınıfı =YAPISINIFI ) =BLOKADEDİ blok olarak inşa edilmiştir. =BLOKKONUM1 Taşınmazın konumlu olduğu =BLOKBİNA projesine göre; =ANAGY olmak üzere, toplam =ANA_GY_TOPLAM_KAT_ADEDİ kat olarak inşa edilmiştir. 
Ana taşınmazın =PROJEİNCELENENKURUM Arşivinde incelenen mimari göre =ANATAŞINMAZ1 Bina girişi =BGYÖN yönünden, =BGGİRİŞ kat seviyesinden sağlanmaktadır. 
=anagyuygaçıklama 
Taşınmazın bulunduğu binanın giriş kapısı =BİNAGİRİŞKAPISI Bina dış cephesi =DIŞCEPHEBOYA olup, merdiven basamakları ve sahanlıklar =MERDİVEN_BASAMAK_VE_SAH_KAPLAMA apartman duvarları =APARTMAN_İÇ_DUVARLAR  vaziyettedir. =ASANSÖR =OTOPARK =BİNASİTE ısınma =ISINMASİSTEMİ ile yapılacak şekilde tesisat bulunmaktadır. 
 =SOSYALTESİSSON
</t>
  </si>
  <si>
    <t>ANAGAYRİMENKUL DİKEY KAT İRTİFAKI
(NORMAL)
(YK_KONUT_ANATAŞINMAZ)</t>
  </si>
  <si>
    <t xml:space="preserve">ANAGAYRİMENKUL DİKEY KAT İRTİFAKI
(DIŞARIDAN)
(ANAGAYRİMENKULDIŞARDAN)
</t>
  </si>
  <si>
    <t>ANA TAŞINMAZ</t>
  </si>
  <si>
    <t>ANA TAŞINMAZ PROJESİNE UYGUN MU ?</t>
  </si>
  <si>
    <t xml:space="preserve"> =SİTEMİAPARTMANMI =YÜZÖLÇÜMÜ m2 alanlı =ADA no =PARSEL no.lu parsel üzerinde, =MEVCUT_YAPI_NİZAMI nizam, =BİNA_YAPI_TARZI yapı tarzında ( yapı sınıfı =YAPISINIFI ) =BLOKADEDİ blok olarak inşa edilmiştir. =BLOKKONUM1 Taşınmazın konumlu olduğu =BİNABLOK projesine göre; =ANAGY olmak üzere, toplam =ANA_GY_TOPLAM_KAT_ADEDİ kat olarak inşa edilmiştir. 
=anagyuygaçıklama 
Ana taşınmazın =PROJEİNCELENENKURUM Arşivinde incelenen mimari projesine göre =ANATAŞINMAZ1 Bina girişi =BGYÖN yönünden, =BGGİRİŞ kat seviyesinden sağlanmaktadır. Taşınmazın bulunduğu binanın giriş kapısı =BİNAGİRİŞKAPISI Bina dış cephesi =DIŞCEPHEBOYA olup, merdiven basamakları ve sahanlıklar =MERDİVEN_BASAMAK_VE_SAH_KAPLAMA apartman duvarları =APARTMAN_İÇ_DUVARLAR  vaziyettedir. =ASANSÖR =OTOPARK =BİNASİTE  ısınma =ISINMASİSTEMİ ile yapılacak şekilde tesisat bulunmaktadır. 
 =SOSYALTESİSSON</t>
  </si>
  <si>
    <t>NORMAL VE DIŞARIDAN EKSPERTİZ</t>
  </si>
  <si>
    <t xml:space="preserve">ANAGAYRİMENKUL YATAY KAT İRTİFAKI
(NORMAL VE DIŞARIDAN)
</t>
  </si>
  <si>
    <t>ANATAŞINMAZ 1 &gt;&gt;&gt;&gt;&gt;</t>
  </si>
  <si>
    <t>BLOKKONUM &gt;&gt;&gt;&gt;</t>
  </si>
  <si>
    <t>PROJEYE UYGUNLUK 2025</t>
  </si>
  <si>
    <t>SOSYAL TESİS &gt;&gt;&gt;&gt;</t>
  </si>
  <si>
    <t>HALKBANK PROJE UYGUNLUK</t>
  </si>
  <si>
    <t>Ekspertize konu taşınmaz incelenen mimari projesine ve yerinde yapılan incelemelere göre  =YÜZÖLÇÜMÜ m2 alanlı =ADA ada =PARSEL no.lu parsel üzerinde, =MEVCUT_YAPI_NİZAMI nizam, =BİNA_YAPI_TARZI yapı tarzında, =YAPISINIFI yapı sınıfında, yatay kat irtifakı tesis edilmiş, =BBVEBLOK bağımsız bölümden oluşan =SİTEAPARTMAN içinde yer almaktadır.  =BLOKKONUM1 Taşınmazın konumlu olduğu parsel üzerinde yer alan bağımsız bölümler =ANAGY olmak üzere toplam =ANA_GY_TOPLAM_KAT_ADEDİ kattan oluşmaktadır. 
Taşınmazların girişleri, birbirlerinden bağımsız vaziyette olup, konu taşınmazın girişi =BGGİRİŞ kat üzerinden, =BGYÖN yönünden sağlanmaktadır. Taşınmazın dış cephesi =DIŞCEPHEBOYA vaziyettedir. 
=SOSYALTESİSSON</t>
  </si>
  <si>
    <t>Ekspertize konu taşınmaz incelenen mimari projesine göre,  =YÜZÖLÇÜMÜ m2 alanlı =ADA =PARSEL no.lu parsel üzerinde, =MEVCUT_YAPI_NİZAMI nizam, =BİNA_YAPI_TARZI yapı tarzında, =YAPISINIFI yapı sınıfında, yatay kat irtifakı tesis edilmiş, =BBVEBLOK bağımsız bölümden oluşan =SİTEAPARTMAN içinde yer almaktadır. 
=anagyuygaçıklama 
Taşınmazın konumlu olduğu parsel üzerinde yer alan bağımsız bölümler =ANAGY olmak üzere toplam =ANA_GY_TOPLAM_KAT_ADEDİ kattan oluşmaktadır. Taşınmazların girişleri, birbirlerinden bağımsız vaziyette olup, konu taşınmazın girişi =BGGİRİŞ kat üzerinden, =BGYÖN yönünden sağlanmaktadır. Taşınmazın dış cephesi =DIŞCEPHEBOYA vaziyettedir. 
=SOSYALTESİSSON</t>
  </si>
  <si>
    <t>TOPLAM B.B. ADEDİ &gt;&gt;&gt;&gt;</t>
  </si>
  <si>
    <t>ANA GY TOPLAM KAT ADEDİ</t>
  </si>
  <si>
    <t>ANA GY &gt;&gt;&gt;&gt;</t>
  </si>
  <si>
    <t>ASANSÖR &gt;&gt;&gt;&gt;</t>
  </si>
  <si>
    <t>YAPI YAŞI &gt;&gt;&gt;&gt;</t>
  </si>
  <si>
    <t>YAPIM YILI &gt;&gt;&gt;&gt;</t>
  </si>
  <si>
    <t>YAPI BİTİŞ TARİHİ &gt;&gt;&gt;&gt;</t>
  </si>
  <si>
    <t>BUGÜN</t>
  </si>
  <si>
    <t>SON DEPREM YÖNETMLİĞİ / YENİ YAPI RUHSATI KARŞILAŞTIRMA</t>
  </si>
  <si>
    <t>İŞBANK MİMARİ PROJE AÇIKLAMA &gt;&gt;&gt;&gt;</t>
  </si>
  <si>
    <t>CEZAİ 2025 &gt;&gt;&gt;&gt;</t>
  </si>
  <si>
    <t>DEĞERLEME 2025 &gt;&gt;&gt;&gt;</t>
  </si>
  <si>
    <t>ARSA DEĞERİ</t>
  </si>
  <si>
    <t>HALKBANK ÖNEMLİ NOT BÖLÜMÜ &gt;&gt;&gt;&gt;</t>
  </si>
  <si>
    <t>YASAL DURUM ŞEREFİYE</t>
  </si>
  <si>
    <t>YASAL DURUM ŞEREFİYE ORANI</t>
  </si>
  <si>
    <t>MEVCUT DURUM ŞEREFİYE</t>
  </si>
  <si>
    <t>MEVCUT DURUM ŞEREFİYE ORANI</t>
  </si>
  <si>
    <t>YAPI BİRİM MALİYETİ AÇIKLANMA TARİHİ İLE BUGÜN ARASINDAKİ DEĞERİ ARTIŞ ORANI</t>
  </si>
  <si>
    <t>AÇIKLANAN YAPI BİRİM DEĞERİ</t>
  </si>
  <si>
    <t>YIPRANMA PAYI DÜŞÜLMÜŞ VE DEĞER ARTIŞ PAYI UYGULANMIŞ YAPI BİRİM DEĞERİ</t>
  </si>
  <si>
    <t>ÜFE FARKLI UYGUNLANMIŞ YAPI BİRİM DEĞERİ</t>
  </si>
  <si>
    <t>SİGORTAYA ESAS DEĞER (YASAL)</t>
  </si>
  <si>
    <t>SİGORTAYA ESAS DEĞER (MEVCUT)</t>
  </si>
  <si>
    <t>HİSSELİ Mİ &gt;</t>
  </si>
  <si>
    <t>YASAL M2 BİRİM DEĞERİ</t>
  </si>
  <si>
    <t>MEVCUT M2 BİRİM DEĞERİ</t>
  </si>
  <si>
    <t>YASAL KİRA BİRİM DEĞERİ</t>
  </si>
  <si>
    <t>MEVCUT KİRA BİRİM DEĞERİ</t>
  </si>
  <si>
    <t>NATAMAM YASAL DURUM DEĞERİ</t>
  </si>
  <si>
    <t>NATAMAM MEVCUT DURUM DEĞERİ</t>
  </si>
  <si>
    <t>YASAL NATAMAM DURUM DEĞERİ HESAPLAMA</t>
  </si>
  <si>
    <t>MEVCUT NATAMAM DURUM DEĞERİ HESAPLAMA</t>
  </si>
  <si>
    <t>YIPRANMIŞ YASAL YAPI DEĞERİ</t>
  </si>
  <si>
    <t>YIPRANMIŞ MEVCUT YAPI DEĞERİ</t>
  </si>
  <si>
    <t>(KAT.) &gt;&gt;&gt;&gt;</t>
  </si>
  <si>
    <t>(KAT.1) &gt;&gt;&gt;&gt;</t>
  </si>
  <si>
    <t>(KAT.2) &gt;&gt;&gt;&gt;</t>
  </si>
  <si>
    <t>(KAT.3) &gt;&gt;&gt;&gt;</t>
  </si>
  <si>
    <t>GİRİŞE GÖRE KONUM</t>
  </si>
  <si>
    <t>KAT DAĞILIM 2025 &gt;&gt;&gt;&gt;</t>
  </si>
  <si>
    <t>KAT DAĞILIMI YASAL TABLO  &gt;&gt;&gt;&gt;</t>
  </si>
  <si>
    <t>KAT DAĞILIMI MEVCUT TABLO  &gt;&gt;&gt;&gt;</t>
  </si>
  <si>
    <t>KAT BAZLI İÇ HACİMLER &gt;&gt;&gt;&gt;</t>
  </si>
  <si>
    <t>BAĞIMSIZ BÖLÜM 2025</t>
  </si>
  <si>
    <t>DİKEY NORMAL BAĞIMSIZ BÖLÜM ÖZELLİK</t>
  </si>
  <si>
    <t>DİKEY DIŞARIDAN EKSPERTİZ BAĞIMSIZ BÖLÜM ÖZELLİK</t>
  </si>
  <si>
    <t>YATAY NORMAL BAĞIMSIZ BÖLÜM ÖZELLİK</t>
  </si>
  <si>
    <t>YATAY DIŞARIDAN EKSPERTİZ BAĞIMSIZ BÖLÜM ÖZELLİK</t>
  </si>
  <si>
    <t>KAT DAĞILIM ALAN 2  &gt;&gt;&gt;&gt;</t>
  </si>
  <si>
    <t>KAT DAĞILIM ALAN &gt;&gt;&gt;&gt;</t>
  </si>
  <si>
    <t>KAT DAĞILIM ALAN 3  &gt;&gt;&gt;&gt;</t>
  </si>
  <si>
    <t>BRÜT ALAN</t>
  </si>
  <si>
    <t>NET ALAN</t>
  </si>
  <si>
    <t>YASAL ALAN  &gt;&gt;&gt;&gt;</t>
  </si>
  <si>
    <t>MEVCUT ALAN &gt;&gt;&gt;&gt;</t>
  </si>
  <si>
    <t>Bursa</t>
  </si>
  <si>
    <t>&lt;&lt;&lt;&lt;&lt;</t>
  </si>
  <si>
    <t>TRAMPA BB ÖZELLİK (DİKEY)</t>
  </si>
  <si>
    <t>TRAMPA BB ÖZELLİK (YATAY)</t>
  </si>
  <si>
    <t>PAY/PAYDA &gt;&gt;&gt;&gt;</t>
  </si>
  <si>
    <t>Ekspertize konu taşınmaz =paypayda  =ARSAPAYI m2  arsa payına sahiptir. Taşınmaz projesine göre =ANAGY olmak üzere, toplam =ANA_GY_TOPLAM_KAT_ADEDİ adet kattan oluşmaktadır. Taşımazın =KATDAĞILIMALAN 
Değerleme tarihi itibarı ile tarafımıza incelenen mimari projeye göre =trampabbno bağımsız bölüm nolu taşınmaz gösterilmiştir. =uygaçıklama  =TRAMPAİÇHACİM 
 Tarafımıza gösterilen taşınmazın iç özellikleri; =İÇÖZELLİKLER =kapıpencere =mutfakdolapvetezgah =malzemeveişçilik =manzara1 Isınma sistemi =ISINMASİSTEMİ ile =sağlanmaktadır =inşaaseviye</t>
  </si>
  <si>
    <t>DİKEY KAT İRTİFAKI AYNA SİMETRİ BB ÖZELLİK (KONUM ETKİLENMİYOR)</t>
  </si>
  <si>
    <t>DİKEY KAT İRTİFAKI AYNA SİMETRİ BB ÖZELLİK (KONUM ETKİLENİYOR)</t>
  </si>
  <si>
    <t>YATAY KAT İRTİFAKI AYNA SİMETRİ BB ÖZELLİK (KONUM ETKİLENMİYOR)</t>
  </si>
  <si>
    <t>YATAY KAT İRTİFAKI AYNA SİMETRİ BB ÖZELLİK (KONUM ETKİLENİYOR)</t>
  </si>
  <si>
    <t>KİRA AMORTİSMAN SÜRESİ</t>
  </si>
  <si>
    <t>KISA EMSALLER</t>
  </si>
  <si>
    <t>UZUN EMSALLER</t>
  </si>
  <si>
    <t>DEPREM YÖNETMELİĞİNDEN SONRA İNŞAATA BAŞLANDI İSE</t>
  </si>
  <si>
    <t>YAPI YAŞI 10 DAN KÜÇÜK İSE</t>
  </si>
  <si>
    <t>OTOPARK &gt;&gt;&gt;&gt;</t>
  </si>
  <si>
    <t>ARA KATTA YER ALIYOR İSE</t>
  </si>
  <si>
    <t>KAT MÜLKİYETLİ OLMASI</t>
  </si>
  <si>
    <t>MANZARASI VAR İSE</t>
  </si>
  <si>
    <t>KULLANILAN MALZEME VE İŞÇİLİK KALİTELİ İSE</t>
  </si>
  <si>
    <t>BULUNDUĞU SİTEDE SOSYAL İMKANLAR VAR İSE</t>
  </si>
  <si>
    <t>İSKANI VAR İSE</t>
  </si>
  <si>
    <t>MERKEZİ BİR KONUMDA İSE</t>
  </si>
  <si>
    <t>BÖLGE ÜST GELİR GRUBUNA HİTAP EDİYOR İSE</t>
  </si>
  <si>
    <t>OTOPARK İMKANI VAR İSE</t>
  </si>
  <si>
    <t>OLUMSUZ HERHANGİ BİR EVRAK YOK İSE</t>
  </si>
  <si>
    <t>YER GÖRME İŞLEMİ DIŞARIDAN YAPILDI İSE</t>
  </si>
  <si>
    <t>DEPREM RİSKİ</t>
  </si>
  <si>
    <t>NATAMAM VAZİYETTE İSE</t>
  </si>
  <si>
    <t>RUHSATA AYKIRI İMALATLAR VAR İSE</t>
  </si>
  <si>
    <t>HİSSELİ MÜLKİYET İSE</t>
  </si>
  <si>
    <t>ALTYAPI YETERSİZ VE TAMAMLANMAMIŞ İSE</t>
  </si>
  <si>
    <t>İÇ ÖZELLİKLER VASAT İSE</t>
  </si>
  <si>
    <t>KAT MÜLKİYETİNE GEÇİLMEMİŞ İSE</t>
  </si>
  <si>
    <t>ESKİ BİR YAPIDA YER ALIYOR İSE</t>
  </si>
  <si>
    <t>OTOPARK İMKANININ BULUNMAMASI</t>
  </si>
  <si>
    <t>ALT GELİR GRUBUNA HİTAP EDEN BİR BÖLGEDE YER ALIYOR İSE</t>
  </si>
  <si>
    <t>çimston</t>
  </si>
  <si>
    <t>BÖLGE YAPI YAŞI</t>
  </si>
  <si>
    <t>yeni</t>
  </si>
  <si>
    <t>15 - 20</t>
  </si>
  <si>
    <t>20 - 25</t>
  </si>
  <si>
    <t>5 - 10</t>
  </si>
  <si>
    <t>10 - 15</t>
  </si>
  <si>
    <t>5 - 10  yıllık yapılardan</t>
  </si>
  <si>
    <t>10 - 15 yıllık yapılardan</t>
  </si>
  <si>
    <t>15 - 20 yıllık yapılardan</t>
  </si>
  <si>
    <t>20 - 25 yıllık yapılardan</t>
  </si>
  <si>
    <t>20 - 30</t>
  </si>
  <si>
    <t>30 - 40</t>
  </si>
  <si>
    <t>40 - 50</t>
  </si>
  <si>
    <t>20 - 30 yıllık yapılardan</t>
  </si>
  <si>
    <t>30 - 40 yıllık yapılardan</t>
  </si>
  <si>
    <t>40 - 50 yıllık yapılardan</t>
  </si>
  <si>
    <t>yeni inşa edilmiş yapılardan</t>
  </si>
  <si>
    <t>konum</t>
  </si>
  <si>
    <t>Aynı site</t>
  </si>
  <si>
    <t>Aynı site aynı blok</t>
  </si>
  <si>
    <t>Aynı bina</t>
  </si>
  <si>
    <t>konum karşılaştırma</t>
  </si>
  <si>
    <t>Çok vasat</t>
  </si>
  <si>
    <t>Vasat</t>
  </si>
  <si>
    <t>Benzer</t>
  </si>
  <si>
    <t>İyi</t>
  </si>
  <si>
    <t>Çok iyi</t>
  </si>
  <si>
    <t>su deposu</t>
  </si>
  <si>
    <t>pompa odası</t>
  </si>
  <si>
    <t>giyinme odası</t>
  </si>
  <si>
    <t>İÇ ÖZELLİKLER 2025 &gt;&gt;&gt;&gt;</t>
  </si>
  <si>
    <t>İmar Durumu Kat Adedi</t>
  </si>
  <si>
    <t>BİNA GİRİŞ KATI</t>
  </si>
  <si>
    <t>MALZEME VE İŞÇİLİK</t>
  </si>
  <si>
    <t>YÜZDESEL HESAP</t>
  </si>
  <si>
    <t>MANZARA</t>
  </si>
  <si>
    <t>MANZARA FAKTÖR</t>
  </si>
  <si>
    <t>APARTMAN SİTE ADI
(ADRESAPTSİTE) &gt;&gt;&gt;&gt;</t>
  </si>
  <si>
    <t>TRAMPA VE AYNA SİMETRİSİ KARIŞIK BÖLÜMLER</t>
  </si>
  <si>
    <t>YATAY KAT İRTİFAKI BB VE BLOK SAYILARI</t>
  </si>
  <si>
    <t>BBVEBLOK &gt;&gt;&gt;</t>
  </si>
  <si>
    <t>İNŞAASEVİYE &gt;&gt;&gt;&gt;</t>
  </si>
  <si>
    <t>YASAL KAT DAĞILIMI</t>
  </si>
  <si>
    <t>MEVCUT KAT DAĞILIMI</t>
  </si>
  <si>
    <t>Monte</t>
  </si>
  <si>
    <t>SAĞLANMAKTADIR &gt;&gt;&gt;&gt;</t>
  </si>
  <si>
    <t>KAT DAĞILIM ALAN 3 (DIŞARIDAN EKSPERTİZ)  &gt;&gt;&gt;&gt;</t>
  </si>
  <si>
    <t>Ekspertize konu taşınmaz =paypayda  =ARSAPAYI m2  arsa payına sahiptir. Taşınmaz projesine göre =ANAGY olmak üzere, toplam =ANA_GY_TOPLAM_KAT_ADEDİ kattan oluşmaktadır. =KATDAĞILIM2025  Taşınmazın =İÇÖZELLİKLER2025 =manzara1 Isınma sistemi =ISINMASİSTEMİ ile sağlanacak şekilde tesisat bulunmaktadır. =sağlanmaktadır =inşaaseviye</t>
  </si>
  <si>
    <t>Ekspertize konu taşınmaz =paypayda  =ARSAPAYI m2  arsa payına sahiptir. Taşınmaz projesine göre =ANAGY olmak üzere, toplam =ANA_GY_TOPLAM_KAT_ADEDİ adet kattan oluşmaktadır. Taşımazın =KATDAĞILIMALAN3 Yer görme işlemi şube bilgisi dahilinde dışarıdan yapılmış olup mimari uygunluk tespit edilememiş ve iç hacimlerin malzeme ve işçilik kalitesi standart olarak varsayılmıştır.</t>
  </si>
  <si>
    <t>&lt;&lt;&lt;&lt; MAKRO KODU EKLENDİ</t>
  </si>
  <si>
    <t>KATLAR VERSİYONLAR</t>
  </si>
  <si>
    <t>İSTENEN SONUÇ</t>
  </si>
  <si>
    <t>Çatı Piyesi</t>
  </si>
  <si>
    <t>Ç</t>
  </si>
  <si>
    <t>Ç.Kat</t>
  </si>
  <si>
    <t>Teras Kat</t>
  </si>
  <si>
    <t>Çatı Katı</t>
  </si>
  <si>
    <t>Teras Katı</t>
  </si>
  <si>
    <t>Zemin Katı</t>
  </si>
  <si>
    <t>Asma Katı</t>
  </si>
  <si>
    <t>Ara Katı</t>
  </si>
  <si>
    <t>Ç.Katı</t>
  </si>
  <si>
    <t>T.Kat</t>
  </si>
  <si>
    <t>T.Katı</t>
  </si>
  <si>
    <t>4.Bodrum</t>
  </si>
  <si>
    <t>3.Bodrum</t>
  </si>
  <si>
    <t>2.Bodrum</t>
  </si>
  <si>
    <t>1.Bodrum</t>
  </si>
  <si>
    <t>4.Bodrum Kat</t>
  </si>
  <si>
    <t>4.Bodrum Katı</t>
  </si>
  <si>
    <t>4B</t>
  </si>
  <si>
    <t>Bodrum-4</t>
  </si>
  <si>
    <t>3.Bodrum Kat</t>
  </si>
  <si>
    <t>3.Bodrum Katı</t>
  </si>
  <si>
    <t>3B</t>
  </si>
  <si>
    <t>Bodrum-3</t>
  </si>
  <si>
    <t>Bodrum-2</t>
  </si>
  <si>
    <t>2.Bodrum Katı</t>
  </si>
  <si>
    <t>2.Bodrum Kat</t>
  </si>
  <si>
    <t>B</t>
  </si>
  <si>
    <t>Bodrum</t>
  </si>
  <si>
    <t>Bodrum Kat</t>
  </si>
  <si>
    <t>A</t>
  </si>
  <si>
    <t>Asmakat</t>
  </si>
  <si>
    <t>Zeminkat</t>
  </si>
  <si>
    <t>Bodrumkat</t>
  </si>
  <si>
    <t>Arakat</t>
  </si>
  <si>
    <t>1. Normal</t>
  </si>
  <si>
    <t>1 Normal</t>
  </si>
  <si>
    <t>Birinci</t>
  </si>
  <si>
    <t>1. Kat</t>
  </si>
  <si>
    <t>2. Normal</t>
  </si>
  <si>
    <t>2 Normal</t>
  </si>
  <si>
    <t>İkinci</t>
  </si>
  <si>
    <t>2. Kat</t>
  </si>
  <si>
    <t>3. Normal</t>
  </si>
  <si>
    <t>3 Normal</t>
  </si>
  <si>
    <t>3. Kat</t>
  </si>
  <si>
    <t>4. Normal</t>
  </si>
  <si>
    <t>4 Normal</t>
  </si>
  <si>
    <t>4. Kat</t>
  </si>
  <si>
    <t>Üçüncü</t>
  </si>
  <si>
    <t>Dördüncü</t>
  </si>
  <si>
    <t>5. Normal</t>
  </si>
  <si>
    <t>5 Normal</t>
  </si>
  <si>
    <t>5. Kat</t>
  </si>
  <si>
    <t>6. Normal</t>
  </si>
  <si>
    <t>6 Normal</t>
  </si>
  <si>
    <t>6. Kat</t>
  </si>
  <si>
    <t>7. Normal</t>
  </si>
  <si>
    <t>7 Normal</t>
  </si>
  <si>
    <t>7. Kat</t>
  </si>
  <si>
    <t>8. Normal</t>
  </si>
  <si>
    <t>8 Normal</t>
  </si>
  <si>
    <t>8. Kat</t>
  </si>
  <si>
    <t>9. Normal</t>
  </si>
  <si>
    <t>9 Normal</t>
  </si>
  <si>
    <t>9. Kat</t>
  </si>
  <si>
    <t>10. Normal</t>
  </si>
  <si>
    <t>10 Normal</t>
  </si>
  <si>
    <t>10. Kat</t>
  </si>
  <si>
    <t>11. Normal</t>
  </si>
  <si>
    <t>11 Normal</t>
  </si>
  <si>
    <t>11. Kat</t>
  </si>
  <si>
    <t>12. Normal</t>
  </si>
  <si>
    <t>12 Normal</t>
  </si>
  <si>
    <t>12. Kat</t>
  </si>
  <si>
    <t>13. Normal</t>
  </si>
  <si>
    <t>13 Normal</t>
  </si>
  <si>
    <t>13. Kat</t>
  </si>
  <si>
    <t>14. Normal</t>
  </si>
  <si>
    <t>14 Normal</t>
  </si>
  <si>
    <t>14. Kat</t>
  </si>
  <si>
    <t>15. Normal</t>
  </si>
  <si>
    <t>15 Normal</t>
  </si>
  <si>
    <t>15. Kat</t>
  </si>
  <si>
    <t>16. Normal</t>
  </si>
  <si>
    <t>16 Normal</t>
  </si>
  <si>
    <t>16. Kat</t>
  </si>
  <si>
    <t>17. Normal</t>
  </si>
  <si>
    <t>17 Normal</t>
  </si>
  <si>
    <t>17. Kat</t>
  </si>
  <si>
    <t>18. Normal</t>
  </si>
  <si>
    <t>18 Normal</t>
  </si>
  <si>
    <t>18. Kat</t>
  </si>
  <si>
    <t>19. Normal</t>
  </si>
  <si>
    <t>19 Normal</t>
  </si>
  <si>
    <t>19. Kat</t>
  </si>
  <si>
    <t>20. Normal</t>
  </si>
  <si>
    <t>20 Normal</t>
  </si>
  <si>
    <t>20. Kat</t>
  </si>
  <si>
    <t>21. Normal</t>
  </si>
  <si>
    <t>21 Normal</t>
  </si>
  <si>
    <t>21. Kat</t>
  </si>
  <si>
    <t>22. Normal</t>
  </si>
  <si>
    <t>22 Normal</t>
  </si>
  <si>
    <t>22. Kat</t>
  </si>
  <si>
    <t>23. Normal</t>
  </si>
  <si>
    <t>23 Normal</t>
  </si>
  <si>
    <t>23. Kat</t>
  </si>
  <si>
    <t>24. Normal</t>
  </si>
  <si>
    <t>24 Normal</t>
  </si>
  <si>
    <t>24. Kat</t>
  </si>
  <si>
    <t>25. Normal</t>
  </si>
  <si>
    <t>25 Normal</t>
  </si>
  <si>
    <t>25. Kat</t>
  </si>
  <si>
    <t>Beşinci</t>
  </si>
  <si>
    <t>Altıncı</t>
  </si>
  <si>
    <t>Yedinci</t>
  </si>
  <si>
    <t>Sekizinci</t>
  </si>
  <si>
    <t>Dokuzuncu</t>
  </si>
  <si>
    <t>Onuncu</t>
  </si>
  <si>
    <t>Onbirinci</t>
  </si>
  <si>
    <t>Onikinci</t>
  </si>
  <si>
    <t>Onüçüncü</t>
  </si>
  <si>
    <t>Ondördüncü</t>
  </si>
  <si>
    <t>Onbeşinci</t>
  </si>
  <si>
    <t>Onaltıncı</t>
  </si>
  <si>
    <t>Onyedinci</t>
  </si>
  <si>
    <t>Onsekizinci</t>
  </si>
  <si>
    <t>Ondokuzuncu</t>
  </si>
  <si>
    <t>Yirminci</t>
  </si>
  <si>
    <t>Yirmibirinci</t>
  </si>
  <si>
    <t>Yirmiikinci</t>
  </si>
  <si>
    <t>Yirmiüçüncü</t>
  </si>
  <si>
    <t>Yirmibeşinci</t>
  </si>
  <si>
    <t>Ç.</t>
  </si>
  <si>
    <t>T</t>
  </si>
  <si>
    <t>1.Bodrum Kat</t>
  </si>
  <si>
    <t>1.Bodrum Katı</t>
  </si>
  <si>
    <t>Çatıkatı</t>
  </si>
  <si>
    <t>Çatıarası Piyes</t>
  </si>
  <si>
    <t>Yirmidördüncü</t>
  </si>
  <si>
    <t>Çatı Arası</t>
  </si>
  <si>
    <t>KAT FAKTÖR</t>
  </si>
  <si>
    <t>KAT FAKTÖR 2</t>
  </si>
  <si>
    <t>TRAMPAKAT. &gt;&gt;&gt;&gt;</t>
  </si>
  <si>
    <t>YASAL B.BÖLÜM TÜRÜ İLE FİİLİ B.BÖLÜM TÜRÜ AYNI MI?</t>
  </si>
  <si>
    <t>HALİHAZIRDA KULLANIM DURUMU</t>
  </si>
  <si>
    <t xml:space="preserve">SİTE İÇERİSİNDE Mİ YER ALIYOR ? </t>
  </si>
  <si>
    <t>Ziraat Bankası Ana Taşınmaz Diğer Açıklama &gt;&gt;&gt;&gt;</t>
  </si>
  <si>
    <t xml:space="preserve">Ekspertize konu taşınmazın konumlu olduğu =BLOKBİNA =MEVCUT_YAPI_NİZAMI nizam, =BİNA_YAPI_TARZI yapı tarzında projesine göre; =ANAGY olmak üzere, toplam =ANA_GY_TOPLAM_KAT_ADEDİ kat olarak inşa edilmiştir. </t>
  </si>
  <si>
    <t xml:space="preserve"> =SİTEMİAPARTMANMI =YÜZÖLÇÜMÜ m2 alanlı =ADA ada =PARSEL no.lu parsel üzerinde =BLOKADEDİ blok olarak inşa edilmiştir. =BLOKKONUM1 
Ana taşınmazın =PROJEİNCELENENKURUM Arşivinde incelenen mimari projesinde ve mahallinde yapılan incelemelere göre =ANATAŞINMAZ1 Bina girişi =BGYÖN yönünden, =BGGİRİŞ kat seviyesinden sağlanmaktadır. Taşınmazın bulunduğu binanın giriş kapısı =BİNAGİRİŞKAPISI Bina dış cephesi =DIŞCEPHEBOYA olup, merdiven basamakları ve sahanlıklar =MERDİVEN_BASAMAK_VE_SAH_KAPLAMA apartman duvarları =APARTMAN_İÇ_DUVARLAR  vaziyettedir. =ASANSÖR =OTOPARK =BİNASİTE ısınma =ISINMASİSTEMİ ile yapılacak şekilde tesisat bulunmaktadır. 
 =SOSYALTESİSSON
</t>
  </si>
  <si>
    <t xml:space="preserve">                                                                                                                                                                 </t>
  </si>
  <si>
    <t>cephe yönleri</t>
  </si>
  <si>
    <t>cephe yönleri eklenmeli</t>
  </si>
  <si>
    <t>enerji kimlik belgesi</t>
  </si>
  <si>
    <t>yapı kayıt belgesi</t>
  </si>
  <si>
    <t>bu kısımlar eklenmeli</t>
  </si>
  <si>
    <t>uavt yükleme</t>
  </si>
  <si>
    <t>apartman site adı blok adı geliyor</t>
  </si>
  <si>
    <t>AdresEKBYolu</t>
  </si>
  <si>
    <t>VerilisTarihi</t>
  </si>
  <si>
    <t>GecerlilikTarihi</t>
  </si>
  <si>
    <t>EnerjiSinifi</t>
  </si>
  <si>
    <t>EKBNo</t>
  </si>
  <si>
    <t>ENERJİ KİMLİK BELGESİ</t>
  </si>
  <si>
    <t>EKB BELGE NO</t>
  </si>
  <si>
    <t>EKB VERİLİŞ TARİHİ</t>
  </si>
  <si>
    <t>EKB GEÇERLİLİK TARİHİ</t>
  </si>
  <si>
    <t>EKB OLUMLU FAKTÖR</t>
  </si>
  <si>
    <t>EKB OLUMSUZ FAKTÖR</t>
  </si>
  <si>
    <t>Taşınmazın yer aldığı binanın enerji sınıfının =EKBSINIF kategorisinde olması,</t>
  </si>
  <si>
    <t>Taşınmazın yer aldığı binanın =EKBSINIF Sınıfı Enerji Kimlik Belgesinin bulunması,</t>
  </si>
  <si>
    <t>Taşınmazın yer aldığı binanın Enerji Kimlik Belgesinin bulunmaması,</t>
  </si>
  <si>
    <t>BinaKodu</t>
  </si>
  <si>
    <t>cephe görselleri</t>
  </si>
  <si>
    <t>bina oturumu geometrisi</t>
  </si>
  <si>
    <t xml:space="preserve"> =projeaçıklama1 
 =TAPUBELEDİYE2025 
=uygunluk4 
Bina oturumu; vaziyet planında belirtilen =BİNAOTURUMU referansından tespit edilmiştir. Bina girişi, binanın =BGGİRİŞ katından ve yapının =BGYÖN cephesinden sağlanmaktadır.
</t>
  </si>
  <si>
    <t xml:space="preserve">Değerleme konusu taşınmaz yerinde yapılan incelemelerde hali hazırda inşaat halinde olup oluşturulan sitüasyon tablosuna göre =seviyedurumu inşaat seviyesinde olduğu tespit edilmiştir. </t>
  </si>
  <si>
    <t>TOPLAM B.B. SAYISI</t>
  </si>
  <si>
    <t>TOPLAM</t>
  </si>
  <si>
    <t>Metrekare</t>
  </si>
  <si>
    <t>ZİRAAT BANKASI DEĞERLEME TABLOSU VERİLERİ</t>
  </si>
  <si>
    <t>ZİRAAT YAPI İNŞAAT TARİHİ &gt;&gt;&gt;&gt;</t>
  </si>
  <si>
    <t>YAPI KULLANMA / YAPI RUHSATI</t>
  </si>
  <si>
    <t>ZİRAAT BELGE NO &gt;&gt;&gt;&gt;</t>
  </si>
  <si>
    <t>ZİRAAT YASAL DEĞER &gt;&gt;&gt;&gt;</t>
  </si>
  <si>
    <t>ZİRAAT MEVCUT DEĞER &gt;&gt;&gt;&gt;</t>
  </si>
  <si>
    <t>MÜŞTERİ ADI</t>
  </si>
  <si>
    <t>TAPU ADEDİ</t>
  </si>
  <si>
    <t xml:space="preserve">emsaller </t>
  </si>
  <si>
    <t>emsaller kısmında bina/site ayrımı yapılmalı</t>
  </si>
  <si>
    <t>Kadastro</t>
  </si>
  <si>
    <t>CBS</t>
  </si>
  <si>
    <t>Belediye-Kadastro</t>
  </si>
  <si>
    <t>Belediye - CBS</t>
  </si>
  <si>
    <t>Kadastro-CBS</t>
  </si>
  <si>
    <t>YILLIK MEVCUT KİRA DEĞERİ</t>
  </si>
  <si>
    <t>YASAL ACİL</t>
  </si>
  <si>
    <t>MEVCUT ACİL</t>
  </si>
  <si>
    <t>BİRLİK PAYI</t>
  </si>
  <si>
    <t>KDV HARİÇ</t>
  </si>
  <si>
    <t>KDV ORANI</t>
  </si>
  <si>
    <t>KDV DAHİL</t>
  </si>
  <si>
    <t>GAYRİMENKUL BİLGİ MERKEZİ PAYI</t>
  </si>
  <si>
    <t>ULAŞIM BEDELİ</t>
  </si>
  <si>
    <t>BELEDİYE HARCI</t>
  </si>
  <si>
    <t>TAPU HARCI</t>
  </si>
  <si>
    <t>DEĞERLEME ÜCRETİ</t>
  </si>
  <si>
    <t>1-149</t>
  </si>
  <si>
    <t>150-250</t>
  </si>
  <si>
    <t>251-500</t>
  </si>
  <si>
    <t>501-1000</t>
  </si>
  <si>
    <t>1001-5000</t>
  </si>
  <si>
    <t>5001-ÜZERİ</t>
  </si>
  <si>
    <t>1-100</t>
  </si>
  <si>
    <t>101-500</t>
  </si>
  <si>
    <t>501-2000</t>
  </si>
  <si>
    <t>2001-5000</t>
  </si>
  <si>
    <t>5001-10000</t>
  </si>
  <si>
    <t>10001-20000</t>
  </si>
  <si>
    <t>20001-50000</t>
  </si>
  <si>
    <t>50001-100000</t>
  </si>
  <si>
    <t>100001-ÜZERİ</t>
  </si>
  <si>
    <t>1-250</t>
  </si>
  <si>
    <t>2001-10000</t>
  </si>
  <si>
    <t>10001-25000</t>
  </si>
  <si>
    <t>25001-100000</t>
  </si>
  <si>
    <t>GAYRİMENKUL TÜRÜ</t>
  </si>
  <si>
    <t>MEVCUT KULLANIM ALANI</t>
  </si>
  <si>
    <t>DAİRE, VİLLA VEYA OFİS</t>
  </si>
  <si>
    <t>BELEDİYE HARÇ TUTARI</t>
  </si>
  <si>
    <t>GAYRİMENKULÜN CEPHELİ OLDUĞU YÖNLER</t>
  </si>
  <si>
    <t>KUZEY</t>
  </si>
  <si>
    <t>GÜNEY</t>
  </si>
  <si>
    <t>DOĞU</t>
  </si>
  <si>
    <t>BATI</t>
  </si>
  <si>
    <r>
      <t xml:space="preserve">Ekspertize konu taşınmaz, incelenen onaylı mimari projesine göre, binanın </t>
    </r>
    <r>
      <rPr>
        <sz val="11"/>
        <color rgb="FFFF0000"/>
        <rFont val="Calibri"/>
        <family val="2"/>
        <charset val="162"/>
        <scheme val="minor"/>
      </rPr>
      <t>=KAT.3</t>
    </r>
    <r>
      <rPr>
        <sz val="11"/>
        <color theme="1"/>
        <rFont val="Calibri"/>
        <family val="2"/>
        <scheme val="minor"/>
      </rPr>
      <t xml:space="preserve"> yer alan, </t>
    </r>
    <r>
      <rPr>
        <sz val="11"/>
        <color rgb="FFFF0000"/>
        <rFont val="Calibri"/>
        <family val="2"/>
        <charset val="162"/>
        <scheme val="minor"/>
      </rPr>
      <t>=girişkonum =CEPHECÜMLE</t>
    </r>
    <r>
      <rPr>
        <sz val="11"/>
        <color theme="1"/>
        <rFont val="Calibri"/>
        <family val="2"/>
        <scheme val="minor"/>
      </rPr>
      <t xml:space="preserve"> </t>
    </r>
    <r>
      <rPr>
        <sz val="11"/>
        <color rgb="FFFF0000"/>
        <rFont val="Calibri"/>
        <family val="2"/>
        <charset val="162"/>
        <scheme val="minor"/>
      </rPr>
      <t>=BB.NO</t>
    </r>
    <r>
      <rPr>
        <sz val="11"/>
        <color theme="1"/>
        <rFont val="Calibri"/>
        <family val="2"/>
        <scheme val="minor"/>
      </rPr>
      <t xml:space="preserve"> bağımsız bölüm no.lu </t>
    </r>
    <r>
      <rPr>
        <sz val="11"/>
        <color rgb="FFFF0000"/>
        <rFont val="Calibri"/>
        <family val="2"/>
        <charset val="162"/>
        <scheme val="minor"/>
      </rPr>
      <t xml:space="preserve">=NİTELİK  
</t>
    </r>
    <r>
      <rPr>
        <sz val="11"/>
        <color theme="1"/>
        <rFont val="Calibri"/>
        <family val="2"/>
        <scheme val="minor"/>
      </rPr>
      <t xml:space="preserve"> </t>
    </r>
    <r>
      <rPr>
        <sz val="11"/>
        <color rgb="FFFF0000"/>
        <rFont val="Calibri"/>
        <family val="2"/>
        <charset val="162"/>
        <scheme val="minor"/>
      </rPr>
      <t xml:space="preserve">=KATDAĞILIM2025
=uygaçıklama </t>
    </r>
    <r>
      <rPr>
        <sz val="11"/>
        <color theme="1"/>
        <rFont val="Calibri"/>
        <family val="2"/>
        <scheme val="minor"/>
      </rPr>
      <t xml:space="preserve"> 
</t>
    </r>
    <r>
      <rPr>
        <sz val="11"/>
        <color rgb="FFFF0000"/>
        <rFont val="Calibri"/>
        <family val="2"/>
        <charset val="162"/>
        <scheme val="minor"/>
      </rPr>
      <t>Taşınmazın =İÇÖZELLİKLER2025 =manzara1 Taşınmazda ısınma ihtiyacı =ISINMASİSTEMİ ile sağlanacak şekilde tesisat bulunmaktadır. =sağlanmaktadır =inşaaseviye</t>
    </r>
  </si>
  <si>
    <r>
      <t xml:space="preserve">Ekspertize konu taşınmaz, incelenen onaylı mimari projesine göre, binanın </t>
    </r>
    <r>
      <rPr>
        <sz val="11"/>
        <color rgb="FFFF0000"/>
        <rFont val="Calibri"/>
        <family val="2"/>
        <charset val="162"/>
        <scheme val="minor"/>
      </rPr>
      <t>=KAT.3</t>
    </r>
    <r>
      <rPr>
        <sz val="11"/>
        <color theme="1"/>
        <rFont val="Calibri"/>
        <family val="2"/>
        <scheme val="minor"/>
      </rPr>
      <t xml:space="preserve"> yer alan, </t>
    </r>
    <r>
      <rPr>
        <sz val="11"/>
        <color rgb="FFFF0000"/>
        <rFont val="Calibri"/>
        <family val="2"/>
        <charset val="162"/>
        <scheme val="minor"/>
      </rPr>
      <t>=girişkonum</t>
    </r>
    <r>
      <rPr>
        <sz val="11"/>
        <color theme="1"/>
        <rFont val="Calibri"/>
        <family val="2"/>
        <scheme val="minor"/>
      </rPr>
      <t xml:space="preserve"> </t>
    </r>
    <r>
      <rPr>
        <sz val="11"/>
        <color rgb="FFFF0000"/>
        <rFont val="Calibri"/>
        <family val="2"/>
        <charset val="162"/>
        <scheme val="minor"/>
      </rPr>
      <t>=CEPHECÜMLE</t>
    </r>
    <r>
      <rPr>
        <sz val="11"/>
        <color theme="1"/>
        <rFont val="Calibri"/>
        <family val="2"/>
        <scheme val="minor"/>
      </rPr>
      <t xml:space="preserve"> </t>
    </r>
    <r>
      <rPr>
        <sz val="11"/>
        <color rgb="FFFF0000"/>
        <rFont val="Calibri"/>
        <family val="2"/>
        <charset val="162"/>
        <scheme val="minor"/>
      </rPr>
      <t>=BB.NO</t>
    </r>
    <r>
      <rPr>
        <sz val="11"/>
        <color theme="1"/>
        <rFont val="Calibri"/>
        <family val="2"/>
        <scheme val="minor"/>
      </rPr>
      <t xml:space="preserve"> bağımsız bölüm no.lu </t>
    </r>
    <r>
      <rPr>
        <sz val="11"/>
        <color rgb="FFFF0000"/>
        <rFont val="Calibri"/>
        <family val="2"/>
        <charset val="162"/>
        <scheme val="minor"/>
      </rPr>
      <t xml:space="preserve">=nitelik </t>
    </r>
    <r>
      <rPr>
        <sz val="11"/>
        <color theme="1"/>
        <rFont val="Calibri"/>
        <family val="2"/>
        <scheme val="minor"/>
      </rPr>
      <t xml:space="preserve"> 
</t>
    </r>
    <r>
      <rPr>
        <sz val="11"/>
        <color rgb="FFFF0000"/>
        <rFont val="Calibri"/>
        <family val="2"/>
        <charset val="162"/>
        <scheme val="minor"/>
      </rPr>
      <t>=KATDAĞILIMALAN3 Yer görme işlemi şube bilgisi dahilinde dışarıdan yapılmış olup mimari uygunluk tespit edilememiş ve iç hacimlerin malzeme ve işçilik kalitesi standart olarak varsayılmıştır.</t>
    </r>
  </si>
  <si>
    <t>CEPHE CÜMLESİ</t>
  </si>
  <si>
    <t>CEPHE SAYISI</t>
  </si>
  <si>
    <t>Aynı bölge / site</t>
  </si>
  <si>
    <t>Aynı bölge / bina</t>
  </si>
  <si>
    <t>Aynı cadde / site</t>
  </si>
  <si>
    <t>Aynı cadde / bina</t>
  </si>
  <si>
    <t>Aynı sokak / site</t>
  </si>
  <si>
    <t>Aynı sokak /bina</t>
  </si>
  <si>
    <t>ARSA</t>
  </si>
  <si>
    <t>yüksek</t>
  </si>
  <si>
    <t>Toplam
Metrekare</t>
  </si>
  <si>
    <t>D:\2026\6-HAZİRAN\4674-2\920618.pdf</t>
  </si>
  <si>
    <t>18.11.2021</t>
  </si>
  <si>
    <t>18.11.2031</t>
  </si>
  <si>
    <t>C</t>
  </si>
  <si>
    <t>Y2216AFFBA812</t>
  </si>
  <si>
    <t>575887427</t>
  </si>
  <si>
    <t>Almutova Gayrimenkul</t>
  </si>
  <si>
    <t>0 (536) 432 05 03</t>
  </si>
  <si>
    <t>Esma Hanım</t>
  </si>
  <si>
    <t>0 (553) 620 39 39</t>
  </si>
  <si>
    <t>Nuray Hanım</t>
  </si>
  <si>
    <t>0 (538) 330 63 26</t>
  </si>
  <si>
    <t>Mahmut Bey</t>
  </si>
  <si>
    <t>0 (537) 238 74 44</t>
  </si>
  <si>
    <t>1.NORMAL</t>
  </si>
  <si>
    <t>düşük</t>
  </si>
  <si>
    <t>MUSTAFA FEHMİ ARIKAN</t>
  </si>
  <si>
    <t>görülmüştür.</t>
  </si>
  <si>
    <t>115,39</t>
  </si>
  <si>
    <t>H21c05c2a</t>
  </si>
  <si>
    <t>Kargir Ev</t>
  </si>
  <si>
    <t>28.991896</t>
  </si>
  <si>
    <t>40.218679</t>
  </si>
  <si>
    <t>D:\2026\6-HAZİRAN\ZRT-202606480 - NİLÜFER - İHSANİYE - 2035 - 15\TAKBIS_Belgesi.pdf</t>
  </si>
  <si>
    <t>902141091</t>
  </si>
  <si>
    <t>Halis Altuntaş</t>
  </si>
  <si>
    <t>1/11539</t>
  </si>
  <si>
    <t>Ada/Parsel/ Mevki Bilgilerinin Düzeltilmesi</t>
  </si>
  <si>
    <t>29.09.2025</t>
  </si>
  <si>
    <t>65626</t>
  </si>
  <si>
    <t>29.09.2025-65626</t>
  </si>
  <si>
    <t>902141091 (SN:35536188) HALİS ALTUNTAŞ : İBRAHİM Oğlu - 1/1 115.39 115.39 Ada/Parsel/ Mevki Bilgilerinin Düzeltilmesi 29-09-2025 - 65626</t>
  </si>
  <si>
    <t>AnaTasinmaz</t>
  </si>
  <si>
    <t>136910537</t>
  </si>
  <si>
    <t>BURSA/NİLÜFER</t>
  </si>
  <si>
    <t>İHSANİYE Mah.</t>
  </si>
  <si>
    <t>64/6301</t>
  </si>
  <si>
    <t>2035/15</t>
  </si>
  <si>
    <t>115.39</t>
  </si>
  <si>
    <t>KARGİR EV</t>
  </si>
  <si>
    <t>Tarih: 19-6-2026-14:30 [image] [image] Makbuz No Dekont No B</t>
  </si>
  <si>
    <t>D:\2026\6-HAZİRAN\ZRT-202606480 - NİLÜFER - İHSANİYE - 2035 - 15\Yerleşim Yeri Sorgulama _ Adres Sorgulama _ Adres Doğrulama - Vatandaş Sorgu İşlemleri.pdf</t>
  </si>
  <si>
    <t>NİLÜFER</t>
  </si>
  <si>
    <t>İHSANİYE MAHALLESİ</t>
  </si>
  <si>
    <t>ÇİĞDEM</t>
  </si>
  <si>
    <t>13</t>
  </si>
  <si>
    <t>1326125372</t>
  </si>
  <si>
    <t> BURSA / NİLÜFER / İHSANİYE MAHALLESİ / ÇİĞDEM(110) (Sokak) / 13 - Mesken - Bina Ana Giriş - Bilinmeyen /</t>
  </si>
  <si>
    <t>Çiğdem Sokak</t>
  </si>
  <si>
    <t xml:space="preserve">Vahide Aktuğ Ortaokulu ve Nedim Öztan İlkokulu, </t>
  </si>
  <si>
    <t>Okul Caddesi</t>
  </si>
  <si>
    <t>2-3</t>
  </si>
  <si>
    <t>Fethiye İhsaniye Revizyon Uygulama İmar Planı</t>
  </si>
  <si>
    <t>1. normal katta yer alan daire ünitesinin devamı</t>
  </si>
  <si>
    <t>odunluk</t>
  </si>
  <si>
    <t>ZEMİN</t>
  </si>
  <si>
    <t>BODRUM</t>
  </si>
  <si>
    <t>2.NORMAL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</si>
</sst>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_-* #,##0.00\ &quot;₺&quot;_-;\-* #,##0.00\ &quot;₺&quot;_-;_-* &quot;-&quot;??\ &quot;₺&quot;_-;_-@_-"/>
    <numFmt numFmtId="165" formatCode="_-* #,##0.00\ _₺_-;\-* #,##0.00\ _₺_-;_-* &quot;-&quot;??\ _₺_-;_-@_-"/>
    <numFmt numFmtId="166" formatCode="dd/mm/yyyy;@"/>
    <numFmt numFmtId="167" formatCode="0.000"/>
    <numFmt numFmtId="168" formatCode="0.0%"/>
    <numFmt numFmtId="169" formatCode="_-* #,##0\ _₺_-;\-* #,##0\ _₺_-;_-* &quot;-&quot;??\ _₺_-;_-@_-"/>
    <numFmt numFmtId="170" formatCode="#,##0\ \m\²;[Red]\-#,##0\ \m\²"/>
    <numFmt numFmtId="171" formatCode="#,##0\ \T\L"/>
    <numFmt numFmtId="172" formatCode="[&lt;=9999999]###\-####;\(###\)\ ###\-####"/>
    <numFmt numFmtId="173" formatCode="0.00000000000"/>
    <numFmt numFmtId="174" formatCode="0.00000000"/>
    <numFmt numFmtId="175" formatCode="dd\.mm\.yyyy"/>
    <numFmt numFmtId="176" formatCode="#,##0\ &quot;TL&quot;"/>
    <numFmt numFmtId="177" formatCode="#,##0.00\ &quot; TL&quot;"/>
    <numFmt numFmtId="178" formatCode="hh:mm"/>
  </numFmts>
  <fonts count="57" x14ac:knownFonts="1">
    <font>
      <sz val="11"/>
      <color theme="1"/>
      <name val="Calibri"/>
      <family val="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rgb="FFFF0000"/>
      <name val="Calibri"/>
      <family val="2"/>
      <charset val="162"/>
      <scheme val="minor"/>
    </font>
    <font>
      <b/>
      <u/>
      <sz val="11"/>
      <color theme="1"/>
      <name val="Calibri"/>
      <family val="2"/>
      <charset val="162"/>
      <scheme val="minor"/>
    </font>
    <font>
      <sz val="9"/>
      <color theme="1"/>
      <name val="Calibri"/>
      <family val="2"/>
      <scheme val="minor"/>
    </font>
    <font>
      <sz val="8"/>
      <color theme="1"/>
      <name val="Calibri"/>
      <family val="2"/>
      <scheme val="minor"/>
    </font>
    <font>
      <sz val="11"/>
      <color theme="1"/>
      <name val="Calibri"/>
      <family val="2"/>
      <scheme val="minor"/>
    </font>
    <font>
      <b/>
      <sz val="11"/>
      <color theme="1"/>
      <name val="Calibri"/>
      <family val="2"/>
      <charset val="162"/>
      <scheme val="minor"/>
    </font>
    <font>
      <sz val="10"/>
      <color theme="1"/>
      <name val="Calibri"/>
      <family val="2"/>
      <scheme val="minor"/>
    </font>
    <font>
      <sz val="8"/>
      <color rgb="FF000000"/>
      <name val="Tahoma"/>
      <family val="2"/>
      <charset val="162"/>
    </font>
    <font>
      <b/>
      <sz val="10"/>
      <color theme="1"/>
      <name val="Calibri"/>
      <family val="2"/>
      <charset val="162"/>
      <scheme val="minor"/>
    </font>
    <font>
      <b/>
      <u/>
      <sz val="10"/>
      <color theme="1"/>
      <name val="Calibri"/>
      <family val="2"/>
      <charset val="162"/>
      <scheme val="minor"/>
    </font>
    <font>
      <sz val="10"/>
      <color theme="1"/>
      <name val="Calibri"/>
      <family val="2"/>
      <charset val="162"/>
      <scheme val="minor"/>
    </font>
    <font>
      <b/>
      <sz val="9"/>
      <color theme="1"/>
      <name val="Calibri"/>
      <family val="2"/>
      <charset val="162"/>
      <scheme val="minor"/>
    </font>
    <font>
      <b/>
      <sz val="8"/>
      <color theme="1"/>
      <name val="Calibri"/>
      <family val="2"/>
      <charset val="162"/>
      <scheme val="minor"/>
    </font>
    <font>
      <sz val="12"/>
      <color theme="1"/>
      <name val="Calibri"/>
      <family val="2"/>
      <scheme val="minor"/>
    </font>
    <font>
      <b/>
      <u/>
      <sz val="11"/>
      <color theme="1"/>
      <name val="Calibri"/>
      <family val="2"/>
      <scheme val="minor"/>
    </font>
    <font>
      <sz val="12"/>
      <color rgb="FFFF0000"/>
      <name val="Calibri"/>
      <family val="2"/>
      <charset val="162"/>
      <scheme val="minor"/>
    </font>
    <font>
      <b/>
      <u/>
      <sz val="10"/>
      <color theme="1"/>
      <name val="Calibri"/>
      <family val="2"/>
      <scheme val="minor"/>
    </font>
    <font>
      <b/>
      <sz val="10"/>
      <color theme="1"/>
      <name val="Calibri"/>
      <family val="2"/>
      <scheme val="minor"/>
    </font>
    <font>
      <b/>
      <sz val="18"/>
      <color theme="1"/>
      <name val="Calibri"/>
      <family val="2"/>
      <charset val="162"/>
      <scheme val="minor"/>
    </font>
    <font>
      <b/>
      <i/>
      <u/>
      <sz val="12"/>
      <color theme="1"/>
      <name val="Calibri"/>
      <family val="2"/>
      <charset val="162"/>
      <scheme val="minor"/>
    </font>
    <font>
      <b/>
      <sz val="9"/>
      <color theme="1"/>
      <name val="Calibri"/>
      <family val="2"/>
      <scheme val="minor"/>
    </font>
    <font>
      <sz val="8"/>
      <name val="Calibri"/>
      <family val="2"/>
      <scheme val="minor"/>
    </font>
    <font>
      <sz val="8"/>
      <color theme="1"/>
      <name val="Calibri"/>
      <family val="2"/>
      <charset val="162"/>
      <scheme val="minor"/>
    </font>
    <font>
      <b/>
      <sz val="8"/>
      <color theme="1"/>
      <name val="Calibri"/>
      <family val="2"/>
      <scheme val="minor"/>
    </font>
    <font>
      <b/>
      <sz val="11"/>
      <color theme="1"/>
      <name val="Calibri"/>
      <family val="2"/>
      <scheme val="minor"/>
    </font>
    <font>
      <b/>
      <sz val="11"/>
      <color theme="0"/>
      <name val="Calibri"/>
      <family val="2"/>
      <scheme val="minor"/>
    </font>
    <font>
      <sz val="16"/>
      <color theme="1"/>
      <name val="Calibri"/>
      <family val="2"/>
      <scheme val="minor"/>
    </font>
    <font>
      <b/>
      <sz val="8"/>
      <color rgb="FFFFFFFF"/>
      <name val="Calibri"/>
      <family val="2"/>
      <charset val="162"/>
      <scheme val="minor"/>
    </font>
    <font>
      <sz val="7"/>
      <color rgb="FF000000"/>
      <name val="Calibri"/>
      <family val="2"/>
      <charset val="162"/>
      <scheme val="minor"/>
    </font>
    <font>
      <b/>
      <sz val="9"/>
      <color rgb="FF7030A0"/>
      <name val="Arial"/>
      <family val="2"/>
      <charset val="162"/>
    </font>
    <font>
      <sz val="9"/>
      <color theme="1"/>
      <name val="Arial"/>
      <family val="2"/>
      <charset val="162"/>
    </font>
    <font>
      <u/>
      <sz val="9"/>
      <color theme="1"/>
      <name val="Arial"/>
      <family val="2"/>
      <charset val="162"/>
    </font>
    <font>
      <b/>
      <u/>
      <sz val="9"/>
      <color theme="1"/>
      <name val="Arial"/>
      <family val="2"/>
      <charset val="162"/>
    </font>
    <font>
      <b/>
      <sz val="9"/>
      <color theme="1"/>
      <name val="Arial"/>
      <family val="2"/>
      <charset val="162"/>
    </font>
    <font>
      <sz val="9"/>
      <color rgb="FFFF0000"/>
      <name val="Arial"/>
      <family val="2"/>
      <charset val="162"/>
    </font>
    <font>
      <sz val="14"/>
      <color theme="1"/>
      <name val="Calibri"/>
      <family val="2"/>
      <scheme val="minor"/>
    </font>
    <font>
      <sz val="8"/>
      <color rgb="FFFF0000"/>
      <name val="Calibri"/>
      <family val="2"/>
      <charset val="162"/>
      <scheme val="minor"/>
    </font>
    <font>
      <sz val="10"/>
      <color rgb="FFFF0000"/>
      <name val="Calibri"/>
      <family val="2"/>
      <scheme val="minor"/>
    </font>
    <font>
      <b/>
      <sz val="14"/>
      <color theme="1"/>
      <name val="Calibri"/>
      <family val="2"/>
      <charset val="162"/>
      <scheme val="minor"/>
    </font>
    <font>
      <i/>
      <sz val="11"/>
      <color theme="1"/>
      <name val="Calibri"/>
      <family val="2"/>
      <charset val="162"/>
      <scheme val="minor"/>
    </font>
    <font>
      <sz val="10"/>
      <color rgb="FF006100"/>
      <name val="Calibri"/>
      <family val="2"/>
      <scheme val="minor"/>
    </font>
    <font>
      <b/>
      <sz val="12"/>
      <color theme="1"/>
      <name val="Calibri"/>
      <family val="2"/>
      <charset val="162"/>
      <scheme val="minor"/>
    </font>
    <font>
      <b/>
      <sz val="20"/>
      <color theme="1"/>
      <name val="Calibri"/>
      <family val="2"/>
      <charset val="162"/>
      <scheme val="minor"/>
    </font>
    <font>
      <b/>
      <sz val="12"/>
      <color theme="1"/>
      <name val="Calibri"/>
      <family val="2"/>
      <scheme val="minor"/>
    </font>
    <font>
      <b/>
      <sz val="16"/>
      <color theme="1"/>
      <name val="Calibri"/>
      <family val="2"/>
      <charset val="162"/>
      <scheme val="minor"/>
    </font>
    <font>
      <sz val="22"/>
      <color theme="1"/>
      <name val="Calibri"/>
      <family val="2"/>
      <scheme val="minor"/>
    </font>
    <font>
      <b/>
      <i/>
      <sz val="9"/>
      <color theme="1"/>
      <name val="Calibri"/>
      <family val="2"/>
      <scheme val="minor"/>
    </font>
    <font>
      <b/>
      <u/>
      <sz val="9"/>
      <color theme="1"/>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BAD3F8"/>
        <bgColor indexed="64"/>
      </patternFill>
    </fill>
    <fill>
      <patternFill patternType="solid">
        <fgColor rgb="FFDDDDDD"/>
        <bgColor indexed="64"/>
      </patternFill>
    </fill>
    <fill>
      <patternFill patternType="solid">
        <fgColor rgb="FFCAFDB5"/>
        <bgColor indexed="64"/>
      </patternFill>
    </fill>
    <fill>
      <patternFill patternType="solid">
        <fgColor rgb="FFFFC000"/>
        <bgColor indexed="64"/>
      </patternFill>
    </fill>
    <fill>
      <patternFill patternType="solid">
        <fgColor rgb="FF002060"/>
        <bgColor indexed="64"/>
      </patternFill>
    </fill>
    <fill>
      <patternFill patternType="solid">
        <fgColor rgb="FFFF0000"/>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tint="-0.14999847407452621"/>
        <bgColor indexed="64"/>
      </patternFill>
    </fill>
    <fill>
      <patternFill patternType="solid">
        <fgColor rgb="FFFFFFFF"/>
        <bgColor indexed="64"/>
      </patternFill>
    </fill>
    <fill>
      <patternFill patternType="solid">
        <fgColor rgb="FF82EE85"/>
        <bgColor indexed="64"/>
      </patternFill>
    </fill>
    <fill>
      <patternFill patternType="solid">
        <fgColor rgb="FFFFFFCC"/>
        <bgColor indexed="64"/>
      </patternFill>
    </fill>
    <fill>
      <patternFill patternType="solid">
        <fgColor rgb="FF66FFCC"/>
        <bgColor indexed="64"/>
      </patternFill>
    </fill>
    <fill>
      <patternFill patternType="solid">
        <fgColor rgb="FFF8F7D7"/>
        <bgColor indexed="64"/>
      </patternFill>
    </fill>
    <fill>
      <patternFill patternType="solid">
        <fgColor theme="2"/>
        <bgColor indexed="64"/>
      </patternFill>
    </fill>
    <fill>
      <patternFill patternType="solid">
        <fgColor rgb="FFC6EFCE"/>
        <bgColor indexed="64"/>
      </patternFill>
    </fill>
  </fills>
  <borders count="12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right style="thin">
        <color indexed="64"/>
      </right>
      <top/>
      <bottom style="medium">
        <color indexed="64"/>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9" tint="0.39997558519241921"/>
      </right>
      <top style="thin">
        <color theme="9" tint="0.39997558519241921"/>
      </top>
      <bottom style="thin">
        <color theme="9" tint="0.39997558519241921"/>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000000"/>
      </left>
      <right style="medium">
        <color rgb="FF000000"/>
      </right>
      <top style="medium">
        <color rgb="FFCCCCCC"/>
      </top>
      <bottom/>
      <diagonal/>
    </border>
    <border>
      <left style="medium">
        <color rgb="FF000000"/>
      </left>
      <right style="medium">
        <color rgb="FF000000"/>
      </right>
      <top/>
      <bottom/>
      <diagonal/>
    </border>
    <border>
      <left style="medium">
        <color rgb="FFCCCCCC"/>
      </left>
      <right style="medium">
        <color rgb="FF000000"/>
      </right>
      <top style="medium">
        <color rgb="FFCCCCCC"/>
      </top>
      <bottom style="medium">
        <color rgb="FFCCCCCC"/>
      </bottom>
      <diagonal/>
    </border>
    <border>
      <left style="medium">
        <color rgb="FF000000"/>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bottom style="thin">
        <color theme="4" tint="0.39997558519241921"/>
      </bottom>
      <diagonal/>
    </border>
    <border>
      <left style="thick">
        <color rgb="FF92D050"/>
      </left>
      <right style="thick">
        <color rgb="FF92D050"/>
      </right>
      <top style="thick">
        <color rgb="FF92D050"/>
      </top>
      <bottom style="thick">
        <color rgb="FF92D050"/>
      </bottom>
      <diagonal/>
    </border>
    <border>
      <left style="thick">
        <color rgb="FF92D050"/>
      </left>
      <right style="thick">
        <color rgb="FF92D050"/>
      </right>
      <top style="thick">
        <color rgb="FF92D050"/>
      </top>
      <bottom/>
      <diagonal/>
    </border>
    <border>
      <left style="thick">
        <color rgb="FF92D050"/>
      </left>
      <right style="thick">
        <color rgb="FF92D050"/>
      </right>
      <top/>
      <bottom style="thick">
        <color rgb="FF92D05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style="medium">
        <color indexed="64"/>
      </right>
      <top style="medium">
        <color theme="1"/>
      </top>
      <bottom style="medium">
        <color theme="1"/>
      </bottom>
      <diagonal/>
    </border>
    <border>
      <left style="medium">
        <color indexed="64"/>
      </left>
      <right style="medium">
        <color indexed="64"/>
      </right>
      <top style="medium">
        <color theme="1"/>
      </top>
      <bottom style="medium">
        <color theme="1"/>
      </bottom>
      <diagonal/>
    </border>
    <border>
      <left style="medium">
        <color indexed="64"/>
      </left>
      <right style="medium">
        <color theme="1"/>
      </right>
      <top style="medium">
        <color theme="1"/>
      </top>
      <bottom style="medium">
        <color theme="1"/>
      </bottom>
      <diagonal/>
    </border>
    <border>
      <left style="medium">
        <color theme="1"/>
      </left>
      <right style="medium">
        <color indexed="64"/>
      </right>
      <top style="medium">
        <color theme="1"/>
      </top>
      <bottom/>
      <diagonal/>
    </border>
    <border>
      <left style="medium">
        <color indexed="64"/>
      </left>
      <right style="medium">
        <color indexed="64"/>
      </right>
      <top style="medium">
        <color theme="1"/>
      </top>
      <bottom/>
      <diagonal/>
    </border>
    <border>
      <left style="medium">
        <color indexed="64"/>
      </left>
      <right style="medium">
        <color theme="1"/>
      </right>
      <top style="medium">
        <color theme="1"/>
      </top>
      <bottom/>
      <diagonal/>
    </border>
    <border>
      <left style="medium">
        <color theme="1"/>
      </left>
      <right style="medium">
        <color indexed="64"/>
      </right>
      <top/>
      <bottom/>
      <diagonal/>
    </border>
    <border>
      <left style="medium">
        <color indexed="64"/>
      </left>
      <right style="medium">
        <color theme="1"/>
      </right>
      <top/>
      <bottom/>
      <diagonal/>
    </border>
    <border>
      <left style="medium">
        <color theme="1"/>
      </left>
      <right style="medium">
        <color indexed="64"/>
      </right>
      <top/>
      <bottom style="medium">
        <color theme="1"/>
      </bottom>
      <diagonal/>
    </border>
    <border>
      <left style="medium">
        <color indexed="64"/>
      </left>
      <right style="medium">
        <color indexed="64"/>
      </right>
      <top/>
      <bottom style="medium">
        <color theme="1"/>
      </bottom>
      <diagonal/>
    </border>
    <border>
      <left style="medium">
        <color indexed="64"/>
      </left>
      <right style="medium">
        <color theme="1"/>
      </right>
      <top/>
      <bottom style="medium">
        <color theme="1"/>
      </bottom>
      <diagonal/>
    </border>
    <border>
      <left/>
      <right style="thick">
        <color rgb="FF92D050"/>
      </right>
      <top style="thick">
        <color rgb="FF92D050"/>
      </top>
      <bottom style="thick">
        <color rgb="FF92D050"/>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style="thick">
        <color rgb="FF92D050"/>
      </left>
      <right style="thick">
        <color rgb="FF92D050"/>
      </right>
      <top/>
      <bottom/>
      <diagonal/>
    </border>
    <border>
      <left style="thick">
        <color rgb="FF92D050"/>
      </left>
      <right/>
      <top/>
      <bottom/>
      <diagonal/>
    </border>
    <border>
      <left/>
      <right/>
      <top style="thick">
        <color rgb="FF92D050"/>
      </top>
      <bottom/>
      <diagonal/>
    </border>
    <border>
      <left style="thick">
        <color rgb="FF92D050"/>
      </left>
      <right/>
      <top style="thick">
        <color rgb="FF92D050"/>
      </top>
      <bottom/>
      <diagonal/>
    </border>
    <border>
      <left/>
      <right style="thick">
        <color rgb="FF92D050"/>
      </right>
      <top style="thick">
        <color rgb="FF92D050"/>
      </top>
      <bottom/>
      <diagonal/>
    </border>
    <border>
      <left/>
      <right style="thick">
        <color rgb="FF92D050"/>
      </right>
      <top/>
      <bottom/>
      <diagonal/>
    </border>
    <border>
      <left style="thick">
        <color rgb="FF92D050"/>
      </left>
      <right/>
      <top/>
      <bottom style="thick">
        <color rgb="FF92D050"/>
      </bottom>
      <diagonal/>
    </border>
    <border>
      <left/>
      <right/>
      <top/>
      <bottom style="thick">
        <color rgb="FF92D050"/>
      </bottom>
      <diagonal/>
    </border>
    <border>
      <left/>
      <right style="thick">
        <color rgb="FF92D050"/>
      </right>
      <top/>
      <bottom style="thick">
        <color rgb="FF92D050"/>
      </bottom>
      <diagonal/>
    </border>
    <border>
      <left style="thin">
        <color indexed="64"/>
      </left>
      <right/>
      <top style="thick">
        <color rgb="FF92D050"/>
      </top>
      <bottom/>
      <diagonal/>
    </border>
    <border>
      <left style="thin">
        <color theme="1"/>
      </left>
      <right style="thin">
        <color theme="1"/>
      </right>
      <top style="thin">
        <color theme="1"/>
      </top>
      <bottom style="thin">
        <color theme="1"/>
      </bottom>
      <diagonal/>
    </border>
    <border>
      <left style="thin">
        <color theme="1"/>
      </left>
      <right style="medium">
        <color indexed="64"/>
      </right>
      <top style="thin">
        <color theme="1"/>
      </top>
      <bottom style="thin">
        <color theme="1"/>
      </bottom>
      <diagonal/>
    </border>
  </borders>
  <cellStyleXfs count="4">
    <xf numFmtId="0" fontId="0" fillId="0" borderId="0"/>
    <xf numFmtId="164" fontId="13" fillId="0" borderId="0" applyFont="0" applyFill="0" applyBorder="0" applyAlignment="0" applyProtection="0"/>
    <xf numFmtId="165" fontId="13" fillId="0" borderId="0" applyFont="0" applyFill="0" applyBorder="0" applyAlignment="0" applyProtection="0"/>
    <xf numFmtId="9" fontId="13" fillId="0" borderId="0" applyFont="0" applyFill="0" applyBorder="0" applyAlignment="0" applyProtection="0"/>
  </cellStyleXfs>
  <cellXfs count="1092">
    <xf numFmtId="0" fontId="0" fillId="0" borderId="0" xfId="0"/>
    <xf numFmtId="0" fontId="0" fillId="0" borderId="1" xfId="0" applyBorder="1"/>
    <xf numFmtId="0" fontId="12" fillId="0" borderId="1" xfId="0" applyFont="1" applyBorder="1" applyAlignment="1">
      <alignment horizontal="center" vertical="center" wrapText="1"/>
    </xf>
    <xf numFmtId="0" fontId="12" fillId="0" borderId="12" xfId="0" applyFont="1" applyBorder="1" applyAlignment="1">
      <alignment horizontal="center" vertical="center" wrapText="1"/>
    </xf>
    <xf numFmtId="0" fontId="0" fillId="0" borderId="1" xfId="0" applyBorder="1" applyAlignment="1">
      <alignment horizontal="center" vertical="center" wrapText="1"/>
    </xf>
    <xf numFmtId="0" fontId="12" fillId="0" borderId="1" xfId="0" applyFont="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0" fillId="0" borderId="0" xfId="0" applyAlignment="1">
      <alignment vertical="center" wrapText="1"/>
    </xf>
    <xf numFmtId="0" fontId="0" fillId="3" borderId="1" xfId="0" applyFill="1" applyBorder="1" applyAlignment="1" applyProtection="1">
      <alignment horizontal="center" vertical="center"/>
      <protection locked="0"/>
    </xf>
    <xf numFmtId="2" fontId="15" fillId="0" borderId="1" xfId="0" quotePrefix="1" applyNumberFormat="1" applyFont="1" applyBorder="1" applyAlignment="1" applyProtection="1">
      <alignment horizontal="center" vertical="center"/>
      <protection locked="0"/>
    </xf>
    <xf numFmtId="0" fontId="0" fillId="0" borderId="18" xfId="0" applyBorder="1" applyAlignment="1">
      <alignment horizontal="center" vertical="center"/>
    </xf>
    <xf numFmtId="166" fontId="15" fillId="0" borderId="29" xfId="0" applyNumberFormat="1" applyFont="1" applyBorder="1" applyAlignment="1" applyProtection="1">
      <alignment horizontal="center" vertical="center"/>
      <protection locked="0"/>
    </xf>
    <xf numFmtId="0" fontId="0" fillId="3" borderId="12" xfId="0" applyFill="1" applyBorder="1" applyAlignment="1" applyProtection="1">
      <alignment horizontal="center" vertical="center"/>
      <protection locked="0"/>
    </xf>
    <xf numFmtId="0" fontId="11" fillId="0" borderId="0" xfId="0" applyFont="1" applyAlignment="1">
      <alignment vertical="center" wrapText="1"/>
    </xf>
    <xf numFmtId="0" fontId="0" fillId="0" borderId="1" xfId="0" applyBorder="1" applyAlignment="1">
      <alignment horizontal="center"/>
    </xf>
    <xf numFmtId="0" fontId="15" fillId="0" borderId="1" xfId="0" applyFont="1" applyBorder="1" applyAlignment="1" applyProtection="1">
      <alignment horizontal="center" vertical="center"/>
      <protection locked="0"/>
    </xf>
    <xf numFmtId="0" fontId="0" fillId="0" borderId="0" xfId="0" applyAlignment="1">
      <alignment horizontal="center" vertical="center" wrapText="1"/>
    </xf>
    <xf numFmtId="0" fontId="11" fillId="0" borderId="0" xfId="0" applyFont="1" applyAlignment="1">
      <alignment horizontal="center" vertical="center"/>
    </xf>
    <xf numFmtId="17" fontId="12" fillId="0" borderId="1" xfId="0" quotePrefix="1" applyNumberFormat="1" applyFont="1" applyBorder="1" applyAlignment="1">
      <alignment horizontal="center" vertical="center" wrapText="1"/>
    </xf>
    <xf numFmtId="0" fontId="12" fillId="0" borderId="3" xfId="0" applyFont="1" applyBorder="1" applyAlignment="1">
      <alignment horizontal="center" vertical="center" wrapText="1"/>
    </xf>
    <xf numFmtId="0" fontId="0" fillId="0" borderId="0" xfId="0" applyAlignment="1" applyProtection="1">
      <alignment horizontal="center" vertical="center" wrapText="1"/>
      <protection locked="0"/>
    </xf>
    <xf numFmtId="0" fontId="10" fillId="0" borderId="18" xfId="0" applyFont="1" applyBorder="1" applyAlignment="1">
      <alignment horizontal="center" vertical="center" wrapText="1"/>
    </xf>
    <xf numFmtId="0" fontId="0" fillId="0" borderId="0" xfId="1" applyNumberFormat="1" applyFont="1" applyBorder="1" applyAlignment="1">
      <alignment horizontal="center" vertical="center"/>
    </xf>
    <xf numFmtId="2" fontId="15" fillId="0" borderId="29" xfId="0" quotePrefix="1" applyNumberFormat="1" applyFont="1" applyBorder="1" applyAlignment="1" applyProtection="1">
      <alignment horizontal="center" vertical="center" wrapText="1"/>
      <protection locked="0"/>
    </xf>
    <xf numFmtId="0" fontId="11" fillId="0" borderId="0" xfId="0" applyFont="1" applyAlignment="1">
      <alignment horizontal="center" vertical="center" wrapText="1"/>
    </xf>
    <xf numFmtId="0" fontId="0" fillId="0" borderId="1" xfId="0" applyBorder="1" applyAlignment="1">
      <alignment vertical="center" wrapText="1"/>
    </xf>
    <xf numFmtId="0" fontId="0" fillId="0" borderId="0" xfId="0" applyAlignment="1">
      <alignment horizontal="left" vertical="center"/>
    </xf>
    <xf numFmtId="0" fontId="0" fillId="0" borderId="13" xfId="0" applyBorder="1" applyAlignment="1">
      <alignment horizontal="center" vertical="center" wrapText="1"/>
    </xf>
    <xf numFmtId="0" fontId="0" fillId="0" borderId="3" xfId="0" applyBorder="1" applyAlignment="1">
      <alignment horizontal="center" vertical="center"/>
    </xf>
    <xf numFmtId="0" fontId="15" fillId="0" borderId="0" xfId="0" applyFont="1" applyAlignment="1">
      <alignment vertical="center" wrapText="1"/>
    </xf>
    <xf numFmtId="0" fontId="0" fillId="0" borderId="18" xfId="0" applyBorder="1"/>
    <xf numFmtId="0" fontId="0" fillId="0" borderId="21" xfId="0" applyBorder="1"/>
    <xf numFmtId="0" fontId="12" fillId="0" borderId="11" xfId="0" applyFont="1" applyBorder="1" applyAlignment="1">
      <alignment horizontal="center" vertical="center" wrapText="1"/>
    </xf>
    <xf numFmtId="0" fontId="0" fillId="0" borderId="0" xfId="0" applyAlignment="1">
      <alignment horizontal="center"/>
    </xf>
    <xf numFmtId="0" fontId="15" fillId="0" borderId="1" xfId="0" applyFont="1" applyBorder="1" applyAlignment="1" applyProtection="1">
      <alignment horizontal="center" vertical="center" wrapText="1"/>
      <protection locked="0"/>
    </xf>
    <xf numFmtId="0" fontId="0" fillId="0" borderId="13" xfId="0" applyBorder="1" applyAlignment="1">
      <alignment vertical="center" wrapText="1"/>
    </xf>
    <xf numFmtId="0" fontId="12" fillId="0" borderId="10" xfId="0" applyFont="1" applyBorder="1" applyAlignment="1">
      <alignment vertical="center" wrapText="1"/>
    </xf>
    <xf numFmtId="0" fontId="0" fillId="0" borderId="0" xfId="0" applyAlignment="1" applyProtection="1">
      <alignment vertical="center"/>
      <protection locked="0"/>
    </xf>
    <xf numFmtId="0" fontId="0" fillId="0" borderId="0" xfId="0" applyProtection="1">
      <protection locked="0"/>
    </xf>
    <xf numFmtId="0" fontId="15" fillId="0" borderId="0" xfId="0" applyFont="1" applyAlignment="1" applyProtection="1">
      <alignment vertical="center"/>
      <protection locked="0"/>
    </xf>
    <xf numFmtId="0" fontId="0" fillId="0" borderId="0" xfId="0" applyAlignment="1" applyProtection="1">
      <alignment vertical="center" wrapText="1"/>
      <protection locked="0"/>
    </xf>
    <xf numFmtId="0" fontId="15" fillId="0" borderId="0" xfId="0" applyFont="1" applyAlignment="1" applyProtection="1">
      <alignment vertical="center" wrapText="1"/>
      <protection locked="0"/>
    </xf>
    <xf numFmtId="0" fontId="0" fillId="2" borderId="59" xfId="0" applyFill="1" applyBorder="1" applyAlignment="1" applyProtection="1">
      <alignment vertical="center"/>
      <protection locked="0"/>
    </xf>
    <xf numFmtId="167" fontId="0" fillId="0" borderId="0" xfId="0" applyNumberFormat="1" applyAlignment="1" applyProtection="1">
      <alignment vertical="center"/>
      <protection locked="0"/>
    </xf>
    <xf numFmtId="0" fontId="0" fillId="0" borderId="6"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13" xfId="0" applyBorder="1" applyAlignment="1" applyProtection="1">
      <alignment vertical="center"/>
      <protection locked="0"/>
    </xf>
    <xf numFmtId="0" fontId="7" fillId="0" borderId="0" xfId="0" applyFont="1" applyAlignment="1" applyProtection="1">
      <alignment vertical="center"/>
      <protection locked="0"/>
    </xf>
    <xf numFmtId="0" fontId="0" fillId="0" borderId="14" xfId="0" applyBorder="1" applyAlignment="1" applyProtection="1">
      <alignment vertical="center"/>
      <protection locked="0"/>
    </xf>
    <xf numFmtId="0" fontId="0" fillId="0" borderId="0" xfId="0" applyAlignment="1" applyProtection="1">
      <alignment horizontal="center" vertical="center"/>
      <protection locked="0"/>
    </xf>
    <xf numFmtId="0" fontId="0" fillId="4" borderId="7" xfId="0" applyFill="1" applyBorder="1" applyAlignment="1" applyProtection="1">
      <alignment vertical="center" wrapText="1"/>
      <protection locked="0"/>
    </xf>
    <xf numFmtId="0" fontId="0" fillId="4" borderId="14" xfId="0" applyFill="1" applyBorder="1" applyAlignment="1" applyProtection="1">
      <alignment vertical="center" wrapText="1"/>
      <protection locked="0"/>
    </xf>
    <xf numFmtId="0" fontId="0" fillId="0" borderId="8" xfId="0" applyBorder="1" applyAlignment="1" applyProtection="1">
      <alignment vertical="center"/>
      <protection locked="0"/>
    </xf>
    <xf numFmtId="0" fontId="0" fillId="0" borderId="10" xfId="0" applyBorder="1" applyAlignment="1" applyProtection="1">
      <alignment vertical="center"/>
      <protection locked="0"/>
    </xf>
    <xf numFmtId="0" fontId="0" fillId="0" borderId="9" xfId="0" applyBorder="1" applyAlignment="1" applyProtection="1">
      <alignment vertical="center"/>
      <protection locked="0"/>
    </xf>
    <xf numFmtId="0" fontId="0" fillId="4" borderId="9" xfId="0" applyFill="1" applyBorder="1" applyAlignment="1" applyProtection="1">
      <alignment vertical="center" wrapText="1"/>
      <protection locked="0"/>
    </xf>
    <xf numFmtId="166" fontId="15" fillId="3" borderId="1" xfId="0" applyNumberFormat="1" applyFont="1" applyFill="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7" xfId="0" applyBorder="1" applyAlignment="1" applyProtection="1">
      <alignment vertical="center"/>
      <protection locked="0"/>
    </xf>
    <xf numFmtId="0" fontId="0" fillId="0" borderId="20" xfId="0" applyBorder="1" applyAlignment="1" applyProtection="1">
      <alignment vertical="center"/>
      <protection locked="0"/>
    </xf>
    <xf numFmtId="0" fontId="0" fillId="0" borderId="22" xfId="0" applyBorder="1" applyAlignment="1" applyProtection="1">
      <alignment vertical="center"/>
      <protection locked="0"/>
    </xf>
    <xf numFmtId="0" fontId="0" fillId="0" borderId="0" xfId="0" applyAlignment="1" applyProtection="1">
      <alignment horizontal="left" vertical="top" wrapText="1"/>
      <protection locked="0"/>
    </xf>
    <xf numFmtId="0" fontId="0" fillId="0" borderId="3"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6" fillId="0" borderId="0" xfId="0" applyFont="1" applyAlignment="1" applyProtection="1">
      <alignment vertical="center" wrapText="1"/>
      <protection locked="0"/>
    </xf>
    <xf numFmtId="0" fontId="8" fillId="0" borderId="0" xfId="0" applyFont="1" applyAlignment="1" applyProtection="1">
      <alignment vertical="center" wrapText="1"/>
      <protection locked="0"/>
    </xf>
    <xf numFmtId="0" fontId="5" fillId="0" borderId="2" xfId="0" applyFont="1" applyBorder="1" applyAlignment="1" applyProtection="1">
      <alignment vertical="center" wrapText="1"/>
      <protection locked="0"/>
    </xf>
    <xf numFmtId="0" fontId="5" fillId="0" borderId="13" xfId="0" applyFont="1" applyBorder="1" applyAlignment="1" applyProtection="1">
      <alignment vertical="center" wrapText="1"/>
      <protection locked="0"/>
    </xf>
    <xf numFmtId="0" fontId="5" fillId="0" borderId="0" xfId="0" applyFont="1" applyAlignment="1" applyProtection="1">
      <alignment vertical="center" wrapText="1"/>
      <protection locked="0"/>
    </xf>
    <xf numFmtId="0" fontId="5" fillId="0" borderId="8"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2" xfId="0" applyBorder="1" applyAlignment="1" applyProtection="1">
      <alignment vertical="center" wrapText="1"/>
      <protection locked="0"/>
    </xf>
    <xf numFmtId="0" fontId="0" fillId="0" borderId="13"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7" xfId="0" applyBorder="1" applyAlignment="1" applyProtection="1">
      <alignment vertical="center" wrapText="1"/>
      <protection locked="0"/>
    </xf>
    <xf numFmtId="0" fontId="0" fillId="0" borderId="14" xfId="0" applyBorder="1" applyAlignment="1" applyProtection="1">
      <alignment vertical="center" wrapText="1"/>
      <protection locked="0"/>
    </xf>
    <xf numFmtId="0" fontId="0" fillId="0" borderId="9" xfId="0" applyBorder="1" applyAlignment="1" applyProtection="1">
      <alignment vertical="center" wrapText="1"/>
      <protection locked="0"/>
    </xf>
    <xf numFmtId="9" fontId="0" fillId="0" borderId="0" xfId="0" applyNumberFormat="1" applyAlignment="1">
      <alignment horizontal="center" vertical="center"/>
    </xf>
    <xf numFmtId="16" fontId="0" fillId="0" borderId="0" xfId="0" quotePrefix="1" applyNumberFormat="1" applyAlignment="1">
      <alignment horizontal="center"/>
    </xf>
    <xf numFmtId="0" fontId="15" fillId="0" borderId="0" xfId="0" quotePrefix="1" applyFont="1" applyAlignment="1">
      <alignment horizontal="center" vertical="center"/>
    </xf>
    <xf numFmtId="164" fontId="0" fillId="0" borderId="0" xfId="1" applyFont="1" applyAlignment="1">
      <alignment horizontal="center" vertical="center"/>
    </xf>
    <xf numFmtId="0" fontId="0" fillId="0" borderId="0" xfId="1" applyNumberFormat="1" applyFont="1" applyAlignment="1">
      <alignment vertical="center"/>
    </xf>
    <xf numFmtId="2" fontId="15" fillId="0" borderId="1" xfId="0" quotePrefix="1" applyNumberFormat="1" applyFont="1" applyBorder="1" applyAlignment="1" applyProtection="1">
      <alignment horizontal="center" vertical="center" wrapText="1"/>
      <protection locked="0"/>
    </xf>
    <xf numFmtId="0" fontId="15" fillId="3" borderId="19" xfId="0" applyFont="1" applyFill="1" applyBorder="1" applyAlignment="1" applyProtection="1">
      <alignment horizontal="center" vertical="center"/>
      <protection locked="0"/>
    </xf>
    <xf numFmtId="0" fontId="0" fillId="0" borderId="0" xfId="0" applyAlignment="1">
      <alignment horizontal="center" wrapText="1"/>
    </xf>
    <xf numFmtId="0" fontId="0" fillId="0" borderId="1" xfId="0" applyBorder="1" applyAlignment="1" applyProtection="1">
      <alignment horizontal="center" vertical="center"/>
      <protection locked="0"/>
    </xf>
    <xf numFmtId="0" fontId="15" fillId="0" borderId="30" xfId="0" applyFont="1" applyBorder="1" applyAlignment="1" applyProtection="1">
      <alignment horizontal="center" vertical="center" wrapText="1"/>
      <protection locked="0"/>
    </xf>
    <xf numFmtId="0" fontId="15" fillId="0" borderId="29" xfId="0" applyFont="1" applyBorder="1" applyAlignment="1" applyProtection="1">
      <alignment horizontal="center" vertical="center"/>
      <protection locked="0"/>
    </xf>
    <xf numFmtId="0" fontId="15" fillId="0" borderId="0" xfId="0" applyFont="1" applyAlignment="1" applyProtection="1">
      <alignment horizontal="center" vertical="center"/>
      <protection locked="0"/>
    </xf>
    <xf numFmtId="0" fontId="0" fillId="0" borderId="0" xfId="0" applyAlignment="1" applyProtection="1">
      <alignment horizontal="left" vertical="top"/>
      <protection locked="0"/>
    </xf>
    <xf numFmtId="20" fontId="0" fillId="0" borderId="0" xfId="0" applyNumberFormat="1" applyAlignment="1" applyProtection="1">
      <alignment vertical="center"/>
      <protection locked="0"/>
    </xf>
    <xf numFmtId="0" fontId="28" fillId="0" borderId="0" xfId="0" applyFont="1" applyAlignment="1">
      <alignment vertical="center"/>
    </xf>
    <xf numFmtId="0" fontId="0" fillId="10" borderId="0" xfId="0" applyFill="1" applyProtection="1">
      <protection locked="0"/>
    </xf>
    <xf numFmtId="0" fontId="0" fillId="10" borderId="0" xfId="0" applyFill="1" applyAlignment="1" applyProtection="1">
      <alignment vertical="center"/>
      <protection locked="0"/>
    </xf>
    <xf numFmtId="0" fontId="17" fillId="7" borderId="29" xfId="0" applyFont="1" applyFill="1" applyBorder="1" applyAlignment="1">
      <alignment horizontal="center" vertical="center" wrapText="1"/>
    </xf>
    <xf numFmtId="0" fontId="17" fillId="7" borderId="29" xfId="0" applyFont="1" applyFill="1" applyBorder="1" applyAlignment="1">
      <alignment horizontal="center" vertical="center"/>
    </xf>
    <xf numFmtId="0" fontId="17" fillId="7" borderId="1" xfId="0" applyFont="1" applyFill="1" applyBorder="1" applyAlignment="1">
      <alignment horizontal="center" vertical="center"/>
    </xf>
    <xf numFmtId="0" fontId="17" fillId="7" borderId="30" xfId="0" applyFont="1" applyFill="1" applyBorder="1" applyAlignment="1">
      <alignment horizontal="center" vertical="center" wrapText="1"/>
    </xf>
    <xf numFmtId="0" fontId="17" fillId="7" borderId="1"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7" fillId="7" borderId="28" xfId="0" applyFont="1" applyFill="1" applyBorder="1" applyAlignment="1">
      <alignment horizontal="center" vertical="center"/>
    </xf>
    <xf numFmtId="0" fontId="14" fillId="7" borderId="41" xfId="0" applyFont="1" applyFill="1" applyBorder="1" applyAlignment="1">
      <alignment horizontal="center" vertical="center"/>
    </xf>
    <xf numFmtId="0" fontId="17" fillId="7" borderId="26" xfId="0" applyFont="1" applyFill="1" applyBorder="1" applyAlignment="1">
      <alignment horizontal="center" vertical="center"/>
    </xf>
    <xf numFmtId="0" fontId="26" fillId="7" borderId="28" xfId="0" applyFont="1" applyFill="1" applyBorder="1" applyAlignment="1">
      <alignment horizontal="center" vertical="center"/>
    </xf>
    <xf numFmtId="0" fontId="26" fillId="7" borderId="46" xfId="0" applyFont="1" applyFill="1" applyBorder="1" applyAlignment="1">
      <alignment horizontal="center" vertical="center"/>
    </xf>
    <xf numFmtId="0" fontId="26" fillId="7" borderId="26" xfId="0" applyFont="1" applyFill="1" applyBorder="1" applyAlignment="1">
      <alignment horizontal="center" vertical="center" wrapText="1"/>
    </xf>
    <xf numFmtId="0" fontId="26" fillId="7" borderId="37" xfId="0" applyFont="1" applyFill="1" applyBorder="1" applyAlignment="1">
      <alignment horizontal="center" vertical="center" wrapText="1"/>
    </xf>
    <xf numFmtId="0" fontId="20" fillId="7" borderId="55" xfId="0" applyFont="1" applyFill="1" applyBorder="1" applyAlignment="1">
      <alignment horizontal="right" vertical="center" wrapText="1"/>
    </xf>
    <xf numFmtId="0" fontId="20" fillId="7" borderId="63" xfId="0" applyFont="1" applyFill="1" applyBorder="1" applyAlignment="1">
      <alignment horizontal="right" vertical="center"/>
    </xf>
    <xf numFmtId="0" fontId="20" fillId="7" borderId="63" xfId="0" applyFont="1" applyFill="1" applyBorder="1" applyAlignment="1">
      <alignment horizontal="right" vertical="center" wrapText="1"/>
    </xf>
    <xf numFmtId="0" fontId="20" fillId="7" borderId="64" xfId="0" applyFont="1" applyFill="1" applyBorder="1" applyAlignment="1">
      <alignment horizontal="right" vertical="center"/>
    </xf>
    <xf numFmtId="0" fontId="12" fillId="0" borderId="0" xfId="0" applyFont="1" applyAlignment="1">
      <alignment horizontal="center" vertical="center" wrapText="1"/>
    </xf>
    <xf numFmtId="0" fontId="14" fillId="0" borderId="0" xfId="0" applyFont="1" applyAlignment="1">
      <alignment horizontal="center" vertical="center"/>
    </xf>
    <xf numFmtId="0" fontId="21" fillId="0" borderId="0" xfId="0" applyFont="1" applyAlignment="1">
      <alignment horizontal="center" vertical="center" wrapText="1"/>
    </xf>
    <xf numFmtId="165" fontId="0" fillId="0" borderId="0" xfId="2" applyFont="1"/>
    <xf numFmtId="165" fontId="0" fillId="0" borderId="0" xfId="0" applyNumberFormat="1"/>
    <xf numFmtId="43" fontId="0" fillId="0" borderId="0" xfId="0" applyNumberFormat="1"/>
    <xf numFmtId="0" fontId="0" fillId="0" borderId="1" xfId="0" applyBorder="1" applyAlignment="1">
      <alignment horizontal="right"/>
    </xf>
    <xf numFmtId="0" fontId="0" fillId="0" borderId="5" xfId="0" applyBorder="1"/>
    <xf numFmtId="0" fontId="0" fillId="0" borderId="3" xfId="0" applyBorder="1" applyAlignment="1" applyProtection="1">
      <alignment horizontal="center" vertical="center"/>
      <protection locked="0"/>
    </xf>
    <xf numFmtId="0" fontId="15" fillId="0" borderId="3" xfId="0" applyFont="1" applyBorder="1" applyAlignment="1" applyProtection="1">
      <alignment horizontal="center" vertical="center" wrapText="1"/>
      <protection locked="0"/>
    </xf>
    <xf numFmtId="0" fontId="17" fillId="7" borderId="1" xfId="0" applyFont="1" applyFill="1" applyBorder="1" applyAlignment="1">
      <alignment vertical="center" wrapText="1"/>
    </xf>
    <xf numFmtId="0" fontId="17" fillId="7" borderId="50" xfId="0" applyFont="1" applyFill="1" applyBorder="1" applyAlignment="1">
      <alignment horizontal="center" vertical="center" wrapText="1"/>
    </xf>
    <xf numFmtId="0" fontId="17" fillId="7" borderId="18" xfId="0" applyFont="1" applyFill="1" applyBorder="1" applyAlignment="1">
      <alignment horizontal="center" vertical="center" wrapText="1"/>
    </xf>
    <xf numFmtId="0" fontId="17" fillId="7" borderId="7" xfId="0" applyFont="1" applyFill="1" applyBorder="1" applyAlignment="1">
      <alignment horizontal="center" vertical="center" wrapText="1"/>
    </xf>
    <xf numFmtId="0" fontId="15" fillId="0" borderId="23" xfId="0" applyFont="1" applyBorder="1" applyAlignment="1" applyProtection="1">
      <alignment horizontal="center" vertical="center" wrapText="1"/>
      <protection locked="0"/>
    </xf>
    <xf numFmtId="0" fontId="21" fillId="0" borderId="63" xfId="0" applyFont="1" applyBorder="1" applyAlignment="1">
      <alignment horizontal="center" vertical="center" wrapText="1"/>
    </xf>
    <xf numFmtId="0" fontId="21" fillId="0" borderId="1" xfId="0" applyFont="1" applyBorder="1" applyAlignment="1">
      <alignment horizontal="center" vertical="center" wrapText="1"/>
    </xf>
    <xf numFmtId="0" fontId="12" fillId="0" borderId="23" xfId="0" applyFont="1" applyBorder="1" applyAlignment="1">
      <alignment horizontal="center" vertical="center" wrapText="1"/>
    </xf>
    <xf numFmtId="14" fontId="0" fillId="0" borderId="1" xfId="0" applyNumberFormat="1" applyBorder="1" applyAlignment="1">
      <alignment horizontal="center"/>
    </xf>
    <xf numFmtId="0" fontId="15" fillId="3" borderId="1" xfId="0" applyFont="1" applyFill="1" applyBorder="1" applyAlignment="1" applyProtection="1">
      <alignment horizontal="right" vertical="center"/>
      <protection locked="0"/>
    </xf>
    <xf numFmtId="49" fontId="15" fillId="3" borderId="1" xfId="0" quotePrefix="1" applyNumberFormat="1" applyFont="1" applyFill="1" applyBorder="1" applyAlignment="1" applyProtection="1">
      <alignment horizontal="center" vertical="center"/>
      <protection locked="0"/>
    </xf>
    <xf numFmtId="49" fontId="0" fillId="0" borderId="1" xfId="0" applyNumberFormat="1" applyBorder="1" applyAlignment="1">
      <alignment horizontal="center"/>
    </xf>
    <xf numFmtId="0" fontId="17" fillId="7" borderId="5" xfId="0" applyFont="1" applyFill="1" applyBorder="1" applyAlignment="1">
      <alignment vertical="center" wrapText="1"/>
    </xf>
    <xf numFmtId="0" fontId="15" fillId="0" borderId="1" xfId="0" applyFont="1" applyBorder="1" applyAlignment="1" applyProtection="1">
      <alignment vertical="center" wrapText="1"/>
      <protection locked="0"/>
    </xf>
    <xf numFmtId="0" fontId="14" fillId="7" borderId="4" xfId="0" applyFont="1" applyFill="1" applyBorder="1" applyAlignment="1">
      <alignment vertical="center"/>
    </xf>
    <xf numFmtId="0" fontId="14" fillId="7" borderId="39" xfId="0" applyFont="1" applyFill="1" applyBorder="1" applyAlignment="1">
      <alignment vertical="center"/>
    </xf>
    <xf numFmtId="0" fontId="12" fillId="0" borderId="0" xfId="0" applyFont="1"/>
    <xf numFmtId="0" fontId="32" fillId="0" borderId="1" xfId="0" applyFont="1" applyBorder="1" applyAlignment="1">
      <alignment horizontal="center" vertical="center"/>
    </xf>
    <xf numFmtId="0" fontId="32" fillId="0" borderId="1" xfId="0" applyFont="1" applyBorder="1" applyAlignment="1">
      <alignment horizontal="center" vertical="center" wrapText="1"/>
    </xf>
    <xf numFmtId="0" fontId="12" fillId="0" borderId="0" xfId="0" applyFont="1" applyAlignment="1">
      <alignment horizontal="center" vertical="center"/>
    </xf>
    <xf numFmtId="0" fontId="15" fillId="0" borderId="5" xfId="0" applyFont="1" applyBorder="1" applyAlignment="1" applyProtection="1">
      <alignment vertical="center" wrapText="1"/>
      <protection locked="0"/>
    </xf>
    <xf numFmtId="0" fontId="15" fillId="0" borderId="29" xfId="0" applyFont="1" applyBorder="1" applyAlignment="1" applyProtection="1">
      <alignment vertical="center" wrapText="1"/>
      <protection locked="0"/>
    </xf>
    <xf numFmtId="0" fontId="17" fillId="7" borderId="4" xfId="0" applyFont="1" applyFill="1" applyBorder="1" applyAlignment="1">
      <alignment vertical="center" wrapText="1"/>
    </xf>
    <xf numFmtId="0" fontId="17" fillId="7" borderId="1" xfId="0" applyFont="1" applyFill="1" applyBorder="1" applyAlignment="1" applyProtection="1">
      <alignment vertical="center" wrapText="1"/>
      <protection locked="0"/>
    </xf>
    <xf numFmtId="0" fontId="17" fillId="7" borderId="30" xfId="0" applyFont="1" applyFill="1" applyBorder="1" applyAlignment="1" applyProtection="1">
      <alignment vertical="center" wrapText="1"/>
      <protection locked="0"/>
    </xf>
    <xf numFmtId="0" fontId="15" fillId="3" borderId="1" xfId="0" applyFont="1" applyFill="1" applyBorder="1" applyAlignment="1" applyProtection="1">
      <alignment vertical="center" wrapText="1"/>
      <protection locked="0"/>
    </xf>
    <xf numFmtId="0" fontId="15" fillId="3" borderId="30" xfId="0" applyFont="1" applyFill="1" applyBorder="1" applyAlignment="1" applyProtection="1">
      <alignment vertical="center" wrapText="1"/>
      <protection locked="0"/>
    </xf>
    <xf numFmtId="0" fontId="19" fillId="0" borderId="1" xfId="0" applyFont="1" applyBorder="1" applyAlignment="1" applyProtection="1">
      <alignment vertical="center" wrapText="1"/>
      <protection locked="0"/>
    </xf>
    <xf numFmtId="0" fontId="19" fillId="0" borderId="30" xfId="0" applyFont="1" applyBorder="1" applyAlignment="1" applyProtection="1">
      <alignment vertical="center" wrapText="1"/>
      <protection locked="0"/>
    </xf>
    <xf numFmtId="0" fontId="15" fillId="3" borderId="4" xfId="0" applyFont="1" applyFill="1" applyBorder="1" applyAlignment="1" applyProtection="1">
      <alignment vertical="center" wrapText="1"/>
      <protection locked="0"/>
    </xf>
    <xf numFmtId="0" fontId="0" fillId="3" borderId="1" xfId="0" applyFill="1" applyBorder="1" applyAlignment="1" applyProtection="1">
      <alignment vertical="center"/>
      <protection locked="0"/>
    </xf>
    <xf numFmtId="0" fontId="0" fillId="3" borderId="30" xfId="0" applyFill="1" applyBorder="1" applyAlignment="1" applyProtection="1">
      <alignment vertical="center"/>
      <protection locked="0"/>
    </xf>
    <xf numFmtId="0" fontId="17" fillId="11" borderId="30" xfId="0" applyFont="1" applyFill="1" applyBorder="1" applyAlignment="1" applyProtection="1">
      <alignment horizontal="center" vertical="center" wrapText="1"/>
      <protection locked="0"/>
    </xf>
    <xf numFmtId="0" fontId="15" fillId="11" borderId="23" xfId="0" applyFont="1" applyFill="1" applyBorder="1" applyAlignment="1" applyProtection="1">
      <alignment horizontal="center" vertical="center" wrapText="1"/>
      <protection locked="0"/>
    </xf>
    <xf numFmtId="0" fontId="0" fillId="11" borderId="23" xfId="0" applyFill="1" applyBorder="1" applyAlignment="1" applyProtection="1">
      <alignment horizontal="center" vertical="center"/>
      <protection locked="0"/>
    </xf>
    <xf numFmtId="0" fontId="15" fillId="11" borderId="66" xfId="0" applyFont="1" applyFill="1" applyBorder="1" applyAlignment="1" applyProtection="1">
      <alignment horizontal="center" vertical="center" wrapText="1"/>
      <protection locked="0"/>
    </xf>
    <xf numFmtId="0" fontId="17" fillId="7" borderId="41" xfId="0" applyFont="1" applyFill="1" applyBorder="1" applyAlignment="1">
      <alignment horizontal="center" vertical="center"/>
    </xf>
    <xf numFmtId="0" fontId="17" fillId="7" borderId="69" xfId="0" applyFont="1" applyFill="1" applyBorder="1" applyAlignment="1">
      <alignment horizontal="center" vertical="center"/>
    </xf>
    <xf numFmtId="0" fontId="14" fillId="7" borderId="69" xfId="0" applyFont="1" applyFill="1" applyBorder="1" applyAlignment="1">
      <alignment horizontal="center" vertical="center"/>
    </xf>
    <xf numFmtId="0" fontId="14" fillId="7" borderId="26" xfId="0" applyFont="1" applyFill="1" applyBorder="1" applyAlignment="1">
      <alignment horizontal="center" vertical="center"/>
    </xf>
    <xf numFmtId="0" fontId="0" fillId="7" borderId="63" xfId="0" applyFill="1" applyBorder="1" applyAlignment="1">
      <alignment vertical="center"/>
    </xf>
    <xf numFmtId="0" fontId="0" fillId="7" borderId="34" xfId="0" applyFill="1" applyBorder="1" applyAlignment="1">
      <alignment vertical="center"/>
    </xf>
    <xf numFmtId="0" fontId="0" fillId="7" borderId="8" xfId="0" applyFill="1" applyBorder="1" applyAlignment="1">
      <alignment vertical="center"/>
    </xf>
    <xf numFmtId="0" fontId="0" fillId="7" borderId="44" xfId="0" applyFill="1" applyBorder="1" applyAlignment="1">
      <alignment vertical="center"/>
    </xf>
    <xf numFmtId="0" fontId="26" fillId="7" borderId="29" xfId="0" applyFont="1" applyFill="1" applyBorder="1" applyAlignment="1">
      <alignment horizontal="center" vertical="center" wrapText="1"/>
    </xf>
    <xf numFmtId="0" fontId="26" fillId="7" borderId="1" xfId="0" applyFont="1" applyFill="1" applyBorder="1" applyAlignment="1">
      <alignment horizontal="center" vertical="center" wrapText="1"/>
    </xf>
    <xf numFmtId="0" fontId="0" fillId="0" borderId="0" xfId="0" applyAlignment="1">
      <alignment wrapText="1"/>
    </xf>
    <xf numFmtId="0" fontId="33" fillId="0" borderId="1" xfId="0" applyFont="1" applyBorder="1" applyAlignment="1">
      <alignment horizontal="center" vertical="center"/>
    </xf>
    <xf numFmtId="0" fontId="33" fillId="0" borderId="1" xfId="0" applyFont="1" applyBorder="1" applyAlignment="1">
      <alignment horizontal="center" vertical="center" wrapText="1"/>
    </xf>
    <xf numFmtId="165" fontId="0" fillId="0" borderId="1" xfId="2" applyFont="1" applyBorder="1" applyAlignment="1">
      <alignment horizontal="center"/>
    </xf>
    <xf numFmtId="0" fontId="26" fillId="7" borderId="41" xfId="0" applyFont="1" applyFill="1" applyBorder="1" applyAlignment="1">
      <alignment horizontal="center" vertical="center" wrapText="1"/>
    </xf>
    <xf numFmtId="0" fontId="26" fillId="7" borderId="41" xfId="0" applyFont="1" applyFill="1" applyBorder="1" applyAlignment="1">
      <alignment horizontal="center" vertical="center"/>
    </xf>
    <xf numFmtId="0" fontId="17" fillId="7" borderId="46" xfId="0" applyFont="1" applyFill="1" applyBorder="1" applyAlignment="1">
      <alignment horizontal="center" vertical="center"/>
    </xf>
    <xf numFmtId="0" fontId="17" fillId="7" borderId="57" xfId="0" applyFont="1" applyFill="1" applyBorder="1" applyAlignment="1">
      <alignment horizontal="center" vertical="center"/>
    </xf>
    <xf numFmtId="0" fontId="17" fillId="7" borderId="46" xfId="0" applyFont="1" applyFill="1" applyBorder="1" applyAlignment="1">
      <alignment horizontal="center" vertical="center" wrapText="1"/>
    </xf>
    <xf numFmtId="0" fontId="12" fillId="0" borderId="0" xfId="0" applyFont="1" applyAlignment="1">
      <alignment vertical="center" wrapText="1"/>
    </xf>
    <xf numFmtId="0" fontId="12" fillId="0" borderId="0" xfId="0" applyFont="1" applyAlignment="1">
      <alignment wrapText="1"/>
    </xf>
    <xf numFmtId="0" fontId="26" fillId="7" borderId="28" xfId="0" applyFont="1" applyFill="1" applyBorder="1" applyAlignment="1">
      <alignment horizontal="right" vertical="center" wrapText="1"/>
    </xf>
    <xf numFmtId="0" fontId="29" fillId="7" borderId="41" xfId="0" applyFont="1" applyFill="1" applyBorder="1" applyAlignment="1">
      <alignment horizontal="center" vertical="center" wrapText="1"/>
    </xf>
    <xf numFmtId="0" fontId="26" fillId="7" borderId="31" xfId="0" applyFont="1" applyFill="1" applyBorder="1" applyAlignment="1">
      <alignment horizontal="right" vertical="center" wrapText="1"/>
    </xf>
    <xf numFmtId="0" fontId="29" fillId="7" borderId="37" xfId="0" applyFont="1" applyFill="1" applyBorder="1" applyAlignment="1">
      <alignment horizontal="center" vertical="center" wrapText="1"/>
    </xf>
    <xf numFmtId="0" fontId="0" fillId="8" borderId="0" xfId="0" applyFill="1"/>
    <xf numFmtId="0" fontId="11" fillId="0" borderId="0" xfId="0" applyFont="1" applyAlignment="1" applyProtection="1">
      <alignment horizontal="left" wrapText="1"/>
      <protection locked="0"/>
    </xf>
    <xf numFmtId="0" fontId="14" fillId="0" borderId="0" xfId="0" applyFont="1" applyAlignment="1" applyProtection="1">
      <alignment horizontal="left"/>
      <protection locked="0"/>
    </xf>
    <xf numFmtId="0" fontId="0" fillId="3" borderId="13" xfId="0" applyFill="1" applyBorder="1" applyAlignment="1" applyProtection="1">
      <alignment horizontal="center" vertical="center"/>
      <protection locked="0"/>
    </xf>
    <xf numFmtId="0" fontId="0" fillId="3" borderId="14" xfId="0" applyFill="1" applyBorder="1" applyAlignment="1" applyProtection="1">
      <alignment horizontal="center" vertical="center"/>
      <protection locked="0"/>
    </xf>
    <xf numFmtId="0" fontId="0" fillId="3" borderId="8" xfId="0" applyFill="1" applyBorder="1" applyAlignment="1" applyProtection="1">
      <alignment horizontal="center" vertical="center"/>
      <protection locked="0"/>
    </xf>
    <xf numFmtId="0" fontId="0" fillId="3" borderId="10" xfId="0" applyFill="1" applyBorder="1" applyAlignment="1" applyProtection="1">
      <alignment horizontal="center" vertical="center"/>
      <protection locked="0"/>
    </xf>
    <xf numFmtId="0" fontId="0" fillId="3" borderId="9" xfId="0" applyFill="1" applyBorder="1" applyAlignment="1" applyProtection="1">
      <alignment horizontal="center" vertical="center"/>
      <protection locked="0"/>
    </xf>
    <xf numFmtId="0" fontId="0" fillId="3" borderId="13" xfId="0" applyFill="1" applyBorder="1" applyAlignment="1" applyProtection="1">
      <alignment horizontal="center" vertical="center" wrapText="1"/>
      <protection locked="0"/>
    </xf>
    <xf numFmtId="0" fontId="0" fillId="3" borderId="14" xfId="0" applyFill="1" applyBorder="1" applyAlignment="1" applyProtection="1">
      <alignment horizontal="center" vertical="center" wrapText="1"/>
      <protection locked="0"/>
    </xf>
    <xf numFmtId="0" fontId="0" fillId="3" borderId="6" xfId="0" applyFill="1" applyBorder="1" applyAlignment="1" applyProtection="1">
      <alignment horizontal="center" vertical="center"/>
      <protection locked="0"/>
    </xf>
    <xf numFmtId="0" fontId="0" fillId="3" borderId="2" xfId="0" applyFill="1" applyBorder="1" applyAlignment="1" applyProtection="1">
      <alignment horizontal="center" vertical="center"/>
      <protection locked="0"/>
    </xf>
    <xf numFmtId="0" fontId="0" fillId="3" borderId="7" xfId="0" applyFill="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0" fontId="10" fillId="0" borderId="4" xfId="0" applyFont="1" applyBorder="1" applyAlignment="1" applyProtection="1">
      <alignment horizontal="center" vertical="center"/>
      <protection locked="0"/>
    </xf>
    <xf numFmtId="0" fontId="10" fillId="0" borderId="5" xfId="0" applyFont="1"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0" fillId="3" borderId="0" xfId="0" applyFill="1" applyAlignment="1" applyProtection="1">
      <alignment horizontal="center" vertical="center" wrapText="1"/>
      <protection locked="0"/>
    </xf>
    <xf numFmtId="0" fontId="0" fillId="3" borderId="0" xfId="0" applyFill="1" applyAlignment="1" applyProtection="1">
      <alignment vertical="center"/>
      <protection locked="0"/>
    </xf>
    <xf numFmtId="0" fontId="15" fillId="3" borderId="0" xfId="0" applyFont="1" applyFill="1" applyAlignment="1" applyProtection="1">
      <alignment vertical="center"/>
      <protection locked="0"/>
    </xf>
    <xf numFmtId="0" fontId="0" fillId="0" borderId="0" xfId="0" applyAlignment="1">
      <alignment horizontal="right" vertical="center" wrapText="1"/>
    </xf>
    <xf numFmtId="14" fontId="0" fillId="0" borderId="0" xfId="0" applyNumberFormat="1" applyAlignment="1">
      <alignment vertical="center"/>
    </xf>
    <xf numFmtId="14" fontId="0" fillId="0" borderId="0" xfId="0" applyNumberFormat="1"/>
    <xf numFmtId="0" fontId="34" fillId="12" borderId="0" xfId="0" applyFont="1" applyFill="1" applyAlignment="1">
      <alignment vertical="center"/>
    </xf>
    <xf numFmtId="0" fontId="0" fillId="13" borderId="71" xfId="0" applyFill="1" applyBorder="1"/>
    <xf numFmtId="173" fontId="0" fillId="0" borderId="0" xfId="0" applyNumberFormat="1"/>
    <xf numFmtId="174" fontId="0" fillId="0" borderId="0" xfId="0" applyNumberFormat="1"/>
    <xf numFmtId="2" fontId="0" fillId="0" borderId="0" xfId="0" applyNumberFormat="1"/>
    <xf numFmtId="9" fontId="0" fillId="0" borderId="0" xfId="3" applyFont="1"/>
    <xf numFmtId="49" fontId="0" fillId="0" borderId="0" xfId="0" applyNumberFormat="1"/>
    <xf numFmtId="0" fontId="20" fillId="7" borderId="48" xfId="0" applyFont="1" applyFill="1" applyBorder="1" applyAlignment="1">
      <alignment horizontal="right" vertical="center" wrapText="1"/>
    </xf>
    <xf numFmtId="0" fontId="20" fillId="7" borderId="18" xfId="0" applyFont="1" applyFill="1" applyBorder="1" applyAlignment="1">
      <alignment horizontal="right" vertical="center" wrapText="1"/>
    </xf>
    <xf numFmtId="0" fontId="15" fillId="3" borderId="29" xfId="0" applyFont="1" applyFill="1" applyBorder="1" applyAlignment="1" applyProtection="1">
      <alignment horizontal="center" vertical="center"/>
      <protection locked="0"/>
    </xf>
    <xf numFmtId="0" fontId="0" fillId="3" borderId="45" xfId="0" applyFill="1" applyBorder="1" applyAlignment="1" applyProtection="1">
      <alignment horizontal="center" vertical="center"/>
      <protection locked="0"/>
    </xf>
    <xf numFmtId="0" fontId="0" fillId="3" borderId="37" xfId="0" applyFill="1" applyBorder="1" applyAlignment="1" applyProtection="1">
      <alignment horizontal="center" vertical="center"/>
      <protection locked="0"/>
    </xf>
    <xf numFmtId="0" fontId="0" fillId="3" borderId="30" xfId="0" applyFill="1" applyBorder="1" applyAlignment="1" applyProtection="1">
      <alignment horizontal="center" vertical="center"/>
      <protection locked="0"/>
    </xf>
    <xf numFmtId="0" fontId="0" fillId="3" borderId="27" xfId="0" applyFill="1" applyBorder="1" applyAlignment="1" applyProtection="1">
      <alignment horizontal="center" vertical="center"/>
      <protection locked="0"/>
    </xf>
    <xf numFmtId="0" fontId="0" fillId="0" borderId="19" xfId="0" applyBorder="1" applyAlignment="1" applyProtection="1">
      <alignment vertical="center"/>
      <protection locked="0"/>
    </xf>
    <xf numFmtId="0" fontId="0" fillId="14" borderId="15" xfId="0" applyFill="1" applyBorder="1" applyAlignment="1" applyProtection="1">
      <alignment vertical="center"/>
      <protection locked="0"/>
    </xf>
    <xf numFmtId="0" fontId="0" fillId="14" borderId="16" xfId="0" applyFill="1" applyBorder="1" applyAlignment="1" applyProtection="1">
      <alignment vertical="center"/>
      <protection locked="0"/>
    </xf>
    <xf numFmtId="0" fontId="0" fillId="14" borderId="17" xfId="0" applyFill="1" applyBorder="1" applyAlignment="1" applyProtection="1">
      <alignment vertical="center"/>
      <protection locked="0"/>
    </xf>
    <xf numFmtId="0" fontId="0" fillId="14" borderId="18" xfId="0" applyFill="1" applyBorder="1" applyAlignment="1" applyProtection="1">
      <alignment vertical="center"/>
      <protection locked="0"/>
    </xf>
    <xf numFmtId="0" fontId="0" fillId="14" borderId="0" xfId="0" applyFill="1" applyAlignment="1" applyProtection="1">
      <alignment vertical="center"/>
      <protection locked="0"/>
    </xf>
    <xf numFmtId="0" fontId="0" fillId="14" borderId="19" xfId="0" applyFill="1" applyBorder="1" applyAlignment="1" applyProtection="1">
      <alignment vertical="center"/>
      <protection locked="0"/>
    </xf>
    <xf numFmtId="0" fontId="0" fillId="14" borderId="21" xfId="0" applyFill="1" applyBorder="1" applyAlignment="1" applyProtection="1">
      <alignment vertical="center"/>
      <protection locked="0"/>
    </xf>
    <xf numFmtId="0" fontId="0" fillId="14" borderId="22" xfId="0" applyFill="1" applyBorder="1" applyAlignment="1" applyProtection="1">
      <alignment vertical="center"/>
      <protection locked="0"/>
    </xf>
    <xf numFmtId="0" fontId="15" fillId="11" borderId="1" xfId="0" applyFont="1" applyFill="1" applyBorder="1" applyAlignment="1" applyProtection="1">
      <alignment horizontal="center" vertical="center"/>
      <protection locked="0"/>
    </xf>
    <xf numFmtId="0" fontId="15" fillId="11" borderId="1" xfId="0" applyFont="1" applyFill="1" applyBorder="1" applyAlignment="1" applyProtection="1">
      <alignment horizontal="center" vertical="center" wrapText="1"/>
      <protection locked="0"/>
    </xf>
    <xf numFmtId="0" fontId="12" fillId="2" borderId="1" xfId="0" applyFont="1" applyFill="1" applyBorder="1" applyAlignment="1" applyProtection="1">
      <alignment wrapText="1"/>
      <protection locked="0"/>
    </xf>
    <xf numFmtId="0" fontId="15" fillId="2" borderId="1" xfId="0" applyFont="1" applyFill="1" applyBorder="1" applyAlignment="1" applyProtection="1">
      <alignment vertical="center"/>
      <protection locked="0"/>
    </xf>
    <xf numFmtId="9" fontId="15" fillId="2" borderId="1" xfId="0" applyNumberFormat="1" applyFont="1" applyFill="1" applyBorder="1" applyAlignment="1" applyProtection="1">
      <alignment vertical="center"/>
      <protection locked="0"/>
    </xf>
    <xf numFmtId="165" fontId="11" fillId="0" borderId="0" xfId="2" applyFont="1"/>
    <xf numFmtId="9" fontId="15" fillId="3" borderId="30" xfId="3" applyFont="1" applyFill="1" applyBorder="1" applyAlignment="1" applyProtection="1">
      <alignment horizontal="center" vertical="center"/>
      <protection locked="0"/>
    </xf>
    <xf numFmtId="0" fontId="0" fillId="15" borderId="1" xfId="0" applyFill="1" applyBorder="1" applyAlignment="1" applyProtection="1">
      <alignment horizontal="center" vertical="center"/>
      <protection locked="0"/>
    </xf>
    <xf numFmtId="0" fontId="15" fillId="15" borderId="29" xfId="0" applyFont="1" applyFill="1" applyBorder="1" applyAlignment="1" applyProtection="1">
      <alignment horizontal="center" vertical="center"/>
      <protection locked="0"/>
    </xf>
    <xf numFmtId="0" fontId="15" fillId="15" borderId="1" xfId="0" applyFont="1" applyFill="1" applyBorder="1" applyAlignment="1" applyProtection="1">
      <alignment horizontal="center" vertical="center"/>
      <protection locked="0"/>
    </xf>
    <xf numFmtId="0" fontId="15" fillId="15" borderId="1" xfId="0" applyFont="1" applyFill="1" applyBorder="1" applyAlignment="1" applyProtection="1">
      <alignment horizontal="center" vertical="center" wrapText="1"/>
      <protection locked="0"/>
    </xf>
    <xf numFmtId="9" fontId="15" fillId="15" borderId="30" xfId="3" applyFont="1" applyFill="1" applyBorder="1" applyAlignment="1" applyProtection="1">
      <alignment horizontal="center" vertical="center"/>
      <protection locked="0"/>
    </xf>
    <xf numFmtId="0" fontId="0" fillId="15" borderId="0" xfId="0" applyFill="1"/>
    <xf numFmtId="0" fontId="0" fillId="15" borderId="1" xfId="0" applyFill="1" applyBorder="1" applyAlignment="1">
      <alignment horizontal="center" vertical="center"/>
    </xf>
    <xf numFmtId="0" fontId="17" fillId="7" borderId="29" xfId="0" applyFont="1" applyFill="1" applyBorder="1" applyAlignment="1">
      <alignment horizontal="right" vertical="center"/>
    </xf>
    <xf numFmtId="0" fontId="15" fillId="15" borderId="29" xfId="0" applyFont="1" applyFill="1" applyBorder="1" applyAlignment="1" applyProtection="1">
      <alignment horizontal="center" vertical="center" wrapText="1"/>
      <protection locked="0"/>
    </xf>
    <xf numFmtId="0" fontId="15" fillId="3" borderId="29" xfId="0" applyFont="1" applyFill="1" applyBorder="1" applyAlignment="1" applyProtection="1">
      <alignment horizontal="center" vertical="center" wrapText="1"/>
      <protection locked="0"/>
    </xf>
    <xf numFmtId="0" fontId="17" fillId="7" borderId="28" xfId="0" applyFont="1" applyFill="1" applyBorder="1" applyAlignment="1">
      <alignment horizontal="center" vertical="center" wrapText="1"/>
    </xf>
    <xf numFmtId="0" fontId="14" fillId="7" borderId="70" xfId="0" applyFont="1" applyFill="1" applyBorder="1" applyAlignment="1">
      <alignment horizontal="center" vertical="center"/>
    </xf>
    <xf numFmtId="10" fontId="26" fillId="16" borderId="41" xfId="0" applyNumberFormat="1" applyFont="1" applyFill="1" applyBorder="1" applyAlignment="1" applyProtection="1">
      <alignment horizontal="center" vertical="center" wrapText="1"/>
      <protection locked="0"/>
    </xf>
    <xf numFmtId="10" fontId="26" fillId="16" borderId="37" xfId="0" applyNumberFormat="1" applyFont="1" applyFill="1" applyBorder="1" applyAlignment="1">
      <alignment horizontal="center" vertical="center" wrapText="1"/>
    </xf>
    <xf numFmtId="0" fontId="17" fillId="16" borderId="41" xfId="0" applyFont="1" applyFill="1" applyBorder="1" applyAlignment="1">
      <alignment horizontal="center" vertical="center"/>
    </xf>
    <xf numFmtId="2" fontId="17" fillId="16" borderId="37" xfId="1" applyNumberFormat="1" applyFont="1" applyFill="1" applyBorder="1" applyAlignment="1" applyProtection="1">
      <alignment horizontal="center" vertical="center" wrapText="1"/>
    </xf>
    <xf numFmtId="0" fontId="36" fillId="10" borderId="59" xfId="0" applyFont="1" applyFill="1" applyBorder="1" applyAlignment="1">
      <alignment horizontal="center" vertical="center" wrapText="1"/>
    </xf>
    <xf numFmtId="0" fontId="36" fillId="10" borderId="53" xfId="0" applyFont="1" applyFill="1" applyBorder="1" applyAlignment="1">
      <alignment horizontal="center" vertical="center" wrapText="1"/>
    </xf>
    <xf numFmtId="0" fontId="37" fillId="17" borderId="47" xfId="0" applyFont="1" applyFill="1" applyBorder="1" applyAlignment="1">
      <alignment horizontal="center" vertical="center" wrapText="1"/>
    </xf>
    <xf numFmtId="0" fontId="37" fillId="15" borderId="47" xfId="0" applyFont="1" applyFill="1" applyBorder="1" applyAlignment="1">
      <alignment horizontal="center" vertical="center" wrapText="1"/>
    </xf>
    <xf numFmtId="0" fontId="37" fillId="15" borderId="22" xfId="0" applyFont="1" applyFill="1" applyBorder="1" applyAlignment="1">
      <alignment horizontal="center" vertical="center" wrapText="1"/>
    </xf>
    <xf numFmtId="0" fontId="36" fillId="10" borderId="16" xfId="0" applyFont="1" applyFill="1" applyBorder="1" applyAlignment="1">
      <alignment horizontal="center" vertical="center" wrapText="1"/>
    </xf>
    <xf numFmtId="0" fontId="37" fillId="17" borderId="1" xfId="0" applyFont="1" applyFill="1" applyBorder="1" applyAlignment="1">
      <alignment horizontal="center" vertical="center" wrapText="1"/>
    </xf>
    <xf numFmtId="0" fontId="14" fillId="14" borderId="68" xfId="0" applyFont="1" applyFill="1" applyBorder="1" applyAlignment="1" applyProtection="1">
      <alignment horizontal="center" vertical="center"/>
      <protection locked="0"/>
    </xf>
    <xf numFmtId="0" fontId="15" fillId="15" borderId="6" xfId="0" applyFont="1" applyFill="1" applyBorder="1" applyAlignment="1" applyProtection="1">
      <alignment horizontal="center" vertical="center"/>
      <protection locked="0"/>
    </xf>
    <xf numFmtId="0" fontId="0" fillId="15" borderId="0" xfId="0" applyFill="1" applyAlignment="1" applyProtection="1">
      <alignment vertical="center"/>
      <protection locked="0"/>
    </xf>
    <xf numFmtId="0" fontId="0" fillId="3" borderId="69" xfId="0" applyFill="1" applyBorder="1" applyAlignment="1" applyProtection="1">
      <alignment vertical="center"/>
      <protection locked="0"/>
    </xf>
    <xf numFmtId="0" fontId="0" fillId="3" borderId="70" xfId="0" applyFill="1" applyBorder="1" applyAlignment="1" applyProtection="1">
      <alignment vertical="center"/>
      <protection locked="0"/>
    </xf>
    <xf numFmtId="0" fontId="15" fillId="3" borderId="62" xfId="0" applyFont="1" applyFill="1" applyBorder="1" applyAlignment="1" applyProtection="1">
      <alignment vertical="center" wrapText="1"/>
      <protection locked="0"/>
    </xf>
    <xf numFmtId="0" fontId="15" fillId="3" borderId="38" xfId="0" applyFont="1" applyFill="1" applyBorder="1" applyAlignment="1" applyProtection="1">
      <alignment vertical="center" wrapText="1"/>
      <protection locked="0"/>
    </xf>
    <xf numFmtId="0" fontId="15" fillId="3" borderId="49" xfId="0" applyFont="1" applyFill="1" applyBorder="1" applyAlignment="1" applyProtection="1">
      <alignment vertical="center" wrapText="1"/>
      <protection locked="0"/>
    </xf>
    <xf numFmtId="0" fontId="15" fillId="2" borderId="57" xfId="0" applyFont="1" applyFill="1" applyBorder="1" applyAlignment="1" applyProtection="1">
      <alignment vertical="center" wrapText="1"/>
      <protection locked="0"/>
    </xf>
    <xf numFmtId="0" fontId="0" fillId="2" borderId="69" xfId="0" applyFill="1" applyBorder="1" applyAlignment="1" applyProtection="1">
      <alignment vertical="center"/>
      <protection locked="0"/>
    </xf>
    <xf numFmtId="0" fontId="37" fillId="17" borderId="22" xfId="0" applyFont="1" applyFill="1" applyBorder="1" applyAlignment="1">
      <alignment horizontal="center" vertical="center" wrapText="1"/>
    </xf>
    <xf numFmtId="0" fontId="37" fillId="18" borderId="47" xfId="0" applyFont="1" applyFill="1" applyBorder="1" applyAlignment="1">
      <alignment horizontal="center" vertical="center" wrapText="1"/>
    </xf>
    <xf numFmtId="0" fontId="37" fillId="18" borderId="22" xfId="0" applyFont="1" applyFill="1" applyBorder="1" applyAlignment="1">
      <alignment horizontal="center" vertical="center" wrapText="1"/>
    </xf>
    <xf numFmtId="0" fontId="0" fillId="15" borderId="30" xfId="0" applyFill="1" applyBorder="1" applyAlignment="1" applyProtection="1">
      <alignment horizontal="center" vertical="center"/>
      <protection locked="0"/>
    </xf>
    <xf numFmtId="0" fontId="39" fillId="0" borderId="76" xfId="0" applyFont="1" applyBorder="1" applyAlignment="1">
      <alignment vertical="center" wrapText="1"/>
    </xf>
    <xf numFmtId="0" fontId="11" fillId="0" borderId="0" xfId="0" applyFont="1"/>
    <xf numFmtId="0" fontId="39" fillId="0" borderId="77" xfId="0" applyFont="1" applyBorder="1" applyAlignment="1">
      <alignment vertical="center" wrapText="1"/>
    </xf>
    <xf numFmtId="0" fontId="38" fillId="0" borderId="78" xfId="0" applyFont="1" applyBorder="1" applyAlignment="1">
      <alignment vertical="center" wrapText="1"/>
    </xf>
    <xf numFmtId="0" fontId="39" fillId="0" borderId="81" xfId="0" applyFont="1" applyBorder="1" applyAlignment="1">
      <alignment vertical="center" wrapText="1"/>
    </xf>
    <xf numFmtId="0" fontId="39" fillId="0" borderId="77" xfId="0" applyFont="1" applyBorder="1" applyAlignment="1">
      <alignment vertical="center"/>
    </xf>
    <xf numFmtId="0" fontId="39" fillId="0" borderId="82" xfId="0" applyFont="1" applyBorder="1" applyAlignment="1">
      <alignment vertical="center" wrapText="1"/>
    </xf>
    <xf numFmtId="0" fontId="39" fillId="0" borderId="83" xfId="0" applyFont="1" applyBorder="1" applyAlignment="1">
      <alignment vertical="center" wrapText="1"/>
    </xf>
    <xf numFmtId="0" fontId="0" fillId="15" borderId="0" xfId="0" applyFill="1" applyAlignment="1">
      <alignment horizontal="right"/>
    </xf>
    <xf numFmtId="165" fontId="11" fillId="15" borderId="0" xfId="2" applyFont="1" applyFill="1"/>
    <xf numFmtId="0" fontId="14" fillId="0" borderId="0" xfId="0" applyFont="1" applyAlignment="1">
      <alignment horizontal="center"/>
    </xf>
    <xf numFmtId="0" fontId="20" fillId="7" borderId="11" xfId="0" applyFont="1" applyFill="1" applyBorder="1" applyAlignment="1">
      <alignment horizontal="center" vertical="center" wrapText="1"/>
    </xf>
    <xf numFmtId="0" fontId="14" fillId="14" borderId="1" xfId="0" applyFont="1" applyFill="1" applyBorder="1" applyAlignment="1" applyProtection="1">
      <alignment horizontal="center" vertical="center"/>
      <protection locked="0"/>
    </xf>
    <xf numFmtId="0" fontId="4" fillId="0" borderId="0" xfId="0" applyFont="1"/>
    <xf numFmtId="20" fontId="15" fillId="15" borderId="70" xfId="0" quotePrefix="1" applyNumberFormat="1" applyFont="1" applyFill="1" applyBorder="1" applyAlignment="1" applyProtection="1">
      <alignment horizontal="center" vertical="center"/>
      <protection locked="0"/>
    </xf>
    <xf numFmtId="0" fontId="15" fillId="15" borderId="0" xfId="0" applyFont="1" applyFill="1" applyAlignment="1" applyProtection="1">
      <alignment vertical="center"/>
      <protection locked="0"/>
    </xf>
    <xf numFmtId="0" fontId="0" fillId="0" borderId="18" xfId="0" applyBorder="1" applyAlignment="1">
      <alignment horizontal="center" vertical="center" wrapText="1"/>
    </xf>
    <xf numFmtId="0" fontId="14" fillId="7" borderId="73" xfId="0" applyFont="1" applyFill="1" applyBorder="1" applyAlignment="1">
      <alignment horizontal="center" vertical="center"/>
    </xf>
    <xf numFmtId="175" fontId="0" fillId="0" borderId="0" xfId="0" applyNumberFormat="1" applyAlignment="1">
      <alignment horizontal="center" vertical="center" wrapText="1"/>
    </xf>
    <xf numFmtId="0" fontId="0" fillId="15" borderId="31" xfId="0" applyFill="1" applyBorder="1" applyAlignment="1" applyProtection="1">
      <alignment horizontal="center" vertical="center"/>
      <protection locked="0"/>
    </xf>
    <xf numFmtId="0" fontId="0" fillId="15" borderId="37" xfId="0" applyFill="1" applyBorder="1" applyAlignment="1" applyProtection="1">
      <alignment horizontal="center" vertical="center"/>
      <protection locked="0"/>
    </xf>
    <xf numFmtId="0" fontId="3" fillId="0" borderId="0" xfId="0" applyFont="1"/>
    <xf numFmtId="0" fontId="3" fillId="0" borderId="88" xfId="0" applyFont="1" applyBorder="1"/>
    <xf numFmtId="0" fontId="48" fillId="0" borderId="87" xfId="0" applyFont="1" applyBorder="1"/>
    <xf numFmtId="169" fontId="0" fillId="0" borderId="0" xfId="2" applyNumberFormat="1" applyFont="1" applyAlignment="1">
      <alignment vertical="center" wrapText="1"/>
    </xf>
    <xf numFmtId="169" fontId="0" fillId="0" borderId="0" xfId="2" applyNumberFormat="1" applyFont="1" applyAlignment="1">
      <alignment horizontal="center" vertical="center" wrapText="1"/>
    </xf>
    <xf numFmtId="175" fontId="0" fillId="0" borderId="0" xfId="0" applyNumberFormat="1" applyAlignment="1">
      <alignment vertical="center" wrapText="1"/>
    </xf>
    <xf numFmtId="49" fontId="0" fillId="0" borderId="0" xfId="0" applyNumberFormat="1" applyAlignment="1">
      <alignment wrapText="1"/>
    </xf>
    <xf numFmtId="49" fontId="0" fillId="0" borderId="0" xfId="0" applyNumberFormat="1" applyAlignment="1">
      <alignment vertical="center"/>
    </xf>
    <xf numFmtId="0" fontId="0" fillId="0" borderId="0" xfId="0" applyAlignment="1" applyProtection="1">
      <alignment horizontal="right"/>
      <protection locked="0"/>
    </xf>
    <xf numFmtId="0" fontId="0" fillId="0" borderId="0" xfId="0" applyAlignment="1" applyProtection="1">
      <alignment horizontal="right" vertical="center"/>
      <protection locked="0"/>
    </xf>
    <xf numFmtId="0" fontId="14" fillId="15" borderId="0" xfId="0" applyFont="1" applyFill="1" applyAlignment="1" applyProtection="1">
      <alignment horizontal="right"/>
      <protection locked="0"/>
    </xf>
    <xf numFmtId="165" fontId="14" fillId="15" borderId="0" xfId="2" applyFont="1" applyFill="1" applyProtection="1">
      <protection locked="0"/>
    </xf>
    <xf numFmtId="0" fontId="0" fillId="15" borderId="0" xfId="0" applyFill="1" applyAlignment="1" applyProtection="1">
      <alignment horizontal="right"/>
      <protection locked="0"/>
    </xf>
    <xf numFmtId="165" fontId="0" fillId="15" borderId="0" xfId="2" applyFont="1" applyFill="1" applyProtection="1">
      <protection locked="0"/>
    </xf>
    <xf numFmtId="165" fontId="10" fillId="15" borderId="4" xfId="0" applyNumberFormat="1" applyFont="1" applyFill="1" applyBorder="1" applyAlignment="1" applyProtection="1">
      <alignment horizontal="center" vertical="center"/>
      <protection locked="0"/>
    </xf>
    <xf numFmtId="165" fontId="0" fillId="0" borderId="0" xfId="2" applyFont="1" applyAlignment="1">
      <alignment vertical="center" wrapText="1"/>
    </xf>
    <xf numFmtId="0" fontId="0" fillId="0" borderId="16" xfId="0" applyBorder="1"/>
    <xf numFmtId="0" fontId="0" fillId="0" borderId="18" xfId="0" applyBorder="1" applyAlignment="1">
      <alignment vertical="center" wrapText="1"/>
    </xf>
    <xf numFmtId="49" fontId="0" fillId="0" borderId="0" xfId="0" applyNumberFormat="1" applyAlignment="1">
      <alignment horizontal="center" vertical="center" wrapText="1"/>
    </xf>
    <xf numFmtId="49" fontId="0" fillId="0" borderId="19" xfId="0" applyNumberFormat="1" applyBorder="1" applyAlignment="1">
      <alignment horizontal="center" vertical="center" wrapText="1"/>
    </xf>
    <xf numFmtId="0" fontId="0" fillId="0" borderId="20" xfId="0" applyBorder="1"/>
    <xf numFmtId="0" fontId="0" fillId="0" borderId="20" xfId="0" applyBorder="1" applyAlignment="1">
      <alignment horizontal="center" vertical="center" wrapText="1"/>
    </xf>
    <xf numFmtId="0" fontId="0" fillId="0" borderId="21" xfId="0" applyBorder="1" applyAlignment="1">
      <alignment horizontal="center" vertical="center" wrapText="1"/>
    </xf>
    <xf numFmtId="175" fontId="0" fillId="0" borderId="21" xfId="0" applyNumberFormat="1" applyBorder="1" applyAlignment="1">
      <alignment horizontal="center" vertical="center" wrapText="1"/>
    </xf>
    <xf numFmtId="0" fontId="0" fillId="0" borderId="25" xfId="0" applyBorder="1" applyAlignment="1">
      <alignment horizontal="center" vertical="center" wrapText="1"/>
    </xf>
    <xf numFmtId="175" fontId="0" fillId="0" borderId="25" xfId="0" applyNumberFormat="1" applyBorder="1" applyAlignment="1">
      <alignment horizontal="center" vertical="center" wrapText="1"/>
    </xf>
    <xf numFmtId="175" fontId="0" fillId="15" borderId="1" xfId="0" applyNumberFormat="1" applyFill="1" applyBorder="1" applyAlignment="1">
      <alignment horizontal="center" vertical="center"/>
    </xf>
    <xf numFmtId="175" fontId="0" fillId="3" borderId="1" xfId="0" applyNumberFormat="1" applyFill="1" applyBorder="1" applyAlignment="1">
      <alignment horizontal="center" vertical="center"/>
    </xf>
    <xf numFmtId="175" fontId="0" fillId="3" borderId="37" xfId="0" applyNumberFormat="1" applyFill="1" applyBorder="1" applyAlignment="1">
      <alignment horizontal="center" vertical="center"/>
    </xf>
    <xf numFmtId="1" fontId="0" fillId="0" borderId="25" xfId="0" applyNumberFormat="1" applyBorder="1" applyAlignment="1">
      <alignment horizontal="center" vertical="center" wrapText="1"/>
    </xf>
    <xf numFmtId="1" fontId="0" fillId="0" borderId="0" xfId="0" applyNumberFormat="1" applyAlignment="1">
      <alignment horizontal="center" vertical="center" wrapText="1"/>
    </xf>
    <xf numFmtId="1" fontId="0" fillId="0" borderId="21" xfId="0" applyNumberFormat="1" applyBorder="1" applyAlignment="1">
      <alignment horizontal="center" vertical="center" wrapText="1"/>
    </xf>
    <xf numFmtId="175" fontId="0" fillId="0" borderId="0" xfId="0" applyNumberFormat="1" applyAlignment="1">
      <alignment horizontal="center"/>
    </xf>
    <xf numFmtId="175" fontId="0" fillId="0" borderId="21" xfId="0" applyNumberFormat="1" applyBorder="1" applyAlignment="1">
      <alignment horizontal="center"/>
    </xf>
    <xf numFmtId="1" fontId="0" fillId="0" borderId="19" xfId="0" applyNumberFormat="1" applyBorder="1" applyAlignment="1">
      <alignment horizontal="center" vertical="center" wrapText="1"/>
    </xf>
    <xf numFmtId="1" fontId="0" fillId="0" borderId="19" xfId="0" applyNumberFormat="1" applyBorder="1" applyAlignment="1">
      <alignment horizontal="center"/>
    </xf>
    <xf numFmtId="0" fontId="0" fillId="0" borderId="18" xfId="0" applyBorder="1" applyAlignment="1">
      <alignment wrapText="1"/>
    </xf>
    <xf numFmtId="175" fontId="0" fillId="0" borderId="0" xfId="0" applyNumberFormat="1" applyAlignment="1">
      <alignment horizontal="center" wrapText="1"/>
    </xf>
    <xf numFmtId="1" fontId="0" fillId="0" borderId="19" xfId="0" applyNumberFormat="1" applyBorder="1" applyAlignment="1">
      <alignment horizontal="center" wrapText="1"/>
    </xf>
    <xf numFmtId="4" fontId="0" fillId="0" borderId="0" xfId="0" applyNumberFormat="1" applyAlignment="1">
      <alignment horizontal="center" vertical="center" wrapText="1"/>
    </xf>
    <xf numFmtId="4" fontId="0" fillId="0" borderId="0" xfId="0" applyNumberFormat="1" applyAlignment="1">
      <alignment vertical="center" wrapText="1"/>
    </xf>
    <xf numFmtId="4" fontId="0" fillId="0" borderId="0" xfId="0" applyNumberFormat="1" applyAlignment="1">
      <alignment wrapText="1"/>
    </xf>
    <xf numFmtId="4" fontId="0" fillId="0" borderId="0" xfId="0" applyNumberFormat="1"/>
    <xf numFmtId="4" fontId="0" fillId="0" borderId="21" xfId="0" applyNumberFormat="1" applyBorder="1"/>
    <xf numFmtId="175" fontId="0" fillId="0" borderId="0" xfId="0" applyNumberFormat="1" applyAlignment="1">
      <alignment wrapText="1"/>
    </xf>
    <xf numFmtId="175" fontId="0" fillId="0" borderId="0" xfId="0" applyNumberFormat="1"/>
    <xf numFmtId="175" fontId="0" fillId="0" borderId="21" xfId="0" applyNumberFormat="1" applyBorder="1"/>
    <xf numFmtId="1" fontId="0" fillId="0" borderId="19" xfId="0" applyNumberFormat="1" applyBorder="1" applyAlignment="1">
      <alignment vertical="center" wrapText="1"/>
    </xf>
    <xf numFmtId="1" fontId="0" fillId="0" borderId="19" xfId="0" applyNumberFormat="1" applyBorder="1" applyAlignment="1">
      <alignment wrapText="1"/>
    </xf>
    <xf numFmtId="1" fontId="0" fillId="0" borderId="19" xfId="0" applyNumberFormat="1" applyBorder="1"/>
    <xf numFmtId="1" fontId="0" fillId="0" borderId="22" xfId="0" applyNumberFormat="1" applyBorder="1"/>
    <xf numFmtId="1" fontId="0" fillId="0" borderId="0" xfId="0" applyNumberFormat="1" applyAlignment="1">
      <alignment vertical="center" wrapText="1"/>
    </xf>
    <xf numFmtId="1" fontId="0" fillId="0" borderId="0" xfId="0" applyNumberFormat="1" applyAlignment="1">
      <alignment wrapText="1"/>
    </xf>
    <xf numFmtId="1" fontId="0" fillId="0" borderId="0" xfId="0" applyNumberFormat="1"/>
    <xf numFmtId="1" fontId="0" fillId="0" borderId="21" xfId="0" applyNumberFormat="1" applyBorder="1"/>
    <xf numFmtId="4" fontId="0" fillId="0" borderId="0" xfId="0" applyNumberFormat="1" applyAlignment="1">
      <alignment horizontal="right" vertical="center" wrapText="1"/>
    </xf>
    <xf numFmtId="1" fontId="0" fillId="15" borderId="30" xfId="0" applyNumberFormat="1" applyFill="1" applyBorder="1" applyAlignment="1">
      <alignment horizontal="center" vertical="center"/>
    </xf>
    <xf numFmtId="1" fontId="0" fillId="3" borderId="30" xfId="0" applyNumberFormat="1" applyFill="1" applyBorder="1" applyAlignment="1">
      <alignment horizontal="center" vertical="center"/>
    </xf>
    <xf numFmtId="1" fontId="0" fillId="3" borderId="27" xfId="0" applyNumberFormat="1" applyFill="1" applyBorder="1" applyAlignment="1">
      <alignment horizontal="center" vertical="center"/>
    </xf>
    <xf numFmtId="0" fontId="0" fillId="0" borderId="18" xfId="0" applyBorder="1" applyAlignment="1">
      <alignment horizontal="center" wrapText="1"/>
    </xf>
    <xf numFmtId="4" fontId="0" fillId="0" borderId="0" xfId="0" applyNumberFormat="1" applyAlignment="1">
      <alignment horizontal="center" wrapText="1"/>
    </xf>
    <xf numFmtId="0" fontId="0" fillId="0" borderId="18" xfId="0" applyBorder="1" applyAlignment="1">
      <alignment horizontal="center"/>
    </xf>
    <xf numFmtId="4" fontId="0" fillId="0" borderId="0" xfId="0" applyNumberFormat="1" applyAlignment="1">
      <alignment horizontal="center"/>
    </xf>
    <xf numFmtId="49" fontId="0" fillId="0" borderId="19" xfId="0" applyNumberFormat="1" applyBorder="1" applyAlignment="1">
      <alignment horizontal="center" wrapText="1"/>
    </xf>
    <xf numFmtId="49" fontId="0" fillId="0" borderId="19" xfId="0" applyNumberFormat="1" applyBorder="1" applyAlignment="1">
      <alignment horizontal="center"/>
    </xf>
    <xf numFmtId="49" fontId="0" fillId="0" borderId="22" xfId="0" applyNumberFormat="1" applyBorder="1" applyAlignment="1">
      <alignment horizontal="center"/>
    </xf>
    <xf numFmtId="0" fontId="12" fillId="0" borderId="89" xfId="0" applyFont="1" applyBorder="1" applyAlignment="1">
      <alignment horizontal="center" vertical="center" wrapText="1"/>
    </xf>
    <xf numFmtId="0" fontId="14" fillId="0" borderId="89" xfId="0" applyFont="1" applyBorder="1" applyAlignment="1">
      <alignment horizontal="center" vertical="center"/>
    </xf>
    <xf numFmtId="0" fontId="0" fillId="0" borderId="89" xfId="0" applyBorder="1" applyAlignment="1">
      <alignment horizontal="center" vertical="center"/>
    </xf>
    <xf numFmtId="0" fontId="0" fillId="0" borderId="89" xfId="0" applyBorder="1" applyAlignment="1">
      <alignment horizontal="center" vertical="center" wrapText="1"/>
    </xf>
    <xf numFmtId="0" fontId="26" fillId="0" borderId="89" xfId="0" applyFont="1" applyBorder="1" applyAlignment="1">
      <alignment horizontal="center" vertical="center"/>
    </xf>
    <xf numFmtId="0" fontId="26" fillId="19" borderId="89" xfId="0" applyFont="1" applyFill="1" applyBorder="1" applyAlignment="1">
      <alignment horizontal="center" vertical="center" wrapText="1"/>
    </xf>
    <xf numFmtId="0" fontId="15" fillId="19" borderId="89" xfId="0" applyFont="1" applyFill="1" applyBorder="1" applyAlignment="1">
      <alignment horizontal="center" vertical="center"/>
    </xf>
    <xf numFmtId="177" fontId="0" fillId="15" borderId="1" xfId="0" applyNumberFormat="1" applyFill="1" applyBorder="1" applyAlignment="1" applyProtection="1">
      <alignment vertical="center"/>
      <protection locked="0"/>
    </xf>
    <xf numFmtId="0" fontId="29" fillId="0" borderId="89" xfId="0" applyFont="1" applyBorder="1" applyAlignment="1">
      <alignment horizontal="center" vertical="center"/>
    </xf>
    <xf numFmtId="0" fontId="11" fillId="0" borderId="89" xfId="0" applyFont="1" applyBorder="1" applyAlignment="1">
      <alignment vertical="center" wrapText="1"/>
    </xf>
    <xf numFmtId="0" fontId="11" fillId="0" borderId="91" xfId="0" applyFont="1" applyBorder="1" applyAlignment="1">
      <alignment wrapText="1"/>
    </xf>
    <xf numFmtId="0" fontId="0" fillId="0" borderId="89" xfId="0" applyBorder="1" applyAlignment="1">
      <alignment wrapText="1"/>
    </xf>
    <xf numFmtId="0" fontId="14" fillId="0" borderId="24"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0" fillId="0" borderId="92" xfId="0" applyBorder="1" applyAlignment="1">
      <alignment vertical="center" wrapText="1"/>
    </xf>
    <xf numFmtId="0" fontId="0" fillId="0" borderId="93" xfId="0" applyBorder="1" applyAlignment="1">
      <alignment vertical="center" wrapText="1"/>
    </xf>
    <xf numFmtId="175" fontId="0" fillId="0" borderId="93" xfId="0" applyNumberFormat="1" applyBorder="1" applyAlignment="1">
      <alignment horizontal="center" vertical="center" wrapText="1"/>
    </xf>
    <xf numFmtId="1" fontId="0" fillId="0" borderId="94" xfId="0" applyNumberFormat="1" applyBorder="1" applyAlignment="1">
      <alignment horizontal="center" vertical="center" wrapText="1"/>
    </xf>
    <xf numFmtId="0" fontId="0" fillId="0" borderId="95" xfId="0" applyBorder="1" applyAlignment="1">
      <alignment vertical="center" wrapText="1"/>
    </xf>
    <xf numFmtId="1" fontId="0" fillId="0" borderId="96" xfId="0" applyNumberFormat="1" applyBorder="1" applyAlignment="1">
      <alignment horizontal="center" vertical="center" wrapText="1"/>
    </xf>
    <xf numFmtId="0" fontId="0" fillId="0" borderId="97" xfId="0" applyBorder="1" applyAlignment="1">
      <alignment vertical="center" wrapText="1"/>
    </xf>
    <xf numFmtId="0" fontId="0" fillId="0" borderId="98" xfId="0" applyBorder="1" applyAlignment="1">
      <alignment vertical="center" wrapText="1"/>
    </xf>
    <xf numFmtId="175" fontId="0" fillId="0" borderId="98" xfId="0" applyNumberFormat="1" applyBorder="1" applyAlignment="1">
      <alignment horizontal="center" vertical="center" wrapText="1"/>
    </xf>
    <xf numFmtId="1" fontId="0" fillId="0" borderId="99" xfId="0" applyNumberFormat="1" applyBorder="1" applyAlignment="1">
      <alignment horizontal="center" vertical="center" wrapText="1"/>
    </xf>
    <xf numFmtId="0" fontId="14" fillId="0" borderId="24" xfId="0" applyFont="1" applyBorder="1" applyAlignment="1">
      <alignment horizontal="center" vertical="center" wrapText="1"/>
    </xf>
    <xf numFmtId="177" fontId="0" fillId="0" borderId="0" xfId="0" applyNumberFormat="1" applyAlignment="1">
      <alignment horizontal="center" vertical="center" wrapText="1"/>
    </xf>
    <xf numFmtId="0" fontId="14" fillId="0" borderId="100" xfId="0" applyFont="1" applyBorder="1" applyAlignment="1">
      <alignment horizontal="center" vertical="center" wrapText="1"/>
    </xf>
    <xf numFmtId="0" fontId="14" fillId="0" borderId="101" xfId="0" applyFont="1" applyBorder="1" applyAlignment="1">
      <alignment horizontal="center" vertical="center" wrapText="1"/>
    </xf>
    <xf numFmtId="0" fontId="14" fillId="0" borderId="102" xfId="0" applyFont="1" applyBorder="1" applyAlignment="1">
      <alignment horizontal="center" vertical="center" wrapText="1"/>
    </xf>
    <xf numFmtId="0" fontId="14" fillId="0" borderId="92" xfId="0" applyFont="1" applyBorder="1" applyAlignment="1">
      <alignment horizontal="center" vertical="center" wrapText="1"/>
    </xf>
    <xf numFmtId="0" fontId="14" fillId="0" borderId="93" xfId="0" applyFont="1" applyBorder="1" applyAlignment="1">
      <alignment horizontal="center" vertical="center" wrapText="1"/>
    </xf>
    <xf numFmtId="0" fontId="14" fillId="0" borderId="94" xfId="0" applyFont="1" applyBorder="1" applyAlignment="1">
      <alignment horizontal="center" vertical="center" wrapText="1"/>
    </xf>
    <xf numFmtId="0" fontId="0" fillId="0" borderId="95" xfId="0" applyBorder="1" applyAlignment="1">
      <alignment horizontal="center" vertical="center" wrapText="1"/>
    </xf>
    <xf numFmtId="0" fontId="0" fillId="0" borderId="97" xfId="0" applyBorder="1" applyAlignment="1">
      <alignment horizontal="center" vertical="center" wrapText="1"/>
    </xf>
    <xf numFmtId="49" fontId="0" fillId="0" borderId="98" xfId="0" applyNumberFormat="1" applyBorder="1" applyAlignment="1">
      <alignment horizontal="center" vertical="center" wrapText="1"/>
    </xf>
    <xf numFmtId="4" fontId="0" fillId="0" borderId="98" xfId="0" applyNumberFormat="1" applyBorder="1" applyAlignment="1">
      <alignment horizontal="center" vertical="center" wrapText="1"/>
    </xf>
    <xf numFmtId="0" fontId="14" fillId="0" borderId="15" xfId="0" applyFont="1" applyBorder="1" applyAlignment="1">
      <alignment horizontal="center" vertical="center" wrapText="1"/>
    </xf>
    <xf numFmtId="0" fontId="14" fillId="0" borderId="17" xfId="0" applyFont="1" applyBorder="1" applyAlignment="1">
      <alignment horizontal="center" vertical="center" wrapText="1"/>
    </xf>
    <xf numFmtId="1" fontId="0" fillId="0" borderId="98" xfId="0" applyNumberFormat="1" applyBorder="1" applyAlignment="1">
      <alignment horizontal="center" vertical="center" wrapText="1"/>
    </xf>
    <xf numFmtId="0" fontId="0" fillId="0" borderId="19" xfId="0" applyBorder="1" applyAlignment="1">
      <alignment horizontal="center" vertical="center" wrapText="1"/>
    </xf>
    <xf numFmtId="49" fontId="14" fillId="0" borderId="24" xfId="0" applyNumberFormat="1" applyFont="1" applyBorder="1" applyAlignment="1">
      <alignment horizontal="center" vertical="center" wrapText="1"/>
    </xf>
    <xf numFmtId="175" fontId="14" fillId="0" borderId="24" xfId="0" applyNumberFormat="1" applyFont="1" applyBorder="1" applyAlignment="1">
      <alignment horizontal="center" vertical="center" wrapText="1"/>
    </xf>
    <xf numFmtId="0" fontId="0" fillId="0" borderId="103" xfId="0" applyBorder="1" applyAlignment="1">
      <alignment horizontal="center" vertical="center" wrapText="1"/>
    </xf>
    <xf numFmtId="1" fontId="0" fillId="0" borderId="104" xfId="0" applyNumberFormat="1" applyBorder="1" applyAlignment="1">
      <alignment horizontal="center" vertical="center" wrapText="1"/>
    </xf>
    <xf numFmtId="0" fontId="0" fillId="0" borderId="104" xfId="0" applyBorder="1" applyAlignment="1">
      <alignment horizontal="center" vertical="center" wrapText="1"/>
    </xf>
    <xf numFmtId="175" fontId="0" fillId="0" borderId="104" xfId="0" applyNumberFormat="1" applyBorder="1" applyAlignment="1">
      <alignment horizontal="center" vertical="center" wrapText="1"/>
    </xf>
    <xf numFmtId="1" fontId="0" fillId="0" borderId="105" xfId="0" applyNumberFormat="1" applyBorder="1" applyAlignment="1">
      <alignment horizontal="center" vertical="center" wrapText="1"/>
    </xf>
    <xf numFmtId="0" fontId="0" fillId="0" borderId="106" xfId="0" applyBorder="1" applyAlignment="1">
      <alignment horizontal="center" vertical="center" wrapText="1"/>
    </xf>
    <xf numFmtId="1" fontId="0" fillId="0" borderId="107" xfId="0" applyNumberFormat="1" applyBorder="1" applyAlignment="1">
      <alignment horizontal="center" vertical="center" wrapText="1"/>
    </xf>
    <xf numFmtId="0" fontId="0" fillId="0" borderId="108" xfId="0" applyBorder="1" applyAlignment="1">
      <alignment horizontal="center" vertical="center" wrapText="1"/>
    </xf>
    <xf numFmtId="1" fontId="0" fillId="0" borderId="109" xfId="0" applyNumberFormat="1" applyBorder="1" applyAlignment="1">
      <alignment horizontal="center" vertical="center" wrapText="1"/>
    </xf>
    <xf numFmtId="0" fontId="0" fillId="0" borderId="109" xfId="0" applyBorder="1" applyAlignment="1">
      <alignment horizontal="center" vertical="center" wrapText="1"/>
    </xf>
    <xf numFmtId="175" fontId="0" fillId="0" borderId="109" xfId="0" applyNumberFormat="1" applyBorder="1" applyAlignment="1">
      <alignment horizontal="center" vertical="center" wrapText="1"/>
    </xf>
    <xf numFmtId="1" fontId="0" fillId="0" borderId="110" xfId="0" applyNumberFormat="1" applyBorder="1" applyAlignment="1">
      <alignment horizontal="center" vertical="center" wrapText="1"/>
    </xf>
    <xf numFmtId="0" fontId="11" fillId="0" borderId="89" xfId="0" applyFont="1" applyBorder="1" applyAlignment="1">
      <alignment horizontal="center" vertical="center" wrapText="1"/>
    </xf>
    <xf numFmtId="0" fontId="29" fillId="0" borderId="89" xfId="0" applyFont="1" applyBorder="1" applyAlignment="1">
      <alignment horizontal="center" vertical="center" wrapText="1"/>
    </xf>
    <xf numFmtId="0" fontId="17" fillId="0" borderId="89" xfId="0" applyFont="1" applyBorder="1" applyAlignment="1">
      <alignment horizontal="center" vertical="center" wrapText="1"/>
    </xf>
    <xf numFmtId="0" fontId="14" fillId="0" borderId="89" xfId="0" applyFont="1" applyBorder="1" applyAlignment="1">
      <alignment horizontal="center" vertical="center" wrapText="1"/>
    </xf>
    <xf numFmtId="0" fontId="50" fillId="0" borderId="89" xfId="0" applyFont="1" applyBorder="1" applyAlignment="1">
      <alignment horizontal="center" vertical="center" wrapText="1"/>
    </xf>
    <xf numFmtId="0" fontId="15" fillId="8" borderId="89" xfId="0" applyFont="1" applyFill="1" applyBorder="1" applyAlignment="1">
      <alignment horizontal="center" vertical="center"/>
    </xf>
    <xf numFmtId="0" fontId="15" fillId="8" borderId="89" xfId="0" applyFont="1" applyFill="1" applyBorder="1" applyAlignment="1" applyProtection="1">
      <alignment horizontal="center" vertical="center" wrapText="1"/>
      <protection locked="0"/>
    </xf>
    <xf numFmtId="0" fontId="0" fillId="8" borderId="89" xfId="0" applyFill="1" applyBorder="1" applyAlignment="1">
      <alignment horizontal="center" vertical="center" wrapText="1"/>
    </xf>
    <xf numFmtId="0" fontId="0" fillId="8" borderId="89" xfId="0" applyFill="1" applyBorder="1" applyAlignment="1">
      <alignment horizontal="center" vertical="center"/>
    </xf>
    <xf numFmtId="165" fontId="0" fillId="8" borderId="89" xfId="2" applyFont="1" applyFill="1" applyBorder="1" applyAlignment="1">
      <alignment vertical="center"/>
    </xf>
    <xf numFmtId="0" fontId="11" fillId="8" borderId="89" xfId="0" applyFont="1" applyFill="1" applyBorder="1" applyAlignment="1">
      <alignment horizontal="center" vertical="center" wrapText="1"/>
    </xf>
    <xf numFmtId="0" fontId="29" fillId="0" borderId="111" xfId="0" applyFont="1" applyBorder="1" applyAlignment="1">
      <alignment horizontal="center" vertical="center"/>
    </xf>
    <xf numFmtId="0" fontId="0" fillId="0" borderId="89" xfId="0" applyBorder="1" applyAlignment="1">
      <alignment vertical="center"/>
    </xf>
    <xf numFmtId="0" fontId="47" fillId="0" borderId="89" xfId="0" applyFont="1" applyBorder="1" applyAlignment="1">
      <alignment horizontal="center" vertical="center" wrapText="1"/>
    </xf>
    <xf numFmtId="0" fontId="27" fillId="0" borderId="89" xfId="0" applyFont="1" applyBorder="1" applyAlignment="1">
      <alignment horizontal="center" vertical="center"/>
    </xf>
    <xf numFmtId="0" fontId="14" fillId="0" borderId="89" xfId="0" applyFont="1" applyBorder="1" applyAlignment="1">
      <alignment horizontal="right" vertical="center" wrapText="1"/>
    </xf>
    <xf numFmtId="0" fontId="17" fillId="0" borderId="111" xfId="0" applyFont="1" applyBorder="1" applyAlignment="1">
      <alignment horizontal="right" vertical="center"/>
    </xf>
    <xf numFmtId="0" fontId="17" fillId="3" borderId="111" xfId="0" applyFont="1" applyFill="1" applyBorder="1" applyAlignment="1">
      <alignment horizontal="center" vertical="center" wrapText="1"/>
    </xf>
    <xf numFmtId="0" fontId="17" fillId="0" borderId="111" xfId="0" applyFont="1" applyBorder="1" applyAlignment="1">
      <alignment horizontal="center" vertical="center" wrapText="1"/>
    </xf>
    <xf numFmtId="0" fontId="20" fillId="0" borderId="111" xfId="0" applyFont="1" applyBorder="1" applyAlignment="1">
      <alignment horizontal="right" vertical="center" wrapText="1"/>
    </xf>
    <xf numFmtId="0" fontId="51" fillId="0" borderId="89" xfId="0" applyFont="1" applyBorder="1" applyAlignment="1">
      <alignment vertical="center" textRotation="90" wrapText="1"/>
    </xf>
    <xf numFmtId="0" fontId="0" fillId="3" borderId="89" xfId="0" applyFill="1" applyBorder="1" applyAlignment="1">
      <alignment vertical="center"/>
    </xf>
    <xf numFmtId="0" fontId="0" fillId="3" borderId="0" xfId="0" applyFill="1" applyAlignment="1">
      <alignment vertical="center"/>
    </xf>
    <xf numFmtId="0" fontId="15" fillId="3" borderId="0" xfId="0" applyFont="1" applyFill="1" applyAlignment="1">
      <alignment vertical="center" wrapText="1"/>
    </xf>
    <xf numFmtId="0" fontId="11" fillId="0" borderId="112" xfId="0" applyFont="1" applyBorder="1" applyAlignment="1">
      <alignment vertical="center" wrapText="1"/>
    </xf>
    <xf numFmtId="0" fontId="52" fillId="0" borderId="89" xfId="0" applyFont="1" applyBorder="1" applyAlignment="1">
      <alignment horizontal="center" vertical="center" wrapText="1"/>
    </xf>
    <xf numFmtId="2" fontId="0" fillId="0" borderId="0" xfId="0" applyNumberFormat="1" applyAlignment="1">
      <alignment vertical="center" wrapText="1"/>
    </xf>
    <xf numFmtId="0" fontId="15" fillId="8" borderId="89" xfId="0" applyFont="1" applyFill="1" applyBorder="1" applyAlignment="1">
      <alignment horizontal="center" vertical="center" wrapText="1"/>
    </xf>
    <xf numFmtId="0" fontId="15" fillId="0" borderId="89" xfId="0" applyFont="1" applyBorder="1" applyAlignment="1" applyProtection="1">
      <alignment horizontal="center" vertical="center" wrapText="1"/>
      <protection locked="0"/>
    </xf>
    <xf numFmtId="0" fontId="14" fillId="3" borderId="89" xfId="0" applyFont="1" applyFill="1" applyBorder="1" applyAlignment="1">
      <alignment horizontal="center" vertical="center"/>
    </xf>
    <xf numFmtId="0" fontId="0" fillId="3" borderId="89" xfId="0" applyFill="1" applyBorder="1" applyAlignment="1">
      <alignment horizontal="center" vertical="center"/>
    </xf>
    <xf numFmtId="0" fontId="0" fillId="0" borderId="89" xfId="0" applyBorder="1" applyAlignment="1">
      <alignment vertical="center" wrapText="1"/>
    </xf>
    <xf numFmtId="14" fontId="0" fillId="8" borderId="89" xfId="0" applyNumberFormat="1" applyFill="1" applyBorder="1" applyAlignment="1">
      <alignment horizontal="center" vertical="center"/>
    </xf>
    <xf numFmtId="0" fontId="15" fillId="0" borderId="89" xfId="0" applyFont="1" applyBorder="1" applyAlignment="1" applyProtection="1">
      <alignment horizontal="center" vertical="center"/>
      <protection locked="0"/>
    </xf>
    <xf numFmtId="2" fontId="0" fillId="8" borderId="89" xfId="0" applyNumberFormat="1" applyFill="1" applyBorder="1" applyAlignment="1">
      <alignment horizontal="center" vertical="center"/>
    </xf>
    <xf numFmtId="0" fontId="14" fillId="0" borderId="0" xfId="0" applyFont="1"/>
    <xf numFmtId="14" fontId="0" fillId="0" borderId="89" xfId="0" applyNumberFormat="1" applyBorder="1" applyAlignment="1">
      <alignment horizontal="center" vertical="center"/>
    </xf>
    <xf numFmtId="0" fontId="12" fillId="0" borderId="91" xfId="0" applyFont="1" applyBorder="1" applyAlignment="1">
      <alignment horizontal="center" vertical="center" wrapText="1"/>
    </xf>
    <xf numFmtId="0" fontId="21" fillId="0" borderId="89" xfId="0" applyFont="1" applyBorder="1" applyAlignment="1">
      <alignment horizontal="center" vertical="center" wrapText="1"/>
    </xf>
    <xf numFmtId="9" fontId="0" fillId="0" borderId="89" xfId="0" applyNumberFormat="1" applyBorder="1" applyAlignment="1">
      <alignment horizontal="center" vertical="center"/>
    </xf>
    <xf numFmtId="9" fontId="0" fillId="0" borderId="89" xfId="3" applyFont="1" applyBorder="1" applyAlignment="1">
      <alignment horizontal="center" vertical="center"/>
    </xf>
    <xf numFmtId="10" fontId="0" fillId="8" borderId="89" xfId="3" applyNumberFormat="1" applyFont="1" applyFill="1" applyBorder="1" applyAlignment="1">
      <alignment horizontal="center" vertical="center"/>
    </xf>
    <xf numFmtId="165" fontId="0" fillId="8" borderId="89" xfId="2" applyFont="1" applyFill="1" applyBorder="1" applyAlignment="1">
      <alignment horizontal="center" vertical="center"/>
    </xf>
    <xf numFmtId="168" fontId="0" fillId="0" borderId="89" xfId="3" applyNumberFormat="1" applyFont="1" applyBorder="1" applyAlignment="1">
      <alignment horizontal="center" vertical="center"/>
    </xf>
    <xf numFmtId="1" fontId="0" fillId="0" borderId="89" xfId="0" applyNumberFormat="1" applyBorder="1" applyAlignment="1">
      <alignment horizontal="center" vertical="center"/>
    </xf>
    <xf numFmtId="0" fontId="44" fillId="8" borderId="89" xfId="0" applyFont="1" applyFill="1" applyBorder="1" applyAlignment="1" applyProtection="1">
      <alignment horizontal="center" vertical="center" wrapText="1"/>
      <protection locked="0"/>
    </xf>
    <xf numFmtId="165" fontId="0" fillId="0" borderId="89" xfId="2" applyFont="1" applyBorder="1" applyAlignment="1">
      <alignment horizontal="center" vertical="center"/>
    </xf>
    <xf numFmtId="0" fontId="51" fillId="0" borderId="89" xfId="0" applyFont="1" applyBorder="1" applyAlignment="1">
      <alignment horizontal="center" vertical="center"/>
    </xf>
    <xf numFmtId="0" fontId="35" fillId="8" borderId="89" xfId="0" applyFont="1" applyFill="1" applyBorder="1" applyAlignment="1">
      <alignment horizontal="center" vertical="center" wrapText="1"/>
    </xf>
    <xf numFmtId="0" fontId="35" fillId="0" borderId="89" xfId="0" applyFont="1" applyBorder="1" applyAlignment="1">
      <alignment horizontal="center" vertical="center"/>
    </xf>
    <xf numFmtId="0" fontId="35" fillId="0" borderId="89" xfId="0" applyFont="1" applyBorder="1" applyAlignment="1">
      <alignment vertical="center" wrapText="1"/>
    </xf>
    <xf numFmtId="0" fontId="35" fillId="0" borderId="89" xfId="0" applyFont="1" applyBorder="1" applyAlignment="1">
      <alignment vertical="center"/>
    </xf>
    <xf numFmtId="0" fontId="11" fillId="0" borderId="89" xfId="0" applyFont="1" applyBorder="1" applyAlignment="1">
      <alignment horizontal="center" vertical="center"/>
    </xf>
    <xf numFmtId="0" fontId="11" fillId="3" borderId="89" xfId="0" applyFont="1" applyFill="1" applyBorder="1" applyAlignment="1">
      <alignment horizontal="center" vertical="center" wrapText="1"/>
    </xf>
    <xf numFmtId="0" fontId="14" fillId="3" borderId="112" xfId="0" applyFont="1" applyFill="1" applyBorder="1" applyAlignment="1">
      <alignment horizontal="center" vertical="center" wrapText="1"/>
    </xf>
    <xf numFmtId="2" fontId="0" fillId="8" borderId="89" xfId="0" applyNumberFormat="1" applyFill="1" applyBorder="1" applyAlignment="1">
      <alignment horizontal="center" vertical="center" wrapText="1"/>
    </xf>
    <xf numFmtId="0" fontId="15" fillId="0" borderId="89" xfId="0" applyFont="1" applyBorder="1" applyAlignment="1">
      <alignment vertical="center"/>
    </xf>
    <xf numFmtId="0" fontId="11" fillId="3" borderId="89" xfId="0" applyFont="1" applyFill="1" applyBorder="1" applyAlignment="1">
      <alignment vertical="center"/>
    </xf>
    <xf numFmtId="0" fontId="11" fillId="8" borderId="89" xfId="0" applyFont="1" applyFill="1" applyBorder="1" applyAlignment="1">
      <alignment vertical="center"/>
    </xf>
    <xf numFmtId="0" fontId="20" fillId="3" borderId="89" xfId="0" applyFont="1" applyFill="1" applyBorder="1" applyAlignment="1">
      <alignment horizontal="center" vertical="center"/>
    </xf>
    <xf numFmtId="0" fontId="11" fillId="3" borderId="89" xfId="0" applyFont="1" applyFill="1" applyBorder="1" applyAlignment="1">
      <alignment vertical="center" wrapText="1"/>
    </xf>
    <xf numFmtId="0" fontId="11" fillId="7" borderId="89" xfId="0" applyFont="1" applyFill="1" applyBorder="1" applyAlignment="1">
      <alignment horizontal="center" vertical="center" wrapText="1"/>
    </xf>
    <xf numFmtId="0" fontId="14" fillId="0" borderId="91" xfId="0" applyFont="1" applyBorder="1" applyAlignment="1">
      <alignment horizontal="center" vertical="center"/>
    </xf>
    <xf numFmtId="0" fontId="21" fillId="0" borderId="114" xfId="0" applyFont="1" applyBorder="1" applyAlignment="1">
      <alignment horizontal="center" vertical="center" wrapText="1"/>
    </xf>
    <xf numFmtId="16" fontId="12" fillId="0" borderId="89" xfId="0" quotePrefix="1" applyNumberFormat="1" applyFont="1" applyBorder="1" applyAlignment="1">
      <alignment horizontal="center" vertical="center" wrapText="1"/>
    </xf>
    <xf numFmtId="0" fontId="12" fillId="0" borderId="89" xfId="0" quotePrefix="1" applyFont="1" applyBorder="1" applyAlignment="1">
      <alignment horizontal="center" vertical="center" wrapText="1"/>
    </xf>
    <xf numFmtId="0" fontId="29" fillId="0" borderId="0" xfId="0" applyFont="1" applyAlignment="1">
      <alignment horizontal="center" vertical="center"/>
    </xf>
    <xf numFmtId="0" fontId="55" fillId="0" borderId="0" xfId="0" applyFont="1" applyAlignment="1">
      <alignment horizontal="center" vertical="center" wrapText="1"/>
    </xf>
    <xf numFmtId="0" fontId="12" fillId="8" borderId="89" xfId="0" applyFont="1" applyFill="1" applyBorder="1" applyAlignment="1">
      <alignment horizontal="center" vertical="center" wrapText="1"/>
    </xf>
    <xf numFmtId="0" fontId="31" fillId="0" borderId="89" xfId="0" applyFont="1" applyBorder="1" applyAlignment="1">
      <alignment horizontal="center" vertical="center" wrapText="1"/>
    </xf>
    <xf numFmtId="0" fontId="20" fillId="0" borderId="89" xfId="0" applyFont="1" applyBorder="1" applyAlignment="1">
      <alignment horizontal="center" vertical="center" wrapText="1"/>
    </xf>
    <xf numFmtId="0" fontId="15" fillId="0" borderId="89" xfId="0" applyFont="1" applyBorder="1" applyAlignment="1">
      <alignment horizontal="center" vertical="center"/>
    </xf>
    <xf numFmtId="0" fontId="12" fillId="0" borderId="5" xfId="0" applyFont="1" applyBorder="1" applyAlignment="1">
      <alignment horizontal="center" vertical="center" wrapText="1"/>
    </xf>
    <xf numFmtId="0" fontId="11" fillId="0" borderId="0" xfId="0" applyFont="1" applyAlignment="1">
      <alignment horizontal="center" wrapText="1"/>
    </xf>
    <xf numFmtId="0" fontId="0" fillId="0" borderId="89" xfId="0" applyBorder="1"/>
    <xf numFmtId="0" fontId="15" fillId="0" borderId="89" xfId="0" applyFont="1" applyBorder="1" applyAlignment="1">
      <alignment vertical="center" wrapText="1"/>
    </xf>
    <xf numFmtId="0" fontId="11" fillId="0" borderId="89" xfId="0" applyFont="1" applyBorder="1" applyAlignment="1">
      <alignment horizontal="center"/>
    </xf>
    <xf numFmtId="0" fontId="12" fillId="2" borderId="89" xfId="0" applyFont="1" applyFill="1" applyBorder="1" applyAlignment="1">
      <alignment vertical="center" wrapText="1"/>
    </xf>
    <xf numFmtId="0" fontId="12" fillId="0" borderId="89" xfId="0" applyFont="1" applyBorder="1" applyAlignment="1">
      <alignment vertical="center" wrapText="1"/>
    </xf>
    <xf numFmtId="0" fontId="11" fillId="0" borderId="0" xfId="0" applyFont="1" applyAlignment="1">
      <alignment vertical="center"/>
    </xf>
    <xf numFmtId="0" fontId="17" fillId="8" borderId="89" xfId="0" applyFont="1" applyFill="1" applyBorder="1" applyAlignment="1">
      <alignment horizontal="center" vertical="center" wrapText="1"/>
    </xf>
    <xf numFmtId="0" fontId="56" fillId="0" borderId="89" xfId="0" applyFont="1" applyBorder="1" applyAlignment="1">
      <alignment horizontal="center" vertical="center"/>
    </xf>
    <xf numFmtId="0" fontId="21" fillId="0" borderId="89" xfId="0" applyFont="1" applyBorder="1" applyAlignment="1">
      <alignment horizontal="center" vertical="center"/>
    </xf>
    <xf numFmtId="9" fontId="12" fillId="0" borderId="89" xfId="3" applyFont="1" applyBorder="1" applyAlignment="1">
      <alignment horizontal="center" vertical="center"/>
    </xf>
    <xf numFmtId="9" fontId="12" fillId="9" borderId="89" xfId="0" applyNumberFormat="1" applyFont="1" applyFill="1" applyBorder="1" applyAlignment="1">
      <alignment horizontal="center" vertical="center"/>
    </xf>
    <xf numFmtId="0" fontId="12" fillId="0" borderId="89" xfId="0" applyFont="1" applyBorder="1" applyAlignment="1">
      <alignment horizontal="center"/>
    </xf>
    <xf numFmtId="0" fontId="12" fillId="0" borderId="89" xfId="0" applyFont="1" applyBorder="1" applyAlignment="1">
      <alignment horizontal="center" wrapText="1"/>
    </xf>
    <xf numFmtId="0" fontId="20" fillId="0" borderId="89" xfId="0" applyFont="1" applyBorder="1" applyAlignment="1">
      <alignment horizontal="center" vertical="center"/>
    </xf>
    <xf numFmtId="0" fontId="0" fillId="0" borderId="91" xfId="0" applyBorder="1" applyAlignment="1">
      <alignment horizontal="center" vertical="center"/>
    </xf>
    <xf numFmtId="0" fontId="21" fillId="0" borderId="7" xfId="0" applyFont="1" applyBorder="1" applyAlignment="1">
      <alignment horizontal="center" vertical="center" wrapText="1"/>
    </xf>
    <xf numFmtId="0" fontId="56" fillId="0" borderId="89" xfId="0" applyFont="1" applyBorder="1" applyAlignment="1">
      <alignment horizontal="center" vertical="center" wrapText="1"/>
    </xf>
    <xf numFmtId="0" fontId="11" fillId="0" borderId="13" xfId="0" applyFont="1" applyBorder="1" applyAlignment="1">
      <alignment vertical="center" wrapText="1"/>
    </xf>
    <xf numFmtId="0" fontId="15" fillId="0" borderId="0" xfId="0" applyFont="1" applyAlignment="1">
      <alignment wrapText="1"/>
    </xf>
    <xf numFmtId="0" fontId="15" fillId="0" borderId="8" xfId="0" applyFont="1" applyBorder="1" applyAlignment="1">
      <alignment wrapText="1"/>
    </xf>
    <xf numFmtId="0" fontId="15" fillId="0" borderId="10" xfId="0" applyFont="1" applyBorder="1" applyAlignment="1">
      <alignment wrapText="1"/>
    </xf>
    <xf numFmtId="0" fontId="0" fillId="0" borderId="6" xfId="0" applyBorder="1" applyAlignment="1">
      <alignment vertical="center" wrapText="1"/>
    </xf>
    <xf numFmtId="0" fontId="11" fillId="2" borderId="89" xfId="0" applyFont="1" applyFill="1" applyBorder="1" applyAlignment="1">
      <alignment horizontal="center" vertical="center"/>
    </xf>
    <xf numFmtId="0" fontId="14" fillId="2" borderId="89" xfId="0" applyFont="1" applyFill="1" applyBorder="1" applyAlignment="1">
      <alignment horizontal="center" vertical="center" wrapText="1"/>
    </xf>
    <xf numFmtId="0" fontId="35" fillId="8" borderId="112" xfId="0" applyFont="1" applyFill="1" applyBorder="1" applyAlignment="1">
      <alignment horizontal="center" vertical="center" wrapText="1"/>
    </xf>
    <xf numFmtId="0" fontId="0" fillId="0" borderId="111" xfId="0" applyBorder="1"/>
    <xf numFmtId="0" fontId="11" fillId="8" borderId="89" xfId="0" applyFont="1" applyFill="1" applyBorder="1" applyAlignment="1" applyProtection="1">
      <alignment horizontal="center" vertical="center" wrapText="1"/>
      <protection locked="0"/>
    </xf>
    <xf numFmtId="2" fontId="35" fillId="8" borderId="89" xfId="0" applyNumberFormat="1" applyFont="1" applyFill="1" applyBorder="1" applyAlignment="1">
      <alignment horizontal="center" vertical="center" wrapText="1"/>
    </xf>
    <xf numFmtId="0" fontId="17" fillId="7" borderId="63" xfId="0" applyFont="1" applyFill="1" applyBorder="1" applyAlignment="1">
      <alignment horizontal="right" vertical="center"/>
    </xf>
    <xf numFmtId="0" fontId="17" fillId="7" borderId="48" xfId="0" applyFont="1" applyFill="1" applyBorder="1" applyAlignment="1">
      <alignment horizontal="right" vertical="center" wrapText="1"/>
    </xf>
    <xf numFmtId="0" fontId="0" fillId="15" borderId="0" xfId="0" applyFill="1" applyProtection="1">
      <protection locked="0"/>
    </xf>
    <xf numFmtId="0" fontId="14" fillId="0" borderId="0" xfId="0" applyFont="1" applyAlignment="1">
      <alignment horizontal="center" vertical="center" wrapText="1"/>
    </xf>
    <xf numFmtId="0" fontId="17" fillId="7" borderId="68" xfId="0" applyFont="1" applyFill="1" applyBorder="1" applyAlignment="1">
      <alignment horizontal="center" vertical="center"/>
    </xf>
    <xf numFmtId="49" fontId="15" fillId="15" borderId="1" xfId="0" applyNumberFormat="1" applyFont="1" applyFill="1" applyBorder="1" applyAlignment="1" applyProtection="1">
      <alignment horizontal="center" vertical="center"/>
      <protection locked="0"/>
    </xf>
    <xf numFmtId="0" fontId="0" fillId="11" borderId="1" xfId="0" applyFill="1" applyBorder="1" applyAlignment="1" applyProtection="1">
      <alignment horizontal="center" vertical="center" wrapText="1"/>
      <protection locked="0"/>
    </xf>
    <xf numFmtId="0" fontId="17" fillId="7" borderId="63" xfId="0" applyFont="1" applyFill="1" applyBorder="1" applyAlignment="1">
      <alignment horizontal="right" vertical="center" wrapText="1"/>
    </xf>
    <xf numFmtId="0" fontId="17" fillId="7" borderId="64" xfId="0" applyFont="1" applyFill="1" applyBorder="1" applyAlignment="1">
      <alignment horizontal="right" vertical="center" wrapText="1"/>
    </xf>
    <xf numFmtId="0" fontId="15" fillId="3" borderId="0" xfId="0" applyFont="1" applyFill="1" applyAlignment="1">
      <alignment horizontal="center" vertical="center" wrapText="1"/>
    </xf>
    <xf numFmtId="0" fontId="0" fillId="3" borderId="106" xfId="0" applyFill="1" applyBorder="1" applyAlignment="1">
      <alignment horizontal="center" vertical="center" wrapText="1"/>
    </xf>
    <xf numFmtId="1" fontId="0" fillId="3" borderId="25" xfId="0" applyNumberFormat="1" applyFill="1" applyBorder="1" applyAlignment="1">
      <alignment horizontal="center" vertical="center" wrapText="1"/>
    </xf>
    <xf numFmtId="0" fontId="0" fillId="3" borderId="25" xfId="0" applyFill="1" applyBorder="1" applyAlignment="1">
      <alignment horizontal="center" vertical="center" wrapText="1"/>
    </xf>
    <xf numFmtId="175" fontId="0" fillId="3" borderId="25" xfId="0" applyNumberFormat="1" applyFill="1" applyBorder="1" applyAlignment="1">
      <alignment horizontal="center" vertical="center" wrapText="1"/>
    </xf>
    <xf numFmtId="1" fontId="0" fillId="3" borderId="107" xfId="0" applyNumberFormat="1" applyFill="1" applyBorder="1" applyAlignment="1">
      <alignment horizontal="center" vertical="center" wrapText="1"/>
    </xf>
    <xf numFmtId="165" fontId="15" fillId="0" borderId="0" xfId="2" applyFont="1" applyAlignment="1">
      <alignment horizontal="center" vertical="center"/>
    </xf>
    <xf numFmtId="165" fontId="15" fillId="0" borderId="0" xfId="2" applyFont="1"/>
    <xf numFmtId="165" fontId="15" fillId="0" borderId="0" xfId="2" applyFont="1" applyAlignment="1">
      <alignment vertical="center"/>
    </xf>
    <xf numFmtId="9" fontId="14" fillId="0" borderId="89" xfId="0" applyNumberFormat="1" applyFont="1" applyBorder="1" applyAlignment="1">
      <alignment horizontal="center" vertical="center"/>
    </xf>
    <xf numFmtId="0" fontId="15" fillId="15" borderId="45" xfId="0" applyFont="1" applyFill="1" applyBorder="1" applyAlignment="1" applyProtection="1">
      <alignment horizontal="center" vertical="center"/>
      <protection locked="0"/>
    </xf>
    <xf numFmtId="0" fontId="14" fillId="7" borderId="34" xfId="0" applyFont="1" applyFill="1" applyBorder="1" applyAlignment="1">
      <alignment horizontal="center" vertical="center"/>
    </xf>
    <xf numFmtId="0" fontId="0" fillId="3" borderId="20" xfId="0" applyFill="1" applyBorder="1" applyAlignment="1">
      <alignment horizontal="center" vertical="center"/>
    </xf>
    <xf numFmtId="166" fontId="15" fillId="15" borderId="29" xfId="0" applyNumberFormat="1" applyFont="1" applyFill="1" applyBorder="1" applyAlignment="1" applyProtection="1">
      <alignment horizontal="center" vertical="center"/>
      <protection locked="0"/>
    </xf>
    <xf numFmtId="1" fontId="15" fillId="15" borderId="30" xfId="0" quotePrefix="1" applyNumberFormat="1" applyFont="1" applyFill="1" applyBorder="1" applyAlignment="1" applyProtection="1">
      <alignment horizontal="center" vertical="center"/>
      <protection locked="0"/>
    </xf>
    <xf numFmtId="0" fontId="15" fillId="15" borderId="14" xfId="0" applyFont="1" applyFill="1" applyBorder="1" applyAlignment="1" applyProtection="1">
      <alignment horizontal="center" vertical="center" wrapText="1"/>
      <protection locked="0"/>
    </xf>
    <xf numFmtId="0" fontId="15" fillId="15" borderId="23" xfId="0" applyFont="1" applyFill="1" applyBorder="1" applyAlignment="1" applyProtection="1">
      <alignment horizontal="center" vertical="center" wrapText="1"/>
      <protection locked="0"/>
    </xf>
    <xf numFmtId="166" fontId="15" fillId="15" borderId="1" xfId="0" applyNumberFormat="1" applyFont="1" applyFill="1" applyBorder="1" applyAlignment="1" applyProtection="1">
      <alignment horizontal="center" vertical="center"/>
      <protection locked="0"/>
    </xf>
    <xf numFmtId="14" fontId="0" fillId="8" borderId="89" xfId="2" applyNumberFormat="1" applyFont="1" applyFill="1" applyBorder="1" applyAlignment="1">
      <alignment horizontal="center" vertical="center"/>
    </xf>
    <xf numFmtId="0" fontId="2" fillId="8" borderId="89" xfId="0" applyFont="1" applyFill="1" applyBorder="1" applyAlignment="1">
      <alignment horizontal="center" vertical="center" wrapText="1"/>
    </xf>
    <xf numFmtId="49" fontId="2" fillId="8" borderId="89" xfId="0" applyNumberFormat="1" applyFont="1" applyFill="1" applyBorder="1" applyAlignment="1">
      <alignment horizontal="center" vertical="center" wrapText="1"/>
    </xf>
    <xf numFmtId="169" fontId="0" fillId="8" borderId="0" xfId="2" applyNumberFormat="1" applyFont="1" applyFill="1" applyAlignment="1">
      <alignment horizontal="center" vertical="center"/>
    </xf>
    <xf numFmtId="0" fontId="0" fillId="15" borderId="59" xfId="0" applyFill="1" applyBorder="1" applyAlignment="1" applyProtection="1">
      <alignment horizontal="center" vertical="center"/>
      <protection locked="0"/>
    </xf>
    <xf numFmtId="165" fontId="0" fillId="8" borderId="89" xfId="2" applyFont="1" applyFill="1" applyBorder="1" applyAlignment="1">
      <alignment horizontal="center" vertical="center" wrapText="1"/>
    </xf>
    <xf numFmtId="0" fontId="15" fillId="15" borderId="26" xfId="0" applyFont="1" applyFill="1" applyBorder="1" applyAlignment="1" applyProtection="1">
      <alignment horizontal="center" vertical="center"/>
      <protection locked="0"/>
    </xf>
    <xf numFmtId="9" fontId="0" fillId="0" borderId="0" xfId="0" applyNumberFormat="1" applyAlignment="1">
      <alignment horizontal="center"/>
    </xf>
    <xf numFmtId="165" fontId="0" fillId="0" borderId="0" xfId="2" applyFont="1" applyAlignment="1">
      <alignment horizontal="center"/>
    </xf>
    <xf numFmtId="0" fontId="0" fillId="0" borderId="0" xfId="0" applyAlignment="1">
      <alignment horizontal="right"/>
    </xf>
    <xf numFmtId="165" fontId="0" fillId="8" borderId="0" xfId="2" applyFont="1" applyFill="1" applyAlignment="1">
      <alignment horizontal="center"/>
    </xf>
    <xf numFmtId="165" fontId="0" fillId="0" borderId="0" xfId="2" applyFont="1" applyAlignment="1">
      <alignment horizontal="right"/>
    </xf>
    <xf numFmtId="165" fontId="0" fillId="0" borderId="0" xfId="2" applyFont="1" applyAlignment="1">
      <alignment horizontal="center" wrapText="1"/>
    </xf>
    <xf numFmtId="0" fontId="0" fillId="15" borderId="51" xfId="0" applyFill="1" applyBorder="1" applyAlignment="1" applyProtection="1">
      <alignment horizontal="center" vertical="center" wrapText="1"/>
      <protection locked="0"/>
    </xf>
    <xf numFmtId="0" fontId="14" fillId="7" borderId="68" xfId="0" applyFont="1" applyFill="1" applyBorder="1" applyAlignment="1">
      <alignment horizontal="center" vertical="center"/>
    </xf>
    <xf numFmtId="0" fontId="0" fillId="0" borderId="1" xfId="0" applyBorder="1" applyAlignment="1" applyProtection="1">
      <alignment vertical="center"/>
      <protection locked="0"/>
    </xf>
    <xf numFmtId="0" fontId="14" fillId="7" borderId="1" xfId="0" applyFont="1" applyFill="1" applyBorder="1" applyAlignment="1">
      <alignment horizontal="center" vertical="center" wrapText="1"/>
    </xf>
    <xf numFmtId="0" fontId="17" fillId="7" borderId="56" xfId="0" applyFont="1" applyFill="1" applyBorder="1" applyAlignment="1">
      <alignment horizontal="center" vertical="center"/>
    </xf>
    <xf numFmtId="0" fontId="14" fillId="7" borderId="56" xfId="0" applyFont="1" applyFill="1" applyBorder="1" applyAlignment="1">
      <alignment horizontal="center" vertical="center"/>
    </xf>
    <xf numFmtId="14" fontId="19" fillId="15" borderId="1" xfId="0" applyNumberFormat="1" applyFont="1" applyFill="1" applyBorder="1" applyAlignment="1">
      <alignment horizontal="center" vertical="center"/>
    </xf>
    <xf numFmtId="175" fontId="0" fillId="15" borderId="41" xfId="0" applyNumberFormat="1" applyFill="1" applyBorder="1" applyAlignment="1">
      <alignment horizontal="center" vertical="center"/>
    </xf>
    <xf numFmtId="1" fontId="0" fillId="15" borderId="26" xfId="0" applyNumberFormat="1" applyFill="1" applyBorder="1" applyAlignment="1">
      <alignment horizontal="center" vertical="center"/>
    </xf>
    <xf numFmtId="0" fontId="19" fillId="15" borderId="28" xfId="0" applyFont="1" applyFill="1" applyBorder="1" applyAlignment="1" applyProtection="1">
      <alignment horizontal="center" vertical="center" wrapText="1"/>
      <protection locked="0"/>
    </xf>
    <xf numFmtId="177" fontId="0" fillId="15" borderId="41" xfId="0" applyNumberFormat="1" applyFill="1" applyBorder="1" applyAlignment="1" applyProtection="1">
      <alignment vertical="center"/>
      <protection locked="0"/>
    </xf>
    <xf numFmtId="0" fontId="19" fillId="15" borderId="29" xfId="0" applyFont="1" applyFill="1" applyBorder="1" applyAlignment="1" applyProtection="1">
      <alignment horizontal="center" vertical="center" wrapText="1"/>
      <protection locked="0"/>
    </xf>
    <xf numFmtId="0" fontId="19" fillId="15" borderId="31" xfId="0" applyFont="1" applyFill="1" applyBorder="1" applyAlignment="1" applyProtection="1">
      <alignment horizontal="center" vertical="center" wrapText="1"/>
      <protection locked="0"/>
    </xf>
    <xf numFmtId="177" fontId="0" fillId="15" borderId="37" xfId="0" applyNumberFormat="1" applyFill="1" applyBorder="1" applyAlignment="1" applyProtection="1">
      <alignment vertical="center"/>
      <protection locked="0"/>
    </xf>
    <xf numFmtId="1" fontId="15" fillId="15" borderId="1" xfId="0" applyNumberFormat="1" applyFont="1" applyFill="1" applyBorder="1" applyAlignment="1" applyProtection="1">
      <alignment horizontal="center" vertical="center"/>
      <protection locked="0"/>
    </xf>
    <xf numFmtId="1" fontId="15" fillId="15" borderId="41" xfId="0" applyNumberFormat="1" applyFont="1" applyFill="1" applyBorder="1" applyAlignment="1" applyProtection="1">
      <alignment horizontal="center" vertical="center"/>
      <protection locked="0"/>
    </xf>
    <xf numFmtId="1" fontId="15" fillId="15" borderId="37" xfId="0" applyNumberFormat="1" applyFont="1" applyFill="1" applyBorder="1" applyAlignment="1" applyProtection="1">
      <alignment horizontal="center" vertical="center"/>
      <protection locked="0"/>
    </xf>
    <xf numFmtId="0" fontId="17" fillId="7" borderId="68" xfId="0" applyFont="1" applyFill="1" applyBorder="1" applyAlignment="1">
      <alignment vertical="center"/>
    </xf>
    <xf numFmtId="0" fontId="17" fillId="7" borderId="69" xfId="0" applyFont="1" applyFill="1" applyBorder="1" applyAlignment="1">
      <alignment vertical="center"/>
    </xf>
    <xf numFmtId="0" fontId="17" fillId="7" borderId="69" xfId="0" applyFont="1" applyFill="1" applyBorder="1" applyAlignment="1">
      <alignment horizontal="center" vertical="center" wrapText="1"/>
    </xf>
    <xf numFmtId="0" fontId="17" fillId="7" borderId="70" xfId="0" applyFont="1" applyFill="1" applyBorder="1" applyAlignment="1">
      <alignment horizontal="center" vertical="center" wrapText="1"/>
    </xf>
    <xf numFmtId="0" fontId="10" fillId="7" borderId="28" xfId="0" applyFont="1" applyFill="1" applyBorder="1" applyAlignment="1">
      <alignment horizontal="center" vertical="center"/>
    </xf>
    <xf numFmtId="0" fontId="10" fillId="7" borderId="41" xfId="0" applyFont="1" applyFill="1" applyBorder="1" applyAlignment="1">
      <alignment horizontal="center" vertical="center"/>
    </xf>
    <xf numFmtId="0" fontId="19" fillId="15" borderId="69" xfId="0" applyFont="1" applyFill="1" applyBorder="1" applyAlignment="1" applyProtection="1">
      <alignment horizontal="center" vertical="center" wrapText="1"/>
      <protection locked="0"/>
    </xf>
    <xf numFmtId="0" fontId="19" fillId="0" borderId="69" xfId="0" applyFont="1" applyBorder="1" applyAlignment="1" applyProtection="1">
      <alignment horizontal="center" vertical="center" wrapText="1"/>
      <protection locked="0"/>
    </xf>
    <xf numFmtId="0" fontId="15" fillId="0" borderId="70" xfId="0" applyFont="1" applyBorder="1" applyAlignment="1" applyProtection="1">
      <alignment horizontal="center" vertical="center" wrapText="1"/>
      <protection locked="0"/>
    </xf>
    <xf numFmtId="0" fontId="0" fillId="15" borderId="1" xfId="0" applyFill="1" applyBorder="1" applyAlignment="1" applyProtection="1">
      <alignment vertical="center"/>
      <protection locked="0"/>
    </xf>
    <xf numFmtId="0" fontId="0" fillId="15" borderId="0" xfId="0" applyFill="1" applyAlignment="1" applyProtection="1">
      <alignment horizontal="center" vertical="center"/>
      <protection locked="0"/>
    </xf>
    <xf numFmtId="0" fontId="0" fillId="15" borderId="12" xfId="0" applyFill="1" applyBorder="1" applyAlignment="1" applyProtection="1">
      <alignment horizontal="center" vertical="center"/>
      <protection locked="0"/>
    </xf>
    <xf numFmtId="0" fontId="15" fillId="15" borderId="37" xfId="0" applyFont="1" applyFill="1" applyBorder="1" applyAlignment="1" applyProtection="1">
      <alignment horizontal="center" vertical="center" wrapText="1"/>
      <protection locked="0"/>
    </xf>
    <xf numFmtId="0" fontId="15" fillId="15" borderId="125" xfId="0" applyFont="1" applyFill="1" applyBorder="1" applyAlignment="1" applyProtection="1">
      <alignment horizontal="center" vertical="center"/>
      <protection locked="0"/>
    </xf>
    <xf numFmtId="0" fontId="0" fillId="21" borderId="1" xfId="0" applyFill="1" applyBorder="1" applyAlignment="1" applyProtection="1">
      <alignment horizontal="center" vertical="center"/>
      <protection locked="0"/>
    </xf>
    <xf numFmtId="0" fontId="0" fillId="21" borderId="30" xfId="0" applyFill="1" applyBorder="1" applyAlignment="1" applyProtection="1">
      <alignment horizontal="center" vertical="center"/>
      <protection locked="0"/>
    </xf>
    <xf numFmtId="0" fontId="15" fillId="15" borderId="124" xfId="0" applyFont="1" applyFill="1" applyBorder="1" applyAlignment="1" applyProtection="1">
      <alignment horizontal="center" vertical="center"/>
      <protection locked="0"/>
    </xf>
    <xf numFmtId="0" fontId="15" fillId="15" borderId="12" xfId="0" applyFont="1" applyFill="1" applyBorder="1" applyAlignment="1" applyProtection="1">
      <alignment horizontal="center" vertical="center"/>
      <protection locked="0"/>
    </xf>
    <xf numFmtId="0" fontId="15" fillId="15" borderId="30" xfId="0" applyFont="1" applyFill="1" applyBorder="1" applyAlignment="1" applyProtection="1">
      <alignment horizontal="center" vertical="center" wrapText="1"/>
      <protection locked="0"/>
    </xf>
    <xf numFmtId="0" fontId="15" fillId="15" borderId="69" xfId="0" applyFont="1" applyFill="1" applyBorder="1" applyAlignment="1" applyProtection="1">
      <alignment horizontal="center" vertical="center" wrapText="1"/>
      <protection locked="0"/>
    </xf>
    <xf numFmtId="0" fontId="15" fillId="15" borderId="35" xfId="0" applyFont="1" applyFill="1" applyBorder="1" applyAlignment="1" applyProtection="1">
      <alignment horizontal="center" vertical="center" wrapText="1"/>
      <protection locked="0"/>
    </xf>
    <xf numFmtId="49" fontId="15" fillId="15" borderId="1" xfId="0" quotePrefix="1" applyNumberFormat="1" applyFont="1" applyFill="1" applyBorder="1" applyAlignment="1" applyProtection="1">
      <alignment horizontal="center" vertical="center"/>
      <protection locked="0"/>
    </xf>
    <xf numFmtId="175" fontId="19" fillId="15" borderId="29" xfId="0" applyNumberFormat="1" applyFont="1" applyFill="1" applyBorder="1" applyAlignment="1" applyProtection="1">
      <alignment horizontal="center" vertical="center"/>
      <protection locked="0"/>
    </xf>
    <xf numFmtId="2" fontId="15" fillId="15" borderId="1" xfId="0" quotePrefix="1" applyNumberFormat="1" applyFont="1" applyFill="1" applyBorder="1" applyAlignment="1" applyProtection="1">
      <alignment horizontal="center" vertical="center" wrapText="1"/>
      <protection locked="0"/>
    </xf>
    <xf numFmtId="166" fontId="15" fillId="15" borderId="37" xfId="0" applyNumberFormat="1" applyFont="1" applyFill="1" applyBorder="1" applyAlignment="1" applyProtection="1">
      <alignment horizontal="center" vertical="center"/>
      <protection locked="0"/>
    </xf>
    <xf numFmtId="49" fontId="15" fillId="15" borderId="37" xfId="0" quotePrefix="1" applyNumberFormat="1" applyFont="1" applyFill="1" applyBorder="1" applyAlignment="1" applyProtection="1">
      <alignment horizontal="center" vertical="center"/>
      <protection locked="0"/>
    </xf>
    <xf numFmtId="166" fontId="15" fillId="15" borderId="69" xfId="0" applyNumberFormat="1" applyFont="1" applyFill="1" applyBorder="1" applyAlignment="1" applyProtection="1">
      <alignment horizontal="center" vertical="center"/>
      <protection locked="0"/>
    </xf>
    <xf numFmtId="0" fontId="15" fillId="15" borderId="30" xfId="0" applyFont="1" applyFill="1" applyBorder="1" applyAlignment="1" applyProtection="1">
      <alignment horizontal="center" vertical="center"/>
      <protection locked="0"/>
    </xf>
    <xf numFmtId="0" fontId="0" fillId="21" borderId="1" xfId="0" applyFill="1" applyBorder="1" applyAlignment="1" applyProtection="1">
      <alignment vertical="center"/>
      <protection locked="0"/>
    </xf>
    <xf numFmtId="0" fontId="15" fillId="21" borderId="1" xfId="0" applyFont="1" applyFill="1" applyBorder="1" applyAlignment="1" applyProtection="1">
      <alignment horizontal="center" vertical="center"/>
      <protection locked="0"/>
    </xf>
    <xf numFmtId="0" fontId="15" fillId="21" borderId="30" xfId="0" applyFont="1" applyFill="1" applyBorder="1" applyAlignment="1" applyProtection="1">
      <alignment horizontal="center" vertical="center"/>
      <protection locked="0"/>
    </xf>
    <xf numFmtId="49" fontId="15" fillId="21" borderId="30" xfId="2" applyNumberFormat="1" applyFont="1" applyFill="1" applyBorder="1" applyAlignment="1" applyProtection="1">
      <alignment horizontal="center" vertical="center"/>
      <protection locked="0"/>
    </xf>
    <xf numFmtId="49" fontId="15" fillId="21" borderId="1" xfId="2" applyNumberFormat="1" applyFont="1" applyFill="1" applyBorder="1" applyAlignment="1" applyProtection="1">
      <alignment horizontal="center" vertical="center"/>
      <protection locked="0"/>
    </xf>
    <xf numFmtId="166" fontId="15" fillId="21" borderId="1" xfId="0" applyNumberFormat="1" applyFont="1" applyFill="1" applyBorder="1" applyAlignment="1" applyProtection="1">
      <alignment horizontal="center" vertical="center"/>
      <protection locked="0"/>
    </xf>
    <xf numFmtId="0" fontId="15" fillId="21" borderId="29" xfId="0" applyFont="1" applyFill="1" applyBorder="1" applyAlignment="1" applyProtection="1">
      <alignment horizontal="center" vertical="center" wrapText="1"/>
      <protection locked="0"/>
    </xf>
    <xf numFmtId="2" fontId="15" fillId="21" borderId="29" xfId="0" quotePrefix="1" applyNumberFormat="1" applyFont="1" applyFill="1" applyBorder="1" applyAlignment="1" applyProtection="1">
      <alignment horizontal="center" vertical="center" wrapText="1"/>
      <protection locked="0"/>
    </xf>
    <xf numFmtId="0" fontId="0" fillId="3" borderId="0" xfId="0" applyFill="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15" fillId="15" borderId="29" xfId="0" applyFont="1" applyFill="1" applyBorder="1" applyAlignment="1" applyProtection="1">
      <alignment horizontal="center" vertical="center" wrapText="1"/>
      <protection locked="0"/>
    </xf>
    <xf numFmtId="0" fontId="15" fillId="3" borderId="1" xfId="0" applyFont="1" applyFill="1" applyBorder="1" applyAlignment="1" applyProtection="1">
      <alignment horizontal="center" vertical="center"/>
      <protection locked="0"/>
    </xf>
    <xf numFmtId="49" fontId="0" fillId="0" borderId="125" xfId="0" applyNumberFormat="1" applyBorder="1" applyAlignment="1" applyProtection="1">
      <alignment horizontal="center" vertical="center"/>
      <protection locked="0"/>
    </xf>
    <xf numFmtId="0" fontId="0" fillId="15" borderId="2" xfId="0" applyFill="1" applyBorder="1" applyAlignment="1" applyProtection="1">
      <alignment horizontal="center" vertical="center" wrapText="1"/>
      <protection locked="0"/>
    </xf>
    <xf numFmtId="0" fontId="0" fillId="15" borderId="0" xfId="0" applyFill="1" applyAlignment="1" applyProtection="1">
      <alignment horizontal="center" vertical="center" wrapText="1"/>
      <protection locked="0"/>
    </xf>
    <xf numFmtId="0" fontId="0" fillId="3" borderId="125" xfId="0" applyFill="1" applyBorder="1" applyAlignment="1" applyProtection="1">
      <alignment horizontal="center" vertical="center"/>
      <protection locked="0"/>
    </xf>
    <xf numFmtId="0" fontId="15" fillId="21" borderId="124" xfId="0" applyFont="1" applyFill="1" applyBorder="1" applyAlignment="1" applyProtection="1">
      <alignment horizontal="center" vertical="center"/>
      <protection locked="0"/>
    </xf>
    <xf numFmtId="0" fontId="15" fillId="15" borderId="125" xfId="0" applyFont="1" applyFill="1" applyBorder="1" applyAlignment="1" applyProtection="1">
      <alignment horizontal="center" vertical="center"/>
      <protection locked="0"/>
    </xf>
    <xf numFmtId="0" fontId="17" fillId="7" borderId="63" xfId="0" applyFont="1" applyFill="1" applyBorder="1" applyAlignment="1">
      <alignment horizontal="right" vertical="center"/>
    </xf>
    <xf numFmtId="0" fontId="17" fillId="7" borderId="5" xfId="0" applyFont="1" applyFill="1" applyBorder="1" applyAlignment="1">
      <alignment horizontal="right" vertical="center"/>
    </xf>
    <xf numFmtId="0" fontId="19" fillId="3" borderId="29" xfId="0" applyFont="1" applyFill="1" applyBorder="1" applyAlignment="1" applyProtection="1">
      <alignment horizontal="center" vertical="center"/>
      <protection locked="0"/>
    </xf>
    <xf numFmtId="0" fontId="19" fillId="3" borderId="1" xfId="0" applyFont="1" applyFill="1" applyBorder="1" applyAlignment="1" applyProtection="1">
      <alignment horizontal="center" vertical="center"/>
      <protection locked="0"/>
    </xf>
    <xf numFmtId="0" fontId="15" fillId="3" borderId="29" xfId="0" applyFont="1" applyFill="1" applyBorder="1" applyAlignment="1" applyProtection="1">
      <alignment horizontal="center" vertical="center"/>
      <protection locked="0"/>
    </xf>
    <xf numFmtId="0" fontId="17" fillId="7" borderId="29" xfId="0" applyFont="1" applyFill="1" applyBorder="1" applyAlignment="1">
      <alignment horizontal="right" vertical="center" wrapText="1"/>
    </xf>
    <xf numFmtId="0" fontId="17" fillId="7" borderId="1" xfId="0" applyFont="1" applyFill="1" applyBorder="1" applyAlignment="1">
      <alignment horizontal="right" vertical="center" wrapText="1"/>
    </xf>
    <xf numFmtId="0" fontId="14" fillId="7" borderId="73" xfId="0" applyFont="1" applyFill="1" applyBorder="1" applyAlignment="1">
      <alignment horizontal="center" vertical="center"/>
    </xf>
    <xf numFmtId="0" fontId="14" fillId="7" borderId="72" xfId="0" applyFont="1" applyFill="1" applyBorder="1" applyAlignment="1">
      <alignment horizontal="center" vertical="center"/>
    </xf>
    <xf numFmtId="177" fontId="13" fillId="15" borderId="41" xfId="2" applyNumberFormat="1" applyFont="1" applyFill="1" applyBorder="1" applyAlignment="1">
      <alignment horizontal="center" vertical="center"/>
    </xf>
    <xf numFmtId="176" fontId="13" fillId="15" borderId="41" xfId="2" applyNumberFormat="1" applyFont="1" applyFill="1" applyBorder="1" applyAlignment="1">
      <alignment horizontal="center" vertical="center"/>
    </xf>
    <xf numFmtId="177" fontId="13" fillId="15" borderId="1" xfId="2" applyNumberFormat="1" applyFont="1" applyFill="1" applyBorder="1" applyAlignment="1">
      <alignment horizontal="center" vertical="center"/>
    </xf>
    <xf numFmtId="176" fontId="13" fillId="15" borderId="1" xfId="2" applyNumberFormat="1" applyFont="1" applyFill="1" applyBorder="1" applyAlignment="1">
      <alignment horizontal="center" vertical="center"/>
    </xf>
    <xf numFmtId="4" fontId="13" fillId="15" borderId="1" xfId="2" applyNumberFormat="1" applyFont="1" applyFill="1" applyBorder="1" applyAlignment="1">
      <alignment horizontal="center" vertical="center"/>
    </xf>
    <xf numFmtId="4" fontId="13" fillId="15" borderId="37" xfId="2" applyNumberFormat="1" applyFont="1" applyFill="1" applyBorder="1" applyAlignment="1">
      <alignment horizontal="center" vertical="center"/>
    </xf>
    <xf numFmtId="176" fontId="13" fillId="15" borderId="37" xfId="2" applyNumberFormat="1" applyFont="1" applyFill="1" applyBorder="1" applyAlignment="1">
      <alignment horizontal="center" vertical="center"/>
    </xf>
    <xf numFmtId="0" fontId="15" fillId="15" borderId="50" xfId="0" applyFont="1" applyFill="1" applyBorder="1" applyAlignment="1" applyProtection="1">
      <alignment horizontal="center" vertical="center"/>
      <protection locked="0"/>
    </xf>
    <xf numFmtId="0" fontId="15" fillId="15" borderId="43" xfId="0" applyFont="1" applyFill="1" applyBorder="1" applyAlignment="1" applyProtection="1">
      <alignment horizontal="center" vertical="center"/>
      <protection locked="0"/>
    </xf>
    <xf numFmtId="49" fontId="15" fillId="15" borderId="23" xfId="0" applyNumberFormat="1" applyFont="1" applyFill="1" applyBorder="1" applyAlignment="1" applyProtection="1">
      <alignment horizontal="center" vertical="center"/>
      <protection locked="0"/>
    </xf>
    <xf numFmtId="49" fontId="15" fillId="15" borderId="58" xfId="0" applyNumberFormat="1" applyFont="1" applyFill="1" applyBorder="1" applyAlignment="1" applyProtection="1">
      <alignment horizontal="center" vertical="center"/>
      <protection locked="0"/>
    </xf>
    <xf numFmtId="0" fontId="0" fillId="15" borderId="1" xfId="0" applyFill="1"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15" fillId="3" borderId="31" xfId="0" applyFont="1" applyFill="1" applyBorder="1" applyAlignment="1" applyProtection="1">
      <alignment horizontal="center" vertical="center"/>
      <protection locked="0"/>
    </xf>
    <xf numFmtId="0" fontId="15" fillId="3" borderId="37" xfId="0" applyFont="1" applyFill="1" applyBorder="1" applyAlignment="1" applyProtection="1">
      <alignment horizontal="center" vertical="center"/>
      <protection locked="0"/>
    </xf>
    <xf numFmtId="0" fontId="14" fillId="7" borderId="68" xfId="0" applyFont="1" applyFill="1" applyBorder="1" applyAlignment="1">
      <alignment horizontal="center" vertical="center"/>
    </xf>
    <xf numFmtId="0" fontId="14" fillId="7" borderId="69" xfId="0" applyFont="1" applyFill="1" applyBorder="1" applyAlignment="1">
      <alignment horizontal="center" vertical="center"/>
    </xf>
    <xf numFmtId="0" fontId="14" fillId="6" borderId="43" xfId="0" applyFont="1" applyFill="1" applyBorder="1" applyAlignment="1">
      <alignment horizontal="center" vertical="center"/>
    </xf>
    <xf numFmtId="0" fontId="14" fillId="6" borderId="58" xfId="0" applyFont="1" applyFill="1" applyBorder="1" applyAlignment="1">
      <alignment horizontal="center" vertical="center"/>
    </xf>
    <xf numFmtId="0" fontId="14" fillId="6" borderId="67" xfId="0" applyFont="1" applyFill="1" applyBorder="1" applyAlignment="1">
      <alignment horizontal="center" vertical="center"/>
    </xf>
    <xf numFmtId="0" fontId="11" fillId="15" borderId="41" xfId="0" applyFont="1" applyFill="1" applyBorder="1" applyAlignment="1" applyProtection="1">
      <alignment horizontal="center" vertical="center" wrapText="1"/>
      <protection locked="0"/>
    </xf>
    <xf numFmtId="0" fontId="11" fillId="15" borderId="26" xfId="0" applyFont="1" applyFill="1" applyBorder="1" applyAlignment="1" applyProtection="1">
      <alignment horizontal="center" vertical="center" wrapText="1"/>
      <protection locked="0"/>
    </xf>
    <xf numFmtId="0" fontId="11" fillId="15" borderId="1" xfId="0" applyFont="1" applyFill="1" applyBorder="1" applyAlignment="1" applyProtection="1">
      <alignment horizontal="center" vertical="center" wrapText="1"/>
      <protection locked="0"/>
    </xf>
    <xf numFmtId="0" fontId="11" fillId="15" borderId="30" xfId="0" applyFont="1" applyFill="1" applyBorder="1" applyAlignment="1" applyProtection="1">
      <alignment horizontal="center" vertical="center" wrapText="1"/>
      <protection locked="0"/>
    </xf>
    <xf numFmtId="0" fontId="11" fillId="15" borderId="37" xfId="0" applyFont="1" applyFill="1" applyBorder="1" applyAlignment="1" applyProtection="1">
      <alignment horizontal="center" vertical="center" wrapText="1"/>
      <protection locked="0"/>
    </xf>
    <xf numFmtId="0" fontId="11" fillId="15" borderId="27" xfId="0" applyFont="1" applyFill="1" applyBorder="1" applyAlignment="1" applyProtection="1">
      <alignment horizontal="center" vertical="center" wrapText="1"/>
      <protection locked="0"/>
    </xf>
    <xf numFmtId="0" fontId="49" fillId="15" borderId="12" xfId="0" applyFont="1" applyFill="1" applyBorder="1" applyAlignment="1" applyProtection="1">
      <alignment horizontal="center" vertical="center"/>
      <protection locked="0"/>
    </xf>
    <xf numFmtId="0" fontId="15" fillId="3" borderId="45" xfId="0" applyFont="1" applyFill="1" applyBorder="1" applyAlignment="1" applyProtection="1">
      <alignment horizontal="center" vertical="center"/>
      <protection locked="0"/>
    </xf>
    <xf numFmtId="0" fontId="15" fillId="3" borderId="125" xfId="0" applyFont="1" applyFill="1" applyBorder="1" applyAlignment="1" applyProtection="1">
      <alignment horizontal="center" vertical="center"/>
      <protection locked="0"/>
    </xf>
    <xf numFmtId="0" fontId="15" fillId="15" borderId="41" xfId="0" applyFont="1" applyFill="1" applyBorder="1" applyAlignment="1" applyProtection="1">
      <alignment horizontal="center" vertical="center"/>
      <protection locked="0"/>
    </xf>
    <xf numFmtId="0" fontId="15" fillId="15" borderId="1" xfId="0" applyFont="1" applyFill="1" applyBorder="1" applyAlignment="1" applyProtection="1">
      <alignment horizontal="center" vertical="center"/>
      <protection locked="0"/>
    </xf>
    <xf numFmtId="0" fontId="15" fillId="15" borderId="37" xfId="0" applyFont="1" applyFill="1" applyBorder="1" applyAlignment="1" applyProtection="1">
      <alignment horizontal="center" vertical="center"/>
      <protection locked="0"/>
    </xf>
    <xf numFmtId="0" fontId="15" fillId="15" borderId="41" xfId="0" applyFont="1" applyFill="1" applyBorder="1" applyAlignment="1" applyProtection="1">
      <alignment horizontal="center" vertical="center" wrapText="1"/>
      <protection locked="0"/>
    </xf>
    <xf numFmtId="0" fontId="15" fillId="15" borderId="1" xfId="0" applyFont="1" applyFill="1" applyBorder="1" applyAlignment="1" applyProtection="1">
      <alignment horizontal="center" vertical="center" wrapText="1"/>
      <protection locked="0"/>
    </xf>
    <xf numFmtId="0" fontId="15" fillId="15" borderId="37" xfId="0" applyFont="1" applyFill="1" applyBorder="1" applyAlignment="1" applyProtection="1">
      <alignment horizontal="center" vertical="center" wrapText="1"/>
      <protection locked="0"/>
    </xf>
    <xf numFmtId="0" fontId="17" fillId="7" borderId="69" xfId="0" applyFont="1" applyFill="1" applyBorder="1" applyAlignment="1">
      <alignment horizontal="center" vertical="center" wrapText="1"/>
    </xf>
    <xf numFmtId="16" fontId="15" fillId="15" borderId="41" xfId="0" quotePrefix="1" applyNumberFormat="1" applyFont="1" applyFill="1" applyBorder="1" applyAlignment="1" applyProtection="1">
      <alignment horizontal="center" vertical="center" wrapText="1"/>
      <protection locked="0"/>
    </xf>
    <xf numFmtId="16" fontId="15" fillId="15" borderId="1" xfId="0" quotePrefix="1" applyNumberFormat="1" applyFont="1" applyFill="1" applyBorder="1" applyAlignment="1" applyProtection="1">
      <alignment horizontal="center" vertical="center" wrapText="1"/>
      <protection locked="0"/>
    </xf>
    <xf numFmtId="16" fontId="15" fillId="15" borderId="37" xfId="0" quotePrefix="1" applyNumberFormat="1" applyFont="1" applyFill="1" applyBorder="1" applyAlignment="1" applyProtection="1">
      <alignment horizontal="center" vertical="center" wrapText="1"/>
      <protection locked="0"/>
    </xf>
    <xf numFmtId="0" fontId="0" fillId="3" borderId="30" xfId="0" applyFill="1" applyBorder="1" applyAlignment="1" applyProtection="1">
      <alignment horizontal="center" vertical="center"/>
      <protection locked="0"/>
    </xf>
    <xf numFmtId="0" fontId="17" fillId="7" borderId="63" xfId="0" applyFont="1" applyFill="1" applyBorder="1" applyAlignment="1">
      <alignment horizontal="right" vertical="center" wrapText="1"/>
    </xf>
    <xf numFmtId="0" fontId="17" fillId="7" borderId="4" xfId="0" applyFont="1" applyFill="1" applyBorder="1" applyAlignment="1">
      <alignment horizontal="right" vertical="center" wrapText="1"/>
    </xf>
    <xf numFmtId="0" fontId="0" fillId="15" borderId="3" xfId="0" applyFill="1" applyBorder="1" applyAlignment="1" applyProtection="1">
      <alignment horizontal="center" vertical="center"/>
      <protection locked="0"/>
    </xf>
    <xf numFmtId="0" fontId="0" fillId="0" borderId="39" xfId="0" applyBorder="1" applyAlignment="1" applyProtection="1">
      <alignment horizontal="center" vertical="center"/>
      <protection locked="0"/>
    </xf>
    <xf numFmtId="14" fontId="0" fillId="15" borderId="37" xfId="0" applyNumberFormat="1" applyFill="1"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17" fillId="7" borderId="64" xfId="0" applyFont="1" applyFill="1" applyBorder="1" applyAlignment="1">
      <alignment horizontal="right" vertical="center" wrapText="1"/>
    </xf>
    <xf numFmtId="0" fontId="17" fillId="7" borderId="54" xfId="0" applyFont="1" applyFill="1" applyBorder="1" applyAlignment="1">
      <alignment horizontal="right" vertical="center" wrapText="1"/>
    </xf>
    <xf numFmtId="0" fontId="15" fillId="15" borderId="29" xfId="0" applyFont="1" applyFill="1" applyBorder="1" applyAlignment="1" applyProtection="1">
      <alignment horizontal="center" vertical="center"/>
      <protection locked="0"/>
    </xf>
    <xf numFmtId="0" fontId="15" fillId="15" borderId="31" xfId="0" applyFont="1" applyFill="1" applyBorder="1" applyAlignment="1" applyProtection="1">
      <alignment horizontal="center" vertical="center"/>
      <protection locked="0"/>
    </xf>
    <xf numFmtId="49" fontId="0" fillId="15" borderId="41" xfId="0" quotePrefix="1" applyNumberFormat="1" applyFill="1" applyBorder="1" applyAlignment="1" applyProtection="1">
      <alignment horizontal="center" vertical="center"/>
      <protection locked="0"/>
    </xf>
    <xf numFmtId="49" fontId="0" fillId="15" borderId="1" xfId="0" quotePrefix="1" applyNumberFormat="1" applyFill="1" applyBorder="1" applyAlignment="1" applyProtection="1">
      <alignment horizontal="center" vertical="center"/>
      <protection locked="0"/>
    </xf>
    <xf numFmtId="49" fontId="0" fillId="15" borderId="37" xfId="0" quotePrefix="1" applyNumberFormat="1" applyFill="1" applyBorder="1" applyAlignment="1" applyProtection="1">
      <alignment horizontal="center" vertical="center"/>
      <protection locked="0"/>
    </xf>
    <xf numFmtId="1" fontId="15" fillId="21" borderId="3" xfId="0" applyNumberFormat="1" applyFont="1" applyFill="1" applyBorder="1" applyAlignment="1" applyProtection="1">
      <alignment horizontal="center" vertical="center" wrapText="1"/>
      <protection locked="0"/>
    </xf>
    <xf numFmtId="1" fontId="15" fillId="15" borderId="39" xfId="0" applyNumberFormat="1" applyFont="1" applyFill="1" applyBorder="1" applyAlignment="1" applyProtection="1">
      <alignment horizontal="center" vertical="center" wrapText="1"/>
      <protection locked="0"/>
    </xf>
    <xf numFmtId="0" fontId="17" fillId="7" borderId="23" xfId="0" applyFont="1" applyFill="1" applyBorder="1" applyAlignment="1">
      <alignment horizontal="center" vertical="center" wrapText="1"/>
    </xf>
    <xf numFmtId="0" fontId="17" fillId="7" borderId="23" xfId="0" applyFont="1" applyFill="1" applyBorder="1" applyAlignment="1">
      <alignment horizontal="center" vertical="center"/>
    </xf>
    <xf numFmtId="0" fontId="15" fillId="15" borderId="26" xfId="0" applyFont="1" applyFill="1" applyBorder="1" applyAlignment="1" applyProtection="1">
      <alignment horizontal="center" vertical="center"/>
      <protection locked="0"/>
    </xf>
    <xf numFmtId="0" fontId="15" fillId="15" borderId="30" xfId="0" applyFont="1" applyFill="1" applyBorder="1" applyAlignment="1" applyProtection="1">
      <alignment horizontal="center" vertical="center"/>
      <protection locked="0"/>
    </xf>
    <xf numFmtId="0" fontId="15" fillId="15" borderId="27" xfId="0" applyFont="1" applyFill="1" applyBorder="1" applyAlignment="1" applyProtection="1">
      <alignment horizontal="center" vertical="center"/>
      <protection locked="0"/>
    </xf>
    <xf numFmtId="0" fontId="17" fillId="7" borderId="50" xfId="0" applyFont="1" applyFill="1" applyBorder="1" applyAlignment="1">
      <alignment horizontal="center" vertical="center" wrapText="1"/>
    </xf>
    <xf numFmtId="0" fontId="18" fillId="7" borderId="41" xfId="0" applyFont="1" applyFill="1" applyBorder="1" applyAlignment="1">
      <alignment horizontal="center" vertical="center" wrapText="1"/>
    </xf>
    <xf numFmtId="0" fontId="18" fillId="7" borderId="26" xfId="0" applyFont="1" applyFill="1" applyBorder="1" applyAlignment="1">
      <alignment horizontal="center" vertical="center" wrapText="1"/>
    </xf>
    <xf numFmtId="0" fontId="19" fillId="15" borderId="1" xfId="0" applyFont="1" applyFill="1" applyBorder="1" applyAlignment="1" applyProtection="1">
      <alignment horizontal="center" vertical="center" wrapText="1"/>
      <protection locked="0"/>
    </xf>
    <xf numFmtId="0" fontId="19" fillId="15" borderId="30" xfId="0" applyFont="1" applyFill="1" applyBorder="1" applyAlignment="1" applyProtection="1">
      <alignment horizontal="center" vertical="center" wrapText="1"/>
      <protection locked="0"/>
    </xf>
    <xf numFmtId="0" fontId="15" fillId="21" borderId="1" xfId="0" applyFont="1" applyFill="1" applyBorder="1" applyAlignment="1" applyProtection="1">
      <alignment horizontal="center" vertical="center" wrapText="1"/>
      <protection locked="0"/>
    </xf>
    <xf numFmtId="0" fontId="15" fillId="3" borderId="30" xfId="0" applyFont="1" applyFill="1" applyBorder="1" applyAlignment="1" applyProtection="1">
      <alignment horizontal="center" vertical="center" wrapText="1"/>
      <protection locked="0"/>
    </xf>
    <xf numFmtId="49" fontId="15" fillId="21" borderId="3" xfId="0" quotePrefix="1" applyNumberFormat="1" applyFont="1" applyFill="1" applyBorder="1" applyAlignment="1" applyProtection="1">
      <alignment horizontal="center" vertical="center"/>
      <protection locked="0"/>
    </xf>
    <xf numFmtId="49" fontId="15" fillId="3" borderId="39" xfId="0" quotePrefix="1" applyNumberFormat="1" applyFont="1" applyFill="1" applyBorder="1" applyAlignment="1" applyProtection="1">
      <alignment horizontal="center" vertical="center"/>
      <protection locked="0"/>
    </xf>
    <xf numFmtId="0" fontId="17" fillId="7" borderId="29" xfId="0" applyFont="1" applyFill="1" applyBorder="1" applyAlignment="1">
      <alignment horizontal="right" vertical="center"/>
    </xf>
    <xf numFmtId="0" fontId="17" fillId="7" borderId="1" xfId="0" applyFont="1" applyFill="1" applyBorder="1" applyAlignment="1">
      <alignment horizontal="right" vertical="center"/>
    </xf>
    <xf numFmtId="0" fontId="17" fillId="7" borderId="5" xfId="0" applyFont="1" applyFill="1" applyBorder="1" applyAlignment="1">
      <alignment horizontal="right" vertical="center" wrapText="1"/>
    </xf>
    <xf numFmtId="0" fontId="15" fillId="15" borderId="3" xfId="0" applyFont="1" applyFill="1" applyBorder="1" applyAlignment="1" applyProtection="1">
      <alignment horizontal="center" vertical="center" wrapText="1"/>
      <protection locked="0"/>
    </xf>
    <xf numFmtId="0" fontId="15" fillId="15" borderId="39" xfId="0" applyFont="1" applyFill="1" applyBorder="1" applyAlignment="1" applyProtection="1">
      <alignment horizontal="center" vertical="center"/>
      <protection locked="0"/>
    </xf>
    <xf numFmtId="49" fontId="15" fillId="15" borderId="39" xfId="0" quotePrefix="1" applyNumberFormat="1" applyFont="1" applyFill="1" applyBorder="1" applyAlignment="1" applyProtection="1">
      <alignment horizontal="center" vertical="center"/>
      <protection locked="0"/>
    </xf>
    <xf numFmtId="0" fontId="10" fillId="6" borderId="60" xfId="0" applyFont="1" applyFill="1" applyBorder="1" applyAlignment="1">
      <alignment horizontal="center" vertical="center"/>
    </xf>
    <xf numFmtId="0" fontId="10" fillId="6" borderId="56" xfId="0" applyFont="1" applyFill="1" applyBorder="1" applyAlignment="1">
      <alignment horizontal="center" vertical="center"/>
    </xf>
    <xf numFmtId="0" fontId="10" fillId="6" borderId="65" xfId="0" applyFont="1" applyFill="1" applyBorder="1" applyAlignment="1">
      <alignment horizontal="center" vertical="center"/>
    </xf>
    <xf numFmtId="0" fontId="15" fillId="21" borderId="3" xfId="0" applyFont="1" applyFill="1" applyBorder="1" applyAlignment="1" applyProtection="1">
      <alignment horizontal="center" vertical="center"/>
      <protection locked="0"/>
    </xf>
    <xf numFmtId="0" fontId="15" fillId="3" borderId="39" xfId="0" applyFont="1" applyFill="1" applyBorder="1" applyAlignment="1" applyProtection="1">
      <alignment horizontal="center" vertical="center"/>
      <protection locked="0"/>
    </xf>
    <xf numFmtId="16" fontId="15" fillId="21" borderId="3" xfId="0" quotePrefix="1" applyNumberFormat="1" applyFont="1" applyFill="1" applyBorder="1" applyAlignment="1" applyProtection="1">
      <alignment horizontal="center" vertical="center"/>
      <protection locked="0"/>
    </xf>
    <xf numFmtId="16" fontId="15" fillId="3" borderId="39" xfId="0" quotePrefix="1" applyNumberFormat="1" applyFont="1" applyFill="1" applyBorder="1" applyAlignment="1" applyProtection="1">
      <alignment horizontal="center" vertical="center"/>
      <protection locked="0"/>
    </xf>
    <xf numFmtId="0" fontId="0" fillId="3" borderId="69" xfId="0" applyFill="1" applyBorder="1" applyAlignment="1" applyProtection="1">
      <alignment horizontal="center" vertical="center"/>
      <protection locked="0"/>
    </xf>
    <xf numFmtId="0" fontId="14" fillId="7" borderId="41" xfId="0" applyFont="1" applyFill="1" applyBorder="1" applyAlignment="1">
      <alignment horizontal="center" vertical="center"/>
    </xf>
    <xf numFmtId="0" fontId="14" fillId="7" borderId="26" xfId="0" applyFont="1" applyFill="1" applyBorder="1" applyAlignment="1">
      <alignment horizontal="center" vertical="center"/>
    </xf>
    <xf numFmtId="0" fontId="17" fillId="7" borderId="28" xfId="0" applyFont="1" applyFill="1" applyBorder="1" applyAlignment="1">
      <alignment horizontal="center" vertical="center"/>
    </xf>
    <xf numFmtId="0" fontId="17" fillId="7" borderId="41" xfId="0" applyFont="1" applyFill="1" applyBorder="1" applyAlignment="1">
      <alignment horizontal="center" vertical="center"/>
    </xf>
    <xf numFmtId="0" fontId="17" fillId="7" borderId="31" xfId="0" applyFont="1" applyFill="1" applyBorder="1" applyAlignment="1">
      <alignment horizontal="center" vertical="center"/>
    </xf>
    <xf numFmtId="0" fontId="17" fillId="7" borderId="37" xfId="0" applyFont="1" applyFill="1" applyBorder="1" applyAlignment="1">
      <alignment horizontal="center" vertical="center"/>
    </xf>
    <xf numFmtId="0" fontId="17" fillId="7" borderId="41" xfId="0" applyFont="1" applyFill="1" applyBorder="1" applyAlignment="1">
      <alignment horizontal="center" vertical="center" wrapText="1"/>
    </xf>
    <xf numFmtId="0" fontId="17" fillId="7" borderId="37" xfId="0" applyFont="1" applyFill="1" applyBorder="1" applyAlignment="1">
      <alignment horizontal="center" vertical="center" wrapText="1"/>
    </xf>
    <xf numFmtId="0" fontId="15" fillId="15" borderId="31" xfId="0" applyFont="1" applyFill="1" applyBorder="1" applyAlignment="1" applyProtection="1">
      <alignment horizontal="center" vertical="center" wrapText="1"/>
      <protection locked="0"/>
    </xf>
    <xf numFmtId="0" fontId="0" fillId="21" borderId="3" xfId="0" applyFill="1" applyBorder="1" applyAlignment="1" applyProtection="1">
      <alignment horizontal="center" vertical="center"/>
      <protection locked="0"/>
    </xf>
    <xf numFmtId="0" fontId="0" fillId="15" borderId="39" xfId="0" applyFill="1" applyBorder="1" applyAlignment="1" applyProtection="1">
      <alignment horizontal="center" vertical="center"/>
      <protection locked="0"/>
    </xf>
    <xf numFmtId="0" fontId="11" fillId="21" borderId="3" xfId="0" applyFont="1" applyFill="1" applyBorder="1" applyAlignment="1" applyProtection="1">
      <alignment horizontal="center" vertical="center" wrapText="1"/>
      <protection locked="0"/>
    </xf>
    <xf numFmtId="0" fontId="11" fillId="3" borderId="39" xfId="0" applyFont="1" applyFill="1" applyBorder="1" applyAlignment="1" applyProtection="1">
      <alignment horizontal="center" vertical="center" wrapText="1"/>
      <protection locked="0"/>
    </xf>
    <xf numFmtId="2" fontId="15" fillId="21" borderId="3" xfId="2" quotePrefix="1" applyNumberFormat="1" applyFont="1" applyFill="1" applyBorder="1" applyAlignment="1" applyProtection="1">
      <alignment horizontal="center" vertical="center"/>
      <protection locked="0"/>
    </xf>
    <xf numFmtId="2" fontId="15" fillId="3" borderId="39" xfId="2" quotePrefix="1" applyNumberFormat="1" applyFont="1"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9" fillId="3" borderId="1" xfId="0" applyFont="1" applyFill="1" applyBorder="1" applyAlignment="1">
      <alignment horizontal="center" vertical="center" wrapText="1"/>
    </xf>
    <xf numFmtId="0" fontId="17" fillId="7" borderId="26" xfId="0" applyFont="1" applyFill="1" applyBorder="1" applyAlignment="1">
      <alignment horizontal="center" vertical="center" wrapText="1"/>
    </xf>
    <xf numFmtId="0" fontId="17" fillId="7" borderId="27" xfId="0" applyFont="1" applyFill="1" applyBorder="1" applyAlignment="1">
      <alignment horizontal="center" vertical="center" wrapText="1"/>
    </xf>
    <xf numFmtId="0" fontId="15" fillId="21" borderId="41" xfId="0" applyFont="1" applyFill="1" applyBorder="1" applyAlignment="1" applyProtection="1">
      <alignment horizontal="center" vertical="center" wrapText="1"/>
      <protection locked="0"/>
    </xf>
    <xf numFmtId="0" fontId="0" fillId="15" borderId="26" xfId="0" applyFill="1" applyBorder="1" applyAlignment="1" applyProtection="1">
      <alignment horizontal="center" vertical="center"/>
      <protection locked="0"/>
    </xf>
    <xf numFmtId="0" fontId="0" fillId="15" borderId="30" xfId="0" applyFill="1" applyBorder="1" applyAlignment="1" applyProtection="1">
      <alignment horizontal="center" vertical="center"/>
      <protection locked="0"/>
    </xf>
    <xf numFmtId="0" fontId="0" fillId="15" borderId="27" xfId="0" applyFill="1" applyBorder="1" applyAlignment="1" applyProtection="1">
      <alignment horizontal="center" vertical="center"/>
      <protection locked="0"/>
    </xf>
    <xf numFmtId="166" fontId="15" fillId="15" borderId="69" xfId="0" applyNumberFormat="1" applyFont="1" applyFill="1" applyBorder="1" applyAlignment="1" applyProtection="1">
      <alignment horizontal="center" vertical="center"/>
      <protection locked="0"/>
    </xf>
    <xf numFmtId="166" fontId="15" fillId="3" borderId="69" xfId="0" applyNumberFormat="1" applyFont="1" applyFill="1" applyBorder="1" applyAlignment="1" applyProtection="1">
      <alignment horizontal="center" vertical="center"/>
      <protection locked="0"/>
    </xf>
    <xf numFmtId="0" fontId="10" fillId="6" borderId="51" xfId="0" applyFont="1" applyFill="1" applyBorder="1" applyAlignment="1">
      <alignment horizontal="center" vertical="center"/>
    </xf>
    <xf numFmtId="0" fontId="10" fillId="6" borderId="52" xfId="0" applyFont="1" applyFill="1" applyBorder="1" applyAlignment="1">
      <alignment horizontal="center" vertical="center"/>
    </xf>
    <xf numFmtId="0" fontId="10" fillId="6" borderId="53" xfId="0" applyFont="1" applyFill="1" applyBorder="1" applyAlignment="1">
      <alignment horizontal="center" vertical="center"/>
    </xf>
    <xf numFmtId="49" fontId="15" fillId="3" borderId="1" xfId="0" applyNumberFormat="1" applyFont="1" applyFill="1" applyBorder="1" applyAlignment="1" applyProtection="1">
      <alignment horizontal="center" vertical="center"/>
      <protection locked="0"/>
    </xf>
    <xf numFmtId="0" fontId="15" fillId="15" borderId="28" xfId="0" applyFont="1" applyFill="1" applyBorder="1" applyAlignment="1" applyProtection="1">
      <alignment horizontal="center" vertical="center"/>
      <protection locked="0"/>
    </xf>
    <xf numFmtId="49" fontId="15" fillId="3" borderId="41" xfId="0" applyNumberFormat="1" applyFont="1" applyFill="1" applyBorder="1" applyAlignment="1" applyProtection="1">
      <alignment horizontal="center" vertical="center"/>
      <protection locked="0"/>
    </xf>
    <xf numFmtId="0" fontId="14" fillId="6" borderId="43" xfId="0" applyFont="1" applyFill="1" applyBorder="1" applyAlignment="1">
      <alignment horizontal="center" vertical="center" wrapText="1"/>
    </xf>
    <xf numFmtId="0" fontId="14" fillId="6" borderId="58" xfId="0" applyFont="1" applyFill="1" applyBorder="1" applyAlignment="1">
      <alignment horizontal="center" vertical="center" wrapText="1"/>
    </xf>
    <xf numFmtId="0" fontId="14" fillId="6" borderId="67" xfId="0" applyFont="1" applyFill="1" applyBorder="1" applyAlignment="1">
      <alignment horizontal="center" vertical="center" wrapText="1"/>
    </xf>
    <xf numFmtId="0" fontId="17" fillId="7" borderId="70" xfId="0" applyFont="1" applyFill="1" applyBorder="1" applyAlignment="1">
      <alignment horizontal="center" vertical="center" wrapText="1"/>
    </xf>
    <xf numFmtId="0" fontId="17" fillId="7" borderId="66" xfId="0" applyFont="1" applyFill="1" applyBorder="1" applyAlignment="1">
      <alignment horizontal="center" vertical="center"/>
    </xf>
    <xf numFmtId="0" fontId="15" fillId="3" borderId="31" xfId="0" applyFont="1" applyFill="1" applyBorder="1" applyAlignment="1" applyProtection="1">
      <alignment horizontal="center" vertical="center" wrapText="1"/>
      <protection locked="0"/>
    </xf>
    <xf numFmtId="49" fontId="15" fillId="3" borderId="37" xfId="0" applyNumberFormat="1" applyFont="1" applyFill="1" applyBorder="1" applyAlignment="1" applyProtection="1">
      <alignment horizontal="center" vertical="center" wrapText="1"/>
      <protection locked="0"/>
    </xf>
    <xf numFmtId="0" fontId="0" fillId="15" borderId="41" xfId="0" applyFill="1" applyBorder="1" applyAlignment="1">
      <alignment horizontal="center" vertical="center" wrapText="1"/>
    </xf>
    <xf numFmtId="0" fontId="0" fillId="15" borderId="1" xfId="0" applyFill="1" applyBorder="1" applyAlignment="1">
      <alignment horizontal="center" vertical="center" wrapText="1"/>
    </xf>
    <xf numFmtId="0" fontId="0" fillId="15" borderId="37" xfId="0" applyFill="1" applyBorder="1" applyAlignment="1">
      <alignment horizontal="center" vertical="center" wrapText="1"/>
    </xf>
    <xf numFmtId="0" fontId="11" fillId="15" borderId="0" xfId="0" applyFont="1" applyFill="1" applyAlignment="1" applyProtection="1">
      <alignment horizontal="right" vertical="center" wrapText="1"/>
      <protection locked="0"/>
    </xf>
    <xf numFmtId="0" fontId="14" fillId="6" borderId="68" xfId="0" applyFont="1" applyFill="1" applyBorder="1" applyAlignment="1">
      <alignment horizontal="center" vertical="center"/>
    </xf>
    <xf numFmtId="0" fontId="14" fillId="6" borderId="69" xfId="0" applyFont="1" applyFill="1" applyBorder="1" applyAlignment="1">
      <alignment horizontal="center" vertical="center"/>
    </xf>
    <xf numFmtId="0" fontId="14" fillId="6" borderId="70" xfId="0" applyFont="1" applyFill="1" applyBorder="1" applyAlignment="1">
      <alignment horizontal="center" vertical="center"/>
    </xf>
    <xf numFmtId="0" fontId="17" fillId="7" borderId="56" xfId="0" applyFont="1" applyFill="1" applyBorder="1" applyAlignment="1">
      <alignment horizontal="center" vertical="center"/>
    </xf>
    <xf numFmtId="0" fontId="17" fillId="7" borderId="65" xfId="0" applyFont="1" applyFill="1" applyBorder="1" applyAlignment="1">
      <alignment horizontal="center" vertical="center"/>
    </xf>
    <xf numFmtId="0" fontId="14" fillId="6" borderId="50" xfId="0" applyFont="1" applyFill="1" applyBorder="1" applyAlignment="1">
      <alignment horizontal="center" vertical="center"/>
    </xf>
    <xf numFmtId="0" fontId="14" fillId="6" borderId="23" xfId="0" applyFont="1" applyFill="1" applyBorder="1" applyAlignment="1">
      <alignment horizontal="center" vertical="center"/>
    </xf>
    <xf numFmtId="0" fontId="14" fillId="6" borderId="65" xfId="0" applyFont="1" applyFill="1" applyBorder="1" applyAlignment="1">
      <alignment horizontal="center" vertical="center"/>
    </xf>
    <xf numFmtId="170" fontId="15" fillId="15" borderId="29" xfId="0" applyNumberFormat="1" applyFont="1" applyFill="1" applyBorder="1" applyAlignment="1">
      <alignment horizontal="center" vertical="center"/>
    </xf>
    <xf numFmtId="170" fontId="15" fillId="3" borderId="30" xfId="0" applyNumberFormat="1" applyFont="1" applyFill="1" applyBorder="1" applyAlignment="1">
      <alignment horizontal="center" vertical="center"/>
    </xf>
    <xf numFmtId="0" fontId="15" fillId="3" borderId="58" xfId="0" applyFont="1" applyFill="1" applyBorder="1" applyAlignment="1" applyProtection="1">
      <alignment horizontal="center" vertical="center" wrapText="1"/>
      <protection locked="0"/>
    </xf>
    <xf numFmtId="0" fontId="26" fillId="7" borderId="56" xfId="0" applyFont="1" applyFill="1" applyBorder="1" applyAlignment="1">
      <alignment horizontal="center" vertical="center" wrapText="1"/>
    </xf>
    <xf numFmtId="0" fontId="26" fillId="7" borderId="58" xfId="0" applyFont="1" applyFill="1" applyBorder="1" applyAlignment="1">
      <alignment horizontal="center" vertical="center" wrapText="1"/>
    </xf>
    <xf numFmtId="0" fontId="15" fillId="15" borderId="65" xfId="0" applyFont="1" applyFill="1" applyBorder="1" applyAlignment="1" applyProtection="1">
      <alignment horizontal="center" vertical="center"/>
      <protection locked="0"/>
    </xf>
    <xf numFmtId="0" fontId="15" fillId="3" borderId="67" xfId="0" applyFont="1" applyFill="1" applyBorder="1" applyAlignment="1" applyProtection="1">
      <alignment horizontal="center" vertical="center"/>
      <protection locked="0"/>
    </xf>
    <xf numFmtId="0" fontId="15" fillId="3" borderId="30" xfId="0" applyFont="1" applyFill="1" applyBorder="1" applyAlignment="1" applyProtection="1">
      <alignment horizontal="center" vertical="center"/>
      <protection locked="0"/>
    </xf>
    <xf numFmtId="0" fontId="14" fillId="7" borderId="29" xfId="0" applyFont="1" applyFill="1" applyBorder="1" applyAlignment="1">
      <alignment horizontal="center" vertical="center"/>
    </xf>
    <xf numFmtId="0" fontId="14" fillId="7" borderId="30" xfId="0" applyFont="1" applyFill="1" applyBorder="1" applyAlignment="1">
      <alignment horizontal="center" vertical="center"/>
    </xf>
    <xf numFmtId="0" fontId="15" fillId="3" borderId="63" xfId="0" applyFont="1" applyFill="1" applyBorder="1" applyAlignment="1" applyProtection="1">
      <alignment horizontal="center" vertical="center"/>
      <protection locked="0"/>
    </xf>
    <xf numFmtId="172" fontId="15" fillId="3" borderId="63" xfId="0" applyNumberFormat="1" applyFont="1" applyFill="1" applyBorder="1" applyAlignment="1" applyProtection="1">
      <alignment horizontal="center" vertical="center" wrapText="1"/>
      <protection locked="0"/>
    </xf>
    <xf numFmtId="172" fontId="15" fillId="3" borderId="39" xfId="0" applyNumberFormat="1" applyFont="1" applyFill="1" applyBorder="1" applyAlignment="1" applyProtection="1">
      <alignment horizontal="center" vertical="center" wrapText="1"/>
      <protection locked="0"/>
    </xf>
    <xf numFmtId="0" fontId="15" fillId="15" borderId="63" xfId="0" applyFont="1" applyFill="1" applyBorder="1" applyAlignment="1" applyProtection="1">
      <alignment horizontal="center" vertical="center"/>
      <protection locked="0"/>
    </xf>
    <xf numFmtId="172" fontId="15" fillId="15" borderId="63" xfId="0" applyNumberFormat="1" applyFont="1" applyFill="1" applyBorder="1" applyAlignment="1" applyProtection="1">
      <alignment horizontal="center" vertical="center" wrapText="1"/>
      <protection locked="0"/>
    </xf>
    <xf numFmtId="14" fontId="15" fillId="15" borderId="63" xfId="0" applyNumberFormat="1" applyFont="1" applyFill="1" applyBorder="1" applyAlignment="1" applyProtection="1">
      <alignment horizontal="center" vertical="center"/>
      <protection locked="0"/>
    </xf>
    <xf numFmtId="14" fontId="15" fillId="15" borderId="29" xfId="0" applyNumberFormat="1" applyFont="1" applyFill="1" applyBorder="1" applyAlignment="1" applyProtection="1">
      <alignment horizontal="center" vertical="center"/>
      <protection locked="0"/>
    </xf>
    <xf numFmtId="0" fontId="26" fillId="7" borderId="37" xfId="0" applyFont="1" applyFill="1" applyBorder="1" applyAlignment="1">
      <alignment horizontal="right" vertical="center" wrapText="1"/>
    </xf>
    <xf numFmtId="170" fontId="15" fillId="15" borderId="29" xfId="0" applyNumberFormat="1" applyFont="1" applyFill="1" applyBorder="1" applyAlignment="1" applyProtection="1">
      <alignment horizontal="center" vertical="center"/>
      <protection locked="0"/>
    </xf>
    <xf numFmtId="170" fontId="15" fillId="3" borderId="30" xfId="0" applyNumberFormat="1" applyFont="1" applyFill="1" applyBorder="1" applyAlignment="1" applyProtection="1">
      <alignment horizontal="center" vertical="center"/>
      <protection locked="0"/>
    </xf>
    <xf numFmtId="0" fontId="17" fillId="11" borderId="8" xfId="0" applyFont="1" applyFill="1" applyBorder="1" applyAlignment="1" applyProtection="1">
      <alignment horizontal="center" vertical="center" wrapText="1"/>
      <protection locked="0"/>
    </xf>
    <xf numFmtId="0" fontId="17" fillId="11" borderId="4" xfId="0" applyFont="1" applyFill="1" applyBorder="1" applyAlignment="1" applyProtection="1">
      <alignment horizontal="center" vertical="center" wrapText="1"/>
      <protection locked="0"/>
    </xf>
    <xf numFmtId="0" fontId="17" fillId="11" borderId="5" xfId="0" applyFont="1" applyFill="1" applyBorder="1" applyAlignment="1" applyProtection="1">
      <alignment horizontal="center" vertical="center" wrapText="1"/>
      <protection locked="0"/>
    </xf>
    <xf numFmtId="170" fontId="15" fillId="3" borderId="63" xfId="0" applyNumberFormat="1" applyFont="1" applyFill="1" applyBorder="1" applyAlignment="1" applyProtection="1">
      <alignment horizontal="center" vertical="center"/>
      <protection locked="0"/>
    </xf>
    <xf numFmtId="170" fontId="15" fillId="3" borderId="39" xfId="0" applyNumberFormat="1" applyFont="1" applyFill="1" applyBorder="1" applyAlignment="1" applyProtection="1">
      <alignment horizontal="center" vertical="center"/>
      <protection locked="0"/>
    </xf>
    <xf numFmtId="0" fontId="15" fillId="3" borderId="63" xfId="0" applyFont="1" applyFill="1" applyBorder="1" applyAlignment="1" applyProtection="1">
      <alignment horizontal="center" vertical="center" wrapText="1"/>
      <protection locked="0"/>
    </xf>
    <xf numFmtId="0" fontId="15" fillId="3" borderId="39" xfId="0" applyFont="1" applyFill="1" applyBorder="1" applyAlignment="1" applyProtection="1">
      <alignment horizontal="center" vertical="center" wrapText="1"/>
      <protection locked="0"/>
    </xf>
    <xf numFmtId="170" fontId="15" fillId="15" borderId="63" xfId="0" applyNumberFormat="1" applyFont="1" applyFill="1" applyBorder="1" applyAlignment="1" applyProtection="1">
      <alignment horizontal="center" vertical="center"/>
      <protection locked="0"/>
    </xf>
    <xf numFmtId="0" fontId="0" fillId="15" borderId="1" xfId="0" applyFill="1" applyBorder="1" applyAlignment="1">
      <alignment horizontal="center" vertical="center"/>
    </xf>
    <xf numFmtId="0" fontId="0" fillId="3" borderId="1" xfId="0" applyFill="1" applyBorder="1" applyAlignment="1">
      <alignment horizontal="center" vertical="center"/>
    </xf>
    <xf numFmtId="0" fontId="0" fillId="3" borderId="30" xfId="0" applyFill="1" applyBorder="1" applyAlignment="1">
      <alignment horizontal="center" vertical="center"/>
    </xf>
    <xf numFmtId="0" fontId="19" fillId="3" borderId="31" xfId="0" applyFont="1" applyFill="1" applyBorder="1" applyAlignment="1" applyProtection="1">
      <alignment horizontal="center" vertical="center"/>
      <protection locked="0"/>
    </xf>
    <xf numFmtId="0" fontId="19" fillId="3" borderId="37" xfId="0" applyFont="1" applyFill="1" applyBorder="1" applyAlignment="1" applyProtection="1">
      <alignment horizontal="center" vertical="center"/>
      <protection locked="0"/>
    </xf>
    <xf numFmtId="0" fontId="15" fillId="3" borderId="29" xfId="0" applyFont="1" applyFill="1" applyBorder="1" applyAlignment="1" applyProtection="1">
      <alignment horizontal="right" vertical="center"/>
      <protection locked="0"/>
    </xf>
    <xf numFmtId="0" fontId="15" fillId="3" borderId="1" xfId="0" applyFont="1" applyFill="1" applyBorder="1" applyAlignment="1" applyProtection="1">
      <alignment horizontal="right" vertical="center"/>
      <protection locked="0"/>
    </xf>
    <xf numFmtId="0" fontId="17" fillId="3" borderId="64" xfId="0" applyFont="1" applyFill="1" applyBorder="1" applyAlignment="1">
      <alignment horizontal="center" vertical="center"/>
    </xf>
    <xf numFmtId="0" fontId="17" fillId="3" borderId="36" xfId="0" applyFont="1" applyFill="1" applyBorder="1" applyAlignment="1">
      <alignment horizontal="center" vertical="center"/>
    </xf>
    <xf numFmtId="0" fontId="0" fillId="15" borderId="37" xfId="0" applyFill="1" applyBorder="1" applyAlignment="1" applyProtection="1">
      <alignment horizontal="center" vertical="center"/>
      <protection locked="0"/>
    </xf>
    <xf numFmtId="0" fontId="0" fillId="3" borderId="37" xfId="0" applyFill="1" applyBorder="1" applyAlignment="1" applyProtection="1">
      <alignment horizontal="center" vertical="center"/>
      <protection locked="0"/>
    </xf>
    <xf numFmtId="0" fontId="23" fillId="6" borderId="20" xfId="0" applyFont="1" applyFill="1" applyBorder="1" applyAlignment="1">
      <alignment horizontal="center" vertical="center"/>
    </xf>
    <xf numFmtId="0" fontId="23" fillId="6" borderId="21" xfId="0" applyFont="1" applyFill="1" applyBorder="1" applyAlignment="1">
      <alignment horizontal="center" vertical="center"/>
    </xf>
    <xf numFmtId="0" fontId="23" fillId="6" borderId="22" xfId="0" applyFont="1" applyFill="1" applyBorder="1" applyAlignment="1">
      <alignment horizontal="center" vertical="center"/>
    </xf>
    <xf numFmtId="0" fontId="15" fillId="15" borderId="12" xfId="0" applyFont="1" applyFill="1" applyBorder="1" applyAlignment="1" applyProtection="1">
      <alignment horizontal="center" vertical="center" wrapText="1"/>
      <protection locked="0"/>
    </xf>
    <xf numFmtId="0" fontId="15" fillId="15" borderId="35" xfId="0" applyFont="1" applyFill="1" applyBorder="1" applyAlignment="1" applyProtection="1">
      <alignment horizontal="center" vertical="center"/>
      <protection locked="0"/>
    </xf>
    <xf numFmtId="0" fontId="15" fillId="3" borderId="36" xfId="0" applyFont="1" applyFill="1" applyBorder="1" applyAlignment="1" applyProtection="1">
      <alignment horizontal="center" vertical="center"/>
      <protection locked="0"/>
    </xf>
    <xf numFmtId="0" fontId="26" fillId="7" borderId="41" xfId="0" applyFont="1" applyFill="1" applyBorder="1" applyAlignment="1">
      <alignment horizontal="center" vertical="center" wrapText="1"/>
    </xf>
    <xf numFmtId="0" fontId="26" fillId="7" borderId="37" xfId="0" applyFont="1" applyFill="1" applyBorder="1" applyAlignment="1">
      <alignment horizontal="center" vertical="center" wrapText="1"/>
    </xf>
    <xf numFmtId="0" fontId="0" fillId="7" borderId="8" xfId="0" applyFill="1" applyBorder="1" applyAlignment="1">
      <alignment horizontal="center" vertical="center"/>
    </xf>
    <xf numFmtId="0" fontId="0" fillId="7" borderId="10" xfId="0" applyFill="1" applyBorder="1" applyAlignment="1">
      <alignment horizontal="center" vertical="center"/>
    </xf>
    <xf numFmtId="0" fontId="26" fillId="7" borderId="41" xfId="0" applyFont="1" applyFill="1" applyBorder="1" applyAlignment="1">
      <alignment horizontal="right" vertical="center" wrapText="1"/>
    </xf>
    <xf numFmtId="172" fontId="15" fillId="15" borderId="29" xfId="0" applyNumberFormat="1" applyFont="1" applyFill="1" applyBorder="1" applyAlignment="1" applyProtection="1">
      <alignment horizontal="center" vertical="center" wrapText="1"/>
      <protection locked="0"/>
    </xf>
    <xf numFmtId="172" fontId="15" fillId="3" borderId="30" xfId="0" applyNumberFormat="1" applyFont="1" applyFill="1" applyBorder="1" applyAlignment="1" applyProtection="1">
      <alignment horizontal="center" vertical="center" wrapText="1"/>
      <protection locked="0"/>
    </xf>
    <xf numFmtId="0" fontId="15" fillId="3" borderId="3" xfId="0" applyFont="1" applyFill="1" applyBorder="1" applyAlignment="1" applyProtection="1">
      <alignment horizontal="center" vertical="center"/>
      <protection locked="0"/>
    </xf>
    <xf numFmtId="0" fontId="15" fillId="3" borderId="4" xfId="0" applyFont="1" applyFill="1" applyBorder="1" applyAlignment="1" applyProtection="1">
      <alignment horizontal="center" vertical="center"/>
      <protection locked="0"/>
    </xf>
    <xf numFmtId="0" fontId="15" fillId="3" borderId="5" xfId="0" applyFont="1" applyFill="1" applyBorder="1" applyAlignment="1" applyProtection="1">
      <alignment horizontal="center" vertical="center"/>
      <protection locked="0"/>
    </xf>
    <xf numFmtId="0" fontId="17" fillId="3" borderId="63" xfId="0" applyFont="1" applyFill="1" applyBorder="1" applyAlignment="1">
      <alignment horizontal="center" vertical="center"/>
    </xf>
    <xf numFmtId="0" fontId="17" fillId="3" borderId="5" xfId="0" applyFont="1" applyFill="1" applyBorder="1" applyAlignment="1">
      <alignment horizontal="center" vertical="center"/>
    </xf>
    <xf numFmtId="0" fontId="17" fillId="7" borderId="68" xfId="0" applyFont="1" applyFill="1" applyBorder="1" applyAlignment="1">
      <alignment horizontal="center" vertical="center" wrapText="1"/>
    </xf>
    <xf numFmtId="0" fontId="15" fillId="21" borderId="68" xfId="0" applyFont="1" applyFill="1" applyBorder="1" applyAlignment="1" applyProtection="1">
      <alignment horizontal="center" vertical="center" wrapText="1"/>
      <protection locked="0"/>
    </xf>
    <xf numFmtId="0" fontId="15" fillId="3" borderId="69" xfId="0" applyFont="1" applyFill="1" applyBorder="1" applyAlignment="1" applyProtection="1">
      <alignment horizontal="center" vertical="center" wrapText="1"/>
      <protection locked="0"/>
    </xf>
    <xf numFmtId="0" fontId="15" fillId="3" borderId="1" xfId="0" applyFont="1" applyFill="1" applyBorder="1" applyAlignment="1" applyProtection="1">
      <alignment horizontal="center" vertical="center" wrapText="1"/>
      <protection locked="0"/>
    </xf>
    <xf numFmtId="0" fontId="0" fillId="7" borderId="44" xfId="0" applyFill="1" applyBorder="1" applyAlignment="1">
      <alignment horizontal="center" vertical="center"/>
    </xf>
    <xf numFmtId="0" fontId="0" fillId="7" borderId="3" xfId="0" applyFill="1" applyBorder="1" applyAlignment="1">
      <alignment horizontal="center" vertical="center"/>
    </xf>
    <xf numFmtId="0" fontId="0" fillId="7" borderId="5" xfId="0" applyFill="1" applyBorder="1" applyAlignment="1">
      <alignment horizontal="center" vertical="center"/>
    </xf>
    <xf numFmtId="9" fontId="15" fillId="3" borderId="31" xfId="3" applyFont="1" applyFill="1" applyBorder="1" applyAlignment="1" applyProtection="1">
      <alignment horizontal="center" vertical="center"/>
      <protection locked="0"/>
    </xf>
    <xf numFmtId="9" fontId="15" fillId="3" borderId="27" xfId="3" applyFont="1" applyFill="1" applyBorder="1" applyAlignment="1" applyProtection="1">
      <alignment horizontal="center" vertical="center"/>
      <protection locked="0"/>
    </xf>
    <xf numFmtId="0" fontId="11" fillId="0" borderId="0" xfId="0" applyFont="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171" fontId="15" fillId="15" borderId="63" xfId="1" applyNumberFormat="1" applyFont="1" applyFill="1" applyBorder="1" applyAlignment="1" applyProtection="1">
      <alignment horizontal="center" vertical="center"/>
      <protection locked="0"/>
    </xf>
    <xf numFmtId="171" fontId="15" fillId="3" borderId="39" xfId="1" applyNumberFormat="1" applyFont="1" applyFill="1" applyBorder="1" applyAlignment="1" applyProtection="1">
      <alignment horizontal="center" vertical="center"/>
      <protection locked="0"/>
    </xf>
    <xf numFmtId="170" fontId="15" fillId="15" borderId="63" xfId="0" applyNumberFormat="1" applyFont="1" applyFill="1" applyBorder="1" applyAlignment="1">
      <alignment horizontal="center" vertical="center"/>
    </xf>
    <xf numFmtId="170" fontId="15" fillId="3" borderId="39" xfId="0" applyNumberFormat="1" applyFont="1" applyFill="1" applyBorder="1" applyAlignment="1">
      <alignment horizontal="center" vertical="center"/>
    </xf>
    <xf numFmtId="171" fontId="15" fillId="3" borderId="63" xfId="1" applyNumberFormat="1" applyFont="1" applyFill="1" applyBorder="1" applyAlignment="1" applyProtection="1">
      <alignment horizontal="center" vertical="center"/>
      <protection locked="0"/>
    </xf>
    <xf numFmtId="171" fontId="15" fillId="15" borderId="29" xfId="1" applyNumberFormat="1" applyFont="1" applyFill="1" applyBorder="1" applyAlignment="1" applyProtection="1">
      <alignment horizontal="center" vertical="center"/>
      <protection locked="0"/>
    </xf>
    <xf numFmtId="171" fontId="15" fillId="3" borderId="30" xfId="1" applyNumberFormat="1" applyFont="1" applyFill="1" applyBorder="1" applyAlignment="1" applyProtection="1">
      <alignment horizontal="center" vertical="center"/>
      <protection locked="0"/>
    </xf>
    <xf numFmtId="0" fontId="15" fillId="15" borderId="63" xfId="0" applyFont="1" applyFill="1" applyBorder="1" applyAlignment="1" applyProtection="1">
      <alignment horizontal="center" vertical="center" wrapText="1"/>
      <protection locked="0"/>
    </xf>
    <xf numFmtId="170" fontId="15" fillId="3" borderId="63" xfId="0" applyNumberFormat="1" applyFont="1" applyFill="1" applyBorder="1" applyAlignment="1">
      <alignment horizontal="center" vertical="center"/>
    </xf>
    <xf numFmtId="4" fontId="14" fillId="5" borderId="51" xfId="2" applyNumberFormat="1" applyFont="1" applyFill="1" applyBorder="1" applyAlignment="1">
      <alignment horizontal="center" vertical="center"/>
    </xf>
    <xf numFmtId="4" fontId="14" fillId="5" borderId="53" xfId="2" applyNumberFormat="1" applyFont="1" applyFill="1" applyBorder="1" applyAlignment="1">
      <alignment horizontal="center" vertical="center"/>
    </xf>
    <xf numFmtId="0" fontId="11" fillId="0" borderId="0" xfId="0" applyFont="1" applyAlignment="1" applyProtection="1">
      <alignment horizontal="left" wrapText="1"/>
      <protection locked="0"/>
    </xf>
    <xf numFmtId="0" fontId="12" fillId="0" borderId="0" xfId="0" applyFont="1" applyAlignment="1" applyProtection="1">
      <alignment horizontal="center" vertical="center" wrapText="1"/>
      <protection locked="0"/>
    </xf>
    <xf numFmtId="0" fontId="10" fillId="0" borderId="0" xfId="0" applyFont="1" applyAlignment="1" applyProtection="1">
      <alignment horizontal="center" vertical="center" wrapText="1"/>
      <protection locked="0"/>
    </xf>
    <xf numFmtId="0" fontId="14" fillId="0" borderId="0" xfId="0" applyFont="1" applyAlignment="1" applyProtection="1">
      <alignment horizontal="left"/>
      <protection locked="0"/>
    </xf>
    <xf numFmtId="0" fontId="11" fillId="0" borderId="0" xfId="0" applyFont="1" applyAlignment="1" applyProtection="1">
      <alignment horizontal="left" vertical="top" wrapText="1"/>
      <protection locked="0"/>
    </xf>
    <xf numFmtId="0" fontId="0" fillId="0" borderId="0" xfId="0" applyAlignment="1" applyProtection="1">
      <alignment horizontal="left" vertical="center" wrapText="1"/>
      <protection locked="0"/>
    </xf>
    <xf numFmtId="0" fontId="10" fillId="0" borderId="0" xfId="0" applyFont="1" applyAlignment="1" applyProtection="1">
      <alignment horizontal="center" vertical="top" wrapText="1"/>
      <protection locked="0"/>
    </xf>
    <xf numFmtId="0" fontId="15" fillId="15" borderId="6" xfId="0" applyFont="1" applyFill="1" applyBorder="1" applyAlignment="1" applyProtection="1">
      <alignment horizontal="center" vertical="center" wrapText="1"/>
      <protection locked="0"/>
    </xf>
    <xf numFmtId="0" fontId="15" fillId="3" borderId="7" xfId="0" applyFont="1" applyFill="1" applyBorder="1" applyAlignment="1" applyProtection="1">
      <alignment horizontal="center" vertical="center" wrapText="1"/>
      <protection locked="0"/>
    </xf>
    <xf numFmtId="0" fontId="15" fillId="3" borderId="38" xfId="0" applyFont="1" applyFill="1" applyBorder="1" applyAlignment="1" applyProtection="1">
      <alignment horizontal="center" vertical="center" wrapText="1"/>
      <protection locked="0"/>
    </xf>
    <xf numFmtId="0" fontId="15" fillId="3" borderId="49" xfId="0" applyFont="1" applyFill="1" applyBorder="1" applyAlignment="1" applyProtection="1">
      <alignment horizontal="center" vertical="center" wrapText="1"/>
      <protection locked="0"/>
    </xf>
    <xf numFmtId="0" fontId="26" fillId="7" borderId="46" xfId="0" applyFont="1" applyFill="1" applyBorder="1" applyAlignment="1">
      <alignment horizontal="center" vertical="center"/>
    </xf>
    <xf numFmtId="0" fontId="26" fillId="7" borderId="61" xfId="0" applyFont="1" applyFill="1" applyBorder="1" applyAlignment="1">
      <alignment horizontal="center" vertical="center"/>
    </xf>
    <xf numFmtId="0" fontId="25" fillId="6" borderId="51" xfId="0" applyFont="1" applyFill="1" applyBorder="1" applyAlignment="1">
      <alignment horizontal="center" vertical="center"/>
    </xf>
    <xf numFmtId="0" fontId="25" fillId="6" borderId="52" xfId="0" applyFont="1" applyFill="1" applyBorder="1" applyAlignment="1">
      <alignment horizontal="center" vertical="center"/>
    </xf>
    <xf numFmtId="0" fontId="25" fillId="6" borderId="53" xfId="0" applyFont="1" applyFill="1" applyBorder="1" applyAlignment="1">
      <alignment horizontal="center" vertical="center"/>
    </xf>
    <xf numFmtId="0" fontId="15" fillId="15" borderId="42" xfId="0" applyFont="1" applyFill="1" applyBorder="1" applyAlignment="1" applyProtection="1">
      <alignment horizontal="center" vertical="center" wrapText="1"/>
      <protection locked="0"/>
    </xf>
    <xf numFmtId="0" fontId="15" fillId="3" borderId="43" xfId="0" applyFont="1" applyFill="1" applyBorder="1" applyAlignment="1" applyProtection="1">
      <alignment horizontal="center" vertical="center" wrapText="1"/>
      <protection locked="0"/>
    </xf>
    <xf numFmtId="0" fontId="15" fillId="15" borderId="45" xfId="0" applyFont="1" applyFill="1" applyBorder="1" applyAlignment="1" applyProtection="1">
      <alignment horizontal="center" vertical="center" wrapText="1"/>
      <protection locked="0"/>
    </xf>
    <xf numFmtId="0" fontId="15" fillId="3" borderId="67" xfId="0" applyFont="1" applyFill="1" applyBorder="1" applyAlignment="1" applyProtection="1">
      <alignment horizontal="center" vertical="center" wrapText="1"/>
      <protection locked="0"/>
    </xf>
    <xf numFmtId="171" fontId="15" fillId="3" borderId="58" xfId="1" applyNumberFormat="1" applyFont="1" applyFill="1" applyBorder="1" applyAlignment="1" applyProtection="1">
      <alignment horizontal="center" vertical="center"/>
      <protection locked="0"/>
    </xf>
    <xf numFmtId="0" fontId="14" fillId="7" borderId="1" xfId="0" applyFont="1" applyFill="1" applyBorder="1" applyAlignment="1">
      <alignment horizontal="center" vertical="center" wrapText="1"/>
    </xf>
    <xf numFmtId="0" fontId="10" fillId="7" borderId="1" xfId="0" applyFont="1" applyFill="1" applyBorder="1" applyAlignment="1">
      <alignment horizontal="center" vertical="center"/>
    </xf>
    <xf numFmtId="0" fontId="17" fillId="7" borderId="1" xfId="0" applyFont="1" applyFill="1" applyBorder="1" applyAlignment="1">
      <alignment horizontal="center" vertical="center"/>
    </xf>
    <xf numFmtId="0" fontId="17" fillId="7" borderId="30" xfId="0" applyFont="1" applyFill="1" applyBorder="1" applyAlignment="1">
      <alignment horizontal="center" vertical="center"/>
    </xf>
    <xf numFmtId="0" fontId="25" fillId="6" borderId="51" xfId="0" applyFont="1" applyFill="1" applyBorder="1" applyAlignment="1" applyProtection="1">
      <alignment horizontal="center" vertical="center"/>
      <protection locked="0"/>
    </xf>
    <xf numFmtId="0" fontId="25" fillId="6" borderId="52" xfId="0" applyFont="1" applyFill="1" applyBorder="1" applyAlignment="1" applyProtection="1">
      <alignment horizontal="center" vertical="center"/>
      <protection locked="0"/>
    </xf>
    <xf numFmtId="0" fontId="25" fillId="6" borderId="53" xfId="0" applyFont="1" applyFill="1" applyBorder="1" applyAlignment="1" applyProtection="1">
      <alignment horizontal="center" vertical="center"/>
      <protection locked="0"/>
    </xf>
    <xf numFmtId="0" fontId="20" fillId="7" borderId="1" xfId="0" applyFont="1" applyFill="1" applyBorder="1" applyAlignment="1">
      <alignment horizontal="center" vertical="center" wrapText="1"/>
    </xf>
    <xf numFmtId="0" fontId="26" fillId="7" borderId="32" xfId="0" applyFont="1" applyFill="1" applyBorder="1" applyAlignment="1">
      <alignment horizontal="center" vertical="center"/>
    </xf>
    <xf numFmtId="0" fontId="17" fillId="7" borderId="1" xfId="0" applyFont="1" applyFill="1" applyBorder="1" applyAlignment="1">
      <alignment horizontal="center" vertical="center" wrapText="1"/>
    </xf>
    <xf numFmtId="9" fontId="0" fillId="15" borderId="1" xfId="3" applyFont="1" applyFill="1" applyBorder="1" applyAlignment="1" applyProtection="1">
      <alignment horizontal="center" vertical="center"/>
      <protection locked="0"/>
    </xf>
    <xf numFmtId="0" fontId="15" fillId="15" borderId="29" xfId="0" applyFont="1" applyFill="1" applyBorder="1" applyAlignment="1" applyProtection="1">
      <alignment horizontal="right" vertical="center"/>
      <protection locked="0"/>
    </xf>
    <xf numFmtId="0" fontId="14" fillId="7" borderId="69" xfId="0" applyFont="1" applyFill="1" applyBorder="1" applyAlignment="1">
      <alignment horizontal="center" vertical="center" wrapText="1"/>
    </xf>
    <xf numFmtId="0" fontId="0" fillId="15" borderId="52" xfId="0" applyFill="1" applyBorder="1" applyAlignment="1" applyProtection="1">
      <alignment horizontal="center" vertical="center" wrapText="1"/>
      <protection locked="0"/>
    </xf>
    <xf numFmtId="0" fontId="0" fillId="15" borderId="72" xfId="0" applyFill="1" applyBorder="1" applyAlignment="1" applyProtection="1">
      <alignment horizontal="center" vertical="center" wrapText="1"/>
      <protection locked="0"/>
    </xf>
    <xf numFmtId="0" fontId="15" fillId="15" borderId="3" xfId="0" applyFont="1" applyFill="1" applyBorder="1" applyAlignment="1" applyProtection="1">
      <alignment horizontal="center" vertical="center"/>
      <protection locked="0"/>
    </xf>
    <xf numFmtId="0" fontId="14" fillId="7" borderId="1" xfId="0" applyFont="1" applyFill="1" applyBorder="1" applyAlignment="1">
      <alignment horizontal="center" vertical="center"/>
    </xf>
    <xf numFmtId="0" fontId="15" fillId="15" borderId="48" xfId="0" applyFont="1" applyFill="1" applyBorder="1" applyAlignment="1" applyProtection="1">
      <alignment horizontal="center" vertical="center" wrapText="1"/>
      <protection locked="0"/>
    </xf>
    <xf numFmtId="0" fontId="15" fillId="3" borderId="2" xfId="0" applyFont="1" applyFill="1" applyBorder="1" applyAlignment="1" applyProtection="1">
      <alignment horizontal="center" vertical="center" wrapText="1"/>
      <protection locked="0"/>
    </xf>
    <xf numFmtId="0" fontId="15" fillId="3" borderId="40" xfId="0" applyFont="1" applyFill="1" applyBorder="1" applyAlignment="1" applyProtection="1">
      <alignment horizontal="center" vertical="center" wrapText="1"/>
      <protection locked="0"/>
    </xf>
    <xf numFmtId="0" fontId="15" fillId="3" borderId="20" xfId="0" applyFont="1" applyFill="1" applyBorder="1" applyAlignment="1" applyProtection="1">
      <alignment horizontal="center" vertical="center" wrapText="1"/>
      <protection locked="0"/>
    </xf>
    <xf numFmtId="0" fontId="15" fillId="3" borderId="21" xfId="0" applyFont="1" applyFill="1" applyBorder="1" applyAlignment="1" applyProtection="1">
      <alignment horizontal="center" vertical="center" wrapText="1"/>
      <protection locked="0"/>
    </xf>
    <xf numFmtId="0" fontId="15" fillId="3" borderId="22" xfId="0" applyFont="1" applyFill="1" applyBorder="1" applyAlignment="1" applyProtection="1">
      <alignment horizontal="center" vertical="center" wrapText="1"/>
      <protection locked="0"/>
    </xf>
    <xf numFmtId="0" fontId="10" fillId="7" borderId="55" xfId="0" applyFont="1" applyFill="1" applyBorder="1" applyAlignment="1">
      <alignment horizontal="center" vertical="center"/>
    </xf>
    <xf numFmtId="0" fontId="10" fillId="7" borderId="32" xfId="0" applyFont="1" applyFill="1" applyBorder="1" applyAlignment="1">
      <alignment horizontal="center" vertical="center"/>
    </xf>
    <xf numFmtId="0" fontId="10" fillId="7" borderId="33" xfId="0" applyFont="1" applyFill="1" applyBorder="1" applyAlignment="1">
      <alignment horizontal="center" vertical="center"/>
    </xf>
    <xf numFmtId="0" fontId="17" fillId="7" borderId="30" xfId="0" applyFont="1" applyFill="1" applyBorder="1" applyAlignment="1">
      <alignment horizontal="center" vertical="center" wrapText="1"/>
    </xf>
    <xf numFmtId="0" fontId="15" fillId="3" borderId="27" xfId="0" applyFont="1" applyFill="1" applyBorder="1" applyAlignment="1" applyProtection="1">
      <alignment horizontal="center" vertical="center" wrapText="1"/>
      <protection locked="0"/>
    </xf>
    <xf numFmtId="0" fontId="20" fillId="7" borderId="69" xfId="0" applyFont="1" applyFill="1" applyBorder="1" applyAlignment="1">
      <alignment horizontal="center" vertical="center" wrapText="1"/>
    </xf>
    <xf numFmtId="0" fontId="17" fillId="7" borderId="60" xfId="0" applyFont="1" applyFill="1" applyBorder="1" applyAlignment="1">
      <alignment horizontal="center" vertical="center"/>
    </xf>
    <xf numFmtId="0" fontId="10" fillId="6" borderId="21" xfId="0" applyFont="1" applyFill="1" applyBorder="1" applyAlignment="1">
      <alignment horizontal="center" vertical="center"/>
    </xf>
    <xf numFmtId="0" fontId="10" fillId="6" borderId="22" xfId="0" applyFont="1" applyFill="1" applyBorder="1" applyAlignment="1">
      <alignment horizontal="center" vertical="center"/>
    </xf>
    <xf numFmtId="0" fontId="19" fillId="15" borderId="31" xfId="0" applyFont="1" applyFill="1" applyBorder="1" applyAlignment="1">
      <alignment horizontal="right" vertical="center" wrapText="1"/>
    </xf>
    <xf numFmtId="0" fontId="19" fillId="3" borderId="37" xfId="0" applyFont="1" applyFill="1" applyBorder="1" applyAlignment="1">
      <alignment horizontal="right" vertical="center" wrapText="1"/>
    </xf>
    <xf numFmtId="0" fontId="0" fillId="15" borderId="37" xfId="0" applyFill="1" applyBorder="1" applyAlignment="1">
      <alignment horizontal="center" vertical="center"/>
    </xf>
    <xf numFmtId="0" fontId="0" fillId="3" borderId="37" xfId="0" applyFill="1" applyBorder="1" applyAlignment="1">
      <alignment horizontal="center" vertical="center"/>
    </xf>
    <xf numFmtId="0" fontId="0" fillId="3" borderId="27" xfId="0" applyFill="1" applyBorder="1" applyAlignment="1">
      <alignment horizontal="center" vertical="center"/>
    </xf>
    <xf numFmtId="0" fontId="0" fillId="3" borderId="1" xfId="0" applyFill="1" applyBorder="1" applyAlignment="1" applyProtection="1">
      <alignment horizontal="center" vertical="center"/>
      <protection locked="0"/>
    </xf>
    <xf numFmtId="0" fontId="14" fillId="7" borderId="55" xfId="0" applyFont="1" applyFill="1" applyBorder="1" applyAlignment="1">
      <alignment horizontal="center" vertical="center"/>
    </xf>
    <xf numFmtId="0" fontId="14" fillId="7" borderId="61" xfId="0" applyFont="1" applyFill="1" applyBorder="1" applyAlignment="1">
      <alignment horizontal="center" vertical="center"/>
    </xf>
    <xf numFmtId="0" fontId="0" fillId="3" borderId="4" xfId="0" applyFill="1" applyBorder="1" applyAlignment="1" applyProtection="1">
      <alignment horizontal="center" vertical="center"/>
      <protection locked="0"/>
    </xf>
    <xf numFmtId="0" fontId="0" fillId="3" borderId="5" xfId="0" applyFill="1" applyBorder="1" applyAlignment="1" applyProtection="1">
      <alignment horizontal="center" vertical="center"/>
      <protection locked="0"/>
    </xf>
    <xf numFmtId="0" fontId="19" fillId="15" borderId="28" xfId="0" applyFont="1" applyFill="1" applyBorder="1" applyAlignment="1" applyProtection="1">
      <alignment horizontal="center" vertical="center"/>
      <protection locked="0"/>
    </xf>
    <xf numFmtId="0" fontId="19" fillId="3" borderId="41" xfId="0" applyFont="1" applyFill="1" applyBorder="1" applyAlignment="1" applyProtection="1">
      <alignment horizontal="center" vertical="center"/>
      <protection locked="0"/>
    </xf>
    <xf numFmtId="0" fontId="15" fillId="3" borderId="41" xfId="0" applyFont="1" applyFill="1" applyBorder="1" applyAlignment="1" applyProtection="1">
      <alignment horizontal="center" vertical="center" wrapText="1"/>
      <protection locked="0"/>
    </xf>
    <xf numFmtId="0" fontId="15" fillId="3" borderId="41" xfId="0" applyFont="1" applyFill="1" applyBorder="1" applyAlignment="1" applyProtection="1">
      <alignment horizontal="center" vertical="center"/>
      <protection locked="0"/>
    </xf>
    <xf numFmtId="0" fontId="0" fillId="7" borderId="38" xfId="0" applyFill="1" applyBorder="1" applyAlignment="1">
      <alignment horizontal="center" vertical="center"/>
    </xf>
    <xf numFmtId="0" fontId="0" fillId="7" borderId="21" xfId="0" applyFill="1" applyBorder="1" applyAlignment="1">
      <alignment horizontal="center" vertical="center"/>
    </xf>
    <xf numFmtId="0" fontId="0" fillId="7" borderId="22" xfId="0" applyFill="1" applyBorder="1" applyAlignment="1">
      <alignment horizontal="center" vertical="center"/>
    </xf>
    <xf numFmtId="0" fontId="15" fillId="21" borderId="1" xfId="0" applyFont="1" applyFill="1" applyBorder="1" applyAlignment="1" applyProtection="1">
      <alignment horizontal="center" vertical="center"/>
      <protection locked="0"/>
    </xf>
    <xf numFmtId="0" fontId="0" fillId="7" borderId="39" xfId="0" applyFill="1" applyBorder="1" applyAlignment="1">
      <alignment horizontal="center" vertical="center"/>
    </xf>
    <xf numFmtId="0" fontId="0" fillId="15" borderId="1" xfId="0" applyFill="1" applyBorder="1" applyAlignment="1" applyProtection="1">
      <alignment horizontal="center" vertical="center" wrapText="1"/>
      <protection locked="0"/>
    </xf>
    <xf numFmtId="0" fontId="0" fillId="3" borderId="1" xfId="0" applyFill="1" applyBorder="1" applyAlignment="1" applyProtection="1">
      <alignment horizontal="center" vertical="center" wrapText="1"/>
      <protection locked="0"/>
    </xf>
    <xf numFmtId="0" fontId="0" fillId="15" borderId="0" xfId="0" applyFill="1" applyAlignment="1">
      <alignment horizontal="center" wrapText="1"/>
    </xf>
    <xf numFmtId="0" fontId="32" fillId="0" borderId="10" xfId="0" applyFont="1" applyBorder="1" applyAlignment="1">
      <alignment horizontal="center" vertical="center" wrapText="1"/>
    </xf>
    <xf numFmtId="0" fontId="21" fillId="0" borderId="1" xfId="0" applyFont="1" applyBorder="1" applyAlignment="1">
      <alignment horizontal="center" vertical="center" wrapText="1"/>
    </xf>
    <xf numFmtId="0" fontId="0" fillId="0" borderId="51" xfId="0" applyBorder="1" applyAlignment="1">
      <alignment horizontal="center" vertical="center" wrapText="1"/>
    </xf>
    <xf numFmtId="0" fontId="0" fillId="0" borderId="53" xfId="0" applyBorder="1" applyAlignment="1">
      <alignment horizontal="center" vertical="center" wrapText="1"/>
    </xf>
    <xf numFmtId="0" fontId="21" fillId="0" borderId="13" xfId="0" applyFont="1" applyBorder="1" applyAlignment="1">
      <alignment horizontal="center" vertical="center" wrapText="1"/>
    </xf>
    <xf numFmtId="0" fontId="21" fillId="0" borderId="0" xfId="0" applyFont="1" applyAlignment="1">
      <alignment horizontal="center" vertical="center" wrapText="1"/>
    </xf>
    <xf numFmtId="0" fontId="14" fillId="0" borderId="89" xfId="0" applyFont="1" applyBorder="1" applyAlignment="1">
      <alignment horizontal="center" vertical="center"/>
    </xf>
    <xf numFmtId="0" fontId="0" fillId="8" borderId="89" xfId="0" applyFill="1" applyBorder="1" applyAlignment="1">
      <alignment horizontal="center" vertical="center"/>
    </xf>
    <xf numFmtId="0" fontId="0" fillId="20" borderId="89" xfId="0" applyFill="1" applyBorder="1" applyAlignment="1">
      <alignment horizontal="center" vertical="center"/>
    </xf>
    <xf numFmtId="0" fontId="14" fillId="0" borderId="89" xfId="0" applyFont="1" applyBorder="1" applyAlignment="1">
      <alignment horizontal="center" vertical="center" wrapText="1"/>
    </xf>
    <xf numFmtId="0" fontId="14" fillId="0" borderId="1" xfId="0" applyFont="1" applyBorder="1" applyAlignment="1">
      <alignment horizontal="center" vertical="center"/>
    </xf>
    <xf numFmtId="0" fontId="14" fillId="0" borderId="112" xfId="0" applyFont="1" applyBorder="1" applyAlignment="1">
      <alignment horizontal="center" vertical="center"/>
    </xf>
    <xf numFmtId="0" fontId="14" fillId="0" borderId="113" xfId="0" applyFont="1" applyBorder="1" applyAlignment="1">
      <alignment horizontal="center" vertical="center"/>
    </xf>
    <xf numFmtId="0" fontId="14" fillId="0" borderId="111" xfId="0" applyFont="1" applyBorder="1" applyAlignment="1">
      <alignment horizontal="center" vertical="center"/>
    </xf>
    <xf numFmtId="0" fontId="12" fillId="8" borderId="89" xfId="0" applyFont="1" applyFill="1" applyBorder="1" applyAlignment="1">
      <alignment horizontal="center" vertical="center" wrapText="1"/>
    </xf>
    <xf numFmtId="0" fontId="12" fillId="0" borderId="89" xfId="0" applyFont="1" applyBorder="1" applyAlignment="1">
      <alignment horizontal="center" vertical="center" wrapText="1"/>
    </xf>
    <xf numFmtId="0" fontId="32" fillId="0" borderId="89" xfId="0" applyFont="1" applyBorder="1" applyAlignment="1">
      <alignment horizontal="center" vertical="center"/>
    </xf>
    <xf numFmtId="0" fontId="0" fillId="0" borderId="0" xfId="0" applyAlignment="1">
      <alignment horizontal="center" vertical="center" wrapText="1"/>
    </xf>
    <xf numFmtId="0" fontId="53" fillId="0" borderId="89" xfId="0" applyFont="1" applyBorder="1" applyAlignment="1">
      <alignment horizontal="center" vertical="center" textRotation="90"/>
    </xf>
    <xf numFmtId="0" fontId="0" fillId="8" borderId="89" xfId="0" applyFill="1" applyBorder="1" applyAlignment="1">
      <alignment horizontal="center" vertical="center" wrapText="1"/>
    </xf>
    <xf numFmtId="0" fontId="14" fillId="8" borderId="112" xfId="0" applyFont="1" applyFill="1" applyBorder="1" applyAlignment="1">
      <alignment horizontal="center" vertical="center"/>
    </xf>
    <xf numFmtId="0" fontId="14" fillId="8" borderId="111" xfId="0" applyFont="1" applyFill="1" applyBorder="1" applyAlignment="1">
      <alignment horizontal="center" vertical="center"/>
    </xf>
    <xf numFmtId="0" fontId="11" fillId="0" borderId="89" xfId="0" applyFont="1" applyBorder="1" applyAlignment="1">
      <alignment horizontal="center" vertical="center" wrapText="1"/>
    </xf>
    <xf numFmtId="0" fontId="11" fillId="8" borderId="89"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0" fillId="0" borderId="112" xfId="0" applyBorder="1" applyAlignment="1">
      <alignment horizontal="center" vertical="center"/>
    </xf>
    <xf numFmtId="0" fontId="0" fillId="0" borderId="111" xfId="0" applyBorder="1" applyAlignment="1">
      <alignment horizontal="center" vertical="center"/>
    </xf>
    <xf numFmtId="0" fontId="11" fillId="7" borderId="89" xfId="0" applyFont="1" applyFill="1" applyBorder="1" applyAlignment="1">
      <alignment horizontal="center" vertical="center" wrapText="1"/>
    </xf>
    <xf numFmtId="0" fontId="0" fillId="8" borderId="1" xfId="0" applyFill="1" applyBorder="1" applyAlignment="1">
      <alignment horizontal="left" vertical="top" wrapText="1"/>
    </xf>
    <xf numFmtId="0" fontId="0" fillId="8" borderId="3" xfId="0" applyFill="1" applyBorder="1" applyAlignment="1">
      <alignment horizontal="left" vertical="top" wrapText="1"/>
    </xf>
    <xf numFmtId="0" fontId="27" fillId="0" borderId="89" xfId="0" applyFont="1" applyBorder="1" applyAlignment="1">
      <alignment horizontal="center" vertical="center"/>
    </xf>
    <xf numFmtId="0" fontId="15" fillId="8" borderId="89" xfId="0" applyFont="1" applyFill="1" applyBorder="1" applyAlignment="1" applyProtection="1">
      <alignment horizontal="center" vertical="center" wrapText="1"/>
      <protection locked="0"/>
    </xf>
    <xf numFmtId="0" fontId="31" fillId="0" borderId="89" xfId="0" applyFont="1" applyBorder="1" applyAlignment="1">
      <alignment horizontal="center" vertical="center" wrapText="1"/>
    </xf>
    <xf numFmtId="0" fontId="47" fillId="0" borderId="89" xfId="0" applyFont="1" applyBorder="1" applyAlignment="1">
      <alignment horizontal="center" vertical="center" wrapText="1"/>
    </xf>
    <xf numFmtId="0" fontId="12" fillId="8" borderId="89" xfId="0" applyFont="1" applyFill="1" applyBorder="1" applyAlignment="1">
      <alignment horizontal="left" vertical="center" wrapText="1"/>
    </xf>
    <xf numFmtId="0" fontId="0" fillId="3" borderId="89" xfId="0" applyFill="1" applyBorder="1" applyAlignment="1">
      <alignment horizontal="center" vertical="center" wrapText="1"/>
    </xf>
    <xf numFmtId="0" fontId="51" fillId="0" borderId="89" xfId="0" applyFont="1" applyBorder="1" applyAlignment="1">
      <alignment horizontal="center" vertical="center" textRotation="90" wrapText="1"/>
    </xf>
    <xf numFmtId="0" fontId="11" fillId="0" borderId="89" xfId="0" applyFont="1" applyBorder="1" applyAlignment="1">
      <alignment horizontal="center" vertical="top" wrapText="1"/>
    </xf>
    <xf numFmtId="0" fontId="12" fillId="0" borderId="89" xfId="0" applyFont="1" applyBorder="1" applyAlignment="1">
      <alignment horizontal="center" vertical="top" wrapText="1"/>
    </xf>
    <xf numFmtId="0" fontId="53" fillId="0" borderId="90" xfId="0" applyFont="1" applyBorder="1" applyAlignment="1">
      <alignment horizontal="center" vertical="center" textRotation="90"/>
    </xf>
    <xf numFmtId="0" fontId="0" fillId="0" borderId="0" xfId="0" applyAlignment="1">
      <alignment horizontal="center"/>
    </xf>
    <xf numFmtId="0" fontId="14" fillId="0" borderId="91" xfId="0" applyFont="1" applyBorder="1" applyAlignment="1">
      <alignment horizontal="center" vertical="center"/>
    </xf>
    <xf numFmtId="0" fontId="0" fillId="0" borderId="89" xfId="0" applyBorder="1" applyAlignment="1">
      <alignment horizontal="center" vertical="center" wrapText="1"/>
    </xf>
    <xf numFmtId="0" fontId="0" fillId="8" borderId="89" xfId="0" applyFill="1" applyBorder="1" applyAlignment="1">
      <alignment horizontal="left" vertical="top" wrapText="1"/>
    </xf>
    <xf numFmtId="0" fontId="12" fillId="0" borderId="89" xfId="0" applyFont="1" applyBorder="1" applyAlignment="1">
      <alignment horizontal="left" vertical="center" wrapText="1"/>
    </xf>
    <xf numFmtId="0" fontId="12" fillId="0" borderId="0" xfId="0" applyFont="1" applyAlignment="1">
      <alignment horizontal="center" vertical="center" wrapText="1"/>
    </xf>
    <xf numFmtId="0" fontId="0" fillId="0" borderId="89" xfId="0" applyBorder="1" applyAlignment="1">
      <alignment horizontal="center" vertical="center"/>
    </xf>
    <xf numFmtId="0" fontId="44" fillId="8" borderId="89" xfId="0" applyFont="1" applyFill="1" applyBorder="1" applyAlignment="1">
      <alignment horizontal="center" vertical="center" wrapText="1"/>
    </xf>
    <xf numFmtId="0" fontId="29" fillId="3" borderId="89" xfId="0" applyFont="1" applyFill="1" applyBorder="1" applyAlignment="1">
      <alignment horizontal="center" vertical="center" wrapText="1"/>
    </xf>
    <xf numFmtId="0" fontId="44" fillId="8" borderId="89" xfId="0" applyFont="1" applyFill="1" applyBorder="1" applyAlignment="1">
      <alignment horizontal="center" vertical="center"/>
    </xf>
    <xf numFmtId="0" fontId="54" fillId="8" borderId="117" xfId="0" applyFont="1" applyFill="1" applyBorder="1" applyAlignment="1">
      <alignment horizontal="center" vertical="center" wrapText="1"/>
    </xf>
    <xf numFmtId="0" fontId="54" fillId="8" borderId="116" xfId="0" applyFont="1" applyFill="1" applyBorder="1" applyAlignment="1">
      <alignment horizontal="center" vertical="center" wrapText="1"/>
    </xf>
    <xf numFmtId="0" fontId="54" fillId="8" borderId="118" xfId="0" applyFont="1" applyFill="1" applyBorder="1" applyAlignment="1">
      <alignment horizontal="center" vertical="center" wrapText="1"/>
    </xf>
    <xf numFmtId="0" fontId="54" fillId="8" borderId="115" xfId="0" applyFont="1" applyFill="1" applyBorder="1" applyAlignment="1">
      <alignment horizontal="center" vertical="center" wrapText="1"/>
    </xf>
    <xf numFmtId="0" fontId="54" fillId="8" borderId="0" xfId="0" applyFont="1" applyFill="1" applyAlignment="1">
      <alignment horizontal="center" vertical="center" wrapText="1"/>
    </xf>
    <xf numFmtId="0" fontId="54" fillId="8" borderId="119" xfId="0" applyFont="1" applyFill="1" applyBorder="1" applyAlignment="1">
      <alignment horizontal="center" vertical="center" wrapText="1"/>
    </xf>
    <xf numFmtId="0" fontId="54" fillId="8" borderId="120" xfId="0" applyFont="1" applyFill="1" applyBorder="1" applyAlignment="1">
      <alignment horizontal="center" vertical="center" wrapText="1"/>
    </xf>
    <xf numFmtId="0" fontId="54" fillId="8" borderId="121" xfId="0" applyFont="1" applyFill="1" applyBorder="1" applyAlignment="1">
      <alignment horizontal="center" vertical="center" wrapText="1"/>
    </xf>
    <xf numFmtId="0" fontId="54" fillId="8" borderId="122" xfId="0" applyFont="1" applyFill="1" applyBorder="1" applyAlignment="1">
      <alignment horizontal="center" vertical="center" wrapText="1"/>
    </xf>
    <xf numFmtId="0" fontId="27" fillId="0" borderId="90" xfId="0" applyFont="1" applyBorder="1" applyAlignment="1">
      <alignment horizontal="center" vertical="center" textRotation="90"/>
    </xf>
    <xf numFmtId="0" fontId="27" fillId="0" borderId="114" xfId="0" applyFont="1" applyBorder="1" applyAlignment="1">
      <alignment horizontal="center" vertical="center" textRotation="90"/>
    </xf>
    <xf numFmtId="0" fontId="27" fillId="0" borderId="91" xfId="0" applyFont="1" applyBorder="1" applyAlignment="1">
      <alignment horizontal="center" vertical="center" textRotation="90"/>
    </xf>
    <xf numFmtId="0" fontId="44" fillId="8" borderId="112" xfId="0" applyFont="1" applyFill="1" applyBorder="1" applyAlignment="1">
      <alignment horizontal="center" vertical="center" wrapText="1"/>
    </xf>
    <xf numFmtId="0" fontId="51" fillId="0" borderId="89" xfId="0" applyFont="1" applyBorder="1" applyAlignment="1">
      <alignment horizontal="center" vertical="center"/>
    </xf>
    <xf numFmtId="0" fontId="51" fillId="0" borderId="91" xfId="0" applyFont="1" applyBorder="1" applyAlignment="1">
      <alignment horizontal="center" vertical="center"/>
    </xf>
    <xf numFmtId="0" fontId="53" fillId="0" borderId="89" xfId="0" applyFont="1" applyBorder="1" applyAlignment="1">
      <alignment horizontal="center" vertical="center" textRotation="90" wrapText="1"/>
    </xf>
    <xf numFmtId="0" fontId="14" fillId="3" borderId="89" xfId="0" applyFont="1" applyFill="1" applyBorder="1" applyAlignment="1">
      <alignment horizontal="center" vertical="center" wrapText="1"/>
    </xf>
    <xf numFmtId="0" fontId="11" fillId="0" borderId="112" xfId="0" applyFont="1" applyBorder="1" applyAlignment="1">
      <alignment horizontal="center" vertical="center" wrapText="1"/>
    </xf>
    <xf numFmtId="0" fontId="11" fillId="0" borderId="113" xfId="0" applyFont="1" applyBorder="1" applyAlignment="1">
      <alignment horizontal="center" vertical="center" wrapText="1"/>
    </xf>
    <xf numFmtId="0" fontId="11" fillId="0" borderId="111" xfId="0" applyFont="1" applyBorder="1" applyAlignment="1">
      <alignment horizontal="center" vertical="center" wrapText="1"/>
    </xf>
    <xf numFmtId="0" fontId="15" fillId="0" borderId="89" xfId="0" applyFont="1" applyBorder="1" applyAlignment="1">
      <alignment horizontal="center" vertical="center" wrapText="1"/>
    </xf>
    <xf numFmtId="0" fontId="53" fillId="0" borderId="111" xfId="0" applyFont="1" applyBorder="1" applyAlignment="1">
      <alignment horizontal="center" vertical="center" textRotation="90" wrapText="1"/>
    </xf>
    <xf numFmtId="0" fontId="51" fillId="0" borderId="90" xfId="0" applyFont="1" applyBorder="1" applyAlignment="1">
      <alignment horizontal="center" vertical="center" textRotation="90"/>
    </xf>
    <xf numFmtId="0" fontId="51" fillId="0" borderId="114" xfId="0" applyFont="1" applyBorder="1" applyAlignment="1">
      <alignment horizontal="center" vertical="center" textRotation="90"/>
    </xf>
    <xf numFmtId="0" fontId="51" fillId="0" borderId="91" xfId="0" applyFont="1" applyBorder="1" applyAlignment="1">
      <alignment horizontal="center" vertical="center" textRotation="90"/>
    </xf>
    <xf numFmtId="0" fontId="53" fillId="0" borderId="89" xfId="0" applyFont="1" applyBorder="1" applyAlignment="1">
      <alignment horizontal="center" vertical="center"/>
    </xf>
    <xf numFmtId="0" fontId="44" fillId="8" borderId="115" xfId="0" applyFont="1" applyFill="1" applyBorder="1" applyAlignment="1">
      <alignment horizontal="center" vertical="center" wrapText="1"/>
    </xf>
    <xf numFmtId="0" fontId="44" fillId="8" borderId="0" xfId="0" applyFont="1" applyFill="1" applyAlignment="1">
      <alignment horizontal="center" vertical="center" wrapText="1"/>
    </xf>
    <xf numFmtId="0" fontId="44" fillId="8" borderId="119" xfId="0" applyFont="1" applyFill="1" applyBorder="1" applyAlignment="1">
      <alignment horizontal="center" vertical="center" wrapText="1"/>
    </xf>
    <xf numFmtId="0" fontId="15" fillId="3" borderId="112" xfId="0" applyFont="1" applyFill="1" applyBorder="1" applyAlignment="1">
      <alignment horizontal="center" vertical="center" wrapText="1"/>
    </xf>
    <xf numFmtId="0" fontId="15" fillId="3" borderId="111" xfId="0" applyFont="1" applyFill="1" applyBorder="1" applyAlignment="1">
      <alignment horizontal="center" vertical="center" wrapText="1"/>
    </xf>
    <xf numFmtId="0" fontId="11" fillId="0" borderId="112" xfId="0" applyFont="1" applyBorder="1" applyAlignment="1">
      <alignment horizontal="center" vertical="center"/>
    </xf>
    <xf numFmtId="0" fontId="11" fillId="0" borderId="111" xfId="0" applyFont="1" applyBorder="1" applyAlignment="1">
      <alignment horizontal="center" vertical="center"/>
    </xf>
    <xf numFmtId="0" fontId="35" fillId="8" borderId="89" xfId="0" applyFont="1" applyFill="1" applyBorder="1" applyAlignment="1">
      <alignment horizontal="center" vertical="center" wrapText="1"/>
    </xf>
    <xf numFmtId="0" fontId="53" fillId="0" borderId="89" xfId="0" applyFont="1" applyBorder="1" applyAlignment="1">
      <alignment horizontal="center" vertical="center" wrapText="1"/>
    </xf>
    <xf numFmtId="0" fontId="11" fillId="0" borderId="89" xfId="0" applyFont="1" applyBorder="1" applyAlignment="1">
      <alignment horizontal="center" vertical="center"/>
    </xf>
    <xf numFmtId="0" fontId="51" fillId="8" borderId="89" xfId="0" applyFont="1" applyFill="1" applyBorder="1" applyAlignment="1">
      <alignment horizontal="center" vertical="center" wrapText="1"/>
    </xf>
    <xf numFmtId="0" fontId="11" fillId="3" borderId="89" xfId="0" applyFont="1" applyFill="1" applyBorder="1" applyAlignment="1">
      <alignment horizontal="center" vertical="center" wrapText="1"/>
    </xf>
    <xf numFmtId="0" fontId="11" fillId="0" borderId="117" xfId="0" applyFont="1" applyBorder="1" applyAlignment="1">
      <alignment horizontal="center" vertical="center"/>
    </xf>
    <xf numFmtId="0" fontId="11" fillId="0" borderId="116" xfId="0" applyFont="1" applyBorder="1" applyAlignment="1">
      <alignment horizontal="center" vertical="center"/>
    </xf>
    <xf numFmtId="0" fontId="14" fillId="0" borderId="120" xfId="0" applyFont="1" applyBorder="1" applyAlignment="1">
      <alignment horizontal="center" vertical="center"/>
    </xf>
    <xf numFmtId="0" fontId="15" fillId="3" borderId="89" xfId="0" applyFont="1" applyFill="1" applyBorder="1" applyAlignment="1">
      <alignment horizontal="center" vertical="center" wrapText="1"/>
    </xf>
    <xf numFmtId="0" fontId="50" fillId="0" borderId="89" xfId="0" applyFont="1" applyBorder="1" applyAlignment="1">
      <alignment horizontal="center" vertical="center" wrapText="1"/>
    </xf>
    <xf numFmtId="0" fontId="11" fillId="8" borderId="89" xfId="0" applyFont="1" applyFill="1" applyBorder="1" applyAlignment="1">
      <alignment horizontal="center" vertical="top" wrapText="1"/>
    </xf>
    <xf numFmtId="0" fontId="11" fillId="8" borderId="112" xfId="0" applyFont="1" applyFill="1" applyBorder="1" applyAlignment="1">
      <alignment horizontal="center" vertical="center" wrapText="1"/>
    </xf>
    <xf numFmtId="0" fontId="11" fillId="8" borderId="113" xfId="0" applyFont="1" applyFill="1" applyBorder="1" applyAlignment="1">
      <alignment horizontal="center" vertical="center" wrapText="1"/>
    </xf>
    <xf numFmtId="0" fontId="11" fillId="8" borderId="111" xfId="0" applyFont="1" applyFill="1" applyBorder="1" applyAlignment="1">
      <alignment horizontal="center" vertical="center" wrapText="1"/>
    </xf>
    <xf numFmtId="0" fontId="51" fillId="0" borderId="90" xfId="0" applyFont="1" applyBorder="1" applyAlignment="1">
      <alignment horizontal="center" vertical="center" textRotation="90" wrapText="1"/>
    </xf>
    <xf numFmtId="0" fontId="51" fillId="0" borderId="114" xfId="0" applyFont="1" applyBorder="1" applyAlignment="1">
      <alignment horizontal="center" vertical="center" textRotation="90" wrapText="1"/>
    </xf>
    <xf numFmtId="0" fontId="51" fillId="0" borderId="91" xfId="0" applyFont="1" applyBorder="1" applyAlignment="1">
      <alignment horizontal="center" vertical="center" textRotation="90" wrapText="1"/>
    </xf>
    <xf numFmtId="0" fontId="11" fillId="0" borderId="89" xfId="0" applyFont="1" applyBorder="1" applyAlignment="1" applyProtection="1">
      <alignment horizontal="center" vertical="center" wrapText="1"/>
      <protection locked="0"/>
    </xf>
    <xf numFmtId="0" fontId="11" fillId="3" borderId="89" xfId="0" applyFont="1" applyFill="1" applyBorder="1" applyAlignment="1" applyProtection="1">
      <alignment horizontal="center" vertical="center" wrapText="1"/>
      <protection locked="0"/>
    </xf>
    <xf numFmtId="0" fontId="15" fillId="0" borderId="89" xfId="0" applyFont="1" applyBorder="1" applyAlignment="1" applyProtection="1">
      <alignment horizontal="center" vertical="center" wrapText="1"/>
      <protection locked="0"/>
    </xf>
    <xf numFmtId="0" fontId="11" fillId="4" borderId="89" xfId="0" applyFont="1" applyFill="1" applyBorder="1" applyAlignment="1">
      <alignment horizontal="center" vertical="center" wrapText="1"/>
    </xf>
    <xf numFmtId="0" fontId="14" fillId="8" borderId="89" xfId="0" applyFont="1" applyFill="1" applyBorder="1" applyAlignment="1">
      <alignment horizontal="center" vertical="center" wrapText="1"/>
    </xf>
    <xf numFmtId="0" fontId="0" fillId="3" borderId="123" xfId="0" applyFill="1" applyBorder="1" applyAlignment="1">
      <alignment horizontal="center" vertical="center" wrapText="1"/>
    </xf>
    <xf numFmtId="0" fontId="0" fillId="3" borderId="116" xfId="0" applyFill="1" applyBorder="1" applyAlignment="1">
      <alignment horizontal="center" vertical="center" wrapText="1"/>
    </xf>
    <xf numFmtId="0" fontId="17" fillId="0" borderId="89" xfId="0" applyFont="1" applyBorder="1" applyAlignment="1" applyProtection="1">
      <alignment horizontal="center" vertical="center"/>
      <protection locked="0"/>
    </xf>
    <xf numFmtId="0" fontId="14" fillId="0" borderId="91" xfId="0" applyFont="1" applyBorder="1" applyAlignment="1">
      <alignment horizontal="center" vertical="center" wrapText="1"/>
    </xf>
    <xf numFmtId="0" fontId="14" fillId="0" borderId="120" xfId="0" applyFont="1" applyBorder="1" applyAlignment="1">
      <alignment horizontal="center" vertical="center" wrapText="1"/>
    </xf>
    <xf numFmtId="0" fontId="15" fillId="3" borderId="11" xfId="0" applyFont="1" applyFill="1" applyBorder="1" applyAlignment="1">
      <alignment horizontal="center" vertical="center" wrapText="1"/>
    </xf>
    <xf numFmtId="0" fontId="15" fillId="3" borderId="8" xfId="0" applyFont="1" applyFill="1" applyBorder="1" applyAlignment="1">
      <alignment horizontal="center" vertical="center" wrapText="1"/>
    </xf>
    <xf numFmtId="0" fontId="51" fillId="0" borderId="112" xfId="0" applyFont="1" applyBorder="1" applyAlignment="1">
      <alignment horizontal="center" vertical="center"/>
    </xf>
    <xf numFmtId="0" fontId="51" fillId="0" borderId="113" xfId="0" applyFont="1" applyBorder="1" applyAlignment="1">
      <alignment horizontal="center" vertical="center"/>
    </xf>
    <xf numFmtId="0" fontId="51" fillId="0" borderId="111" xfId="0" applyFont="1" applyBorder="1" applyAlignment="1">
      <alignment horizontal="center" vertical="center"/>
    </xf>
    <xf numFmtId="0" fontId="46" fillId="8" borderId="89" xfId="0" applyFont="1" applyFill="1" applyBorder="1" applyAlignment="1">
      <alignment horizontal="center" vertical="center" wrapText="1"/>
    </xf>
    <xf numFmtId="2" fontId="0" fillId="8" borderId="89" xfId="0" applyNumberFormat="1" applyFill="1" applyBorder="1" applyAlignment="1">
      <alignment horizontal="center" vertical="center"/>
    </xf>
    <xf numFmtId="0" fontId="22" fillId="8" borderId="89" xfId="0" applyFont="1" applyFill="1" applyBorder="1" applyAlignment="1">
      <alignment horizontal="center" vertical="center" wrapText="1"/>
    </xf>
    <xf numFmtId="0" fontId="42" fillId="0" borderId="84" xfId="0" applyFont="1" applyBorder="1" applyAlignment="1">
      <alignment vertical="center" wrapText="1"/>
    </xf>
    <xf numFmtId="0" fontId="42" fillId="0" borderId="85" xfId="0" applyFont="1" applyBorder="1" applyAlignment="1">
      <alignment vertical="center" wrapText="1"/>
    </xf>
    <xf numFmtId="0" fontId="42" fillId="0" borderId="86" xfId="0" applyFont="1" applyBorder="1" applyAlignment="1">
      <alignment vertical="center" wrapText="1"/>
    </xf>
    <xf numFmtId="0" fontId="39" fillId="0" borderId="84" xfId="0" applyFont="1" applyBorder="1" applyAlignment="1">
      <alignment vertical="center" wrapText="1"/>
    </xf>
    <xf numFmtId="0" fontId="39" fillId="0" borderId="85" xfId="0" applyFont="1" applyBorder="1" applyAlignment="1">
      <alignment vertical="center" wrapText="1"/>
    </xf>
    <xf numFmtId="0" fontId="39" fillId="0" borderId="86" xfId="0" applyFont="1" applyBorder="1" applyAlignment="1">
      <alignment vertical="center" wrapText="1"/>
    </xf>
    <xf numFmtId="0" fontId="38" fillId="0" borderId="74" xfId="0" applyFont="1" applyBorder="1" applyAlignment="1">
      <alignment vertical="center" wrapText="1"/>
    </xf>
    <xf numFmtId="0" fontId="38" fillId="0" borderId="75" xfId="0" applyFont="1" applyBorder="1" applyAlignment="1">
      <alignment vertical="center" wrapText="1"/>
    </xf>
    <xf numFmtId="0" fontId="39" fillId="0" borderId="74" xfId="0" applyFont="1" applyBorder="1" applyAlignment="1">
      <alignment vertical="center" wrapText="1"/>
    </xf>
    <xf numFmtId="0" fontId="39" fillId="0" borderId="75" xfId="0" applyFont="1" applyBorder="1" applyAlignment="1">
      <alignment vertical="center" wrapText="1"/>
    </xf>
    <xf numFmtId="0" fontId="38" fillId="0" borderId="80" xfId="0" applyFont="1" applyBorder="1" applyAlignment="1">
      <alignment vertical="center" wrapText="1"/>
    </xf>
    <xf numFmtId="0" fontId="39" fillId="0" borderId="80" xfId="0" applyFont="1" applyBorder="1" applyAlignment="1">
      <alignment vertical="center" wrapText="1"/>
    </xf>
    <xf numFmtId="0" fontId="42" fillId="0" borderId="74" xfId="0" applyFont="1" applyBorder="1" applyAlignment="1">
      <alignment vertical="center" wrapText="1"/>
    </xf>
    <xf numFmtId="0" fontId="42" fillId="0" borderId="75" xfId="0" applyFont="1" applyBorder="1" applyAlignment="1">
      <alignment vertical="center" wrapText="1"/>
    </xf>
    <xf numFmtId="0" fontId="40" fillId="0" borderId="74" xfId="0" applyFont="1" applyBorder="1" applyAlignment="1">
      <alignment vertical="center" wrapText="1"/>
    </xf>
    <xf numFmtId="0" fontId="40" fillId="0" borderId="75" xfId="0" applyFont="1" applyBorder="1" applyAlignment="1">
      <alignment vertical="center" wrapText="1"/>
    </xf>
    <xf numFmtId="0" fontId="39" fillId="0" borderId="79" xfId="0" applyFont="1" applyBorder="1" applyAlignment="1">
      <alignment vertical="center" wrapText="1"/>
    </xf>
    <xf numFmtId="0" fontId="34" fillId="12" borderId="0" xfId="0" applyFont="1" applyFill="1" applyAlignment="1">
      <alignment horizontal="center" vertical="center"/>
    </xf>
    <xf numFmtId="0" fontId="0" fillId="0" borderId="1" xfId="0" applyBorder="1" applyAlignment="1">
      <alignment horizontal="center" vertical="center" wrapText="1"/>
    </xf>
    <xf numFmtId="0" fontId="0" fillId="2" borderId="1" xfId="0" applyFill="1" applyBorder="1" applyAlignment="1">
      <alignment horizontal="center" vertical="center" wrapText="1"/>
    </xf>
    <xf numFmtId="0" fontId="15" fillId="0" borderId="16" xfId="0" applyFont="1" applyBorder="1" applyAlignment="1">
      <alignment horizontal="left" vertical="center" wrapText="1"/>
    </xf>
    <xf numFmtId="0" fontId="15" fillId="0" borderId="0" xfId="0" applyFont="1" applyAlignment="1">
      <alignment horizontal="left" vertical="center" wrapText="1"/>
    </xf>
    <xf numFmtId="0" fontId="15" fillId="3" borderId="3" xfId="0" applyFont="1" applyFill="1" applyBorder="1" applyAlignment="1" applyProtection="1">
      <alignment horizontal="center" vertical="center" wrapText="1"/>
      <protection locked="0"/>
    </xf>
    <xf numFmtId="0" fontId="15" fillId="3" borderId="4" xfId="0" applyFont="1" applyFill="1" applyBorder="1" applyAlignment="1" applyProtection="1">
      <alignment horizontal="center" vertical="center" wrapText="1"/>
      <protection locked="0"/>
    </xf>
    <xf numFmtId="0" fontId="15" fillId="3" borderId="5" xfId="0" applyFont="1" applyFill="1" applyBorder="1" applyAlignment="1" applyProtection="1">
      <alignment horizontal="center" vertical="center" wrapText="1"/>
      <protection locked="0"/>
    </xf>
    <xf numFmtId="0" fontId="17" fillId="7" borderId="3" xfId="0" applyFont="1" applyFill="1" applyBorder="1" applyAlignment="1">
      <alignment horizontal="center" vertical="center" wrapText="1"/>
    </xf>
    <xf numFmtId="0" fontId="17" fillId="7" borderId="5" xfId="0" applyFont="1" applyFill="1" applyBorder="1" applyAlignment="1">
      <alignment horizontal="center" vertical="center" wrapText="1"/>
    </xf>
    <xf numFmtId="0" fontId="17" fillId="7" borderId="3" xfId="0" applyFont="1" applyFill="1" applyBorder="1" applyAlignment="1">
      <alignment horizontal="center" vertical="center"/>
    </xf>
    <xf numFmtId="0" fontId="17" fillId="7" borderId="4" xfId="0" applyFont="1" applyFill="1" applyBorder="1" applyAlignment="1">
      <alignment horizontal="center" vertical="center"/>
    </xf>
    <xf numFmtId="0" fontId="17" fillId="7" borderId="39" xfId="0" applyFont="1" applyFill="1" applyBorder="1" applyAlignment="1">
      <alignment horizontal="center" vertical="center"/>
    </xf>
    <xf numFmtId="0" fontId="15" fillId="0" borderId="3" xfId="0" applyFont="1" applyBorder="1" applyAlignment="1" applyProtection="1">
      <alignment horizontal="center" vertical="center" wrapText="1"/>
      <protection locked="0"/>
    </xf>
    <xf numFmtId="0" fontId="15" fillId="0" borderId="4" xfId="0" applyFont="1" applyBorder="1" applyAlignment="1" applyProtection="1">
      <alignment horizontal="center" vertical="center" wrapText="1"/>
      <protection locked="0"/>
    </xf>
    <xf numFmtId="0" fontId="15" fillId="0" borderId="39"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0" fillId="15" borderId="69" xfId="0" applyFill="1" applyBorder="1" applyAlignment="1" applyProtection="1">
      <alignment horizontal="center" vertical="center"/>
      <protection locked="0"/>
    </xf>
    <xf numFmtId="0" fontId="0" fillId="15" borderId="53" xfId="0" applyFill="1" applyBorder="1" applyAlignment="1" applyProtection="1">
      <alignment horizontal="center" vertical="center"/>
      <protection locked="0"/>
    </xf>
    <xf numFmtId="0" fontId="15" fillId="15" borderId="28" xfId="0" applyFont="1" applyFill="1" applyBorder="1" applyAlignment="1" applyProtection="1">
      <alignment horizontal="center" vertical="center" wrapText="1"/>
      <protection locked="0"/>
    </xf>
    <xf numFmtId="4" fontId="0" fillId="15" borderId="1" xfId="2" applyNumberFormat="1" applyFont="1" applyFill="1" applyBorder="1" applyAlignment="1" applyProtection="1">
      <alignment vertical="center"/>
      <protection locked="0"/>
    </xf>
    <xf numFmtId="49" fontId="0" fillId="15" borderId="124" xfId="0" quotePrefix="1" applyNumberFormat="1" applyFill="1" applyBorder="1" applyAlignment="1" applyProtection="1">
      <alignment horizontal="center" vertical="center"/>
      <protection locked="0"/>
    </xf>
    <xf numFmtId="0" fontId="15" fillId="15" borderId="124" xfId="0" applyFont="1" applyFill="1" applyBorder="1" applyAlignment="1" applyProtection="1">
      <alignment horizontal="center" vertical="center"/>
      <protection locked="0"/>
    </xf>
    <xf numFmtId="0" fontId="0" fillId="15" borderId="124" xfId="0" applyFill="1" applyBorder="1" applyAlignment="1" applyProtection="1">
      <alignment horizontal="center" vertical="center"/>
      <protection locked="0"/>
    </xf>
    <xf numFmtId="0" fontId="15" fillId="15" borderId="60" xfId="0" applyFont="1" applyFill="1" applyBorder="1" applyAlignment="1" applyProtection="1">
      <alignment horizontal="center" vertical="center"/>
      <protection locked="0"/>
    </xf>
    <xf numFmtId="49" fontId="15" fillId="15" borderId="56" xfId="0" applyNumberFormat="1" applyFont="1" applyFill="1" applyBorder="1" applyAlignment="1" applyProtection="1">
      <alignment horizontal="center" vertical="center"/>
      <protection locked="0"/>
    </xf>
    <xf numFmtId="2" fontId="15" fillId="15" borderId="1" xfId="0" quotePrefix="1" applyNumberFormat="1" applyFont="1" applyFill="1" applyBorder="1" applyAlignment="1" applyProtection="1">
      <alignment horizontal="center" vertical="center"/>
      <protection locked="0"/>
    </xf>
    <xf numFmtId="49" fontId="15" fillId="15" borderId="69" xfId="0" quotePrefix="1" applyNumberFormat="1" applyFont="1" applyFill="1" applyBorder="1" applyAlignment="1" applyProtection="1">
      <alignment horizontal="center" vertical="center"/>
      <protection locked="0"/>
    </xf>
    <xf numFmtId="0" fontId="15" fillId="15" borderId="69" xfId="0" applyFont="1" applyFill="1" applyBorder="1" applyAlignment="1" applyProtection="1">
      <alignment horizontal="center" vertical="center" wrapText="1"/>
      <protection locked="0"/>
    </xf>
    <xf numFmtId="0" fontId="0" fillId="15" borderId="73" xfId="0" applyFill="1" applyBorder="1" applyAlignment="1" applyProtection="1">
      <alignment horizontal="center" vertical="center" wrapText="1"/>
      <protection locked="0"/>
    </xf>
    <xf numFmtId="171" fontId="15" fillId="15" borderId="41" xfId="1" applyNumberFormat="1" applyFont="1" applyFill="1" applyBorder="1" applyAlignment="1" applyProtection="1">
      <alignment vertical="center"/>
      <protection locked="0"/>
    </xf>
    <xf numFmtId="171" fontId="15" fillId="15" borderId="56" xfId="1" applyNumberFormat="1" applyFont="1" applyFill="1" applyBorder="1" applyAlignment="1" applyProtection="1">
      <alignment horizontal="center" vertical="center"/>
      <protection locked="0"/>
    </xf>
    <xf numFmtId="0" fontId="15" fillId="15" borderId="56" xfId="0" applyFont="1" applyFill="1" applyBorder="1" applyAlignment="1" applyProtection="1">
      <alignment horizontal="center" vertical="center" wrapText="1"/>
      <protection locked="0"/>
    </xf>
    <xf numFmtId="171" fontId="15" fillId="15" borderId="37" xfId="1" applyNumberFormat="1" applyFont="1" applyFill="1" applyBorder="1" applyAlignment="1" applyProtection="1">
      <alignment vertical="center"/>
      <protection locked="0"/>
    </xf>
    <xf numFmtId="178" fontId="19" fillId="15" borderId="1" xfId="0" quotePrefix="1" applyNumberFormat="1" applyFont="1" applyFill="1" applyBorder="1" applyAlignment="1" applyProtection="1">
      <alignment horizontal="center" vertical="center"/>
      <protection locked="0"/>
    </xf>
    <xf numFmtId="49" fontId="0" fillId="21" borderId="41" xfId="0" quotePrefix="1" applyNumberFormat="1" applyFill="1" applyBorder="1" applyAlignment="1" applyProtection="1">
      <alignment horizontal="center" vertical="center"/>
      <protection locked="0"/>
    </xf>
  </cellXfs>
  <cellStyles count="4">
    <cellStyle name="Normal" xfId="0" builtinId="0"/>
    <cellStyle name="ParaBirimi" xfId="1" builtinId="4"/>
    <cellStyle name="Virgül" xfId="2" builtinId="3"/>
    <cellStyle name="Yüzde" xfId="3" builtinId="5"/>
  </cellStyles>
  <dxfs count="140">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numFmt numFmtId="0" formatCode="General"/>
    </dxf>
    <dxf>
      <numFmt numFmtId="0" formatCode="General"/>
    </dxf>
    <dxf>
      <numFmt numFmtId="0" formatCode="General"/>
    </dxf>
    <dxf>
      <numFmt numFmtId="0" formatCode="General"/>
    </dxf>
    <dxf>
      <numFmt numFmtId="19" formatCode="d/mm/yyyy"/>
    </dxf>
    <dxf>
      <border outline="0">
        <top style="thin">
          <color theme="4" tint="0.39997558519241921"/>
        </top>
      </border>
    </dxf>
    <dxf>
      <border outline="0">
        <bottom style="thin">
          <color theme="4" tint="0.39997558519241921"/>
        </bottom>
      </border>
    </dxf>
    <dxf>
      <font>
        <b val="0"/>
        <i val="0"/>
        <strike val="0"/>
        <condense val="0"/>
        <extend val="0"/>
        <outline val="0"/>
        <shadow val="0"/>
        <u val="none"/>
        <vertAlign val="baseline"/>
        <sz val="11"/>
        <color theme="1"/>
        <name val="Calibri"/>
        <family val="2"/>
        <charset val="162"/>
        <scheme val="minor"/>
      </font>
    </dxf>
    <dxf>
      <font>
        <b val="0"/>
        <i val="0"/>
        <strike val="0"/>
        <condense val="0"/>
        <extend val="0"/>
        <outline val="0"/>
        <shadow val="0"/>
        <u val="none"/>
        <vertAlign val="baseline"/>
        <sz val="11"/>
        <color theme="1"/>
        <name val="Calibri"/>
        <family val="2"/>
        <charset val="162"/>
        <scheme val="minor"/>
      </font>
    </dxf>
    <dxf>
      <font>
        <b val="0"/>
        <i val="0"/>
        <strike val="0"/>
        <condense val="0"/>
        <extend val="0"/>
        <outline val="0"/>
        <shadow val="0"/>
        <u val="none"/>
        <vertAlign val="baseline"/>
        <sz val="11"/>
        <color theme="1"/>
        <name val="Calibri"/>
        <family val="2"/>
        <charset val="162"/>
        <scheme val="minor"/>
      </font>
    </dxf>
    <dxf>
      <font>
        <b val="0"/>
        <i val="0"/>
        <strike val="0"/>
        <condense val="0"/>
        <extend val="0"/>
        <outline val="0"/>
        <shadow val="0"/>
        <u val="none"/>
        <vertAlign val="baseline"/>
        <sz val="11"/>
        <color theme="1"/>
        <name val="Calibri"/>
        <family val="2"/>
        <charset val="162"/>
        <scheme val="minor"/>
      </font>
    </dxf>
    <dxf>
      <numFmt numFmtId="0" formatCode="General"/>
    </dxf>
    <dxf>
      <numFmt numFmtId="0" formatCode="General"/>
    </dxf>
    <dxf>
      <numFmt numFmtId="0" formatCode="General"/>
    </dxf>
    <dxf>
      <alignment vertical="center" textRotation="0" wrapText="1" indent="0" justifyLastLine="0" shrinkToFit="0" readingOrder="0"/>
    </dxf>
    <dxf>
      <alignment vertical="center" textRotation="0" wrapText="1"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Medium9"/>
  <colors>
    <mruColors>
      <color rgb="FFCAFDB5"/>
      <color rgb="FFDDDDDD"/>
      <color rgb="FFFF0000"/>
      <color rgb="FFF8F7D7"/>
      <color rgb="FFCCECFF"/>
      <color rgb="FF82EE85"/>
      <color rgb="FFBAD3F8"/>
      <color rgb="FFBCEAD8"/>
      <color rgb="FFBCDAD7"/>
      <color rgb="FFF8ED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CheckBox" fmlaLink="$BK$24" lockText="1" noThreeD="1"/>
</file>

<file path=xl/ctrlProps/ctrlProp2.xml><?xml version="1.0" encoding="utf-8"?>
<formControlPr xmlns="http://schemas.microsoft.com/office/spreadsheetml/2009/9/main" objectType="CheckBox" fmlaLink="$BK$25" lockText="1" noThreeD="1"/>
</file>

<file path=xl/ctrlProps/ctrlProp3.xml><?xml version="1.0" encoding="utf-8"?>
<formControlPr xmlns="http://schemas.microsoft.com/office/spreadsheetml/2009/9/main" objectType="CheckBox" fmlaLink="$BO$22" lockText="1" noThreeD="1"/>
</file>

<file path=xl/ctrlProps/ctrlProp4.xml><?xml version="1.0" encoding="utf-8"?>
<formControlPr xmlns="http://schemas.microsoft.com/office/spreadsheetml/2009/9/main" objectType="CheckBox" fmlaLink="$BO$23" lockText="1" noThreeD="1"/>
</file>

<file path=xl/ctrlProps/ctrlProp5.xml><?xml version="1.0" encoding="utf-8"?>
<formControlPr xmlns="http://schemas.microsoft.com/office/spreadsheetml/2009/9/main" objectType="CheckBox" fmlaLink="$BO$24" lockText="1" noThreeD="1"/>
</file>

<file path=xl/ctrlProps/ctrlProp6.xml><?xml version="1.0" encoding="utf-8"?>
<formControlPr xmlns="http://schemas.microsoft.com/office/spreadsheetml/2009/9/main" objectType="CheckBox" fmlaLink="$BK$23" lockText="1" noThreeD="1"/>
</file>

<file path=xl/ctrlProps/ctrlProp7.xml><?xml version="1.0" encoding="utf-8"?>
<formControlPr xmlns="http://schemas.microsoft.com/office/spreadsheetml/2009/9/main" objectType="CheckBox" checked="Checked" fmlaLink="$BK$26" lockText="1" noThreeD="1"/>
</file>

<file path=xl/ctrlProps/ctrlProp8.xml><?xml version="1.0" encoding="utf-8"?>
<formControlPr xmlns="http://schemas.microsoft.com/office/spreadsheetml/2009/9/main" objectType="CheckBox" checked="Checked" fmlaLink="$BK$27" lockText="1" noThreeD="1"/>
</file>

<file path=xl/ctrlProps/ctrlProp9.xml><?xml version="1.0" encoding="utf-8"?>
<formControlPr xmlns="http://schemas.microsoft.com/office/spreadsheetml/2009/9/main" objectType="CheckBox" fmlaLink="$BK$28" lockText="1" noThreeD="1"/>
</file>

<file path=xl/ctrlProps/ctrlProp10.xml><?xml version="1.0" encoding="utf-8"?>
<formControlPr xmlns="http://schemas.microsoft.com/office/spreadsheetml/2009/9/main" objectType="CheckBox" fmlaLink="$BO$25" lockText="1" noThreeD="1"/>
</file>

<file path=xl/ctrlProps/ctrlProp11.xml><?xml version="1.0" encoding="utf-8"?>
<formControlPr xmlns="http://schemas.microsoft.com/office/spreadsheetml/2009/9/main" objectType="CheckBox" fmlaLink="$BO$26" lockText="1" noThreeD="1"/>
</file>

<file path=xl/ctrlProps/ctrlProp12.xml><?xml version="1.0" encoding="utf-8"?>
<formControlPr xmlns="http://schemas.microsoft.com/office/spreadsheetml/2009/9/main" objectType="CheckBox" fmlaLink="$BO$27" lockText="1" noThreeD="1"/>
</file>

<file path=xl/ctrlProps/ctrlProp13.xml><?xml version="1.0" encoding="utf-8"?>
<formControlPr xmlns="http://schemas.microsoft.com/office/spreadsheetml/2009/9/main" objectType="CheckBox" fmlaLink="$BO$28" lockText="1" noThreeD="1"/>
</file>

<file path=xl/ctrlProps/ctrlProp14.xml><?xml version="1.0" encoding="utf-8"?>
<formControlPr xmlns="http://schemas.microsoft.com/office/spreadsheetml/2009/9/main" objectType="CheckBox" fmlaLink="$BO$29" lockText="1" noThreeD="1"/>
</file>

<file path=xl/ctrlProps/ctrlProp15.xml><?xml version="1.0" encoding="utf-8"?>
<formControlPr xmlns="http://schemas.microsoft.com/office/spreadsheetml/2009/9/main" objectType="CheckBox" fmlaLink="$BK$32" lockText="1" noThreeD="1"/>
</file>

<file path=xl/ctrlProps/ctrlProp16.xml><?xml version="1.0" encoding="utf-8"?>
<formControlPr xmlns="http://schemas.microsoft.com/office/spreadsheetml/2009/9/main" objectType="CheckBox" fmlaLink="$BK$29" lockText="1" noThreeD="1"/>
</file>

<file path=xl/ctrlProps/ctrlProp17.xml><?xml version="1.0" encoding="utf-8"?>
<formControlPr xmlns="http://schemas.microsoft.com/office/spreadsheetml/2009/9/main" objectType="CheckBox" fmlaLink="$BK$30" lockText="1" noThreeD="1"/>
</file>

<file path=xl/ctrlProps/ctrlProp18.xml><?xml version="1.0" encoding="utf-8"?>
<formControlPr xmlns="http://schemas.microsoft.com/office/spreadsheetml/2009/9/main" objectType="CheckBox" fmlaLink="$BO$30" lockText="1" noThreeD="1"/>
</file>

<file path=xl/ctrlProps/ctrlProp19.xml><?xml version="1.0" encoding="utf-8"?>
<formControlPr xmlns="http://schemas.microsoft.com/office/spreadsheetml/2009/9/main" objectType="CheckBox" fmlaLink="$BO$32" lockText="1" noThreeD="1"/>
</file>

<file path=xl/ctrlProps/ctrlProp20.xml><?xml version="1.0" encoding="utf-8"?>
<formControlPr xmlns="http://schemas.microsoft.com/office/spreadsheetml/2009/9/main" objectType="CheckBox" fmlaLink="$BO$33" lockText="1" noThreeD="1"/>
</file>

<file path=xl/ctrlProps/ctrlProp21.xml><?xml version="1.0" encoding="utf-8"?>
<formControlPr xmlns="http://schemas.microsoft.com/office/spreadsheetml/2009/9/main" objectType="CheckBox" fmlaLink="$BO$35" lockText="1" noThreeD="1"/>
</file>

<file path=xl/ctrlProps/ctrlProp22.xml><?xml version="1.0" encoding="utf-8"?>
<formControlPr xmlns="http://schemas.microsoft.com/office/spreadsheetml/2009/9/main" objectType="CheckBox" fmlaLink="$BO$36" lockText="1" noThreeD="1"/>
</file>

<file path=xl/ctrlProps/ctrlProp23.xml><?xml version="1.0" encoding="utf-8"?>
<formControlPr xmlns="http://schemas.microsoft.com/office/spreadsheetml/2009/9/main" objectType="CheckBox" fmlaLink="$BO$37" lockText="1" noThreeD="1"/>
</file>

<file path=xl/ctrlProps/ctrlProp24.xml><?xml version="1.0" encoding="utf-8"?>
<formControlPr xmlns="http://schemas.microsoft.com/office/spreadsheetml/2009/9/main" objectType="CheckBox" fmlaLink="$BO$38" lockText="1" noThreeD="1"/>
</file>

<file path=xl/ctrlProps/ctrlProp25.xml><?xml version="1.0" encoding="utf-8"?>
<formControlPr xmlns="http://schemas.microsoft.com/office/spreadsheetml/2009/9/main" objectType="CheckBox" fmlaLink="$BO$39" lockText="1" noThreeD="1"/>
</file>

<file path=xl/ctrlProps/ctrlProp26.xml><?xml version="1.0" encoding="utf-8"?>
<formControlPr xmlns="http://schemas.microsoft.com/office/spreadsheetml/2009/9/main" objectType="CheckBox" fmlaLink="$BO$40" lockText="1" noThreeD="1"/>
</file>

<file path=xl/ctrlProps/ctrlProp27.xml><?xml version="1.0" encoding="utf-8"?>
<formControlPr xmlns="http://schemas.microsoft.com/office/spreadsheetml/2009/9/main" objectType="CheckBox" fmlaLink="$BO$41" lockText="1" noThreeD="1"/>
</file>

<file path=xl/ctrlProps/ctrlProp28.xml><?xml version="1.0" encoding="utf-8"?>
<formControlPr xmlns="http://schemas.microsoft.com/office/spreadsheetml/2009/9/main" objectType="CheckBox" fmlaLink="$BO$42" lockText="1" noThreeD="1"/>
</file>

<file path=xl/ctrlProps/ctrlProp29.xml><?xml version="1.0" encoding="utf-8"?>
<formControlPr xmlns="http://schemas.microsoft.com/office/spreadsheetml/2009/9/main" objectType="CheckBox" fmlaLink="$BO$43" lockText="1" noThreeD="1"/>
</file>

<file path=xl/ctrlProps/ctrlProp30.xml><?xml version="1.0" encoding="utf-8"?>
<formControlPr xmlns="http://schemas.microsoft.com/office/spreadsheetml/2009/9/main" objectType="CheckBox" fmlaLink="$BO$44" lockText="1" noThreeD="1"/>
</file>

<file path=xl/ctrlProps/ctrlProp31.xml><?xml version="1.0" encoding="utf-8"?>
<formControlPr xmlns="http://schemas.microsoft.com/office/spreadsheetml/2009/9/main" objectType="CheckBox" checked="Checked" fmlaLink="$BO$21" lockText="1" noThreeD="1"/>
</file>

<file path=xl/ctrlProps/ctrlProp32.xml><?xml version="1.0" encoding="utf-8"?>
<formControlPr xmlns="http://schemas.microsoft.com/office/spreadsheetml/2009/9/main" objectType="CheckBox" checked="Checked" fmlaLink="$BO$20" lockText="1" noThreeD="1"/>
</file>

<file path=xl/ctrlProps/ctrlProp33.xml><?xml version="1.0" encoding="utf-8"?>
<formControlPr xmlns="http://schemas.microsoft.com/office/spreadsheetml/2009/9/main" objectType="CheckBox" fmlaLink="$BO$34" lockText="1" noThreeD="1"/>
</file>

<file path=xl/ctrlProps/ctrlProp34.xml><?xml version="1.0" encoding="utf-8"?>
<formControlPr xmlns="http://schemas.microsoft.com/office/spreadsheetml/2009/9/main" objectType="CheckBox" fmlaLink="$BL$49" lockText="1" noThreeD="1"/>
</file>

<file path=xl/ctrlProps/ctrlProp35.xml><?xml version="1.0" encoding="utf-8"?>
<formControlPr xmlns="http://schemas.microsoft.com/office/spreadsheetml/2009/9/main" objectType="CheckBox" checked="Checked" fmlaLink="$BM$49" lockText="1" noThreeD="1"/>
</file>

<file path=xl/ctrlProps/ctrlProp36.xml><?xml version="1.0" encoding="utf-8"?>
<formControlPr xmlns="http://schemas.microsoft.com/office/spreadsheetml/2009/9/main" objectType="CheckBox" fmlaLink="$BN$49" lockText="1" noThreeD="1"/>
</file>

<file path=xl/ctrlProps/ctrlProp37.xml><?xml version="1.0" encoding="utf-8"?>
<formControlPr xmlns="http://schemas.microsoft.com/office/spreadsheetml/2009/9/main" objectType="CheckBox" fmlaLink="$BO$49"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emf"/><Relationship Id="rId4" Type="http://schemas.openxmlformats.org/officeDocument/2006/relationships/image" Target="../media/image4.png"/><Relationship Id="rId9"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5</xdr:col>
      <xdr:colOff>1314450</xdr:colOff>
      <xdr:row>17</xdr:row>
      <xdr:rowOff>57151</xdr:rowOff>
    </xdr:from>
    <xdr:to>
      <xdr:col>8</xdr:col>
      <xdr:colOff>323850</xdr:colOff>
      <xdr:row>18</xdr:row>
      <xdr:rowOff>38100</xdr:rowOff>
    </xdr:to>
    <xdr:cxnSp macro="">
      <xdr:nvCxnSpPr>
        <xdr:cNvPr id="4" name="Düz Ok Bağlayıcısı 3">
          <a:extLst>
            <a:ext uri="{FF2B5EF4-FFF2-40B4-BE49-F238E27FC236}">
              <a16:creationId xmlns:a16="http://schemas.microsoft.com/office/drawing/2014/main" id="{00000000-0008-0000-0000-000004000000}"/>
            </a:ext>
          </a:extLst>
        </xdr:cNvPr>
        <xdr:cNvCxnSpPr/>
      </xdr:nvCxnSpPr>
      <xdr:spPr>
        <a:xfrm flipH="1">
          <a:off x="7210425" y="3105151"/>
          <a:ext cx="2971800" cy="171449"/>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45720</xdr:colOff>
          <xdr:row>58</xdr:row>
          <xdr:rowOff>45720</xdr:rowOff>
        </xdr:from>
        <xdr:to>
          <xdr:col>5</xdr:col>
          <xdr:colOff>647700</xdr:colOff>
          <xdr:row>58</xdr:row>
          <xdr:rowOff>175260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3. bodrum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59</xdr:row>
          <xdr:rowOff>45720</xdr:rowOff>
        </xdr:from>
        <xdr:to>
          <xdr:col>5</xdr:col>
          <xdr:colOff>632460</xdr:colOff>
          <xdr:row>59</xdr:row>
          <xdr:rowOff>175260</xdr:rowOff>
        </xdr:to>
        <xdr:sp macro="" textlink="">
          <xdr:nvSpPr>
            <xdr:cNvPr id="4209" name="Check Box 113" hidden="1">
              <a:extLst>
                <a:ext uri="{63B3BB69-23CF-44E3-9099-C40C66FF867C}">
                  <a14:compatExt spid="_x0000_s4209"/>
                </a:ext>
                <a:ext uri="{FF2B5EF4-FFF2-40B4-BE49-F238E27FC236}">
                  <a16:creationId xmlns:a16="http://schemas.microsoft.com/office/drawing/2014/main" id="{00000000-0008-0000-0100-00007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2. bodrum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59</xdr:row>
          <xdr:rowOff>38100</xdr:rowOff>
        </xdr:from>
        <xdr:to>
          <xdr:col>7</xdr:col>
          <xdr:colOff>99060</xdr:colOff>
          <xdr:row>59</xdr:row>
          <xdr:rowOff>160020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3.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60</xdr:row>
          <xdr:rowOff>22860</xdr:rowOff>
        </xdr:from>
        <xdr:to>
          <xdr:col>7</xdr:col>
          <xdr:colOff>99060</xdr:colOff>
          <xdr:row>60</xdr:row>
          <xdr:rowOff>160020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4.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61</xdr:row>
          <xdr:rowOff>22860</xdr:rowOff>
        </xdr:from>
        <xdr:to>
          <xdr:col>7</xdr:col>
          <xdr:colOff>99060</xdr:colOff>
          <xdr:row>61</xdr:row>
          <xdr:rowOff>175260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5.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57</xdr:row>
          <xdr:rowOff>22860</xdr:rowOff>
        </xdr:from>
        <xdr:to>
          <xdr:col>5</xdr:col>
          <xdr:colOff>647700</xdr:colOff>
          <xdr:row>57</xdr:row>
          <xdr:rowOff>182880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4. bodrum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60</xdr:row>
          <xdr:rowOff>45720</xdr:rowOff>
        </xdr:from>
        <xdr:to>
          <xdr:col>5</xdr:col>
          <xdr:colOff>632460</xdr:colOff>
          <xdr:row>60</xdr:row>
          <xdr:rowOff>160020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 bodrum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63</xdr:row>
          <xdr:rowOff>45720</xdr:rowOff>
        </xdr:from>
        <xdr:to>
          <xdr:col>5</xdr:col>
          <xdr:colOff>601980</xdr:colOff>
          <xdr:row>63</xdr:row>
          <xdr:rowOff>160020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 zemin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64</xdr:row>
          <xdr:rowOff>38100</xdr:rowOff>
        </xdr:from>
        <xdr:to>
          <xdr:col>5</xdr:col>
          <xdr:colOff>632460</xdr:colOff>
          <xdr:row>64</xdr:row>
          <xdr:rowOff>160020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 asma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62</xdr:row>
          <xdr:rowOff>38100</xdr:rowOff>
        </xdr:from>
        <xdr:to>
          <xdr:col>7</xdr:col>
          <xdr:colOff>99060</xdr:colOff>
          <xdr:row>62</xdr:row>
          <xdr:rowOff>160020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6.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63</xdr:row>
          <xdr:rowOff>45720</xdr:rowOff>
        </xdr:from>
        <xdr:to>
          <xdr:col>7</xdr:col>
          <xdr:colOff>99060</xdr:colOff>
          <xdr:row>63</xdr:row>
          <xdr:rowOff>160020</xdr:rowOff>
        </xdr:to>
        <xdr:sp macro="" textlink="">
          <xdr:nvSpPr>
            <xdr:cNvPr id="4223" name="Check Box 127" hidden="1">
              <a:extLst>
                <a:ext uri="{63B3BB69-23CF-44E3-9099-C40C66FF867C}">
                  <a14:compatExt spid="_x0000_s4223"/>
                </a:ext>
                <a:ext uri="{FF2B5EF4-FFF2-40B4-BE49-F238E27FC236}">
                  <a16:creationId xmlns:a16="http://schemas.microsoft.com/office/drawing/2014/main" id="{00000000-0008-0000-0100-00007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7.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64</xdr:row>
          <xdr:rowOff>38100</xdr:rowOff>
        </xdr:from>
        <xdr:to>
          <xdr:col>7</xdr:col>
          <xdr:colOff>99060</xdr:colOff>
          <xdr:row>64</xdr:row>
          <xdr:rowOff>160020</xdr:rowOff>
        </xdr:to>
        <xdr:sp macro="" textlink="">
          <xdr:nvSpPr>
            <xdr:cNvPr id="4224" name="Check Box 128" hidden="1">
              <a:extLst>
                <a:ext uri="{63B3BB69-23CF-44E3-9099-C40C66FF867C}">
                  <a14:compatExt spid="_x0000_s4224"/>
                </a:ext>
                <a:ext uri="{FF2B5EF4-FFF2-40B4-BE49-F238E27FC236}">
                  <a16:creationId xmlns:a16="http://schemas.microsoft.com/office/drawing/2014/main" id="{00000000-0008-0000-0100-00008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8.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65</xdr:row>
          <xdr:rowOff>30480</xdr:rowOff>
        </xdr:from>
        <xdr:to>
          <xdr:col>7</xdr:col>
          <xdr:colOff>114300</xdr:colOff>
          <xdr:row>65</xdr:row>
          <xdr:rowOff>160020</xdr:rowOff>
        </xdr:to>
        <xdr:sp macro="" textlink="">
          <xdr:nvSpPr>
            <xdr:cNvPr id="4225" name="Check Box 129" hidden="1">
              <a:extLst>
                <a:ext uri="{63B3BB69-23CF-44E3-9099-C40C66FF867C}">
                  <a14:compatExt spid="_x0000_s4225"/>
                </a:ext>
                <a:ext uri="{FF2B5EF4-FFF2-40B4-BE49-F238E27FC236}">
                  <a16:creationId xmlns:a16="http://schemas.microsoft.com/office/drawing/2014/main" id="{00000000-0008-0000-0100-00008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9.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66</xdr:row>
          <xdr:rowOff>30480</xdr:rowOff>
        </xdr:from>
        <xdr:to>
          <xdr:col>7</xdr:col>
          <xdr:colOff>99060</xdr:colOff>
          <xdr:row>66</xdr:row>
          <xdr:rowOff>144780</xdr:rowOff>
        </xdr:to>
        <xdr:sp macro="" textlink="">
          <xdr:nvSpPr>
            <xdr:cNvPr id="4226" name="Check Box 130" hidden="1">
              <a:extLst>
                <a:ext uri="{63B3BB69-23CF-44E3-9099-C40C66FF867C}">
                  <a14:compatExt spid="_x0000_s4226"/>
                </a:ext>
                <a:ext uri="{FF2B5EF4-FFF2-40B4-BE49-F238E27FC236}">
                  <a16:creationId xmlns:a16="http://schemas.microsoft.com/office/drawing/2014/main" id="{00000000-0008-0000-0100-00008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10.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62</xdr:row>
          <xdr:rowOff>45720</xdr:rowOff>
        </xdr:from>
        <xdr:to>
          <xdr:col>5</xdr:col>
          <xdr:colOff>861060</xdr:colOff>
          <xdr:row>62</xdr:row>
          <xdr:rowOff>175260</xdr:rowOff>
        </xdr:to>
        <xdr:sp macro="" textlink="">
          <xdr:nvSpPr>
            <xdr:cNvPr id="4227" name="Check Box 131" hidden="1">
              <a:extLst>
                <a:ext uri="{63B3BB69-23CF-44E3-9099-C40C66FF867C}">
                  <a14:compatExt spid="_x0000_s4227"/>
                </a:ext>
                <a:ext uri="{FF2B5EF4-FFF2-40B4-BE49-F238E27FC236}">
                  <a16:creationId xmlns:a16="http://schemas.microsoft.com/office/drawing/2014/main" id="{00000000-0008-0000-0100-00008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 çatı kat / Teras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65</xdr:row>
          <xdr:rowOff>38100</xdr:rowOff>
        </xdr:from>
        <xdr:to>
          <xdr:col>5</xdr:col>
          <xdr:colOff>632460</xdr:colOff>
          <xdr:row>65</xdr:row>
          <xdr:rowOff>160020</xdr:rowOff>
        </xdr:to>
        <xdr:sp macro="" textlink="">
          <xdr:nvSpPr>
            <xdr:cNvPr id="4228" name="Check Box 132" hidden="1">
              <a:extLst>
                <a:ext uri="{63B3BB69-23CF-44E3-9099-C40C66FF867C}">
                  <a14:compatExt spid="_x0000_s4228"/>
                </a:ext>
                <a:ext uri="{FF2B5EF4-FFF2-40B4-BE49-F238E27FC236}">
                  <a16:creationId xmlns:a16="http://schemas.microsoft.com/office/drawing/2014/main" id="{00000000-0008-0000-0100-00008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 ara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61</xdr:row>
          <xdr:rowOff>45720</xdr:rowOff>
        </xdr:from>
        <xdr:to>
          <xdr:col>5</xdr:col>
          <xdr:colOff>632460</xdr:colOff>
          <xdr:row>61</xdr:row>
          <xdr:rowOff>175260</xdr:rowOff>
        </xdr:to>
        <xdr:sp macro="" textlink="">
          <xdr:nvSpPr>
            <xdr:cNvPr id="4229" name="Check Box 133" hidden="1">
              <a:extLst>
                <a:ext uri="{63B3BB69-23CF-44E3-9099-C40C66FF867C}">
                  <a14:compatExt spid="_x0000_s4229"/>
                </a:ext>
                <a:ext uri="{FF2B5EF4-FFF2-40B4-BE49-F238E27FC236}">
                  <a16:creationId xmlns:a16="http://schemas.microsoft.com/office/drawing/2014/main" id="{00000000-0008-0000-0100-00008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 teras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67</xdr:row>
          <xdr:rowOff>30480</xdr:rowOff>
        </xdr:from>
        <xdr:to>
          <xdr:col>7</xdr:col>
          <xdr:colOff>99060</xdr:colOff>
          <xdr:row>67</xdr:row>
          <xdr:rowOff>144780</xdr:rowOff>
        </xdr:to>
        <xdr:sp macro="" textlink="">
          <xdr:nvSpPr>
            <xdr:cNvPr id="4230" name="Check Box 134" hidden="1">
              <a:extLst>
                <a:ext uri="{63B3BB69-23CF-44E3-9099-C40C66FF867C}">
                  <a14:compatExt spid="_x0000_s4230"/>
                </a:ext>
                <a:ext uri="{FF2B5EF4-FFF2-40B4-BE49-F238E27FC236}">
                  <a16:creationId xmlns:a16="http://schemas.microsoft.com/office/drawing/2014/main" id="{00000000-0008-0000-0100-00008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11.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68</xdr:row>
          <xdr:rowOff>38100</xdr:rowOff>
        </xdr:from>
        <xdr:to>
          <xdr:col>7</xdr:col>
          <xdr:colOff>99060</xdr:colOff>
          <xdr:row>68</xdr:row>
          <xdr:rowOff>160020</xdr:rowOff>
        </xdr:to>
        <xdr:sp macro="" textlink="">
          <xdr:nvSpPr>
            <xdr:cNvPr id="4231" name="Check Box 135" hidden="1">
              <a:extLst>
                <a:ext uri="{63B3BB69-23CF-44E3-9099-C40C66FF867C}">
                  <a14:compatExt spid="_x0000_s4231"/>
                </a:ext>
                <a:ext uri="{FF2B5EF4-FFF2-40B4-BE49-F238E27FC236}">
                  <a16:creationId xmlns:a16="http://schemas.microsoft.com/office/drawing/2014/main" id="{00000000-0008-0000-0100-00008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12.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57</xdr:row>
          <xdr:rowOff>45720</xdr:rowOff>
        </xdr:from>
        <xdr:to>
          <xdr:col>9</xdr:col>
          <xdr:colOff>60960</xdr:colOff>
          <xdr:row>57</xdr:row>
          <xdr:rowOff>160020</xdr:rowOff>
        </xdr:to>
        <xdr:sp macro="" textlink="">
          <xdr:nvSpPr>
            <xdr:cNvPr id="4232" name="Check Box 136" hidden="1">
              <a:extLst>
                <a:ext uri="{63B3BB69-23CF-44E3-9099-C40C66FF867C}">
                  <a14:compatExt spid="_x0000_s4232"/>
                </a:ext>
                <a:ext uri="{FF2B5EF4-FFF2-40B4-BE49-F238E27FC236}">
                  <a16:creationId xmlns:a16="http://schemas.microsoft.com/office/drawing/2014/main" id="{00000000-0008-0000-0100-00008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13.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59</xdr:row>
          <xdr:rowOff>45720</xdr:rowOff>
        </xdr:from>
        <xdr:to>
          <xdr:col>9</xdr:col>
          <xdr:colOff>60960</xdr:colOff>
          <xdr:row>59</xdr:row>
          <xdr:rowOff>160020</xdr:rowOff>
        </xdr:to>
        <xdr:sp macro="" textlink="">
          <xdr:nvSpPr>
            <xdr:cNvPr id="4234" name="Check Box 138" hidden="1">
              <a:extLst>
                <a:ext uri="{63B3BB69-23CF-44E3-9099-C40C66FF867C}">
                  <a14:compatExt spid="_x0000_s4234"/>
                </a:ext>
                <a:ext uri="{FF2B5EF4-FFF2-40B4-BE49-F238E27FC236}">
                  <a16:creationId xmlns:a16="http://schemas.microsoft.com/office/drawing/2014/main" id="{00000000-0008-0000-0100-00008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15.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xdr:row>
          <xdr:rowOff>45720</xdr:rowOff>
        </xdr:from>
        <xdr:to>
          <xdr:col>9</xdr:col>
          <xdr:colOff>45720</xdr:colOff>
          <xdr:row>60</xdr:row>
          <xdr:rowOff>160020</xdr:rowOff>
        </xdr:to>
        <xdr:sp macro="" textlink="">
          <xdr:nvSpPr>
            <xdr:cNvPr id="4235" name="Check Box 139" hidden="1">
              <a:extLst>
                <a:ext uri="{63B3BB69-23CF-44E3-9099-C40C66FF867C}">
                  <a14:compatExt spid="_x0000_s4235"/>
                </a:ext>
                <a:ext uri="{FF2B5EF4-FFF2-40B4-BE49-F238E27FC236}">
                  <a16:creationId xmlns:a16="http://schemas.microsoft.com/office/drawing/2014/main" id="{00000000-0008-0000-0100-00008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16.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xdr:row>
          <xdr:rowOff>38100</xdr:rowOff>
        </xdr:from>
        <xdr:to>
          <xdr:col>9</xdr:col>
          <xdr:colOff>45720</xdr:colOff>
          <xdr:row>61</xdr:row>
          <xdr:rowOff>175260</xdr:rowOff>
        </xdr:to>
        <xdr:sp macro="" textlink="">
          <xdr:nvSpPr>
            <xdr:cNvPr id="4236" name="Check Box 140" hidden="1">
              <a:extLst>
                <a:ext uri="{63B3BB69-23CF-44E3-9099-C40C66FF867C}">
                  <a14:compatExt spid="_x0000_s4236"/>
                </a:ext>
                <a:ext uri="{FF2B5EF4-FFF2-40B4-BE49-F238E27FC236}">
                  <a16:creationId xmlns:a16="http://schemas.microsoft.com/office/drawing/2014/main" id="{00000000-0008-0000-0100-00008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17.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45720</xdr:rowOff>
        </xdr:from>
        <xdr:to>
          <xdr:col>9</xdr:col>
          <xdr:colOff>45720</xdr:colOff>
          <xdr:row>62</xdr:row>
          <xdr:rowOff>160020</xdr:rowOff>
        </xdr:to>
        <xdr:sp macro="" textlink="">
          <xdr:nvSpPr>
            <xdr:cNvPr id="4237" name="Check Box 141" hidden="1">
              <a:extLst>
                <a:ext uri="{63B3BB69-23CF-44E3-9099-C40C66FF867C}">
                  <a14:compatExt spid="_x0000_s4237"/>
                </a:ext>
                <a:ext uri="{FF2B5EF4-FFF2-40B4-BE49-F238E27FC236}">
                  <a16:creationId xmlns:a16="http://schemas.microsoft.com/office/drawing/2014/main" id="{00000000-0008-0000-0100-00008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18.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63</xdr:row>
          <xdr:rowOff>45720</xdr:rowOff>
        </xdr:from>
        <xdr:to>
          <xdr:col>9</xdr:col>
          <xdr:colOff>30480</xdr:colOff>
          <xdr:row>63</xdr:row>
          <xdr:rowOff>160020</xdr:rowOff>
        </xdr:to>
        <xdr:sp macro="" textlink="">
          <xdr:nvSpPr>
            <xdr:cNvPr id="4238" name="Check Box 142" hidden="1">
              <a:extLst>
                <a:ext uri="{63B3BB69-23CF-44E3-9099-C40C66FF867C}">
                  <a14:compatExt spid="_x0000_s4238"/>
                </a:ext>
                <a:ext uri="{FF2B5EF4-FFF2-40B4-BE49-F238E27FC236}">
                  <a16:creationId xmlns:a16="http://schemas.microsoft.com/office/drawing/2014/main" id="{00000000-0008-0000-0100-00008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19.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45720</xdr:rowOff>
        </xdr:from>
        <xdr:to>
          <xdr:col>8</xdr:col>
          <xdr:colOff>556260</xdr:colOff>
          <xdr:row>64</xdr:row>
          <xdr:rowOff>160020</xdr:rowOff>
        </xdr:to>
        <xdr:sp macro="" textlink="">
          <xdr:nvSpPr>
            <xdr:cNvPr id="4239" name="Check Box 143" hidden="1">
              <a:extLst>
                <a:ext uri="{63B3BB69-23CF-44E3-9099-C40C66FF867C}">
                  <a14:compatExt spid="_x0000_s4239"/>
                </a:ext>
                <a:ext uri="{FF2B5EF4-FFF2-40B4-BE49-F238E27FC236}">
                  <a16:creationId xmlns:a16="http://schemas.microsoft.com/office/drawing/2014/main" id="{00000000-0008-0000-0100-00008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20.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45720</xdr:rowOff>
        </xdr:from>
        <xdr:to>
          <xdr:col>9</xdr:col>
          <xdr:colOff>45720</xdr:colOff>
          <xdr:row>65</xdr:row>
          <xdr:rowOff>160020</xdr:rowOff>
        </xdr:to>
        <xdr:sp macro="" textlink="">
          <xdr:nvSpPr>
            <xdr:cNvPr id="4240" name="Check Box 144" hidden="1">
              <a:extLst>
                <a:ext uri="{63B3BB69-23CF-44E3-9099-C40C66FF867C}">
                  <a14:compatExt spid="_x0000_s4240"/>
                </a:ext>
                <a:ext uri="{FF2B5EF4-FFF2-40B4-BE49-F238E27FC236}">
                  <a16:creationId xmlns:a16="http://schemas.microsoft.com/office/drawing/2014/main" id="{00000000-0008-0000-0100-00009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21.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45720</xdr:rowOff>
        </xdr:from>
        <xdr:to>
          <xdr:col>9</xdr:col>
          <xdr:colOff>45720</xdr:colOff>
          <xdr:row>66</xdr:row>
          <xdr:rowOff>144780</xdr:rowOff>
        </xdr:to>
        <xdr:sp macro="" textlink="">
          <xdr:nvSpPr>
            <xdr:cNvPr id="4241" name="Check Box 145" hidden="1">
              <a:extLst>
                <a:ext uri="{63B3BB69-23CF-44E3-9099-C40C66FF867C}">
                  <a14:compatExt spid="_x0000_s4241"/>
                </a:ext>
                <a:ext uri="{FF2B5EF4-FFF2-40B4-BE49-F238E27FC236}">
                  <a16:creationId xmlns:a16="http://schemas.microsoft.com/office/drawing/2014/main" id="{00000000-0008-0000-0100-00009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22.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45720</xdr:rowOff>
        </xdr:from>
        <xdr:to>
          <xdr:col>9</xdr:col>
          <xdr:colOff>30480</xdr:colOff>
          <xdr:row>67</xdr:row>
          <xdr:rowOff>160020</xdr:rowOff>
        </xdr:to>
        <xdr:sp macro="" textlink="">
          <xdr:nvSpPr>
            <xdr:cNvPr id="4242" name="Check Box 146" hidden="1">
              <a:extLst>
                <a:ext uri="{63B3BB69-23CF-44E3-9099-C40C66FF867C}">
                  <a14:compatExt spid="_x0000_s4242"/>
                </a:ext>
                <a:ext uri="{FF2B5EF4-FFF2-40B4-BE49-F238E27FC236}">
                  <a16:creationId xmlns:a16="http://schemas.microsoft.com/office/drawing/2014/main" id="{00000000-0008-0000-0100-00009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23.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45720</xdr:rowOff>
        </xdr:from>
        <xdr:to>
          <xdr:col>9</xdr:col>
          <xdr:colOff>45720</xdr:colOff>
          <xdr:row>68</xdr:row>
          <xdr:rowOff>144780</xdr:rowOff>
        </xdr:to>
        <xdr:sp macro="" textlink="">
          <xdr:nvSpPr>
            <xdr:cNvPr id="4243" name="Check Box 147" hidden="1">
              <a:extLst>
                <a:ext uri="{63B3BB69-23CF-44E3-9099-C40C66FF867C}">
                  <a14:compatExt spid="_x0000_s4243"/>
                </a:ext>
                <a:ext uri="{FF2B5EF4-FFF2-40B4-BE49-F238E27FC236}">
                  <a16:creationId xmlns:a16="http://schemas.microsoft.com/office/drawing/2014/main" id="{00000000-0008-0000-0100-00009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24.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58</xdr:row>
          <xdr:rowOff>38100</xdr:rowOff>
        </xdr:from>
        <xdr:to>
          <xdr:col>7</xdr:col>
          <xdr:colOff>99060</xdr:colOff>
          <xdr:row>58</xdr:row>
          <xdr:rowOff>160020</xdr:rowOff>
        </xdr:to>
        <xdr:sp macro="" textlink="">
          <xdr:nvSpPr>
            <xdr:cNvPr id="4244" name="Check Box 148" hidden="1">
              <a:extLst>
                <a:ext uri="{63B3BB69-23CF-44E3-9099-C40C66FF867C}">
                  <a14:compatExt spid="_x0000_s4244"/>
                </a:ext>
                <a:ext uri="{FF2B5EF4-FFF2-40B4-BE49-F238E27FC236}">
                  <a16:creationId xmlns:a16="http://schemas.microsoft.com/office/drawing/2014/main" id="{00000000-0008-0000-0100-00009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2.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57</xdr:row>
          <xdr:rowOff>38100</xdr:rowOff>
        </xdr:from>
        <xdr:to>
          <xdr:col>7</xdr:col>
          <xdr:colOff>99060</xdr:colOff>
          <xdr:row>57</xdr:row>
          <xdr:rowOff>160020</xdr:rowOff>
        </xdr:to>
        <xdr:sp macro="" textlink="">
          <xdr:nvSpPr>
            <xdr:cNvPr id="4245" name="Check Box 149" hidden="1">
              <a:extLst>
                <a:ext uri="{63B3BB69-23CF-44E3-9099-C40C66FF867C}">
                  <a14:compatExt spid="_x0000_s4245"/>
                </a:ext>
                <a:ext uri="{FF2B5EF4-FFF2-40B4-BE49-F238E27FC236}">
                  <a16:creationId xmlns:a16="http://schemas.microsoft.com/office/drawing/2014/main" id="{00000000-0008-0000-0100-00009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 normal kat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58</xdr:row>
          <xdr:rowOff>45720</xdr:rowOff>
        </xdr:from>
        <xdr:to>
          <xdr:col>9</xdr:col>
          <xdr:colOff>60960</xdr:colOff>
          <xdr:row>58</xdr:row>
          <xdr:rowOff>160020</xdr:rowOff>
        </xdr:to>
        <xdr:sp macro="" textlink="">
          <xdr:nvSpPr>
            <xdr:cNvPr id="4248" name="Check Box 152" hidden="1">
              <a:extLst>
                <a:ext uri="{63B3BB69-23CF-44E3-9099-C40C66FF867C}">
                  <a14:compatExt spid="_x0000_s4248"/>
                </a:ext>
                <a:ext uri="{FF2B5EF4-FFF2-40B4-BE49-F238E27FC236}">
                  <a16:creationId xmlns:a16="http://schemas.microsoft.com/office/drawing/2014/main" id="{00000000-0008-0000-0100-00009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14. normal kat</a:t>
              </a:r>
            </a:p>
          </xdr:txBody>
        </xdr:sp>
        <xdr:clientData/>
      </xdr:twoCellAnchor>
    </mc:Choice>
    <mc:Fallback/>
  </mc:AlternateContent>
  <xdr:twoCellAnchor>
    <xdr:from>
      <xdr:col>18</xdr:col>
      <xdr:colOff>573741</xdr:colOff>
      <xdr:row>0</xdr:row>
      <xdr:rowOff>54740</xdr:rowOff>
    </xdr:from>
    <xdr:to>
      <xdr:col>19</xdr:col>
      <xdr:colOff>984541</xdr:colOff>
      <xdr:row>1</xdr:row>
      <xdr:rowOff>410818</xdr:rowOff>
    </xdr:to>
    <xdr:sp macro="[0]!KML_Raporu_Calistir" textlink="">
      <xdr:nvSpPr>
        <xdr:cNvPr id="2" name="Dikdörtgen 1">
          <a:extLst>
            <a:ext uri="{FF2B5EF4-FFF2-40B4-BE49-F238E27FC236}">
              <a16:creationId xmlns:a16="http://schemas.microsoft.com/office/drawing/2014/main" id="{430B7892-3046-E0AA-DFA2-F159B55C3C4D}"/>
            </a:ext>
          </a:extLst>
        </xdr:cNvPr>
        <xdr:cNvSpPr/>
      </xdr:nvSpPr>
      <xdr:spPr>
        <a:xfrm>
          <a:off x="13693393" y="54740"/>
          <a:ext cx="1345078" cy="121746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KML YÜKLE</a:t>
          </a:r>
        </a:p>
      </xdr:txBody>
    </xdr:sp>
    <xdr:clientData/>
  </xdr:twoCellAnchor>
  <xdr:twoCellAnchor editAs="oneCell">
    <xdr:from>
      <xdr:col>5</xdr:col>
      <xdr:colOff>44822</xdr:colOff>
      <xdr:row>0</xdr:row>
      <xdr:rowOff>26894</xdr:rowOff>
    </xdr:from>
    <xdr:to>
      <xdr:col>6</xdr:col>
      <xdr:colOff>77786</xdr:colOff>
      <xdr:row>0</xdr:row>
      <xdr:rowOff>636037</xdr:rowOff>
    </xdr:to>
    <xdr:pic macro="[0]!Btn_Akbank">
      <xdr:nvPicPr>
        <xdr:cNvPr id="3" name="Resim 2">
          <a:extLst>
            <a:ext uri="{FF2B5EF4-FFF2-40B4-BE49-F238E27FC236}">
              <a16:creationId xmlns:a16="http://schemas.microsoft.com/office/drawing/2014/main" id="{DF5FD3E8-9601-9BC6-CCC6-3465D5DE180B}"/>
            </a:ext>
          </a:extLst>
        </xdr:cNvPr>
        <xdr:cNvPicPr preferRelativeResize="0">
          <a:picLocks/>
        </xdr:cNvPicPr>
      </xdr:nvPicPr>
      <xdr:blipFill>
        <a:blip xmlns:r="http://schemas.openxmlformats.org/officeDocument/2006/relationships" r:embed="rId1"/>
        <a:stretch>
          <a:fillRect/>
        </a:stretch>
      </xdr:blipFill>
      <xdr:spPr>
        <a:xfrm>
          <a:off x="277904" y="26894"/>
          <a:ext cx="1548000" cy="612000"/>
        </a:xfrm>
        <a:prstGeom prst="rect">
          <a:avLst/>
        </a:prstGeom>
      </xdr:spPr>
    </xdr:pic>
    <xdr:clientData/>
  </xdr:twoCellAnchor>
  <xdr:twoCellAnchor editAs="oneCell">
    <xdr:from>
      <xdr:col>5</xdr:col>
      <xdr:colOff>54307</xdr:colOff>
      <xdr:row>0</xdr:row>
      <xdr:rowOff>684347</xdr:rowOff>
    </xdr:from>
    <xdr:to>
      <xdr:col>6</xdr:col>
      <xdr:colOff>87272</xdr:colOff>
      <xdr:row>1</xdr:row>
      <xdr:rowOff>444701</xdr:rowOff>
    </xdr:to>
    <xdr:pic macro="[0]!Btn_Halkbank">
      <xdr:nvPicPr>
        <xdr:cNvPr id="4" name="Resim 3">
          <a:extLst>
            <a:ext uri="{FF2B5EF4-FFF2-40B4-BE49-F238E27FC236}">
              <a16:creationId xmlns:a16="http://schemas.microsoft.com/office/drawing/2014/main" id="{E6667A0F-2933-6A7F-3948-D57BB5B190CB}"/>
            </a:ext>
          </a:extLst>
        </xdr:cNvPr>
        <xdr:cNvPicPr preferRelativeResize="0">
          <a:picLocks/>
        </xdr:cNvPicPr>
      </xdr:nvPicPr>
      <xdr:blipFill>
        <a:blip xmlns:r="http://schemas.openxmlformats.org/officeDocument/2006/relationships" r:embed="rId2"/>
        <a:stretch>
          <a:fillRect/>
        </a:stretch>
      </xdr:blipFill>
      <xdr:spPr>
        <a:xfrm>
          <a:off x="287389" y="684347"/>
          <a:ext cx="1548000" cy="612000"/>
        </a:xfrm>
        <a:prstGeom prst="rect">
          <a:avLst/>
        </a:prstGeom>
      </xdr:spPr>
    </xdr:pic>
    <xdr:clientData/>
  </xdr:twoCellAnchor>
  <xdr:twoCellAnchor editAs="oneCell">
    <xdr:from>
      <xdr:col>6</xdr:col>
      <xdr:colOff>137028</xdr:colOff>
      <xdr:row>0</xdr:row>
      <xdr:rowOff>21771</xdr:rowOff>
    </xdr:from>
    <xdr:to>
      <xdr:col>8</xdr:col>
      <xdr:colOff>14737</xdr:colOff>
      <xdr:row>0</xdr:row>
      <xdr:rowOff>636630</xdr:rowOff>
    </xdr:to>
    <xdr:pic macro="[0]!Btn_İşbankası">
      <xdr:nvPicPr>
        <xdr:cNvPr id="5" name="Resim 4">
          <a:extLst>
            <a:ext uri="{FF2B5EF4-FFF2-40B4-BE49-F238E27FC236}">
              <a16:creationId xmlns:a16="http://schemas.microsoft.com/office/drawing/2014/main" id="{BE85C606-362B-F9D0-F0D2-C824162B197D}"/>
            </a:ext>
          </a:extLst>
        </xdr:cNvPr>
        <xdr:cNvPicPr preferRelativeResize="0">
          <a:picLocks/>
        </xdr:cNvPicPr>
      </xdr:nvPicPr>
      <xdr:blipFill>
        <a:blip xmlns:r="http://schemas.openxmlformats.org/officeDocument/2006/relationships" r:embed="rId3"/>
        <a:stretch>
          <a:fillRect/>
        </a:stretch>
      </xdr:blipFill>
      <xdr:spPr>
        <a:xfrm>
          <a:off x="1885146" y="21771"/>
          <a:ext cx="1548000" cy="612000"/>
        </a:xfrm>
        <a:prstGeom prst="rect">
          <a:avLst/>
        </a:prstGeom>
      </xdr:spPr>
    </xdr:pic>
    <xdr:clientData/>
  </xdr:twoCellAnchor>
  <xdr:twoCellAnchor editAs="oneCell">
    <xdr:from>
      <xdr:col>6</xdr:col>
      <xdr:colOff>144862</xdr:colOff>
      <xdr:row>0</xdr:row>
      <xdr:rowOff>677765</xdr:rowOff>
    </xdr:from>
    <xdr:to>
      <xdr:col>8</xdr:col>
      <xdr:colOff>25428</xdr:colOff>
      <xdr:row>1</xdr:row>
      <xdr:rowOff>435262</xdr:rowOff>
    </xdr:to>
    <xdr:pic macro="[0]!Btn_Vakıfkatılım">
      <xdr:nvPicPr>
        <xdr:cNvPr id="7" name="Resim 6">
          <a:extLst>
            <a:ext uri="{FF2B5EF4-FFF2-40B4-BE49-F238E27FC236}">
              <a16:creationId xmlns:a16="http://schemas.microsoft.com/office/drawing/2014/main" id="{C28E2787-A45E-1069-87DF-D86F299DFEE4}"/>
            </a:ext>
          </a:extLst>
        </xdr:cNvPr>
        <xdr:cNvPicPr preferRelativeResize="0">
          <a:picLocks/>
        </xdr:cNvPicPr>
      </xdr:nvPicPr>
      <xdr:blipFill>
        <a:blip xmlns:r="http://schemas.openxmlformats.org/officeDocument/2006/relationships" r:embed="rId4"/>
        <a:stretch>
          <a:fillRect/>
        </a:stretch>
      </xdr:blipFill>
      <xdr:spPr>
        <a:xfrm>
          <a:off x="1892980" y="677765"/>
          <a:ext cx="1548000" cy="612000"/>
        </a:xfrm>
        <a:prstGeom prst="rect">
          <a:avLst/>
        </a:prstGeom>
      </xdr:spPr>
    </xdr:pic>
    <xdr:clientData/>
  </xdr:twoCellAnchor>
  <xdr:twoCellAnchor editAs="oneCell">
    <xdr:from>
      <xdr:col>8</xdr:col>
      <xdr:colOff>71715</xdr:colOff>
      <xdr:row>0</xdr:row>
      <xdr:rowOff>26892</xdr:rowOff>
    </xdr:from>
    <xdr:to>
      <xdr:col>9</xdr:col>
      <xdr:colOff>672706</xdr:colOff>
      <xdr:row>0</xdr:row>
      <xdr:rowOff>636035</xdr:rowOff>
    </xdr:to>
    <xdr:pic macro="[0]!Btn_KUVEYT">
      <xdr:nvPicPr>
        <xdr:cNvPr id="6" name="Resim 5">
          <a:extLst>
            <a:ext uri="{FF2B5EF4-FFF2-40B4-BE49-F238E27FC236}">
              <a16:creationId xmlns:a16="http://schemas.microsoft.com/office/drawing/2014/main" id="{3EEEC23E-042E-0368-902B-672E3210C4A1}"/>
            </a:ext>
          </a:extLst>
        </xdr:cNvPr>
        <xdr:cNvPicPr preferRelativeResize="0">
          <a:picLocks/>
        </xdr:cNvPicPr>
      </xdr:nvPicPr>
      <xdr:blipFill>
        <a:blip xmlns:r="http://schemas.openxmlformats.org/officeDocument/2006/relationships" r:embed="rId5"/>
        <a:stretch>
          <a:fillRect/>
        </a:stretch>
      </xdr:blipFill>
      <xdr:spPr>
        <a:xfrm>
          <a:off x="3487268" y="26892"/>
          <a:ext cx="1548000" cy="612000"/>
        </a:xfrm>
        <a:prstGeom prst="rect">
          <a:avLst/>
        </a:prstGeom>
      </xdr:spPr>
    </xdr:pic>
    <xdr:clientData/>
  </xdr:twoCellAnchor>
  <xdr:twoCellAnchor editAs="oneCell">
    <xdr:from>
      <xdr:col>5</xdr:col>
      <xdr:colOff>44824</xdr:colOff>
      <xdr:row>2</xdr:row>
      <xdr:rowOff>0</xdr:rowOff>
    </xdr:from>
    <xdr:to>
      <xdr:col>5</xdr:col>
      <xdr:colOff>406797</xdr:colOff>
      <xdr:row>2</xdr:row>
      <xdr:rowOff>354553</xdr:rowOff>
    </xdr:to>
    <xdr:pic macro="[0]!Reset_Ve_GeriAl">
      <xdr:nvPicPr>
        <xdr:cNvPr id="14" name="Resim 13">
          <a:extLst>
            <a:ext uri="{FF2B5EF4-FFF2-40B4-BE49-F238E27FC236}">
              <a16:creationId xmlns:a16="http://schemas.microsoft.com/office/drawing/2014/main" id="{EFB985B0-C4A0-3ACE-3B08-93EE3192F40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77906" y="1317812"/>
          <a:ext cx="360000" cy="360000"/>
        </a:xfrm>
        <a:prstGeom prst="rect">
          <a:avLst/>
        </a:prstGeom>
      </xdr:spPr>
    </xdr:pic>
    <xdr:clientData/>
  </xdr:twoCellAnchor>
  <xdr:twoCellAnchor editAs="oneCell">
    <xdr:from>
      <xdr:col>12</xdr:col>
      <xdr:colOff>53788</xdr:colOff>
      <xdr:row>2</xdr:row>
      <xdr:rowOff>0</xdr:rowOff>
    </xdr:from>
    <xdr:to>
      <xdr:col>12</xdr:col>
      <xdr:colOff>407210</xdr:colOff>
      <xdr:row>2</xdr:row>
      <xdr:rowOff>353601</xdr:rowOff>
    </xdr:to>
    <xdr:pic macro="[0]!Bolum2_Reset_GeriAl">
      <xdr:nvPicPr>
        <xdr:cNvPr id="15" name="Resim 14">
          <a:extLst>
            <a:ext uri="{FF2B5EF4-FFF2-40B4-BE49-F238E27FC236}">
              <a16:creationId xmlns:a16="http://schemas.microsoft.com/office/drawing/2014/main" id="{E96E7DB6-7230-4FEF-8EC7-FB7D2BB5060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893859" y="1317812"/>
          <a:ext cx="360000" cy="360000"/>
        </a:xfrm>
        <a:prstGeom prst="rect">
          <a:avLst/>
        </a:prstGeom>
      </xdr:spPr>
    </xdr:pic>
    <xdr:clientData/>
  </xdr:twoCellAnchor>
  <xdr:twoCellAnchor editAs="oneCell">
    <xdr:from>
      <xdr:col>5</xdr:col>
      <xdr:colOff>53789</xdr:colOff>
      <xdr:row>19</xdr:row>
      <xdr:rowOff>17929</xdr:rowOff>
    </xdr:from>
    <xdr:to>
      <xdr:col>5</xdr:col>
      <xdr:colOff>407211</xdr:colOff>
      <xdr:row>19</xdr:row>
      <xdr:rowOff>369446</xdr:rowOff>
    </xdr:to>
    <xdr:pic macro="[0]!Takyidat_Silme">
      <xdr:nvPicPr>
        <xdr:cNvPr id="16" name="Resim 15">
          <a:extLst>
            <a:ext uri="{FF2B5EF4-FFF2-40B4-BE49-F238E27FC236}">
              <a16:creationId xmlns:a16="http://schemas.microsoft.com/office/drawing/2014/main" id="{EBD29F9E-0D8D-4598-994A-674D3DB01E3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86871" y="5674658"/>
          <a:ext cx="360000" cy="360000"/>
        </a:xfrm>
        <a:prstGeom prst="rect">
          <a:avLst/>
        </a:prstGeom>
      </xdr:spPr>
    </xdr:pic>
    <xdr:clientData/>
  </xdr:twoCellAnchor>
  <xdr:twoCellAnchor editAs="oneCell">
    <xdr:from>
      <xdr:col>5</xdr:col>
      <xdr:colOff>26894</xdr:colOff>
      <xdr:row>30</xdr:row>
      <xdr:rowOff>286869</xdr:rowOff>
    </xdr:from>
    <xdr:to>
      <xdr:col>5</xdr:col>
      <xdr:colOff>406034</xdr:colOff>
      <xdr:row>32</xdr:row>
      <xdr:rowOff>26076</xdr:rowOff>
    </xdr:to>
    <xdr:pic macro="[0]!Imar_Durumu_Silme">
      <xdr:nvPicPr>
        <xdr:cNvPr id="17" name="Resim 16">
          <a:extLst>
            <a:ext uri="{FF2B5EF4-FFF2-40B4-BE49-F238E27FC236}">
              <a16:creationId xmlns:a16="http://schemas.microsoft.com/office/drawing/2014/main" id="{2BD9DB35-65A9-4C11-99AE-23FFF26C720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9976" y="9619128"/>
          <a:ext cx="360000" cy="360000"/>
        </a:xfrm>
        <a:prstGeom prst="rect">
          <a:avLst/>
        </a:prstGeom>
      </xdr:spPr>
    </xdr:pic>
    <xdr:clientData/>
  </xdr:twoCellAnchor>
  <xdr:twoCellAnchor editAs="oneCell">
    <xdr:from>
      <xdr:col>12</xdr:col>
      <xdr:colOff>35859</xdr:colOff>
      <xdr:row>30</xdr:row>
      <xdr:rowOff>295835</xdr:rowOff>
    </xdr:from>
    <xdr:to>
      <xdr:col>12</xdr:col>
      <xdr:colOff>394023</xdr:colOff>
      <xdr:row>32</xdr:row>
      <xdr:rowOff>26491</xdr:rowOff>
    </xdr:to>
    <xdr:pic macro="[0]!IncelenenBelgelerSilme">
      <xdr:nvPicPr>
        <xdr:cNvPr id="18" name="Resim 17">
          <a:extLst>
            <a:ext uri="{FF2B5EF4-FFF2-40B4-BE49-F238E27FC236}">
              <a16:creationId xmlns:a16="http://schemas.microsoft.com/office/drawing/2014/main" id="{FD70E01E-99AC-45BB-9793-183FB3D1A10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875930" y="9628094"/>
          <a:ext cx="360000" cy="360000"/>
        </a:xfrm>
        <a:prstGeom prst="rect">
          <a:avLst/>
        </a:prstGeom>
      </xdr:spPr>
    </xdr:pic>
    <xdr:clientData/>
  </xdr:twoCellAnchor>
  <xdr:twoCellAnchor editAs="oneCell">
    <xdr:from>
      <xdr:col>5</xdr:col>
      <xdr:colOff>53788</xdr:colOff>
      <xdr:row>41</xdr:row>
      <xdr:rowOff>17930</xdr:rowOff>
    </xdr:from>
    <xdr:to>
      <xdr:col>5</xdr:col>
      <xdr:colOff>407210</xdr:colOff>
      <xdr:row>41</xdr:row>
      <xdr:rowOff>369447</xdr:rowOff>
    </xdr:to>
    <xdr:pic macro="[0]!ProjeRuhsatSilme">
      <xdr:nvPicPr>
        <xdr:cNvPr id="19" name="Resim 18">
          <a:extLst>
            <a:ext uri="{FF2B5EF4-FFF2-40B4-BE49-F238E27FC236}">
              <a16:creationId xmlns:a16="http://schemas.microsoft.com/office/drawing/2014/main" id="{95F6764A-74DF-4EFB-8787-9671B98E9EB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86870" y="13357412"/>
          <a:ext cx="360000" cy="360000"/>
        </a:xfrm>
        <a:prstGeom prst="rect">
          <a:avLst/>
        </a:prstGeom>
      </xdr:spPr>
    </xdr:pic>
    <xdr:clientData/>
  </xdr:twoCellAnchor>
  <xdr:twoCellAnchor editAs="oneCell">
    <xdr:from>
      <xdr:col>10</xdr:col>
      <xdr:colOff>62755</xdr:colOff>
      <xdr:row>44</xdr:row>
      <xdr:rowOff>17930</xdr:rowOff>
    </xdr:from>
    <xdr:to>
      <xdr:col>10</xdr:col>
      <xdr:colOff>444752</xdr:colOff>
      <xdr:row>44</xdr:row>
      <xdr:rowOff>369447</xdr:rowOff>
    </xdr:to>
    <xdr:pic macro="[0]!InsaatAsamalariSilme">
      <xdr:nvPicPr>
        <xdr:cNvPr id="8" name="Resim 7">
          <a:extLst>
            <a:ext uri="{FF2B5EF4-FFF2-40B4-BE49-F238E27FC236}">
              <a16:creationId xmlns:a16="http://schemas.microsoft.com/office/drawing/2014/main" id="{98DD337E-47E2-47DC-9661-FE7526B45D1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235390" y="15410330"/>
          <a:ext cx="360000" cy="360000"/>
        </a:xfrm>
        <a:prstGeom prst="rect">
          <a:avLst/>
        </a:prstGeom>
      </xdr:spPr>
    </xdr:pic>
    <xdr:clientData/>
  </xdr:twoCellAnchor>
  <xdr:twoCellAnchor editAs="oneCell">
    <xdr:from>
      <xdr:col>5</xdr:col>
      <xdr:colOff>71718</xdr:colOff>
      <xdr:row>70</xdr:row>
      <xdr:rowOff>0</xdr:rowOff>
    </xdr:from>
    <xdr:to>
      <xdr:col>5</xdr:col>
      <xdr:colOff>446074</xdr:colOff>
      <xdr:row>71</xdr:row>
      <xdr:rowOff>10895</xdr:rowOff>
    </xdr:to>
    <xdr:pic macro="[0]!KatOzetiSilme">
      <xdr:nvPicPr>
        <xdr:cNvPr id="9" name="Resim 8">
          <a:extLst>
            <a:ext uri="{FF2B5EF4-FFF2-40B4-BE49-F238E27FC236}">
              <a16:creationId xmlns:a16="http://schemas.microsoft.com/office/drawing/2014/main" id="{61960FF6-C6A5-4494-AC1B-7FA03815285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04800" y="23613035"/>
          <a:ext cx="360000" cy="360000"/>
        </a:xfrm>
        <a:prstGeom prst="rect">
          <a:avLst/>
        </a:prstGeom>
      </xdr:spPr>
    </xdr:pic>
    <xdr:clientData/>
  </xdr:twoCellAnchor>
  <xdr:twoCellAnchor editAs="oneCell">
    <xdr:from>
      <xdr:col>8</xdr:col>
      <xdr:colOff>79510</xdr:colOff>
      <xdr:row>0</xdr:row>
      <xdr:rowOff>669234</xdr:rowOff>
    </xdr:from>
    <xdr:to>
      <xdr:col>9</xdr:col>
      <xdr:colOff>686216</xdr:colOff>
      <xdr:row>1</xdr:row>
      <xdr:rowOff>429588</xdr:rowOff>
    </xdr:to>
    <xdr:pic macro="[0]!Btn_Vakıfbank">
      <xdr:nvPicPr>
        <xdr:cNvPr id="10" name="Resim 9">
          <a:extLst>
            <a:ext uri="{FF2B5EF4-FFF2-40B4-BE49-F238E27FC236}">
              <a16:creationId xmlns:a16="http://schemas.microsoft.com/office/drawing/2014/main" id="{D151CEB9-9A10-0EA4-59FE-DBBC69EC64E9}"/>
            </a:ext>
          </a:extLst>
        </xdr:cNvPr>
        <xdr:cNvPicPr preferRelativeResize="0">
          <a:picLocks/>
        </xdr:cNvPicPr>
      </xdr:nvPicPr>
      <xdr:blipFill>
        <a:blip xmlns:r="http://schemas.openxmlformats.org/officeDocument/2006/relationships" r:embed="rId7"/>
        <a:stretch>
          <a:fillRect/>
        </a:stretch>
      </xdr:blipFill>
      <xdr:spPr>
        <a:xfrm>
          <a:off x="3495063" y="669234"/>
          <a:ext cx="1548000" cy="612000"/>
        </a:xfrm>
        <a:prstGeom prst="rect">
          <a:avLst/>
        </a:prstGeom>
      </xdr:spPr>
    </xdr:pic>
    <xdr:clientData/>
  </xdr:twoCellAnchor>
  <xdr:twoCellAnchor>
    <xdr:from>
      <xdr:col>17</xdr:col>
      <xdr:colOff>147722</xdr:colOff>
      <xdr:row>0</xdr:row>
      <xdr:rowOff>54740</xdr:rowOff>
    </xdr:from>
    <xdr:to>
      <xdr:col>18</xdr:col>
      <xdr:colOff>513698</xdr:colOff>
      <xdr:row>1</xdr:row>
      <xdr:rowOff>410818</xdr:rowOff>
    </xdr:to>
    <xdr:sp macro="[0]!TAKBIS_Yukle" textlink="">
      <xdr:nvSpPr>
        <xdr:cNvPr id="11" name="Dikdörtgen 10">
          <a:extLst>
            <a:ext uri="{FF2B5EF4-FFF2-40B4-BE49-F238E27FC236}">
              <a16:creationId xmlns:a16="http://schemas.microsoft.com/office/drawing/2014/main" id="{727CAA1E-09D4-47FC-803D-50D1360A13F7}"/>
            </a:ext>
          </a:extLst>
        </xdr:cNvPr>
        <xdr:cNvSpPr/>
      </xdr:nvSpPr>
      <xdr:spPr>
        <a:xfrm>
          <a:off x="11927346" y="54740"/>
          <a:ext cx="1307270" cy="12077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TAKBİS YÜKLE</a:t>
          </a:r>
        </a:p>
      </xdr:txBody>
    </xdr:sp>
    <xdr:clientData/>
  </xdr:twoCellAnchor>
  <xdr:twoCellAnchor>
    <xdr:from>
      <xdr:col>15</xdr:col>
      <xdr:colOff>667675</xdr:colOff>
      <xdr:row>0</xdr:row>
      <xdr:rowOff>54740</xdr:rowOff>
    </xdr:from>
    <xdr:to>
      <xdr:col>17</xdr:col>
      <xdr:colOff>74427</xdr:colOff>
      <xdr:row>1</xdr:row>
      <xdr:rowOff>410818</xdr:rowOff>
    </xdr:to>
    <xdr:sp macro="[0]!ADRESKODU_PDF_YUKLE_VE_YAZ" textlink="">
      <xdr:nvSpPr>
        <xdr:cNvPr id="12" name="Dikdörtgen 11">
          <a:extLst>
            <a:ext uri="{FF2B5EF4-FFF2-40B4-BE49-F238E27FC236}">
              <a16:creationId xmlns:a16="http://schemas.microsoft.com/office/drawing/2014/main" id="{56FF5D5B-AAF3-4447-B5D4-E6371E091C11}"/>
            </a:ext>
          </a:extLst>
        </xdr:cNvPr>
        <xdr:cNvSpPr/>
      </xdr:nvSpPr>
      <xdr:spPr>
        <a:xfrm>
          <a:off x="10752969" y="54740"/>
          <a:ext cx="1307270" cy="12077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ADRES</a:t>
          </a:r>
          <a:r>
            <a:rPr lang="tr-TR" sz="1600" b="1" baseline="0"/>
            <a:t> KODU YÜKLE</a:t>
          </a:r>
          <a:endParaRPr lang="tr-TR" sz="1600" b="1"/>
        </a:p>
      </xdr:txBody>
    </xdr:sp>
    <xdr:clientData/>
  </xdr:twoCellAnchor>
  <xdr:twoCellAnchor editAs="oneCell">
    <xdr:from>
      <xdr:col>9</xdr:col>
      <xdr:colOff>729335</xdr:colOff>
      <xdr:row>0</xdr:row>
      <xdr:rowOff>28806</xdr:rowOff>
    </xdr:from>
    <xdr:to>
      <xdr:col>11</xdr:col>
      <xdr:colOff>523502</xdr:colOff>
      <xdr:row>0</xdr:row>
      <xdr:rowOff>635091</xdr:rowOff>
    </xdr:to>
    <xdr:pic macro="[0]!Btn_Ziraat">
      <xdr:nvPicPr>
        <xdr:cNvPr id="13" name="Resim 12">
          <a:extLst>
            <a:ext uri="{FF2B5EF4-FFF2-40B4-BE49-F238E27FC236}">
              <a16:creationId xmlns:a16="http://schemas.microsoft.com/office/drawing/2014/main" id="{854D333C-5E8B-127C-2198-FCBBDF56CACD}"/>
            </a:ext>
          </a:extLst>
        </xdr:cNvPr>
        <xdr:cNvPicPr preferRelativeResize="0">
          <a:picLocks/>
        </xdr:cNvPicPr>
      </xdr:nvPicPr>
      <xdr:blipFill>
        <a:blip xmlns:r="http://schemas.openxmlformats.org/officeDocument/2006/relationships" r:embed="rId8"/>
        <a:stretch>
          <a:fillRect/>
        </a:stretch>
      </xdr:blipFill>
      <xdr:spPr>
        <a:xfrm>
          <a:off x="5086182" y="28806"/>
          <a:ext cx="1548000" cy="612000"/>
        </a:xfrm>
        <a:prstGeom prst="rect">
          <a:avLst/>
        </a:prstGeom>
      </xdr:spPr>
    </xdr:pic>
    <xdr:clientData/>
  </xdr:twoCellAnchor>
  <xdr:twoCellAnchor>
    <xdr:from>
      <xdr:col>14</xdr:col>
      <xdr:colOff>413657</xdr:colOff>
      <xdr:row>0</xdr:row>
      <xdr:rowOff>54428</xdr:rowOff>
    </xdr:from>
    <xdr:to>
      <xdr:col>15</xdr:col>
      <xdr:colOff>582409</xdr:colOff>
      <xdr:row>1</xdr:row>
      <xdr:rowOff>410506</xdr:rowOff>
    </xdr:to>
    <xdr:sp macro="[0]!EKB_PDF_YUKLE_VE_YAZ" textlink="">
      <xdr:nvSpPr>
        <xdr:cNvPr id="20" name="Dikdörtgen 19">
          <a:extLst>
            <a:ext uri="{FF2B5EF4-FFF2-40B4-BE49-F238E27FC236}">
              <a16:creationId xmlns:a16="http://schemas.microsoft.com/office/drawing/2014/main" id="{C01F5AFA-A4A4-454E-9EF5-CE89B92A8A5D}"/>
            </a:ext>
          </a:extLst>
        </xdr:cNvPr>
        <xdr:cNvSpPr/>
      </xdr:nvSpPr>
      <xdr:spPr>
        <a:xfrm>
          <a:off x="9372600" y="54428"/>
          <a:ext cx="1311752" cy="120516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EKB </a:t>
          </a:r>
        </a:p>
        <a:p>
          <a:pPr algn="ctr"/>
          <a:r>
            <a:rPr lang="tr-TR" sz="1600" b="1" baseline="0"/>
            <a:t>YÜKLE</a:t>
          </a:r>
          <a:endParaRPr lang="tr-TR" sz="1600" b="1"/>
        </a:p>
      </xdr:txBody>
    </xdr:sp>
    <xdr:clientData/>
  </xdr:twoCellAnchor>
  <xdr:twoCellAnchor editAs="oneCell">
    <xdr:from>
      <xdr:col>9</xdr:col>
      <xdr:colOff>735105</xdr:colOff>
      <xdr:row>0</xdr:row>
      <xdr:rowOff>672353</xdr:rowOff>
    </xdr:from>
    <xdr:to>
      <xdr:col>11</xdr:col>
      <xdr:colOff>523202</xdr:colOff>
      <xdr:row>1</xdr:row>
      <xdr:rowOff>430307</xdr:rowOff>
    </xdr:to>
    <xdr:pic macro="[0]!Btn_Yapıkredi">
      <xdr:nvPicPr>
        <xdr:cNvPr id="21" name="Resim 20">
          <a:extLst>
            <a:ext uri="{FF2B5EF4-FFF2-40B4-BE49-F238E27FC236}">
              <a16:creationId xmlns:a16="http://schemas.microsoft.com/office/drawing/2014/main" id="{2C1EB33A-2676-6D0D-2EA1-90D993B8F7F3}"/>
            </a:ext>
          </a:extLst>
        </xdr:cNvPr>
        <xdr:cNvPicPr>
          <a:picLocks noChangeAspect="1"/>
        </xdr:cNvPicPr>
      </xdr:nvPicPr>
      <xdr:blipFill rotWithShape="1">
        <a:blip xmlns:r="http://schemas.openxmlformats.org/officeDocument/2006/relationships" r:embed="rId9"/>
        <a:srcRect t="12120" b="14057"/>
        <a:stretch>
          <a:fillRect/>
        </a:stretch>
      </xdr:blipFill>
      <xdr:spPr>
        <a:xfrm>
          <a:off x="5091952" y="672353"/>
          <a:ext cx="1541930" cy="6096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160020</xdr:colOff>
          <xdr:row>72</xdr:row>
          <xdr:rowOff>7620</xdr:rowOff>
        </xdr:from>
        <xdr:to>
          <xdr:col>8</xdr:col>
          <xdr:colOff>876300</xdr:colOff>
          <xdr:row>72</xdr:row>
          <xdr:rowOff>304800</xdr:rowOff>
        </xdr:to>
        <xdr:sp macro="" textlink="">
          <xdr:nvSpPr>
            <xdr:cNvPr id="4253" name="Check Box 157" descr="KUZEY" hidden="1">
              <a:extLst>
                <a:ext uri="{63B3BB69-23CF-44E3-9099-C40C66FF867C}">
                  <a14:compatExt spid="_x0000_s4253"/>
                </a:ext>
                <a:ext uri="{FF2B5EF4-FFF2-40B4-BE49-F238E27FC236}">
                  <a16:creationId xmlns:a16="http://schemas.microsoft.com/office/drawing/2014/main" id="{00000000-0008-0000-0100-00009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KUZEY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160020</xdr:colOff>
          <xdr:row>72</xdr:row>
          <xdr:rowOff>7620</xdr:rowOff>
        </xdr:from>
        <xdr:to>
          <xdr:col>9</xdr:col>
          <xdr:colOff>861060</xdr:colOff>
          <xdr:row>72</xdr:row>
          <xdr:rowOff>312420</xdr:rowOff>
        </xdr:to>
        <xdr:sp macro="" textlink="">
          <xdr:nvSpPr>
            <xdr:cNvPr id="4254" name="Check Box 158" descr="KUZEY" hidden="1">
              <a:extLst>
                <a:ext uri="{63B3BB69-23CF-44E3-9099-C40C66FF867C}">
                  <a14:compatExt spid="_x0000_s4254"/>
                </a:ext>
                <a:ext uri="{FF2B5EF4-FFF2-40B4-BE49-F238E27FC236}">
                  <a16:creationId xmlns:a16="http://schemas.microsoft.com/office/drawing/2014/main" id="{00000000-0008-0000-0100-00009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GÜNEY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72</xdr:row>
          <xdr:rowOff>7620</xdr:rowOff>
        </xdr:from>
        <xdr:to>
          <xdr:col>10</xdr:col>
          <xdr:colOff>716280</xdr:colOff>
          <xdr:row>72</xdr:row>
          <xdr:rowOff>312420</xdr:rowOff>
        </xdr:to>
        <xdr:sp macro="" textlink="">
          <xdr:nvSpPr>
            <xdr:cNvPr id="4255" name="Check Box 159" descr="KUZEY" hidden="1">
              <a:extLst>
                <a:ext uri="{63B3BB69-23CF-44E3-9099-C40C66FF867C}">
                  <a14:compatExt spid="_x0000_s4255"/>
                </a:ext>
                <a:ext uri="{FF2B5EF4-FFF2-40B4-BE49-F238E27FC236}">
                  <a16:creationId xmlns:a16="http://schemas.microsoft.com/office/drawing/2014/main" id="{00000000-0008-0000-0100-00009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DOĞU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175260</xdr:colOff>
          <xdr:row>72</xdr:row>
          <xdr:rowOff>0</xdr:rowOff>
        </xdr:from>
        <xdr:to>
          <xdr:col>11</xdr:col>
          <xdr:colOff>792480</xdr:colOff>
          <xdr:row>72</xdr:row>
          <xdr:rowOff>312420</xdr:rowOff>
        </xdr:to>
        <xdr:sp macro="" textlink="">
          <xdr:nvSpPr>
            <xdr:cNvPr id="4256" name="Check Box 160" descr="KUZEY" hidden="1">
              <a:extLst>
                <a:ext uri="{63B3BB69-23CF-44E3-9099-C40C66FF867C}">
                  <a14:compatExt spid="_x0000_s4256"/>
                </a:ext>
                <a:ext uri="{FF2B5EF4-FFF2-40B4-BE49-F238E27FC236}">
                  <a16:creationId xmlns:a16="http://schemas.microsoft.com/office/drawing/2014/main" id="{00000000-0008-0000-0100-0000A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tr-TR" sz="800" b="0" i="0" u="none" strike="noStrike" baseline="0">
                  <a:solidFill>
                    <a:srgbClr val="000000"/>
                  </a:solidFill>
                  <a:latin typeface="Tahoma"/>
                  <a:ea typeface="Tahoma"/>
                  <a:cs typeface="Tahoma"/>
                </a:rPr>
                <a:t>BATI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64102</xdr:colOff>
          <xdr:row>90</xdr:row>
          <xdr:rowOff>277457</xdr:rowOff>
        </xdr:from>
        <xdr:to>
          <xdr:col>25</xdr:col>
          <xdr:colOff>558505</xdr:colOff>
          <xdr:row>94</xdr:row>
          <xdr:rowOff>140297</xdr:rowOff>
        </xdr:to>
        <xdr:pic>
          <xdr:nvPicPr>
            <xdr:cNvPr id="26" name="Resim 25">
              <a:extLst>
                <a:ext uri="{FF2B5EF4-FFF2-40B4-BE49-F238E27FC236}">
                  <a16:creationId xmlns:a16="http://schemas.microsoft.com/office/drawing/2014/main" id="{795B46AD-4D8C-6F90-EC64-75A22177EF89}"/>
                </a:ext>
              </a:extLst>
            </xdr:cNvPr>
            <xdr:cNvPicPr>
              <a:picLocks noChangeAspect="1" noChangeArrowheads="1"/>
              <a:extLst>
                <a:ext uri="{84589F7E-364E-4C9E-8A38-B11213B215E9}">
                  <a14:cameraTool cellRange="Sayfa1!$C$129" spid="_x0000_s4529"/>
                </a:ext>
              </a:extLst>
            </xdr:cNvPicPr>
          </xdr:nvPicPr>
          <xdr:blipFill>
            <a:blip xmlns:r="http://schemas.openxmlformats.org/officeDocument/2006/relationships" r:embed="rId10"/>
            <a:srcRect/>
            <a:stretch>
              <a:fillRect/>
            </a:stretch>
          </xdr:blipFill>
          <xdr:spPr bwMode="auto">
            <a:xfrm>
              <a:off x="14972408" y="32882092"/>
              <a:ext cx="8759862" cy="111789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76200</xdr:colOff>
      <xdr:row>2</xdr:row>
      <xdr:rowOff>99060</xdr:rowOff>
    </xdr:from>
    <xdr:to>
      <xdr:col>11</xdr:col>
      <xdr:colOff>22860</xdr:colOff>
      <xdr:row>5</xdr:row>
      <xdr:rowOff>167640</xdr:rowOff>
    </xdr:to>
    <xdr:sp macro="[0]!EKB_PDF_YUKLE_VE_YAZ" textlink="">
      <xdr:nvSpPr>
        <xdr:cNvPr id="2" name="Dikdörtgen 1">
          <a:extLst>
            <a:ext uri="{FF2B5EF4-FFF2-40B4-BE49-F238E27FC236}">
              <a16:creationId xmlns:a16="http://schemas.microsoft.com/office/drawing/2014/main" id="{922C1599-54B1-446F-8873-B7B783F8B070}"/>
            </a:ext>
          </a:extLst>
        </xdr:cNvPr>
        <xdr:cNvSpPr/>
      </xdr:nvSpPr>
      <xdr:spPr>
        <a:xfrm>
          <a:off x="5554980" y="464820"/>
          <a:ext cx="1165860" cy="6172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t>EKB</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1251857</xdr:colOff>
      <xdr:row>14</xdr:row>
      <xdr:rowOff>370114</xdr:rowOff>
    </xdr:from>
    <xdr:to>
      <xdr:col>0</xdr:col>
      <xdr:colOff>1698171</xdr:colOff>
      <xdr:row>17</xdr:row>
      <xdr:rowOff>413657</xdr:rowOff>
    </xdr:to>
    <xdr:sp macro="" textlink="">
      <xdr:nvSpPr>
        <xdr:cNvPr id="24" name="Serbest Form: Şekil 23">
          <a:extLst>
            <a:ext uri="{FF2B5EF4-FFF2-40B4-BE49-F238E27FC236}">
              <a16:creationId xmlns:a16="http://schemas.microsoft.com/office/drawing/2014/main" id="{E6E0639F-D001-6DEB-662B-96F5FED67D11}"/>
            </a:ext>
          </a:extLst>
        </xdr:cNvPr>
        <xdr:cNvSpPr/>
      </xdr:nvSpPr>
      <xdr:spPr>
        <a:xfrm>
          <a:off x="1251857" y="8730343"/>
          <a:ext cx="446314" cy="1850571"/>
        </a:xfrm>
        <a:custGeom>
          <a:avLst/>
          <a:gdLst>
            <a:gd name="csX0" fmla="*/ 446314 w 446314"/>
            <a:gd name="csY0" fmla="*/ 1850571 h 1850571"/>
            <a:gd name="csX1" fmla="*/ 0 w 446314"/>
            <a:gd name="csY1" fmla="*/ 1850571 h 1850571"/>
            <a:gd name="csX2" fmla="*/ 0 w 446314"/>
            <a:gd name="csY2" fmla="*/ 914400 h 1850571"/>
            <a:gd name="csX3" fmla="*/ 413657 w 446314"/>
            <a:gd name="csY3" fmla="*/ 914400 h 1850571"/>
            <a:gd name="csX4" fmla="*/ 0 w 446314"/>
            <a:gd name="csY4" fmla="*/ 914400 h 1850571"/>
            <a:gd name="csX5" fmla="*/ 0 w 446314"/>
            <a:gd name="csY5" fmla="*/ 0 h 1850571"/>
            <a:gd name="csX6" fmla="*/ 435429 w 446314"/>
            <a:gd name="csY6" fmla="*/ 0 h 1850571"/>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446314" h="1850571">
              <a:moveTo>
                <a:pt x="446314" y="1850571"/>
              </a:moveTo>
              <a:lnTo>
                <a:pt x="0" y="1850571"/>
              </a:lnTo>
              <a:lnTo>
                <a:pt x="0" y="914400"/>
              </a:lnTo>
              <a:lnTo>
                <a:pt x="413657" y="914400"/>
              </a:lnTo>
              <a:lnTo>
                <a:pt x="0" y="914400"/>
              </a:lnTo>
              <a:lnTo>
                <a:pt x="0" y="0"/>
              </a:lnTo>
              <a:lnTo>
                <a:pt x="435429" y="0"/>
              </a:lnTo>
            </a:path>
          </a:pathLst>
        </a:custGeom>
        <a:solidFill>
          <a:sysClr val="window" lastClr="FFFFFF"/>
        </a:solidFill>
        <a:ln w="38100">
          <a:solidFill>
            <a:srgbClr val="FF0000"/>
          </a:solidFill>
          <a:headEnd type="triangle" w="med" len="med"/>
          <a:tailEnd type="triangle" w="med" len="med"/>
        </a:ln>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tr-TR" sz="1100"/>
        </a:p>
      </xdr:txBody>
    </xdr:sp>
    <xdr:clientData/>
  </xdr:twoCellAnchor>
  <xdr:twoCellAnchor>
    <xdr:from>
      <xdr:col>1</xdr:col>
      <xdr:colOff>1186542</xdr:colOff>
      <xdr:row>45</xdr:row>
      <xdr:rowOff>1469573</xdr:rowOff>
    </xdr:from>
    <xdr:to>
      <xdr:col>2</xdr:col>
      <xdr:colOff>511628</xdr:colOff>
      <xdr:row>46</xdr:row>
      <xdr:rowOff>1676403</xdr:rowOff>
    </xdr:to>
    <xdr:cxnSp macro="">
      <xdr:nvCxnSpPr>
        <xdr:cNvPr id="3" name="Bağlayıcı: Dirsek 2">
          <a:extLst>
            <a:ext uri="{FF2B5EF4-FFF2-40B4-BE49-F238E27FC236}">
              <a16:creationId xmlns:a16="http://schemas.microsoft.com/office/drawing/2014/main" id="{4BC19269-3744-A055-7592-977165922030}"/>
            </a:ext>
          </a:extLst>
        </xdr:cNvPr>
        <xdr:cNvCxnSpPr/>
      </xdr:nvCxnSpPr>
      <xdr:spPr>
        <a:xfrm rot="5400000" flipH="1" flipV="1">
          <a:off x="2285999" y="38241516"/>
          <a:ext cx="2198915" cy="914401"/>
        </a:xfrm>
        <a:prstGeom prst="bentConnector3">
          <a:avLst>
            <a:gd name="adj1" fmla="val 100000"/>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1186542</xdr:colOff>
      <xdr:row>47</xdr:row>
      <xdr:rowOff>130630</xdr:rowOff>
    </xdr:from>
    <xdr:to>
      <xdr:col>2</xdr:col>
      <xdr:colOff>511628</xdr:colOff>
      <xdr:row>48</xdr:row>
      <xdr:rowOff>381002</xdr:rowOff>
    </xdr:to>
    <xdr:cxnSp macro="">
      <xdr:nvCxnSpPr>
        <xdr:cNvPr id="8" name="Bağlayıcı: Dirsek 7">
          <a:extLst>
            <a:ext uri="{FF2B5EF4-FFF2-40B4-BE49-F238E27FC236}">
              <a16:creationId xmlns:a16="http://schemas.microsoft.com/office/drawing/2014/main" id="{45A97B90-626A-4677-BBA0-B8ACF10863CF}"/>
            </a:ext>
          </a:extLst>
        </xdr:cNvPr>
        <xdr:cNvCxnSpPr/>
      </xdr:nvCxnSpPr>
      <xdr:spPr>
        <a:xfrm rot="16200000" flipH="1">
          <a:off x="2285999" y="40886744"/>
          <a:ext cx="2198915" cy="914401"/>
        </a:xfrm>
        <a:prstGeom prst="bentConnector3">
          <a:avLst>
            <a:gd name="adj1" fmla="val 100000"/>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1458686</xdr:colOff>
      <xdr:row>45</xdr:row>
      <xdr:rowOff>664029</xdr:rowOff>
    </xdr:from>
    <xdr:to>
      <xdr:col>4</xdr:col>
      <xdr:colOff>696685</xdr:colOff>
      <xdr:row>45</xdr:row>
      <xdr:rowOff>1763485</xdr:rowOff>
    </xdr:to>
    <xdr:cxnSp macro="">
      <xdr:nvCxnSpPr>
        <xdr:cNvPr id="10" name="Bağlayıcı: Dirsek 9">
          <a:extLst>
            <a:ext uri="{FF2B5EF4-FFF2-40B4-BE49-F238E27FC236}">
              <a16:creationId xmlns:a16="http://schemas.microsoft.com/office/drawing/2014/main" id="{6571BDD1-D1D5-4C6E-B751-AA4A44409DEC}"/>
            </a:ext>
          </a:extLst>
        </xdr:cNvPr>
        <xdr:cNvCxnSpPr/>
      </xdr:nvCxnSpPr>
      <xdr:spPr>
        <a:xfrm rot="5400000" flipH="1" flipV="1">
          <a:off x="6422572" y="36826372"/>
          <a:ext cx="1099456" cy="1034142"/>
        </a:xfrm>
        <a:prstGeom prst="bentConnector3">
          <a:avLst>
            <a:gd name="adj1" fmla="val 102475"/>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1426029</xdr:colOff>
      <xdr:row>47</xdr:row>
      <xdr:rowOff>457201</xdr:rowOff>
    </xdr:from>
    <xdr:to>
      <xdr:col>4</xdr:col>
      <xdr:colOff>664028</xdr:colOff>
      <xdr:row>47</xdr:row>
      <xdr:rowOff>1556657</xdr:rowOff>
    </xdr:to>
    <xdr:cxnSp macro="">
      <xdr:nvCxnSpPr>
        <xdr:cNvPr id="13" name="Bağlayıcı: Dirsek 12">
          <a:extLst>
            <a:ext uri="{FF2B5EF4-FFF2-40B4-BE49-F238E27FC236}">
              <a16:creationId xmlns:a16="http://schemas.microsoft.com/office/drawing/2014/main" id="{FD1D6088-1E00-4A06-A5EF-6A337A8EAE59}"/>
            </a:ext>
          </a:extLst>
        </xdr:cNvPr>
        <xdr:cNvCxnSpPr/>
      </xdr:nvCxnSpPr>
      <xdr:spPr>
        <a:xfrm rot="5400000" flipH="1" flipV="1">
          <a:off x="6389915" y="40603715"/>
          <a:ext cx="1099456" cy="1034142"/>
        </a:xfrm>
        <a:prstGeom prst="bentConnector3">
          <a:avLst>
            <a:gd name="adj1" fmla="val 102475"/>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1436915</xdr:colOff>
      <xdr:row>46</xdr:row>
      <xdr:rowOff>217715</xdr:rowOff>
    </xdr:from>
    <xdr:to>
      <xdr:col>4</xdr:col>
      <xdr:colOff>674914</xdr:colOff>
      <xdr:row>46</xdr:row>
      <xdr:rowOff>1317171</xdr:rowOff>
    </xdr:to>
    <xdr:cxnSp macro="">
      <xdr:nvCxnSpPr>
        <xdr:cNvPr id="14" name="Bağlayıcı: Dirsek 13">
          <a:extLst>
            <a:ext uri="{FF2B5EF4-FFF2-40B4-BE49-F238E27FC236}">
              <a16:creationId xmlns:a16="http://schemas.microsoft.com/office/drawing/2014/main" id="{6E2CC00C-5333-46B2-B546-B786586C4EBF}"/>
            </a:ext>
          </a:extLst>
        </xdr:cNvPr>
        <xdr:cNvCxnSpPr/>
      </xdr:nvCxnSpPr>
      <xdr:spPr>
        <a:xfrm rot="16200000" flipH="1">
          <a:off x="6400801" y="38372143"/>
          <a:ext cx="1099456" cy="1034142"/>
        </a:xfrm>
        <a:prstGeom prst="bentConnector3">
          <a:avLst>
            <a:gd name="adj1" fmla="val 102475"/>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1393372</xdr:colOff>
      <xdr:row>48</xdr:row>
      <xdr:rowOff>108857</xdr:rowOff>
    </xdr:from>
    <xdr:to>
      <xdr:col>4</xdr:col>
      <xdr:colOff>631371</xdr:colOff>
      <xdr:row>48</xdr:row>
      <xdr:rowOff>1208313</xdr:rowOff>
    </xdr:to>
    <xdr:cxnSp macro="">
      <xdr:nvCxnSpPr>
        <xdr:cNvPr id="15" name="Bağlayıcı: Dirsek 14">
          <a:extLst>
            <a:ext uri="{FF2B5EF4-FFF2-40B4-BE49-F238E27FC236}">
              <a16:creationId xmlns:a16="http://schemas.microsoft.com/office/drawing/2014/main" id="{06161446-9280-4B9D-94D8-CC42109029A6}"/>
            </a:ext>
          </a:extLst>
        </xdr:cNvPr>
        <xdr:cNvCxnSpPr/>
      </xdr:nvCxnSpPr>
      <xdr:spPr>
        <a:xfrm rot="16200000" flipH="1">
          <a:off x="6357258" y="42203914"/>
          <a:ext cx="1099456" cy="1034142"/>
        </a:xfrm>
        <a:prstGeom prst="bentConnector3">
          <a:avLst>
            <a:gd name="adj1" fmla="val 102475"/>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1502229</xdr:colOff>
      <xdr:row>45</xdr:row>
      <xdr:rowOff>1970314</xdr:rowOff>
    </xdr:from>
    <xdr:to>
      <xdr:col>13</xdr:col>
      <xdr:colOff>2057400</xdr:colOff>
      <xdr:row>45</xdr:row>
      <xdr:rowOff>1970314</xdr:rowOff>
    </xdr:to>
    <xdr:cxnSp macro="">
      <xdr:nvCxnSpPr>
        <xdr:cNvPr id="17" name="Düz Ok Bağlayıcısı 16">
          <a:extLst>
            <a:ext uri="{FF2B5EF4-FFF2-40B4-BE49-F238E27FC236}">
              <a16:creationId xmlns:a16="http://schemas.microsoft.com/office/drawing/2014/main" id="{39A2E837-8E55-983A-7D49-DAE8188542D3}"/>
            </a:ext>
          </a:extLst>
        </xdr:cNvPr>
        <xdr:cNvCxnSpPr/>
      </xdr:nvCxnSpPr>
      <xdr:spPr>
        <a:xfrm>
          <a:off x="23436943" y="38100000"/>
          <a:ext cx="555171"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1491343</xdr:colOff>
      <xdr:row>47</xdr:row>
      <xdr:rowOff>1861457</xdr:rowOff>
    </xdr:from>
    <xdr:to>
      <xdr:col>13</xdr:col>
      <xdr:colOff>2046514</xdr:colOff>
      <xdr:row>47</xdr:row>
      <xdr:rowOff>1861457</xdr:rowOff>
    </xdr:to>
    <xdr:cxnSp macro="">
      <xdr:nvCxnSpPr>
        <xdr:cNvPr id="18" name="Düz Ok Bağlayıcısı 17">
          <a:extLst>
            <a:ext uri="{FF2B5EF4-FFF2-40B4-BE49-F238E27FC236}">
              <a16:creationId xmlns:a16="http://schemas.microsoft.com/office/drawing/2014/main" id="{E03A3FF7-44A3-417F-861D-45D7551AD87E}"/>
            </a:ext>
          </a:extLst>
        </xdr:cNvPr>
        <xdr:cNvCxnSpPr/>
      </xdr:nvCxnSpPr>
      <xdr:spPr>
        <a:xfrm>
          <a:off x="23426057" y="41975314"/>
          <a:ext cx="555171"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1422829</xdr:colOff>
      <xdr:row>49</xdr:row>
      <xdr:rowOff>314405</xdr:rowOff>
    </xdr:from>
    <xdr:to>
      <xdr:col>4</xdr:col>
      <xdr:colOff>660828</xdr:colOff>
      <xdr:row>49</xdr:row>
      <xdr:rowOff>1253841</xdr:rowOff>
    </xdr:to>
    <xdr:cxnSp macro="">
      <xdr:nvCxnSpPr>
        <xdr:cNvPr id="25" name="Bağlayıcı: Dirsek 24">
          <a:extLst>
            <a:ext uri="{FF2B5EF4-FFF2-40B4-BE49-F238E27FC236}">
              <a16:creationId xmlns:a16="http://schemas.microsoft.com/office/drawing/2014/main" id="{5075AB94-8C92-4C88-A5E3-4399D4543792}"/>
            </a:ext>
          </a:extLst>
        </xdr:cNvPr>
        <xdr:cNvCxnSpPr/>
      </xdr:nvCxnSpPr>
      <xdr:spPr>
        <a:xfrm rot="5400000" flipH="1" flipV="1">
          <a:off x="6457440" y="42774805"/>
          <a:ext cx="939436" cy="1039905"/>
        </a:xfrm>
        <a:prstGeom prst="bentConnector3">
          <a:avLst>
            <a:gd name="adj1" fmla="val 102475"/>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1418986</xdr:colOff>
      <xdr:row>49</xdr:row>
      <xdr:rowOff>1472775</xdr:rowOff>
    </xdr:from>
    <xdr:to>
      <xdr:col>4</xdr:col>
      <xdr:colOff>656985</xdr:colOff>
      <xdr:row>50</xdr:row>
      <xdr:rowOff>967548</xdr:rowOff>
    </xdr:to>
    <xdr:cxnSp macro="">
      <xdr:nvCxnSpPr>
        <xdr:cNvPr id="27" name="Bağlayıcı: Dirsek 26">
          <a:extLst>
            <a:ext uri="{FF2B5EF4-FFF2-40B4-BE49-F238E27FC236}">
              <a16:creationId xmlns:a16="http://schemas.microsoft.com/office/drawing/2014/main" id="{F1F32A07-1CF9-4F9D-86F8-CA93EBB9F0A9}"/>
            </a:ext>
          </a:extLst>
        </xdr:cNvPr>
        <xdr:cNvCxnSpPr/>
      </xdr:nvCxnSpPr>
      <xdr:spPr>
        <a:xfrm rot="16200000" flipH="1">
          <a:off x="6373587" y="44013185"/>
          <a:ext cx="1099456" cy="1039905"/>
        </a:xfrm>
        <a:prstGeom prst="bentConnector3">
          <a:avLst>
            <a:gd name="adj1" fmla="val 102475"/>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1475334</xdr:colOff>
      <xdr:row>50</xdr:row>
      <xdr:rowOff>297051</xdr:rowOff>
    </xdr:from>
    <xdr:to>
      <xdr:col>13</xdr:col>
      <xdr:colOff>2030505</xdr:colOff>
      <xdr:row>50</xdr:row>
      <xdr:rowOff>297051</xdr:rowOff>
    </xdr:to>
    <xdr:cxnSp macro="">
      <xdr:nvCxnSpPr>
        <xdr:cNvPr id="31" name="Düz Ok Bağlayıcısı 30">
          <a:extLst>
            <a:ext uri="{FF2B5EF4-FFF2-40B4-BE49-F238E27FC236}">
              <a16:creationId xmlns:a16="http://schemas.microsoft.com/office/drawing/2014/main" id="{49C08496-98F8-4FE1-A198-4E110C3BE12E}"/>
            </a:ext>
          </a:extLst>
        </xdr:cNvPr>
        <xdr:cNvCxnSpPr/>
      </xdr:nvCxnSpPr>
      <xdr:spPr>
        <a:xfrm>
          <a:off x="23456793" y="44412369"/>
          <a:ext cx="555171"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ışVeri_1" backgroundRefresh="0" connectionId="1" xr16:uid="{D072B49F-4120-48AA-B619-5E38F65010A0}" autoFormatId="16" applyNumberFormats="0" applyBorderFormats="0" applyFontFormats="0" applyPatternFormats="0" applyAlignmentFormats="0" applyWidthHeightFormats="0">
  <queryTableRefresh nextId="22">
    <queryTableFields count="10">
      <queryTableField id="12" name="IL" tableColumnId="2"/>
      <queryTableField id="13" name="ILCE" tableColumnId="3"/>
      <queryTableField id="14" name="MAHALLE" tableColumnId="4"/>
      <queryTableField id="15" name="SOKAK_CADDE" tableColumnId="5"/>
      <queryTableField id="16" name="DIS_KAPI_NO" tableColumnId="6"/>
      <queryTableField id="17" name="IC_KAPI_NO" tableColumnId="7"/>
      <queryTableField id="18" name="SITE_ADI" tableColumnId="8"/>
      <queryTableField id="19" name="BLOK_ADI" tableColumnId="9"/>
      <queryTableField id="20" name="UAVT_NO" tableColumnId="10"/>
      <queryTableField id="21" name="ADDR_RAW"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ışVeri_1" backgroundRefresh="0" connectionId="7" xr16:uid="{4053F1CD-FE67-4EB2-9129-09E92517612B}" autoFormatId="16" applyNumberFormats="0" applyBorderFormats="0" applyFontFormats="0" applyPatternFormats="0" applyAlignmentFormats="0" applyWidthHeightFormats="0">
  <queryTableRefresh nextId="13">
    <queryTableFields count="5">
      <queryTableField id="1" name="VerilisTarihi" tableColumnId="1"/>
      <queryTableField id="2" name="GecerlilikTarihi" tableColumnId="2"/>
      <queryTableField id="9" name="EnerjiSinifi" tableColumnId="5"/>
      <queryTableField id="11" name="EKBNo" tableColumnId="6"/>
      <queryTableField id="12" name="BinaKodu"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ışVeri_3" backgroundRefresh="0" connectionId="8" xr16:uid="{DA3B39E3-8EE7-4907-9AA4-5AC20F237C84}" autoFormatId="16" applyNumberFormats="0" applyBorderFormats="0" applyFontFormats="0" applyPatternFormats="0" applyAlignmentFormats="0" applyWidthHeightFormats="0">
  <queryTableRefresh nextId="7">
    <queryTableFields count="6">
      <queryTableField id="1" name="Alan" tableColumnId="1"/>
      <queryTableField id="2" name="Deger1" tableColumnId="2"/>
      <queryTableField id="3" name="Deger2" tableColumnId="3"/>
      <queryTableField id="4" name="Deger3" tableColumnId="4"/>
      <queryTableField id="5" name="Deger4" tableColumnId="5"/>
      <queryTableField id="6" name="Deger5"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ışVeri_2" backgroundRefresh="0" connectionId="11" xr16:uid="{9F25B5C2-B241-459A-A58A-30EB187997FA}" autoFormatId="16" applyNumberFormats="0" applyBorderFormats="0" applyFontFormats="0" applyPatternFormats="0" applyAlignmentFormats="0" applyWidthHeightFormats="0">
  <queryTableRefresh nextId="27">
    <queryTableFields count="9">
      <queryTableField id="11" name="_SERH_ID" tableColumnId="1"/>
      <queryTableField id="17" name="SERH_TURU" tableColumnId="7"/>
      <queryTableField id="12" name="ACIKLAMA" tableColumnId="2"/>
      <queryTableField id="25" name="HACIZ_TUTARI" tableColumnId="11"/>
      <queryTableField id="18" name="KISITLI_MALIK_ADI" tableColumnId="8"/>
      <queryTableField id="19" name="ILCE_ADI" tableColumnId="9"/>
      <queryTableField id="13" name="TAPU_TARIHI" tableColumnId="3"/>
      <queryTableField id="20" name="YEVMIYE_NO" tableColumnId="10"/>
      <queryTableField id="16" name="_MergedTex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ışVeri_3" backgroundRefresh="0" connectionId="9" xr16:uid="{0AC56E79-D991-48D6-B5A5-7C750C6973B7}" autoFormatId="16" applyNumberFormats="0" applyBorderFormats="0" applyFontFormats="0" applyPatternFormats="0" applyAlignmentFormats="0" applyWidthHeightFormats="0">
  <queryTableRefresh nextId="50">
    <queryTableFields count="4">
      <queryTableField id="48" name="KayitTuru" tableColumnId="5"/>
      <queryTableField id="3" name="Aciklama" tableColumnId="1"/>
      <queryTableField id="5" name="Tarih_Text" tableColumnId="3"/>
      <queryTableField id="6" name="Yevmiye"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ışVeri_4" backgroundRefresh="0" connectionId="10" xr16:uid="{2C89FC78-58A2-46EC-9EF4-9352DAD8CC9D}" autoFormatId="16" applyNumberFormats="0" applyBorderFormats="0" applyFontFormats="0" applyPatternFormats="0" applyAlignmentFormats="0" applyWidthHeightFormats="0">
  <queryTableRefresh nextId="20">
    <queryTableFields count="7">
      <queryTableField id="7" name="IpotekLehdari" tableColumnId="1"/>
      <queryTableField id="10" name="IpotekDerecesi" tableColumnId="4"/>
      <queryTableField id="14" name="IpotekTutari" tableColumnId="8"/>
      <queryTableField id="11" name="TesisTarihi" tableColumnId="5"/>
      <queryTableField id="13" name="YevmiyeNo" tableColumnId="7"/>
      <queryTableField id="8" name="VKN" tableColumnId="2"/>
      <queryTableField id="12" name="TesisSaati"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ışVeri_3" backgroundRefresh="0" connectionId="6" xr16:uid="{5FD385C3-D5E9-484D-890E-97850C59E019}" autoFormatId="16" applyNumberFormats="0" applyBorderFormats="0" applyFontFormats="0" applyPatternFormats="0" applyAlignmentFormats="0" applyWidthHeightFormats="0">
  <queryTableRefresh nextId="59">
    <queryTableFields count="8">
      <queryTableField id="35" name="_SYSNO" tableColumnId="16"/>
      <queryTableField id="36" name="MALIK" tableColumnId="17"/>
      <queryTableField id="37" name="HISSE" tableColumnId="18"/>
      <queryTableField id="42" name="EDINME_SEBEBI" tableColumnId="1"/>
      <queryTableField id="38" name="TAPU_TARIHI" tableColumnId="19"/>
      <queryTableField id="39" name="YEVMİYE_NO" tableColumnId="20"/>
      <queryTableField id="40" name="TAPU_TARIHI_YEVMIYE" tableColumnId="21"/>
      <queryTableField id="41" name="_MergedText"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ışVeri_4" backgroundRefresh="0" connectionId="12" xr16:uid="{67DE3E77-6859-4018-9F0E-8929C8BEFE0E}" autoFormatId="16" applyNumberFormats="0" applyBorderFormats="0" applyFontFormats="0" applyPatternFormats="0" applyAlignmentFormats="0" applyWidthHeightFormats="0">
  <queryTableRefresh nextId="4">
    <queryTableFields count="3">
      <queryTableField id="1" name="TAKYIDAT_TARIH" tableColumnId="1"/>
      <queryTableField id="2" name="TAKYIDAT_SAAT" tableColumnId="2"/>
      <queryTableField id="3" name="RAW_SNIP"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ışVeri_1" backgroundRefresh="0" connectionId="14" xr16:uid="{C6CD9557-6C6B-43A2-991E-5B5A69B1C369}" autoFormatId="16" applyNumberFormats="0" applyBorderFormats="0" applyFontFormats="0" applyPatternFormats="0" applyAlignmentFormats="0" applyWidthHeightFormats="0">
  <queryTableRefresh nextId="7">
    <queryTableFields count="6">
      <queryTableField id="1" name="Id" tableColumnId="1"/>
      <queryTableField id="2" name="Name" tableColumnId="2"/>
      <queryTableField id="3" name="Kind" tableColumnId="3"/>
      <queryTableField id="4" name="Column1" tableColumnId="4"/>
      <queryTableField id="5" name="Column2" tableColumnId="5"/>
      <queryTableField id="6" name="Column3"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ışVeri_1" backgroundRefresh="0" connectionId="3" xr16:uid="{B69F72A3-7E1B-43A9-B0E1-8E4225F096BB}" autoFormatId="16" applyNumberFormats="0" applyBorderFormats="0" applyFontFormats="0" applyPatternFormats="0" applyAlignmentFormats="0" applyWidthHeightFormats="0">
  <queryTableRefresh nextId="6">
    <queryTableFields count="5">
      <queryTableField id="1" name="Column1" tableColumnId="1"/>
      <queryTableField id="2" name="Yıllık Değişim" tableColumnId="2"/>
      <queryTableField id="3" name="Yıllık Değişim_1" tableColumnId="3"/>
      <queryTableField id="4" name="Aylık Değişim" tableColumnId="4"/>
      <queryTableField id="5" name="Aylık Değişim_2"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1758871-A5B3-443B-B5B4-7DCA3940DDD9}" name="tblADRESKODU_VERI" displayName="tblADRESKODU_VERI" ref="A1:J2" tableType="queryTable" totalsRowShown="0">
  <autoFilter ref="A1:J2" xr:uid="{01758871-A5B3-443B-B5B4-7DCA3940DDD9}"/>
  <tableColumns count="10">
    <tableColumn id="2" xr3:uid="{973D23D7-DBA0-486E-800E-119220A7D751}" uniqueName="2" name="IL" queryTableFieldId="12" dataDxfId="139"/>
    <tableColumn id="3" xr3:uid="{05316E5C-F303-4992-9DF9-7DADCB97D30B}" uniqueName="3" name="ILCE" queryTableFieldId="13" dataDxfId="138"/>
    <tableColumn id="4" xr3:uid="{D869EB25-29CE-485D-8151-CA7D6036EBD5}" uniqueName="4" name="MAHALLE" queryTableFieldId="14" dataDxfId="137"/>
    <tableColumn id="5" xr3:uid="{76E08120-10DC-4E4F-BAD1-93ED7CAA1EE7}" uniqueName="5" name="SOKAK_CADDE" queryTableFieldId="15" dataDxfId="136"/>
    <tableColumn id="6" xr3:uid="{B982FEBA-4C50-428E-AB6F-D43CB8B07AC8}" uniqueName="6" name="DIS_KAPI_NO" queryTableFieldId="16" dataDxfId="135"/>
    <tableColumn id="7" xr3:uid="{A33FEC20-1A82-4B73-AAC9-8EC494F4DE25}" uniqueName="7" name="IC_KAPI_NO" queryTableFieldId="17" dataDxfId="134"/>
    <tableColumn id="8" xr3:uid="{9468979A-08CA-4E40-BABA-070CC3960F4C}" uniqueName="8" name="SITE_ADI" queryTableFieldId="18" dataDxfId="133"/>
    <tableColumn id="9" xr3:uid="{0D4E3CDF-D748-43CD-9366-B7A8E166DBCD}" uniqueName="9" name="BLOK_ADI" queryTableFieldId="19" dataDxfId="132"/>
    <tableColumn id="10" xr3:uid="{5D53B5F7-0774-4159-AEC2-CF6DE0A239FF}" uniqueName="10" name="UAVT_NO" queryTableFieldId="20" dataDxfId="131"/>
    <tableColumn id="11" xr3:uid="{3645C340-A8AC-49E4-A163-235DDCEF7D1E}" uniqueName="11" name="ADDR_RAW" queryTableFieldId="21" dataDxfId="1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5AB2055-5267-41CB-9A31-602558FC339A}" name="PQ_EKB_Oku" displayName="PQ_EKB_Oku" ref="A1:E2" tableType="queryTable" totalsRowShown="0" dataDxfId="129">
  <autoFilter ref="A1:E2" xr:uid="{F5AB2055-5267-41CB-9A31-602558FC339A}"/>
  <tableColumns count="5">
    <tableColumn id="1" xr3:uid="{DFDEDA27-F540-4125-A4BA-DE585826D5F0}" uniqueName="1" name="VerilisTarihi" queryTableFieldId="1" dataDxfId="128"/>
    <tableColumn id="2" xr3:uid="{D0F3554C-ACED-4BA2-9BC7-6388416F77D3}" uniqueName="2" name="GecerlilikTarihi" queryTableFieldId="2" dataDxfId="127"/>
    <tableColumn id="5" xr3:uid="{1E4B8B77-D45D-4E0F-A305-E2C0CF6C34DC}" uniqueName="5" name="EnerjiSinifi" queryTableFieldId="9"/>
    <tableColumn id="6" xr3:uid="{B60A0311-BD30-49F2-B1F4-D33ABAB73236}" uniqueName="6" name="EKBNo" queryTableFieldId="11"/>
    <tableColumn id="3" xr3:uid="{924A9F46-349F-4811-99E3-A3DC2FEA182F}" uniqueName="3" name="BinaKodu" queryTableFieldId="1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AE599F-A429-4DC7-AB2C-083D263041E2}" name="TAPU_BILGILERI" displayName="TAPU_BILGILERI" ref="A1:F17" tableType="queryTable" totalsRowShown="0">
  <autoFilter ref="A1:F17" xr:uid="{13AE599F-A429-4DC7-AB2C-083D263041E2}"/>
  <tableColumns count="6">
    <tableColumn id="1" xr3:uid="{B838F24F-D400-4829-B917-29C9B9A3A12C}" uniqueName="1" name="Alan" queryTableFieldId="1"/>
    <tableColumn id="2" xr3:uid="{9258928D-A41C-42F6-A417-E453BDE7CC31}" uniqueName="2" name="Deger1" queryTableFieldId="2"/>
    <tableColumn id="3" xr3:uid="{E79BF154-B8A2-413C-AF65-7222316C8796}" uniqueName="3" name="Deger2" queryTableFieldId="3"/>
    <tableColumn id="4" xr3:uid="{29FFD6F8-1558-4FAD-A6D8-CD3DF55D74DA}" uniqueName="4" name="Deger3" queryTableFieldId="4"/>
    <tableColumn id="5" xr3:uid="{39DBF3C9-31FD-4C0C-ACF2-6C53BD7CE242}" uniqueName="5" name="Deger4" queryTableFieldId="5"/>
    <tableColumn id="6" xr3:uid="{55FD7854-9FF2-4747-8800-3D436E38EC0B}" uniqueName="6" name="Deger5" queryTableFieldId="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4CA579-80EA-4583-9F03-9A4E19302F9A}" name="tblTAKBIS" displayName="tblTAKBIS" ref="A1:I2" tableType="queryTable" insertRow="1" totalsRowShown="0" dataDxfId="126">
  <autoFilter ref="A1:I2" xr:uid="{E14CA579-80EA-4583-9F03-9A4E19302F9A}"/>
  <tableColumns count="9">
    <tableColumn id="1" xr3:uid="{5E9C8979-9977-4F9F-91EA-2BF6FCC3DFC9}" uniqueName="1" name="_SERH_ID" queryTableFieldId="11" dataDxfId="8"/>
    <tableColumn id="7" xr3:uid="{1BAE9E29-95E7-4FD2-A1FA-DA0721FCCB44}" uniqueName="7" name="SERH_TURU" queryTableFieldId="17" dataDxfId="7"/>
    <tableColumn id="2" xr3:uid="{13066F8F-C14B-4880-ACA6-2A5F88F86238}" uniqueName="2" name="ACIKLAMA" queryTableFieldId="12" dataDxfId="6"/>
    <tableColumn id="11" xr3:uid="{1EB0FC4E-7172-42DC-87B3-75F7B089E00E}" uniqueName="11" name="HACIZ_TUTARI" queryTableFieldId="25" dataDxfId="5" dataCellStyle="Virgül"/>
    <tableColumn id="8" xr3:uid="{7CA55912-0791-4C24-A391-D550D88EEF17}" uniqueName="8" name="KISITLI_MALIK_ADI" queryTableFieldId="18" dataDxfId="4"/>
    <tableColumn id="9" xr3:uid="{3BEEB354-91B7-4C7A-9EF3-1106F295ECDC}" uniqueName="9" name="ILCE_ADI" queryTableFieldId="19" dataDxfId="3"/>
    <tableColumn id="3" xr3:uid="{B4DF7940-B00E-4F92-B7AB-E2EA03D87A2C}" uniqueName="3" name="TAPU_TARIHI" queryTableFieldId="13" dataDxfId="2"/>
    <tableColumn id="10" xr3:uid="{83139B79-EF43-4E22-AB53-1E7846F5BB4B}" uniqueName="10" name="YEVMIYE_NO" queryTableFieldId="20" dataDxfId="1"/>
    <tableColumn id="6" xr3:uid="{318EB174-86DA-4DD0-A8C8-F8C84BD3A40E}" uniqueName="6" name="_MergedText" queryTableFieldId="16"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B2A3AA0-8085-4E67-9CF9-2D627723E012}" name="tblBEYANLAR" displayName="tblBEYANLAR" ref="A1:D2" tableType="queryTable" insertRow="1" totalsRowShown="0" headerRowDxfId="125" dataDxfId="124">
  <autoFilter ref="A1:D2" xr:uid="{CB2A3AA0-8085-4E67-9CF9-2D627723E012}"/>
  <tableColumns count="4">
    <tableColumn id="5" xr3:uid="{0B617BBA-7CFC-407A-BA15-9B304366F549}" uniqueName="5" name="KayitTuru" queryTableFieldId="48"/>
    <tableColumn id="1" xr3:uid="{9BB716F9-6F5C-4964-95C2-3280BFD973BB}" uniqueName="1" name="Aciklama" queryTableFieldId="3"/>
    <tableColumn id="3" xr3:uid="{00BBF8DA-C245-4527-B1BA-BAC312491F08}" uniqueName="3" name="Tarih_Text" queryTableFieldId="5" dataDxfId="17"/>
    <tableColumn id="4" xr3:uid="{1D10C0A4-258C-4D3B-B7FE-0D36086E96EF}" uniqueName="4" name="Yevmiye" queryTableFieldId="6" dataDxfId="1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64EDED-9A30-4629-A9C8-2A6BE75921DA}" name="tblIPOTEKLER" displayName="tblIPOTEKLER" ref="A1:G2" tableType="queryTable" insertRow="1" totalsRowShown="0" dataDxfId="123">
  <autoFilter ref="A1:G2" xr:uid="{3164EDED-9A30-4629-A9C8-2A6BE75921DA}"/>
  <tableColumns count="7">
    <tableColumn id="1" xr3:uid="{055E4F3E-671E-4409-873F-443355856D19}" uniqueName="1" name="IpotekLehdari" queryTableFieldId="7" dataDxfId="15"/>
    <tableColumn id="4" xr3:uid="{30D1FB58-4F5C-45ED-9A28-EA75453895A2}" uniqueName="4" name="IpotekDerecesi" queryTableFieldId="10" dataDxfId="14"/>
    <tableColumn id="8" xr3:uid="{86F511F8-127E-42A8-8C65-312C50A318D1}" uniqueName="8" name="IpotekTutari" queryTableFieldId="14" dataDxfId="13"/>
    <tableColumn id="5" xr3:uid="{5F84F661-9071-4265-8299-546C58B27151}" uniqueName="5" name="TesisTarihi" queryTableFieldId="11" dataDxfId="12"/>
    <tableColumn id="7" xr3:uid="{B56D0151-FB5A-49BF-B4C2-173B328D09B4}" uniqueName="7" name="YevmiyeNo" queryTableFieldId="13" dataDxfId="11"/>
    <tableColumn id="2" xr3:uid="{2DC0601C-DF3B-4AAE-83D9-E47FC531DE0A}" uniqueName="2" name="VKN" queryTableFieldId="8" dataDxfId="10"/>
    <tableColumn id="6" xr3:uid="{388DBFD1-BF0A-4B84-B6C1-81C36A9C82DA}" uniqueName="6" name="TesisSaati" queryTableFieldId="12" dataDxfId="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103A607-AD60-4CEE-934E-98227E4BBE53}" name="MALIKLER" displayName="MALIKLER" ref="A1:H2" tableType="queryTable" totalsRowShown="0" headerRowDxfId="122" dataDxfId="121">
  <autoFilter ref="A1:H2" xr:uid="{C103A607-AD60-4CEE-934E-98227E4BBE53}"/>
  <tableColumns count="8">
    <tableColumn id="16" xr3:uid="{646971D2-18A6-4A8E-876B-70F6F8A745BB}" uniqueName="16" name="_SYSNO" queryTableFieldId="35" dataDxfId="23"/>
    <tableColumn id="17" xr3:uid="{FC15CA7D-55CC-4314-ADF0-1B1DCA371FEE}" uniqueName="17" name="MALIK" queryTableFieldId="36" dataDxfId="22"/>
    <tableColumn id="18" xr3:uid="{4C475523-F11D-4FAA-97D6-E7F64A875BB6}" uniqueName="18" name="HISSE" queryTableFieldId="37" dataDxfId="21"/>
    <tableColumn id="1" xr3:uid="{F52DF50D-549A-49E0-9503-05949D02DD7C}" uniqueName="1" name="EDINME_SEBEBI" queryTableFieldId="42"/>
    <tableColumn id="19" xr3:uid="{2B3DC410-9177-4213-93F8-5CDFB2770EBC}" uniqueName="19" name="TAPU_TARIHI" queryTableFieldId="38" dataDxfId="20"/>
    <tableColumn id="20" xr3:uid="{956EB7B7-63A7-46F2-BB85-3F55AB25FC7D}" uniqueName="20" name="YEVMİYE_NO" queryTableFieldId="39" dataDxfId="19"/>
    <tableColumn id="21" xr3:uid="{044F518E-2DA2-4783-8567-643DB86C4019}" uniqueName="21" name="TAPU_TARIHI_YEVMIYE" queryTableFieldId="40" dataDxfId="18"/>
    <tableColumn id="22" xr3:uid="{CB8C6DFF-58D3-4973-8F56-E6D869428572}" uniqueName="22" name="_MergedText" queryTableFieldId="4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C3980-418D-499D-B1E3-CCA8BB3C181B}" name="tblTakyidatTarihSaat" displayName="tblTakyidatTarihSaat" ref="A1:C2" tableType="queryTable" totalsRowShown="0">
  <autoFilter ref="A1:C2" xr:uid="{392C3980-418D-499D-B1E3-CCA8BB3C181B}"/>
  <tableColumns count="3">
    <tableColumn id="1" xr3:uid="{F35AF69D-A8F4-4953-8EB0-3776D1F71345}" uniqueName="1" name="TAKYIDAT_TARIH" queryTableFieldId="1"/>
    <tableColumn id="2" xr3:uid="{F914B752-2A59-440A-82D2-A0BEDA2E36E2}" uniqueName="2" name="TAKYIDAT_SAAT" queryTableFieldId="2"/>
    <tableColumn id="3" xr3:uid="{6BFFC1A5-A769-464A-8D30-7816912497A4}" uniqueName="3" name="RAW_SNIP"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022E5B2-75D4-49EA-94D4-3315F3B8833A}" name="takbis" displayName="takbis" ref="A1:F39" tableType="queryTable" totalsRowShown="0">
  <autoFilter ref="A1:F39" xr:uid="{1022E5B2-75D4-49EA-94D4-3315F3B8833A}"/>
  <tableColumns count="6">
    <tableColumn id="1" xr3:uid="{8E276801-F0D8-4917-94A5-840636623884}" uniqueName="1" name="Id" queryTableFieldId="1" dataDxfId="120"/>
    <tableColumn id="2" xr3:uid="{122CE80D-A912-4CDE-8759-74AB6F0FD027}" uniqueName="2" name="Name" queryTableFieldId="2" dataDxfId="119"/>
    <tableColumn id="3" xr3:uid="{62715384-BB1B-4BA7-833F-27BB78FAFC75}" uniqueName="3" name="Kind" queryTableFieldId="3" dataDxfId="118"/>
    <tableColumn id="4" xr3:uid="{1614C53F-703E-49FE-A6F2-4A9998BADC93}" uniqueName="4" name="Column1" queryTableFieldId="4"/>
    <tableColumn id="5" xr3:uid="{4E3EA35F-9BF4-45BA-B0DE-DC6E998C26F3}" uniqueName="5" name="Column2" queryTableFieldId="5"/>
    <tableColumn id="6" xr3:uid="{08F3DAD6-064F-42D1-A4AD-281EBAF8C63A}" uniqueName="6" name="Column3" queryTableField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66A65B7-D1F0-4A00-81C1-F2B5A37C81D6}" name="tblPDF" displayName="tblPDF" ref="A1:A3" totalsRowShown="0" headerRowDxfId="117" dataDxfId="116">
  <autoFilter ref="A1:A3" xr:uid="{166A65B7-D1F0-4A00-81C1-F2B5A37C81D6}"/>
  <tableColumns count="1">
    <tableColumn id="1" xr3:uid="{E51835A9-E241-4B6C-81B9-0703A6659D02}" name="PDF_YOLU" dataDxfId="11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A792B74-5CA3-4042-92A2-9E8C7B9BFC02}" name="tblAdresPdfYolu" displayName="tblAdresPdfYolu" ref="A6:A8" totalsRowShown="0" headerRowDxfId="114" headerRowBorderDxfId="113" tableBorderDxfId="112">
  <autoFilter ref="A6:A8" xr:uid="{5A792B74-5CA3-4042-92A2-9E8C7B9BFC02}"/>
  <tableColumns count="1">
    <tableColumn id="1" xr3:uid="{F49E2BDD-1384-4FDF-A207-A893A8F9ECEF}" name="AdresPdfYolu"/>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26E691B-44B4-4D19-AE3A-3376AC638079}" name="AdresEKBYolu" displayName="AdresEKBYolu" ref="A10:A11" totalsRowShown="0">
  <autoFilter ref="A10:A11" xr:uid="{A26E691B-44B4-4D19-AE3A-3376AC638079}"/>
  <tableColumns count="1">
    <tableColumn id="1" xr3:uid="{D3DEFCFA-C79D-4E2A-B90D-10B86AAFEDA1}" name="AdresEKBYolu"/>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25F78C-5F62-4377-BFD9-E0E04466B52E}" name="Fiyat_Endeksi__Üretici_Fiyatları___2003_100" displayName="Fiyat_Endeksi__Üretici_Fiyatları___2003_100" ref="A1:E278" tableType="queryTable" totalsRowShown="0">
  <autoFilter ref="A1:E278" xr:uid="{7F25F78C-5F62-4377-BFD9-E0E04466B52E}"/>
  <tableColumns count="5">
    <tableColumn id="1" xr3:uid="{28A2C990-E032-4877-B30D-CCC51791ED7D}" uniqueName="1" name="Column1" queryTableFieldId="1" dataDxfId="111"/>
    <tableColumn id="2" xr3:uid="{AEB312D9-1905-41A8-A70B-4E7922DEA749}" uniqueName="2" name="Yıllık Değişim" queryTableFieldId="2" dataDxfId="110"/>
    <tableColumn id="3" xr3:uid="{5307E33A-C682-40E9-BE73-BC19E124A524}" uniqueName="3" name="Yıllık Değişim_1" queryTableFieldId="3" dataDxfId="109"/>
    <tableColumn id="4" xr3:uid="{8DC617C3-6E6D-4D91-9AF5-0989C8E7D6C9}" uniqueName="4" name="Aylık Değişim" queryTableFieldId="4" dataDxfId="108"/>
    <tableColumn id="5" xr3:uid="{DA802BC9-496D-4FDF-9E1C-6FAFE0493CBB}" uniqueName="5" name="Aylık Değişim_2" queryTableFieldId="5" dataDxfId="107"/>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D128"/>
  <sheetViews>
    <sheetView zoomScaleNormal="100" workbookViewId="0">
      <selection activeCell="C8" sqref="C8"/>
    </sheetView>
  </sheetViews>
  <sheetFormatPr defaultRowHeight="14.4" x14ac:dyDescent="0.3"/>
  <cols>
    <col min="1" max="1" width="1.33203125" customWidth="1"/>
    <col min="2" max="2" width="26.33203125" customWidth="1"/>
    <col min="3" max="3" width="14.33203125" bestFit="1" customWidth="1"/>
    <col min="4" max="4" width="24.5546875" customWidth="1"/>
    <col min="5" max="5" width="17.6640625" customWidth="1"/>
    <col min="6" max="6" width="28.33203125" customWidth="1"/>
    <col min="7" max="7" width="29.5546875" customWidth="1"/>
    <col min="8" max="8" width="10.6640625" customWidth="1"/>
  </cols>
  <sheetData>
    <row r="1" spans="1:4" ht="26.25" customHeight="1" x14ac:dyDescent="0.3">
      <c r="A1" t="s">
        <v>779</v>
      </c>
      <c r="B1" t="s">
        <v>780</v>
      </c>
      <c r="C1" t="s">
        <v>781</v>
      </c>
      <c r="D1" t="s">
        <v>782</v>
      </c>
    </row>
    <row r="3" spans="1:4" ht="48" customHeight="1" x14ac:dyDescent="0.3"/>
    <row r="4" spans="1:4" ht="21.75" customHeight="1" x14ac:dyDescent="0.3"/>
    <row r="48" ht="30" customHeight="1" x14ac:dyDescent="0.3"/>
    <row r="49" ht="30" customHeight="1" x14ac:dyDescent="0.3"/>
    <row r="50" ht="30" customHeight="1" x14ac:dyDescent="0.3"/>
    <row r="51" ht="30" customHeight="1" x14ac:dyDescent="0.3"/>
    <row r="53" ht="15" customHeight="1" x14ac:dyDescent="0.3"/>
    <row r="56" ht="35.1" customHeight="1" x14ac:dyDescent="0.3"/>
    <row r="57" ht="16.5" customHeight="1" x14ac:dyDescent="0.3"/>
    <row r="64" ht="15" customHeight="1" x14ac:dyDescent="0.3"/>
    <row r="72" ht="17.25" customHeight="1" x14ac:dyDescent="0.3"/>
    <row r="76" ht="15" customHeight="1" x14ac:dyDescent="0.3"/>
    <row r="87" ht="15" customHeight="1" x14ac:dyDescent="0.3"/>
    <row r="93" ht="15" customHeight="1" x14ac:dyDescent="0.3"/>
    <row r="98" ht="15" customHeight="1" x14ac:dyDescent="0.3"/>
    <row r="107" ht="15" customHeight="1" x14ac:dyDescent="0.3"/>
    <row r="117" ht="15" customHeight="1" x14ac:dyDescent="0.3"/>
    <row r="120" ht="15" customHeight="1" x14ac:dyDescent="0.3"/>
    <row r="124" ht="24.9" customHeight="1" x14ac:dyDescent="0.3"/>
    <row r="125" ht="24.9" customHeight="1" x14ac:dyDescent="0.3"/>
    <row r="126" ht="24.9" customHeight="1" x14ac:dyDescent="0.3"/>
    <row r="127" ht="24.9" customHeight="1" x14ac:dyDescent="0.3"/>
    <row r="128" ht="24.9" customHeight="1" x14ac:dyDescent="0.3"/>
  </sheetData>
  <pageMargins left="0.7" right="0.7" top="0.75" bottom="0.75" header="0.3" footer="0.3"/>
  <pageSetup paperSize="9"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yfa4"/>
  <dimension ref="A1:EL1203"/>
  <sheetViews>
    <sheetView topLeftCell="E62" zoomScale="85" zoomScaleNormal="85" workbookViewId="0">
      <selection activeCell="H75" sqref="H75"/>
    </sheetView>
  </sheetViews>
  <sheetFormatPr defaultColWidth="9.109375" defaultRowHeight="14.4" x14ac:dyDescent="0.3"/>
  <cols>
    <col min="1" max="1" width="8.109375" style="38" hidden="1" customWidth="1"/>
    <col min="2" max="3" width="9.109375" style="38" hidden="1" customWidth="1"/>
    <col min="4" max="4" width="7.88671875" style="38" hidden="1" customWidth="1"/>
    <col min="5" max="5" width="3.33203125" style="38" customWidth="1"/>
    <col min="6" max="6" width="22.109375" style="38" customWidth="1"/>
    <col min="7" max="7" width="13.88671875" style="38" customWidth="1"/>
    <col min="8" max="8" width="10.44140625" style="38" customWidth="1"/>
    <col min="9" max="10" width="13.6640625" style="38" customWidth="1"/>
    <col min="11" max="11" width="11.6640625" style="38" customWidth="1"/>
    <col min="12" max="12" width="12.5546875" style="38" customWidth="1"/>
    <col min="13" max="13" width="14.33203125" style="38" customWidth="1"/>
    <col min="14" max="14" width="14.5546875" style="38" customWidth="1"/>
    <col min="15" max="15" width="16.6640625" style="38" customWidth="1"/>
    <col min="16" max="16" width="13.44140625" style="38" customWidth="1"/>
    <col min="17" max="17" width="14.33203125" style="38" customWidth="1"/>
    <col min="18" max="18" width="13.6640625" style="38" customWidth="1"/>
    <col min="19" max="19" width="13.109375" style="38" customWidth="1"/>
    <col min="20" max="20" width="14.44140625" style="38" customWidth="1"/>
    <col min="21" max="21" width="1.33203125" style="38" customWidth="1"/>
    <col min="22" max="22" width="15.6640625" style="38" customWidth="1"/>
    <col min="23" max="23" width="17.33203125" style="40" customWidth="1"/>
    <col min="24" max="24" width="15.33203125" style="92" customWidth="1"/>
    <col min="25" max="25" width="72.109375" style="40" customWidth="1"/>
    <col min="26" max="28" width="18.44140625" style="40" customWidth="1"/>
    <col min="29" max="30" width="18.44140625" style="38" customWidth="1"/>
    <col min="31" max="31" width="9.109375" style="38" customWidth="1"/>
    <col min="32" max="32" width="15.88671875" style="38" customWidth="1"/>
    <col min="33" max="33" width="16" style="38" customWidth="1"/>
    <col min="34" max="34" width="14.6640625" style="38" customWidth="1"/>
    <col min="35" max="35" width="14.33203125" style="38" customWidth="1"/>
    <col min="36" max="45" width="15.6640625" style="38" customWidth="1"/>
    <col min="46" max="46" width="26.6640625" style="38" customWidth="1"/>
    <col min="47" max="47" width="32.33203125" style="38" customWidth="1"/>
    <col min="48" max="56" width="15.6640625" style="38" customWidth="1"/>
    <col min="57" max="57" width="16.33203125" style="38" customWidth="1"/>
    <col min="58" max="68" width="20.6640625" style="38" customWidth="1"/>
    <col min="69" max="69" width="7.109375" style="38" customWidth="1"/>
    <col min="70" max="72" width="20.6640625" style="38" customWidth="1"/>
    <col min="73" max="16384" width="9.109375" style="38"/>
  </cols>
  <sheetData>
    <row r="1" spans="2:70" ht="67.5" customHeight="1" x14ac:dyDescent="0.3">
      <c r="E1" s="205"/>
      <c r="F1" s="614"/>
      <c r="G1" s="614"/>
      <c r="H1" s="614"/>
      <c r="I1" s="614"/>
      <c r="J1" s="614"/>
      <c r="K1" s="614"/>
      <c r="L1" s="614"/>
      <c r="M1" s="205"/>
      <c r="N1" s="205"/>
      <c r="O1" s="614"/>
      <c r="P1" s="614"/>
      <c r="Q1" s="614"/>
      <c r="R1" s="614"/>
      <c r="S1" s="614"/>
      <c r="T1" s="614"/>
      <c r="V1"/>
      <c r="W1"/>
      <c r="X1"/>
      <c r="Y1"/>
      <c r="Z1"/>
      <c r="AI1" s="265" t="str" cm="1">
        <f t="array" ref="AI1:AI70">IFERROR(_xlfn.UNIQUE(_xlfn._xlws.FILTER(PK!$B:$B,PK!$A:$A=ILCE)),"")</f>
        <v>19 Mayıs</v>
      </c>
      <c r="AL1" s="292"/>
    </row>
    <row r="2" spans="2:70" ht="40.200000000000003" customHeight="1" thickBot="1" x14ac:dyDescent="0.35">
      <c r="E2" s="205"/>
      <c r="F2" s="615"/>
      <c r="G2" s="615"/>
      <c r="H2" s="615"/>
      <c r="I2" s="615"/>
      <c r="J2" s="615"/>
      <c r="K2" s="615"/>
      <c r="L2" s="615"/>
      <c r="M2" s="205"/>
      <c r="N2" s="205"/>
      <c r="O2" s="615"/>
      <c r="P2" s="615"/>
      <c r="Q2" s="615"/>
      <c r="R2" s="615"/>
      <c r="S2" s="615"/>
      <c r="T2" s="615"/>
      <c r="V2"/>
      <c r="W2"/>
      <c r="X2"/>
      <c r="Y2"/>
      <c r="Z2"/>
      <c r="AI2" s="38" t="str">
        <v>23 Nisan</v>
      </c>
      <c r="AV2" s="265" t="s">
        <v>1497</v>
      </c>
    </row>
    <row r="3" spans="2:70" ht="30.6" customHeight="1" thickBot="1" x14ac:dyDescent="0.35">
      <c r="E3" s="205"/>
      <c r="F3" s="708" t="s">
        <v>760</v>
      </c>
      <c r="G3" s="709"/>
      <c r="H3" s="709"/>
      <c r="I3" s="709"/>
      <c r="J3" s="709"/>
      <c r="K3" s="709"/>
      <c r="L3" s="710"/>
      <c r="M3" s="708" t="s">
        <v>268</v>
      </c>
      <c r="N3" s="709"/>
      <c r="O3" s="709"/>
      <c r="P3" s="709"/>
      <c r="Q3" s="709"/>
      <c r="R3" s="709"/>
      <c r="S3" s="709"/>
      <c r="T3" s="710"/>
      <c r="V3"/>
      <c r="W3"/>
      <c r="X3"/>
      <c r="Y3"/>
      <c r="Z3"/>
      <c r="AI3" s="38" t="str">
        <v>29 Ekim</v>
      </c>
    </row>
    <row r="4" spans="2:70" ht="23.25" customHeight="1" thickBot="1" x14ac:dyDescent="0.35">
      <c r="E4" s="205"/>
      <c r="F4" s="250" t="s">
        <v>495</v>
      </c>
      <c r="G4" s="694" t="s">
        <v>764</v>
      </c>
      <c r="H4" s="695"/>
      <c r="I4" s="582" t="s">
        <v>98</v>
      </c>
      <c r="J4" s="583" t="s">
        <v>269</v>
      </c>
      <c r="K4" s="716" t="s">
        <v>756</v>
      </c>
      <c r="L4" s="717"/>
      <c r="M4" s="525" t="s">
        <v>776</v>
      </c>
      <c r="N4" s="1073" t="s">
        <v>3361</v>
      </c>
      <c r="O4" s="715"/>
      <c r="P4" s="163" t="s">
        <v>98</v>
      </c>
      <c r="Q4" s="739">
        <v>46192</v>
      </c>
      <c r="R4" s="740"/>
      <c r="S4" s="163" t="s">
        <v>269</v>
      </c>
      <c r="T4" s="291" t="s">
        <v>270</v>
      </c>
      <c r="V4"/>
      <c r="W4"/>
      <c r="X4"/>
      <c r="Y4"/>
      <c r="Z4"/>
      <c r="AE4"/>
      <c r="AI4" s="38" t="str">
        <v>30 Ağustos Zafer</v>
      </c>
      <c r="AT4" s="225"/>
      <c r="AU4" s="226"/>
      <c r="AV4" s="226"/>
      <c r="AW4" s="226"/>
      <c r="AX4" s="226"/>
      <c r="AY4" s="226"/>
      <c r="AZ4" s="226"/>
      <c r="BA4" s="226"/>
      <c r="BB4" s="227"/>
      <c r="BE4" s="552" t="s">
        <v>3282</v>
      </c>
      <c r="BF4" s="1074" t="s">
        <v>3360</v>
      </c>
    </row>
    <row r="5" spans="2:70" ht="20.100000000000001" customHeight="1" thickBot="1" x14ac:dyDescent="0.35">
      <c r="E5" s="205"/>
      <c r="F5" s="612" t="s">
        <v>761</v>
      </c>
      <c r="G5" s="696" t="s">
        <v>620</v>
      </c>
      <c r="H5" s="697"/>
      <c r="I5" s="600">
        <v>46192</v>
      </c>
      <c r="J5" s="1090">
        <v>0.60416666666666663</v>
      </c>
      <c r="K5" s="644" t="s">
        <v>477</v>
      </c>
      <c r="L5" s="672"/>
      <c r="M5" s="708" t="s">
        <v>769</v>
      </c>
      <c r="N5" s="709"/>
      <c r="O5" s="709"/>
      <c r="P5" s="709"/>
      <c r="Q5" s="709"/>
      <c r="R5" s="709"/>
      <c r="S5" s="709"/>
      <c r="T5" s="710"/>
      <c r="V5"/>
      <c r="W5"/>
      <c r="X5"/>
      <c r="Y5"/>
      <c r="Z5"/>
      <c r="AE5"/>
      <c r="AI5" s="38" t="str">
        <v>Ahmet Yesevi</v>
      </c>
      <c r="AT5" s="228"/>
      <c r="AU5" s="229"/>
      <c r="AV5" s="229"/>
      <c r="AW5" s="229"/>
      <c r="AX5" s="229"/>
      <c r="AY5" s="229"/>
      <c r="AZ5" s="229"/>
      <c r="BA5" s="229"/>
      <c r="BB5" s="230"/>
      <c r="BF5" s="52"/>
    </row>
    <row r="6" spans="2:70" ht="28.2" customHeight="1" thickBot="1" x14ac:dyDescent="0.35">
      <c r="F6" s="247" t="s">
        <v>3</v>
      </c>
      <c r="G6" s="698" t="s">
        <v>3005</v>
      </c>
      <c r="H6" s="699"/>
      <c r="I6" s="702" t="s">
        <v>491</v>
      </c>
      <c r="J6" s="703"/>
      <c r="K6" s="592">
        <v>0</v>
      </c>
      <c r="L6" s="593">
        <v>0</v>
      </c>
      <c r="M6" s="718" t="s">
        <v>559</v>
      </c>
      <c r="N6" s="719"/>
      <c r="O6" s="719"/>
      <c r="P6" s="722" t="s">
        <v>10</v>
      </c>
      <c r="Q6" s="722"/>
      <c r="R6" s="719" t="s">
        <v>171</v>
      </c>
      <c r="S6" s="719"/>
      <c r="T6" s="733" t="s">
        <v>170</v>
      </c>
      <c r="V6"/>
      <c r="W6"/>
      <c r="X6"/>
      <c r="Y6"/>
      <c r="Z6"/>
      <c r="AC6"/>
      <c r="AD6"/>
      <c r="AE6"/>
      <c r="AI6" s="38" t="str">
        <v>Akçalar</v>
      </c>
      <c r="AT6" s="228"/>
      <c r="AU6" s="731" t="s">
        <v>1332</v>
      </c>
      <c r="AV6" s="731"/>
      <c r="AW6" s="233"/>
      <c r="AX6" s="229"/>
      <c r="AY6" s="811" t="s">
        <v>514</v>
      </c>
      <c r="AZ6" s="271"/>
      <c r="BA6" s="268"/>
      <c r="BB6" s="230"/>
      <c r="BE6" s="552" t="s">
        <v>3283</v>
      </c>
      <c r="BF6" s="1074">
        <v>1</v>
      </c>
    </row>
    <row r="7" spans="2:70" ht="24.45" customHeight="1" thickBot="1" x14ac:dyDescent="0.35">
      <c r="F7" s="247" t="s">
        <v>4</v>
      </c>
      <c r="G7" s="711" t="s">
        <v>308</v>
      </c>
      <c r="H7" s="712"/>
      <c r="I7" s="624" t="s">
        <v>762</v>
      </c>
      <c r="J7" s="625"/>
      <c r="K7" s="729" t="s">
        <v>3362</v>
      </c>
      <c r="L7" s="730"/>
      <c r="M7" s="720"/>
      <c r="N7" s="721"/>
      <c r="O7" s="721"/>
      <c r="P7" s="723"/>
      <c r="Q7" s="723"/>
      <c r="R7" s="721"/>
      <c r="S7" s="721"/>
      <c r="T7" s="734"/>
      <c r="V7"/>
      <c r="W7"/>
      <c r="X7"/>
      <c r="Y7"/>
      <c r="Z7"/>
      <c r="AC7"/>
      <c r="AD7"/>
      <c r="AE7"/>
      <c r="AI7" s="38" t="str">
        <v>Alaaddinbey</v>
      </c>
      <c r="AT7" s="228"/>
      <c r="AU7" s="731" t="s">
        <v>1333</v>
      </c>
      <c r="AV7" s="731"/>
      <c r="AW7" s="234"/>
      <c r="AX7" s="229"/>
      <c r="AY7" s="812"/>
      <c r="AZ7" s="269"/>
      <c r="BA7" s="270"/>
      <c r="BB7" s="230"/>
    </row>
    <row r="8" spans="2:70" ht="28.5" customHeight="1" thickBot="1" x14ac:dyDescent="0.35">
      <c r="F8" s="247" t="s">
        <v>757</v>
      </c>
      <c r="G8" s="713" t="s">
        <v>1996</v>
      </c>
      <c r="H8" s="714"/>
      <c r="I8" s="673" t="s">
        <v>763</v>
      </c>
      <c r="J8" s="704"/>
      <c r="K8" s="727" t="s">
        <v>3364</v>
      </c>
      <c r="L8" s="728"/>
      <c r="M8" s="1075"/>
      <c r="N8" s="665"/>
      <c r="O8" s="665"/>
      <c r="P8" s="735" t="s">
        <v>3393</v>
      </c>
      <c r="Q8" s="665"/>
      <c r="R8" s="735" t="s">
        <v>3394</v>
      </c>
      <c r="S8" s="665"/>
      <c r="T8" s="736" t="s">
        <v>487</v>
      </c>
      <c r="V8"/>
      <c r="W8"/>
      <c r="X8"/>
      <c r="Y8"/>
      <c r="Z8"/>
      <c r="AC8"/>
      <c r="AD8"/>
      <c r="AE8"/>
      <c r="AI8" s="38" t="str">
        <v>Altınşehir</v>
      </c>
      <c r="AT8" s="228"/>
      <c r="AU8" s="731" t="s">
        <v>1334</v>
      </c>
      <c r="AV8" s="731"/>
      <c r="AW8" s="234"/>
      <c r="AX8" s="229"/>
      <c r="AY8" s="229"/>
      <c r="AZ8" s="229"/>
      <c r="BA8" s="229"/>
      <c r="BB8" s="230"/>
      <c r="BE8" s="561" t="s">
        <v>3325</v>
      </c>
      <c r="BF8" s="1076">
        <v>0</v>
      </c>
      <c r="BJ8" s="38" t="s">
        <v>281</v>
      </c>
      <c r="BK8" s="38" t="b">
        <v>1</v>
      </c>
      <c r="BL8" s="38">
        <f>+BK8*1</f>
        <v>1</v>
      </c>
    </row>
    <row r="9" spans="2:70" ht="24" customHeight="1" x14ac:dyDescent="0.3">
      <c r="F9" s="247" t="s">
        <v>783</v>
      </c>
      <c r="G9" s="700" t="s">
        <v>3363</v>
      </c>
      <c r="H9" s="701"/>
      <c r="I9" s="624" t="s">
        <v>759</v>
      </c>
      <c r="J9" s="625"/>
      <c r="K9" s="725" t="s">
        <v>1996</v>
      </c>
      <c r="L9" s="726"/>
      <c r="M9" s="616"/>
      <c r="N9" s="666"/>
      <c r="O9" s="666"/>
      <c r="P9" s="666"/>
      <c r="Q9" s="666"/>
      <c r="R9" s="666"/>
      <c r="S9" s="666"/>
      <c r="T9" s="737"/>
      <c r="V9"/>
      <c r="W9"/>
      <c r="X9"/>
      <c r="Y9"/>
      <c r="Z9"/>
      <c r="AI9" s="38" t="str">
        <v>Ataevler</v>
      </c>
      <c r="AT9" s="228"/>
      <c r="AU9" s="732" t="s">
        <v>1335</v>
      </c>
      <c r="AV9" s="732"/>
      <c r="AW9" s="527"/>
      <c r="AX9" s="229"/>
      <c r="AY9" s="786" t="s">
        <v>360</v>
      </c>
      <c r="AZ9" s="787"/>
      <c r="BA9" s="788"/>
      <c r="BB9" s="158" t="s">
        <v>359</v>
      </c>
      <c r="BJ9" s="38" t="s">
        <v>282</v>
      </c>
      <c r="BK9" s="38" t="b">
        <v>1</v>
      </c>
      <c r="BL9" s="38">
        <f>+BK9*1</f>
        <v>1</v>
      </c>
    </row>
    <row r="10" spans="2:70" ht="24" customHeight="1" x14ac:dyDescent="0.3">
      <c r="F10" s="247" t="s">
        <v>758</v>
      </c>
      <c r="G10" s="607">
        <v>2035</v>
      </c>
      <c r="H10" s="608">
        <v>15</v>
      </c>
      <c r="I10" s="624" t="s">
        <v>35</v>
      </c>
      <c r="J10" s="625"/>
      <c r="K10" s="711" t="s">
        <v>3392</v>
      </c>
      <c r="L10" s="706"/>
      <c r="M10" s="616"/>
      <c r="N10" s="666"/>
      <c r="O10" s="666"/>
      <c r="P10" s="666"/>
      <c r="Q10" s="666"/>
      <c r="R10" s="666"/>
      <c r="S10" s="666"/>
      <c r="T10" s="737"/>
      <c r="V10"/>
      <c r="W10"/>
      <c r="X10"/>
      <c r="Y10"/>
      <c r="Z10"/>
      <c r="AA10" s="149" t="s">
        <v>146</v>
      </c>
      <c r="AI10" s="38" t="str">
        <v>Atlas</v>
      </c>
      <c r="AT10" s="228"/>
      <c r="AU10" s="732" t="s">
        <v>1336</v>
      </c>
      <c r="AV10" s="732"/>
      <c r="AW10" s="233"/>
      <c r="AX10" s="229"/>
      <c r="AY10" s="159"/>
      <c r="AZ10" s="159"/>
      <c r="BA10" s="160"/>
      <c r="BB10" s="161" t="s">
        <v>463</v>
      </c>
      <c r="BJ10" s="38" t="s">
        <v>283</v>
      </c>
      <c r="BK10" s="38" t="b">
        <v>1</v>
      </c>
      <c r="BL10" s="38">
        <f>+BK10*1</f>
        <v>1</v>
      </c>
    </row>
    <row r="11" spans="2:70" ht="24" customHeight="1" thickBot="1" x14ac:dyDescent="0.35">
      <c r="F11" s="247" t="s">
        <v>718</v>
      </c>
      <c r="G11" s="242"/>
      <c r="H11" s="605"/>
      <c r="I11" s="673" t="s">
        <v>1522</v>
      </c>
      <c r="J11" s="704"/>
      <c r="K11" s="705"/>
      <c r="L11" s="706"/>
      <c r="M11" s="724"/>
      <c r="N11" s="667"/>
      <c r="O11" s="667"/>
      <c r="P11" s="667"/>
      <c r="Q11" s="667"/>
      <c r="R11" s="667"/>
      <c r="S11" s="667"/>
      <c r="T11" s="738"/>
      <c r="V11"/>
      <c r="W11"/>
      <c r="X11"/>
      <c r="Y11"/>
      <c r="Z11"/>
      <c r="AA11" s="151"/>
      <c r="AI11" s="38" t="str">
        <v>Ayvaköy</v>
      </c>
      <c r="AT11" s="228"/>
      <c r="AU11" s="229"/>
      <c r="AV11" s="229"/>
      <c r="AW11" s="229"/>
      <c r="AX11" s="229"/>
      <c r="AY11" s="40"/>
      <c r="AZ11" s="171" t="s">
        <v>243</v>
      </c>
      <c r="BA11" s="171" t="s">
        <v>244</v>
      </c>
      <c r="BB11" s="224" t="s">
        <v>785</v>
      </c>
      <c r="BJ11" s="38" t="s">
        <v>284</v>
      </c>
      <c r="BK11" s="38" t="b">
        <v>1</v>
      </c>
      <c r="BL11" s="38">
        <f>+BK11*1</f>
        <v>1</v>
      </c>
    </row>
    <row r="12" spans="2:70" ht="24" customHeight="1" thickBot="1" x14ac:dyDescent="0.35">
      <c r="B12" s="39"/>
      <c r="C12" s="39"/>
      <c r="F12" s="247" t="s">
        <v>11</v>
      </c>
      <c r="G12" s="659"/>
      <c r="H12" s="660"/>
      <c r="I12" s="624" t="s">
        <v>0</v>
      </c>
      <c r="J12" s="625"/>
      <c r="K12" s="700" t="s">
        <v>3389</v>
      </c>
      <c r="L12" s="707"/>
      <c r="M12" s="693" t="s">
        <v>7</v>
      </c>
      <c r="N12" s="688"/>
      <c r="O12" s="689" t="s">
        <v>5</v>
      </c>
      <c r="P12" s="689"/>
      <c r="Q12" s="688" t="s">
        <v>9</v>
      </c>
      <c r="R12" s="688"/>
      <c r="S12" s="689" t="s">
        <v>8</v>
      </c>
      <c r="T12" s="751"/>
      <c r="V12"/>
      <c r="W12"/>
      <c r="X12"/>
      <c r="Y12"/>
      <c r="Z12"/>
      <c r="AC12" s="264" t="s">
        <v>1490</v>
      </c>
      <c r="AI12" s="38" t="str">
        <v>Badırga</v>
      </c>
      <c r="AT12" s="228"/>
      <c r="AU12" s="732" t="s">
        <v>1337</v>
      </c>
      <c r="AV12" s="732"/>
      <c r="AW12" s="235"/>
      <c r="AX12" s="229"/>
      <c r="AY12" s="40"/>
      <c r="AZ12" s="16"/>
      <c r="BA12" s="16"/>
      <c r="BB12" s="224"/>
    </row>
    <row r="13" spans="2:70" ht="24" customHeight="1" thickBot="1" x14ac:dyDescent="0.35">
      <c r="B13" s="39"/>
      <c r="C13" s="39"/>
      <c r="F13" s="521" t="s">
        <v>2</v>
      </c>
      <c r="G13" s="1077" t="s">
        <v>844</v>
      </c>
      <c r="H13" s="618"/>
      <c r="I13" s="624" t="s">
        <v>1</v>
      </c>
      <c r="J13" s="625"/>
      <c r="K13" s="686">
        <v>1326125372</v>
      </c>
      <c r="L13" s="687"/>
      <c r="M13" s="745" t="s">
        <v>38</v>
      </c>
      <c r="N13" s="662"/>
      <c r="O13" s="1091" t="s">
        <v>3395</v>
      </c>
      <c r="P13" s="683"/>
      <c r="Q13" s="669" t="s">
        <v>45</v>
      </c>
      <c r="R13" s="669"/>
      <c r="S13" s="653" t="s">
        <v>52</v>
      </c>
      <c r="T13" s="654"/>
      <c r="V13"/>
      <c r="W13"/>
      <c r="X13"/>
      <c r="Y13"/>
      <c r="Z13"/>
      <c r="AI13" t="str">
        <v>Balat</v>
      </c>
      <c r="AJ13"/>
      <c r="AK13"/>
      <c r="AL13"/>
      <c r="AM13"/>
      <c r="AN13"/>
      <c r="AO13"/>
      <c r="AP13"/>
      <c r="AQ13"/>
      <c r="AT13" s="228"/>
      <c r="AU13" s="732" t="s">
        <v>1338</v>
      </c>
      <c r="AV13" s="732"/>
      <c r="AW13" s="236"/>
      <c r="AX13" s="229"/>
      <c r="AY13" s="229"/>
      <c r="AZ13" s="229"/>
      <c r="BA13" s="229"/>
      <c r="BB13" s="230"/>
    </row>
    <row r="14" spans="2:70" ht="24" customHeight="1" thickBot="1" x14ac:dyDescent="0.35">
      <c r="B14" s="39"/>
      <c r="C14" s="39"/>
      <c r="F14" s="521" t="s">
        <v>78</v>
      </c>
      <c r="G14" s="1078"/>
      <c r="H14" s="661"/>
      <c r="I14" s="624" t="s">
        <v>784</v>
      </c>
      <c r="J14" s="625"/>
      <c r="K14" s="610" t="s">
        <v>3366</v>
      </c>
      <c r="L14" s="609" t="s">
        <v>3365</v>
      </c>
      <c r="M14" s="681"/>
      <c r="N14" s="663"/>
      <c r="O14" s="684"/>
      <c r="P14" s="684"/>
      <c r="Q14" s="670"/>
      <c r="R14" s="670"/>
      <c r="S14" s="655"/>
      <c r="T14" s="656"/>
      <c r="V14"/>
      <c r="W14"/>
      <c r="X14"/>
      <c r="Y14"/>
      <c r="Z14"/>
      <c r="AI14" t="str">
        <v>Balat Osb</v>
      </c>
      <c r="AJ14"/>
      <c r="AK14"/>
      <c r="AL14"/>
      <c r="AM14"/>
      <c r="AN14"/>
      <c r="AO14"/>
      <c r="AP14"/>
      <c r="AQ14"/>
      <c r="AT14" s="228"/>
      <c r="AU14" s="732" t="s">
        <v>1339</v>
      </c>
      <c r="AV14" s="732"/>
      <c r="AW14" s="237"/>
      <c r="AX14" s="229"/>
      <c r="AY14" s="289" t="s">
        <v>1824</v>
      </c>
      <c r="AZ14" s="289"/>
      <c r="BA14" s="229"/>
      <c r="BB14" s="230"/>
      <c r="BR14" s="43" t="e">
        <f>+IF(#REF!="Ayna Simetrisi (Konum Etkilenmiyor.)",1,IF(#REF!="Trampa",2,IF(#REF!="Trampa ve Ayna Simetrisi",3,0)))</f>
        <v>#REF!</v>
      </c>
    </row>
    <row r="15" spans="2:70" ht="29.4" customHeight="1" thickBot="1" x14ac:dyDescent="0.35">
      <c r="B15" s="39"/>
      <c r="C15" s="39"/>
      <c r="F15" s="522" t="s">
        <v>1513</v>
      </c>
      <c r="G15" s="594" t="s">
        <v>486</v>
      </c>
      <c r="H15" s="591" t="s">
        <v>103</v>
      </c>
      <c r="I15" s="624" t="s">
        <v>1514</v>
      </c>
      <c r="J15" s="625"/>
      <c r="K15" s="595" t="s">
        <v>486</v>
      </c>
      <c r="L15" s="540" t="s">
        <v>103</v>
      </c>
      <c r="M15" s="682"/>
      <c r="N15" s="664"/>
      <c r="O15" s="685"/>
      <c r="P15" s="685"/>
      <c r="Q15" s="671"/>
      <c r="R15" s="671"/>
      <c r="S15" s="657"/>
      <c r="T15" s="658"/>
      <c r="V15"/>
      <c r="W15"/>
      <c r="X15"/>
      <c r="Y15"/>
      <c r="Z15"/>
      <c r="AI15" t="str">
        <v>Balkan</v>
      </c>
      <c r="AJ15"/>
      <c r="AK15"/>
      <c r="AL15"/>
      <c r="AM15"/>
      <c r="AN15"/>
      <c r="AO15"/>
      <c r="AP15"/>
      <c r="AQ15"/>
      <c r="AT15" s="228"/>
      <c r="AU15" s="229"/>
      <c r="AV15" s="229"/>
      <c r="AW15" s="229"/>
      <c r="AX15" s="229"/>
      <c r="AY15" s="9"/>
      <c r="AZ15" s="240" cm="1">
        <f t="array" ref="AZ15">IFERROR(INDEX(PK!$C:$C,MATCH(1,(PK!$A:$A=ILCE)*(PK!$B:$B=İDARİMAHALLE),0)),"")</f>
        <v>16200</v>
      </c>
      <c r="BA15" s="229"/>
      <c r="BB15" s="230"/>
      <c r="BK15" s="44"/>
    </row>
    <row r="16" spans="2:70" ht="33.6" customHeight="1" thickBot="1" x14ac:dyDescent="0.35">
      <c r="B16" s="39"/>
      <c r="C16" s="39"/>
      <c r="D16" s="94"/>
      <c r="F16" s="522" t="s">
        <v>1826</v>
      </c>
      <c r="G16" s="1079"/>
      <c r="H16" s="621"/>
      <c r="I16" s="629" t="s">
        <v>1488</v>
      </c>
      <c r="J16" s="630"/>
      <c r="K16" s="644" t="s">
        <v>777</v>
      </c>
      <c r="L16" s="645"/>
      <c r="M16" s="578" t="s">
        <v>622</v>
      </c>
      <c r="N16" s="579" t="s">
        <v>3043</v>
      </c>
      <c r="O16" s="580" t="s">
        <v>1523</v>
      </c>
      <c r="P16" s="579" t="s">
        <v>626</v>
      </c>
      <c r="Q16" s="668" t="s">
        <v>6</v>
      </c>
      <c r="R16" s="668"/>
      <c r="S16" s="668" t="s">
        <v>627</v>
      </c>
      <c r="T16" s="750"/>
      <c r="V16"/>
      <c r="W16"/>
      <c r="X16"/>
      <c r="Y16"/>
      <c r="Z16"/>
      <c r="AI16" t="str">
        <v>Barış</v>
      </c>
      <c r="AJ16"/>
      <c r="AK16"/>
      <c r="AL16"/>
      <c r="AM16"/>
      <c r="AN16"/>
      <c r="AO16"/>
      <c r="AP16"/>
      <c r="AQ16"/>
      <c r="AT16" s="228"/>
      <c r="AU16" s="98" t="s">
        <v>322</v>
      </c>
      <c r="AV16" s="102" t="s">
        <v>325</v>
      </c>
      <c r="AW16" s="103" t="s">
        <v>333</v>
      </c>
      <c r="AX16" s="104" t="s">
        <v>326</v>
      </c>
      <c r="AY16" s="229"/>
      <c r="AZ16" s="288" t="s">
        <v>1352</v>
      </c>
      <c r="BA16" s="229"/>
      <c r="BB16" s="230"/>
      <c r="BK16" s="44"/>
    </row>
    <row r="17" spans="2:71" ht="33.6" customHeight="1" x14ac:dyDescent="0.3">
      <c r="B17" s="39"/>
      <c r="C17" s="39"/>
      <c r="F17" s="528" t="s">
        <v>1827</v>
      </c>
      <c r="G17" s="622" t="s">
        <v>1482</v>
      </c>
      <c r="H17" s="623"/>
      <c r="I17" s="629" t="s">
        <v>176</v>
      </c>
      <c r="J17" s="630"/>
      <c r="K17" s="644" t="s">
        <v>717</v>
      </c>
      <c r="L17" s="645"/>
      <c r="M17" s="1080" t="s">
        <v>3359</v>
      </c>
      <c r="N17" s="1081" t="s">
        <v>3054</v>
      </c>
      <c r="O17" s="662" t="s">
        <v>3342</v>
      </c>
      <c r="P17" s="662" t="s">
        <v>624</v>
      </c>
      <c r="Q17" s="665" t="s">
        <v>41</v>
      </c>
      <c r="R17" s="665"/>
      <c r="S17" s="662" t="s">
        <v>629</v>
      </c>
      <c r="T17" s="690"/>
      <c r="V17"/>
      <c r="W17"/>
      <c r="X17"/>
      <c r="Y17"/>
      <c r="Z17"/>
      <c r="AI17" t="str">
        <v>Başköy</v>
      </c>
      <c r="AJ17"/>
      <c r="AK17"/>
      <c r="AL17"/>
      <c r="AM17"/>
      <c r="AN17"/>
      <c r="AO17"/>
      <c r="AP17"/>
      <c r="AQ17"/>
      <c r="AT17" s="228"/>
      <c r="AU17" s="543"/>
      <c r="AV17" s="544"/>
      <c r="AW17" s="545"/>
      <c r="AX17" s="546"/>
      <c r="AY17" s="229"/>
      <c r="AZ17" s="40"/>
      <c r="BA17" s="229"/>
      <c r="BB17" s="230"/>
    </row>
    <row r="18" spans="2:71" ht="31.95" customHeight="1" thickBot="1" x14ac:dyDescent="0.35">
      <c r="B18" s="39"/>
      <c r="C18" s="39"/>
      <c r="D18" s="39"/>
      <c r="F18" s="528" t="s">
        <v>3259</v>
      </c>
      <c r="G18" s="644" t="s">
        <v>717</v>
      </c>
      <c r="H18" s="672"/>
      <c r="I18" s="673" t="s">
        <v>3260</v>
      </c>
      <c r="J18" s="674"/>
      <c r="K18" s="675"/>
      <c r="L18" s="676"/>
      <c r="M18" s="640"/>
      <c r="N18" s="642"/>
      <c r="O18" s="663"/>
      <c r="P18" s="663"/>
      <c r="Q18" s="666"/>
      <c r="R18" s="666"/>
      <c r="S18" s="663"/>
      <c r="T18" s="691"/>
      <c r="V18"/>
      <c r="W18"/>
      <c r="X18"/>
      <c r="Y18"/>
      <c r="Z18"/>
      <c r="AI18" t="str">
        <v>Beşevler</v>
      </c>
      <c r="AJ18"/>
      <c r="AK18"/>
      <c r="AL18"/>
      <c r="AM18"/>
      <c r="AN18"/>
      <c r="AO18"/>
      <c r="AP18"/>
      <c r="AQ18"/>
      <c r="AT18" s="228"/>
      <c r="AU18" s="229"/>
      <c r="AV18" s="229"/>
      <c r="AW18" s="229"/>
      <c r="AX18" s="229"/>
      <c r="AY18" s="229"/>
      <c r="AZ18" s="229"/>
      <c r="BA18" s="229"/>
      <c r="BB18" s="230"/>
      <c r="BJ18" s="45"/>
      <c r="BK18" s="46"/>
      <c r="BL18" s="46"/>
      <c r="BM18" s="46"/>
      <c r="BN18" s="47"/>
      <c r="BO18" s="47" t="s">
        <v>84</v>
      </c>
      <c r="BP18" s="47"/>
      <c r="BQ18" s="47"/>
      <c r="BR18" s="48" t="s">
        <v>85</v>
      </c>
    </row>
    <row r="19" spans="2:71" ht="32.4" customHeight="1" thickBot="1" x14ac:dyDescent="0.35">
      <c r="B19" s="39"/>
      <c r="C19" s="39"/>
      <c r="D19" s="39"/>
      <c r="F19" s="529" t="s">
        <v>3261</v>
      </c>
      <c r="G19" s="677"/>
      <c r="H19" s="678"/>
      <c r="I19" s="679" t="s">
        <v>3262</v>
      </c>
      <c r="J19" s="680"/>
      <c r="K19" s="677"/>
      <c r="L19" s="678"/>
      <c r="M19" s="641"/>
      <c r="N19" s="643"/>
      <c r="O19" s="664"/>
      <c r="P19" s="664"/>
      <c r="Q19" s="667"/>
      <c r="R19" s="667"/>
      <c r="S19" s="664"/>
      <c r="T19" s="692"/>
      <c r="V19"/>
      <c r="W19"/>
      <c r="X19"/>
      <c r="Y19"/>
      <c r="Z19"/>
      <c r="AI19" t="str">
        <v>Büyükbalıklı</v>
      </c>
      <c r="AJ19"/>
      <c r="AK19"/>
      <c r="AL19"/>
      <c r="AM19"/>
      <c r="AN19"/>
      <c r="AO19"/>
      <c r="AP19"/>
      <c r="AQ19"/>
      <c r="AT19" s="228"/>
      <c r="AU19" s="263" t="s">
        <v>1496</v>
      </c>
      <c r="AV19" s="272"/>
      <c r="AW19" s="266"/>
      <c r="AX19" s="267"/>
      <c r="AY19" s="229"/>
      <c r="AZ19" s="229"/>
      <c r="BA19" s="229"/>
      <c r="BB19" s="230"/>
      <c r="BJ19" s="49"/>
      <c r="BN19" s="52"/>
      <c r="BO19" s="52"/>
      <c r="BP19" s="52"/>
      <c r="BQ19" s="52"/>
      <c r="BR19" s="52"/>
    </row>
    <row r="20" spans="2:71" ht="31.2" customHeight="1" thickBot="1" x14ac:dyDescent="0.35">
      <c r="B20" s="39"/>
      <c r="C20" s="39"/>
      <c r="F20" s="763" t="s">
        <v>274</v>
      </c>
      <c r="G20" s="764"/>
      <c r="H20" s="764"/>
      <c r="I20" s="764"/>
      <c r="J20" s="764"/>
      <c r="K20" s="764"/>
      <c r="L20" s="764"/>
      <c r="M20" s="765"/>
      <c r="N20" s="758" t="s">
        <v>276</v>
      </c>
      <c r="O20" s="759"/>
      <c r="P20" s="759"/>
      <c r="Q20" s="759"/>
      <c r="R20" s="759"/>
      <c r="S20" s="759"/>
      <c r="T20" s="760"/>
      <c r="V20"/>
      <c r="W20"/>
      <c r="X20"/>
      <c r="Y20"/>
      <c r="Z20"/>
      <c r="AI20" t="str">
        <v>Çalı</v>
      </c>
      <c r="AJ20"/>
      <c r="AK20"/>
      <c r="AL20"/>
      <c r="AM20"/>
      <c r="AN20"/>
      <c r="AO20"/>
      <c r="AP20"/>
      <c r="AQ20"/>
      <c r="AT20" s="228"/>
      <c r="AU20" s="229"/>
      <c r="AV20" s="229"/>
      <c r="AW20" s="231"/>
      <c r="AX20" s="231"/>
      <c r="AY20" s="231"/>
      <c r="AZ20" s="231"/>
      <c r="BA20" s="231"/>
      <c r="BB20" s="232"/>
      <c r="BJ20" s="49"/>
      <c r="BN20" s="38">
        <v>1</v>
      </c>
      <c r="BO20" s="50" t="b">
        <v>1</v>
      </c>
      <c r="BP20" s="38">
        <f t="shared" ref="BP20:BP30" si="0">+BO20*1</f>
        <v>1</v>
      </c>
      <c r="BS20" s="38">
        <f t="shared" ref="BS20:BS28" si="1">+BO33*1</f>
        <v>0</v>
      </c>
    </row>
    <row r="21" spans="2:71" ht="30" customHeight="1" thickBot="1" x14ac:dyDescent="0.35">
      <c r="B21" s="39"/>
      <c r="C21" s="39"/>
      <c r="F21" s="648" t="s">
        <v>146</v>
      </c>
      <c r="G21" s="649"/>
      <c r="H21" s="649"/>
      <c r="I21" s="649"/>
      <c r="J21" s="649"/>
      <c r="K21" s="649"/>
      <c r="L21" s="164" t="s">
        <v>98</v>
      </c>
      <c r="M21" s="251" t="s">
        <v>272</v>
      </c>
      <c r="N21" s="648" t="s">
        <v>277</v>
      </c>
      <c r="O21" s="649"/>
      <c r="P21" s="164" t="s">
        <v>271</v>
      </c>
      <c r="Q21" s="631" t="s">
        <v>278</v>
      </c>
      <c r="R21" s="632"/>
      <c r="S21" s="164" t="s">
        <v>98</v>
      </c>
      <c r="T21" s="251" t="s">
        <v>273</v>
      </c>
      <c r="V21"/>
      <c r="W21"/>
      <c r="X21"/>
      <c r="Y21"/>
      <c r="Z21"/>
      <c r="AI21" t="str">
        <v>Çamlıca</v>
      </c>
      <c r="AJ21"/>
      <c r="AK21"/>
      <c r="AL21"/>
      <c r="AM21"/>
      <c r="AN21"/>
      <c r="AO21"/>
      <c r="AP21"/>
      <c r="AQ21"/>
      <c r="AU21" s="156"/>
      <c r="AV21" s="156"/>
      <c r="AW21" s="205"/>
      <c r="AX21" s="205"/>
      <c r="AY21" s="205"/>
      <c r="AZ21" s="205"/>
      <c r="BA21" s="205"/>
      <c r="BB21" s="205"/>
      <c r="BJ21" s="49"/>
      <c r="BN21" s="38">
        <v>2</v>
      </c>
      <c r="BO21" s="52" t="b">
        <v>1</v>
      </c>
      <c r="BP21" s="38">
        <f t="shared" si="0"/>
        <v>1</v>
      </c>
      <c r="BS21" s="38">
        <f t="shared" si="1"/>
        <v>0</v>
      </c>
    </row>
    <row r="22" spans="2:71" ht="24.9" customHeight="1" x14ac:dyDescent="0.3">
      <c r="B22" s="39"/>
      <c r="C22" s="39"/>
      <c r="F22" s="745"/>
      <c r="G22" s="911"/>
      <c r="H22" s="911"/>
      <c r="I22" s="911"/>
      <c r="J22" s="911"/>
      <c r="K22" s="911"/>
      <c r="L22" s="568"/>
      <c r="M22" s="569"/>
      <c r="N22" s="745"/>
      <c r="O22" s="746"/>
      <c r="P22" s="576"/>
      <c r="Q22" s="633"/>
      <c r="R22" s="634"/>
      <c r="S22" s="568"/>
      <c r="T22" s="569"/>
      <c r="V22"/>
      <c r="W22"/>
      <c r="X22"/>
      <c r="Y22"/>
      <c r="Z22"/>
      <c r="AI22" t="str">
        <v>Çataldağ</v>
      </c>
      <c r="AJ22"/>
      <c r="AK22"/>
      <c r="AL22"/>
      <c r="AM22"/>
      <c r="AN22"/>
      <c r="AO22"/>
      <c r="AP22"/>
      <c r="AQ22"/>
      <c r="AU22" s="156"/>
      <c r="AV22" s="156"/>
      <c r="AW22" s="205"/>
      <c r="AX22" s="205"/>
      <c r="AY22" s="205"/>
      <c r="AZ22" s="205"/>
      <c r="BA22" s="205"/>
      <c r="BB22" s="205"/>
      <c r="BJ22" s="49"/>
      <c r="BN22" s="38">
        <v>3</v>
      </c>
      <c r="BO22" s="52" t="b">
        <v>0</v>
      </c>
      <c r="BP22" s="38">
        <f t="shared" si="0"/>
        <v>0</v>
      </c>
      <c r="BS22" s="38">
        <f t="shared" si="1"/>
        <v>0</v>
      </c>
    </row>
    <row r="23" spans="2:71" ht="24.9" customHeight="1" x14ac:dyDescent="0.3">
      <c r="B23" s="39"/>
      <c r="C23" s="39"/>
      <c r="F23" s="616"/>
      <c r="G23" s="617"/>
      <c r="H23" s="617"/>
      <c r="I23" s="617"/>
      <c r="J23" s="617"/>
      <c r="K23" s="617"/>
      <c r="L23" s="324"/>
      <c r="M23" s="354"/>
      <c r="N23" s="681"/>
      <c r="O23" s="744"/>
      <c r="P23" s="575"/>
      <c r="Q23" s="635"/>
      <c r="R23" s="636"/>
      <c r="S23" s="324"/>
      <c r="T23" s="354"/>
      <c r="V23"/>
      <c r="W23"/>
      <c r="X23"/>
      <c r="Y23"/>
      <c r="Z23"/>
      <c r="AI23" t="str">
        <v>Çaylı</v>
      </c>
      <c r="AJ23"/>
      <c r="AK23"/>
      <c r="AL23"/>
      <c r="AM23"/>
      <c r="AN23"/>
      <c r="AO23"/>
      <c r="AP23"/>
      <c r="AQ23"/>
      <c r="AU23" s="156"/>
      <c r="AW23" s="205"/>
      <c r="AX23" s="205"/>
      <c r="AY23" s="205"/>
      <c r="AZ23" s="205"/>
      <c r="BA23" s="205"/>
      <c r="BB23" s="205"/>
      <c r="BJ23" s="49" t="s">
        <v>86</v>
      </c>
      <c r="BK23" s="38" t="b">
        <v>0</v>
      </c>
      <c r="BL23" s="38">
        <f t="shared" ref="BL23:BL30" si="2">+BK23*1</f>
        <v>0</v>
      </c>
      <c r="BN23" s="38">
        <v>4</v>
      </c>
      <c r="BO23" s="52" t="b">
        <v>0</v>
      </c>
      <c r="BP23" s="38">
        <f t="shared" si="0"/>
        <v>0</v>
      </c>
      <c r="BS23" s="38">
        <f t="shared" si="1"/>
        <v>0</v>
      </c>
    </row>
    <row r="24" spans="2:71" ht="24.9" customHeight="1" x14ac:dyDescent="0.3">
      <c r="B24" s="39"/>
      <c r="C24" s="39"/>
      <c r="F24" s="628"/>
      <c r="G24" s="617"/>
      <c r="H24" s="617"/>
      <c r="I24" s="617"/>
      <c r="J24" s="617"/>
      <c r="K24" s="617"/>
      <c r="L24" s="325"/>
      <c r="M24" s="355"/>
      <c r="N24" s="681"/>
      <c r="O24" s="744"/>
      <c r="P24" s="575"/>
      <c r="Q24" s="637"/>
      <c r="R24" s="636"/>
      <c r="S24" s="325"/>
      <c r="T24" s="355"/>
      <c r="V24"/>
      <c r="W24"/>
      <c r="X24"/>
      <c r="Y24"/>
      <c r="Z24"/>
      <c r="AA24" s="170"/>
      <c r="AI24" t="str">
        <v>Cumhuriyet</v>
      </c>
      <c r="AJ24"/>
      <c r="AK24"/>
      <c r="AL24"/>
      <c r="AM24" s="245" t="s">
        <v>2805</v>
      </c>
      <c r="AN24"/>
      <c r="AO24"/>
      <c r="AP24"/>
      <c r="AQ24"/>
      <c r="AU24" s="156"/>
      <c r="AW24" s="205"/>
      <c r="AX24" s="205"/>
      <c r="AY24" s="205"/>
      <c r="AZ24" s="205"/>
      <c r="BA24" s="205"/>
      <c r="BB24" s="205"/>
      <c r="BJ24" s="49" t="s">
        <v>87</v>
      </c>
      <c r="BK24" s="38" t="b">
        <v>0</v>
      </c>
      <c r="BL24" s="38">
        <f t="shared" si="2"/>
        <v>0</v>
      </c>
      <c r="BN24" s="38">
        <v>5</v>
      </c>
      <c r="BO24" s="52" t="b">
        <v>0</v>
      </c>
      <c r="BP24" s="38">
        <f t="shared" si="0"/>
        <v>0</v>
      </c>
      <c r="BS24" s="38">
        <f t="shared" si="1"/>
        <v>0</v>
      </c>
    </row>
    <row r="25" spans="2:71" ht="24.9" customHeight="1" thickBot="1" x14ac:dyDescent="0.35">
      <c r="B25" s="39"/>
      <c r="C25" s="39"/>
      <c r="F25" s="646"/>
      <c r="G25" s="647"/>
      <c r="H25" s="647"/>
      <c r="I25" s="647"/>
      <c r="J25" s="647"/>
      <c r="K25" s="647"/>
      <c r="L25" s="326"/>
      <c r="M25" s="356"/>
      <c r="N25" s="752"/>
      <c r="O25" s="753"/>
      <c r="P25" s="577"/>
      <c r="Q25" s="638"/>
      <c r="R25" s="639"/>
      <c r="S25" s="326"/>
      <c r="T25" s="356"/>
      <c r="V25"/>
      <c r="W25"/>
      <c r="X25"/>
      <c r="Y25"/>
      <c r="Z25"/>
      <c r="AA25" s="91"/>
      <c r="AI25" t="str">
        <v>Dağyenice</v>
      </c>
      <c r="AJ25"/>
      <c r="AK25"/>
      <c r="AL25"/>
      <c r="AM25"/>
      <c r="AN25"/>
      <c r="AO25"/>
      <c r="AP25"/>
      <c r="AQ25"/>
      <c r="AU25" s="156"/>
      <c r="AV25" s="156"/>
      <c r="AW25" s="205"/>
      <c r="AX25" s="205"/>
      <c r="AY25" s="205"/>
      <c r="AZ25" s="205"/>
      <c r="BA25" s="205"/>
      <c r="BB25" s="205"/>
      <c r="BJ25" s="49" t="s">
        <v>88</v>
      </c>
      <c r="BK25" s="38" t="b">
        <v>0</v>
      </c>
      <c r="BL25" s="38">
        <f t="shared" si="2"/>
        <v>0</v>
      </c>
      <c r="BN25" s="38">
        <v>6</v>
      </c>
      <c r="BO25" s="52" t="b">
        <v>0</v>
      </c>
      <c r="BP25" s="38">
        <f t="shared" si="0"/>
        <v>0</v>
      </c>
      <c r="BS25" s="38">
        <f t="shared" si="1"/>
        <v>0</v>
      </c>
    </row>
    <row r="26" spans="2:71" ht="30" customHeight="1" thickBot="1" x14ac:dyDescent="0.35">
      <c r="B26" s="39"/>
      <c r="C26" s="39"/>
      <c r="F26" s="650" t="s">
        <v>275</v>
      </c>
      <c r="G26" s="651"/>
      <c r="H26" s="651"/>
      <c r="I26" s="651"/>
      <c r="J26" s="651"/>
      <c r="K26" s="651"/>
      <c r="L26" s="651"/>
      <c r="M26" s="652"/>
      <c r="N26" s="747" t="s">
        <v>279</v>
      </c>
      <c r="O26" s="748"/>
      <c r="P26" s="748"/>
      <c r="Q26" s="748"/>
      <c r="R26" s="748"/>
      <c r="S26" s="748"/>
      <c r="T26" s="749"/>
      <c r="V26"/>
      <c r="W26"/>
      <c r="X26"/>
      <c r="Y26"/>
      <c r="Z26"/>
      <c r="AI26" s="38" t="str">
        <v>Demirci</v>
      </c>
      <c r="AU26" s="156"/>
      <c r="AV26" s="757" t="e" cm="1">
        <f t="array" ref="AV26">_xlfn.TEXTJOIN(CHAR(10),TRUE,
IF(MALIKLER!#REF!&lt;&gt;"",
MALIKLER!#REF! &amp; IF(MALIKLER!#REF!&lt;&gt;""," ("&amp;MALIKLER!#REF!&amp;")",""),
""))</f>
        <v>#REF!</v>
      </c>
      <c r="AW26" s="757"/>
      <c r="AX26" s="619" t="str" cm="1">
        <f t="array" ref="AX26">_xlfn.TEXTJOIN(CHAR(10),TRUE,IF(MALIKLER!J2:J100&lt;&gt;"",TEXT(MALIKLER!J2:J100,"gg.aa.yyyy"),""))</f>
        <v/>
      </c>
      <c r="AY26" s="619" t="str" cm="1">
        <f t="array" ref="AY26">_xlfn.TEXTJOIN(CHAR(10),TRUE,IF(MALIKLER!K2:K100&lt;&gt;"",MALIKLER!K2:K100,""))</f>
        <v/>
      </c>
      <c r="AZ26" s="619" t="str" cm="1">
        <f t="array" ref="AZ26">_xlfn.TEXTJOIN(CHAR(10),TRUE,IF(MALIKLER!I2:I100&lt;&gt;"",MALIKLER!I2:I100,""))</f>
        <v/>
      </c>
      <c r="BA26" s="205"/>
      <c r="BB26" s="205"/>
      <c r="BJ26" s="49" t="s">
        <v>89</v>
      </c>
      <c r="BK26" s="38" t="b">
        <v>1</v>
      </c>
      <c r="BL26" s="38">
        <f t="shared" si="2"/>
        <v>1</v>
      </c>
      <c r="BN26" s="38">
        <v>7</v>
      </c>
      <c r="BO26" s="52" t="b">
        <v>0</v>
      </c>
      <c r="BP26" s="38">
        <f t="shared" si="0"/>
        <v>0</v>
      </c>
      <c r="BS26" s="38">
        <f t="shared" si="1"/>
        <v>0</v>
      </c>
    </row>
    <row r="27" spans="2:71" ht="24.9" customHeight="1" thickBot="1" x14ac:dyDescent="0.35">
      <c r="B27" s="39"/>
      <c r="C27" s="39"/>
      <c r="F27" s="648" t="s">
        <v>146</v>
      </c>
      <c r="G27" s="649"/>
      <c r="H27" s="649"/>
      <c r="I27" s="649"/>
      <c r="J27" s="649"/>
      <c r="K27" s="649"/>
      <c r="L27" s="164" t="s">
        <v>98</v>
      </c>
      <c r="M27" s="294" t="s">
        <v>272</v>
      </c>
      <c r="N27" s="562" t="s">
        <v>280</v>
      </c>
      <c r="O27" s="164" t="s">
        <v>3246</v>
      </c>
      <c r="P27" s="649" t="s">
        <v>146</v>
      </c>
      <c r="Q27" s="649"/>
      <c r="R27" s="649"/>
      <c r="S27" s="164" t="s">
        <v>98</v>
      </c>
      <c r="T27" s="251" t="s">
        <v>273</v>
      </c>
      <c r="U27" s="52"/>
      <c r="V27"/>
      <c r="W27"/>
      <c r="X27"/>
      <c r="Y27"/>
      <c r="Z27"/>
      <c r="AI27" s="38" t="str">
        <v>Doğanköy</v>
      </c>
      <c r="AU27" s="156"/>
      <c r="AV27" s="757"/>
      <c r="AW27" s="757"/>
      <c r="AX27" s="620"/>
      <c r="AY27" s="620"/>
      <c r="AZ27" s="620"/>
      <c r="BA27" s="205"/>
      <c r="BB27" s="205"/>
      <c r="BJ27" s="49" t="s">
        <v>90</v>
      </c>
      <c r="BK27" s="38" t="b">
        <v>1</v>
      </c>
      <c r="BL27" s="38">
        <f t="shared" si="2"/>
        <v>1</v>
      </c>
      <c r="BN27" s="38">
        <v>8</v>
      </c>
      <c r="BO27" s="52" t="b">
        <v>0</v>
      </c>
      <c r="BP27" s="38">
        <f t="shared" si="0"/>
        <v>0</v>
      </c>
      <c r="BS27" s="38">
        <f t="shared" si="1"/>
        <v>0</v>
      </c>
    </row>
    <row r="28" spans="2:71" ht="24.9" customHeight="1" x14ac:dyDescent="0.3">
      <c r="B28" s="39"/>
      <c r="C28" s="39"/>
      <c r="F28" s="908"/>
      <c r="G28" s="909"/>
      <c r="H28" s="909"/>
      <c r="I28" s="909"/>
      <c r="J28" s="909"/>
      <c r="K28" s="909"/>
      <c r="L28" s="568"/>
      <c r="M28" s="569"/>
      <c r="N28" s="570"/>
      <c r="O28" s="571"/>
      <c r="P28" s="754"/>
      <c r="Q28" s="754"/>
      <c r="R28" s="754"/>
      <c r="S28" s="568"/>
      <c r="T28" s="569"/>
      <c r="V28"/>
      <c r="W28"/>
      <c r="X28"/>
      <c r="Y28"/>
      <c r="Z28"/>
      <c r="AI28" s="38" t="str">
        <v>Dumlupınar</v>
      </c>
      <c r="AU28" s="205"/>
      <c r="AV28" s="757"/>
      <c r="AW28" s="757"/>
      <c r="AX28" s="620"/>
      <c r="AY28" s="620"/>
      <c r="AZ28" s="620"/>
      <c r="BA28" s="205"/>
      <c r="BB28" s="205"/>
      <c r="BI28" s="53"/>
      <c r="BJ28" s="49" t="s">
        <v>16</v>
      </c>
      <c r="BK28" s="38" t="b">
        <v>0</v>
      </c>
      <c r="BL28" s="38">
        <f t="shared" si="2"/>
        <v>0</v>
      </c>
      <c r="BN28" s="38">
        <v>9</v>
      </c>
      <c r="BO28" s="52" t="b">
        <v>0</v>
      </c>
      <c r="BP28" s="38">
        <f t="shared" si="0"/>
        <v>0</v>
      </c>
      <c r="BS28" s="38">
        <f t="shared" si="1"/>
        <v>0</v>
      </c>
    </row>
    <row r="29" spans="2:71" ht="24.9" customHeight="1" x14ac:dyDescent="0.3">
      <c r="B29" s="39"/>
      <c r="C29" s="39"/>
      <c r="F29" s="626"/>
      <c r="G29" s="627"/>
      <c r="H29" s="627"/>
      <c r="I29" s="627"/>
      <c r="J29" s="627"/>
      <c r="K29" s="627"/>
      <c r="L29" s="325"/>
      <c r="M29" s="355"/>
      <c r="N29" s="572"/>
      <c r="O29" s="371"/>
      <c r="P29" s="755"/>
      <c r="Q29" s="755"/>
      <c r="R29" s="755"/>
      <c r="S29" s="324"/>
      <c r="T29" s="354"/>
      <c r="U29" s="52"/>
      <c r="V29"/>
      <c r="W29"/>
      <c r="X29"/>
      <c r="Y29"/>
      <c r="Z29"/>
      <c r="AI29" s="38" t="str">
        <v>Ertuğrul</v>
      </c>
      <c r="AU29" s="205"/>
      <c r="AV29" s="757"/>
      <c r="AW29" s="757"/>
      <c r="AX29" s="620"/>
      <c r="AY29" s="620"/>
      <c r="AZ29" s="620"/>
      <c r="BA29" s="205"/>
      <c r="BB29" s="205"/>
      <c r="BI29" s="54"/>
      <c r="BJ29" s="49" t="s">
        <v>91</v>
      </c>
      <c r="BK29" s="38" t="b">
        <v>0</v>
      </c>
      <c r="BL29" s="38">
        <f t="shared" si="2"/>
        <v>0</v>
      </c>
      <c r="BN29" s="38">
        <v>10</v>
      </c>
      <c r="BO29" s="52" t="b">
        <v>0</v>
      </c>
      <c r="BP29" s="38">
        <f t="shared" si="0"/>
        <v>0</v>
      </c>
      <c r="BS29" s="38">
        <f>+BO42*1</f>
        <v>0</v>
      </c>
    </row>
    <row r="30" spans="2:71" ht="24.9" customHeight="1" x14ac:dyDescent="0.3">
      <c r="B30" s="39"/>
      <c r="C30" s="39"/>
      <c r="F30" s="626"/>
      <c r="G30" s="627"/>
      <c r="H30" s="627"/>
      <c r="I30" s="627"/>
      <c r="J30" s="627"/>
      <c r="K30" s="627"/>
      <c r="L30" s="325"/>
      <c r="M30" s="355"/>
      <c r="N30" s="572"/>
      <c r="O30" s="371"/>
      <c r="P30" s="755"/>
      <c r="Q30" s="755"/>
      <c r="R30" s="755"/>
      <c r="S30" s="325"/>
      <c r="T30" s="355"/>
      <c r="V30"/>
      <c r="W30"/>
      <c r="X30"/>
      <c r="Y30"/>
      <c r="Z30"/>
      <c r="AI30" s="38" t="str">
        <v>Esentepe</v>
      </c>
      <c r="AV30" s="757"/>
      <c r="AW30" s="757"/>
      <c r="AX30" s="620"/>
      <c r="AY30" s="620"/>
      <c r="AZ30" s="620"/>
      <c r="BI30" s="54"/>
      <c r="BJ30" s="49" t="s">
        <v>18</v>
      </c>
      <c r="BK30" s="38" t="b">
        <v>0</v>
      </c>
      <c r="BL30" s="38">
        <f t="shared" si="2"/>
        <v>0</v>
      </c>
      <c r="BN30" s="38">
        <v>11</v>
      </c>
      <c r="BO30" s="52" t="b">
        <v>0</v>
      </c>
      <c r="BP30" s="38">
        <f t="shared" si="0"/>
        <v>0</v>
      </c>
      <c r="BS30" s="38">
        <f>+BO43*1</f>
        <v>0</v>
      </c>
    </row>
    <row r="31" spans="2:71" ht="24.9" customHeight="1" thickBot="1" x14ac:dyDescent="0.35">
      <c r="B31" s="39"/>
      <c r="C31" s="39"/>
      <c r="F31" s="797"/>
      <c r="G31" s="798"/>
      <c r="H31" s="798"/>
      <c r="I31" s="798"/>
      <c r="J31" s="798"/>
      <c r="K31" s="798"/>
      <c r="L31" s="326"/>
      <c r="M31" s="356"/>
      <c r="N31" s="573"/>
      <c r="O31" s="574"/>
      <c r="P31" s="756"/>
      <c r="Q31" s="756"/>
      <c r="R31" s="756"/>
      <c r="S31" s="326"/>
      <c r="T31" s="356"/>
      <c r="V31"/>
      <c r="W31"/>
      <c r="X31"/>
      <c r="Y31"/>
      <c r="Z31"/>
      <c r="AI31" s="38" t="str">
        <v>Fadıllı</v>
      </c>
      <c r="AV31" s="156"/>
      <c r="BI31" s="54"/>
      <c r="BJ31" s="49"/>
      <c r="BO31" s="52"/>
    </row>
    <row r="32" spans="2:71" ht="24.6" customHeight="1" thickBot="1" x14ac:dyDescent="0.35">
      <c r="B32" s="39"/>
      <c r="C32" s="39"/>
      <c r="F32" s="708" t="s">
        <v>19</v>
      </c>
      <c r="G32" s="709"/>
      <c r="H32" s="709"/>
      <c r="I32" s="709"/>
      <c r="J32" s="709"/>
      <c r="K32" s="709"/>
      <c r="L32" s="710"/>
      <c r="M32" s="741" t="s">
        <v>616</v>
      </c>
      <c r="N32" s="742"/>
      <c r="O32" s="742"/>
      <c r="P32" s="742"/>
      <c r="Q32" s="742"/>
      <c r="R32" s="742"/>
      <c r="S32" s="742"/>
      <c r="T32" s="743"/>
      <c r="V32"/>
      <c r="W32"/>
      <c r="X32"/>
      <c r="Y32"/>
      <c r="Z32"/>
      <c r="AI32" s="38" t="str">
        <v>Fethiye</v>
      </c>
      <c r="BI32" s="54"/>
      <c r="BJ32" s="49" t="s">
        <v>17</v>
      </c>
      <c r="BK32" s="38" t="b">
        <v>0</v>
      </c>
      <c r="BL32" s="38">
        <f>+BK32*1</f>
        <v>0</v>
      </c>
      <c r="BN32" s="38">
        <v>12</v>
      </c>
      <c r="BO32" s="52" t="b">
        <v>0</v>
      </c>
      <c r="BP32" s="38">
        <f>+BO32*1</f>
        <v>0</v>
      </c>
      <c r="BS32" s="38">
        <f>+BO44*1</f>
        <v>0</v>
      </c>
    </row>
    <row r="33" spans="1:70" ht="30" customHeight="1" x14ac:dyDescent="0.3">
      <c r="B33" s="39"/>
      <c r="C33" s="39"/>
      <c r="F33" s="250" t="s">
        <v>715</v>
      </c>
      <c r="G33" s="665" t="s">
        <v>477</v>
      </c>
      <c r="H33" s="910"/>
      <c r="I33" s="910"/>
      <c r="J33" s="722" t="s">
        <v>714</v>
      </c>
      <c r="K33" s="722"/>
      <c r="L33" s="554" t="s">
        <v>3289</v>
      </c>
      <c r="M33" s="895" t="s">
        <v>295</v>
      </c>
      <c r="N33" s="761"/>
      <c r="O33" s="566" t="s">
        <v>98</v>
      </c>
      <c r="P33" s="565" t="s">
        <v>99</v>
      </c>
      <c r="Q33" s="761" t="s">
        <v>716</v>
      </c>
      <c r="R33" s="761"/>
      <c r="S33" s="761"/>
      <c r="T33" s="762"/>
      <c r="U33" s="39"/>
      <c r="V33"/>
      <c r="W33"/>
      <c r="X33"/>
      <c r="Y33"/>
      <c r="Z33"/>
      <c r="AI33" s="38" t="str">
        <v>Fethiye Osb</v>
      </c>
      <c r="BI33" s="54"/>
      <c r="BJ33" s="55"/>
      <c r="BK33" s="56"/>
      <c r="BL33" s="56"/>
      <c r="BM33" s="56"/>
      <c r="BN33" s="38">
        <v>13</v>
      </c>
      <c r="BO33" s="51" t="b">
        <v>0</v>
      </c>
      <c r="BP33" s="38">
        <f t="shared" ref="BP33:BP44" si="3">+BO33*1</f>
        <v>0</v>
      </c>
      <c r="BQ33" s="56"/>
      <c r="BR33" s="57"/>
    </row>
    <row r="34" spans="1:70" ht="30" customHeight="1" x14ac:dyDescent="0.3">
      <c r="F34" s="99" t="s">
        <v>80</v>
      </c>
      <c r="G34" s="100" t="s">
        <v>81</v>
      </c>
      <c r="H34" s="868" t="s">
        <v>79</v>
      </c>
      <c r="I34" s="868"/>
      <c r="J34" s="868"/>
      <c r="K34" s="868"/>
      <c r="L34" s="869"/>
      <c r="M34" s="799" t="s">
        <v>294</v>
      </c>
      <c r="N34" s="800"/>
      <c r="O34" s="547"/>
      <c r="P34" s="599"/>
      <c r="Q34" s="794"/>
      <c r="R34" s="795"/>
      <c r="S34" s="795"/>
      <c r="T34" s="796"/>
      <c r="U34" s="39"/>
      <c r="V34"/>
      <c r="W34"/>
      <c r="X34"/>
      <c r="Y34"/>
      <c r="Z34"/>
      <c r="AB34" s="148"/>
      <c r="AD34" s="155"/>
      <c r="AG34" s="156"/>
      <c r="AH34" s="157"/>
      <c r="AI34" s="38" t="str">
        <v>Gökçe</v>
      </c>
      <c r="BI34" s="58"/>
      <c r="BN34" s="38">
        <v>14</v>
      </c>
      <c r="BO34" s="51" t="b">
        <v>0</v>
      </c>
      <c r="BP34" s="38">
        <f t="shared" si="3"/>
        <v>0</v>
      </c>
    </row>
    <row r="35" spans="1:70" ht="30" customHeight="1" x14ac:dyDescent="0.3">
      <c r="A35" s="39"/>
      <c r="B35" s="39"/>
      <c r="C35" s="39"/>
      <c r="D35" s="39"/>
      <c r="F35" s="219" t="s">
        <v>704</v>
      </c>
      <c r="G35" s="611">
        <v>38425</v>
      </c>
      <c r="H35" s="698" t="s">
        <v>3396</v>
      </c>
      <c r="I35" s="826"/>
      <c r="J35" s="826"/>
      <c r="K35" s="826"/>
      <c r="L35" s="699"/>
      <c r="M35" s="877"/>
      <c r="N35" s="800"/>
      <c r="O35" s="547"/>
      <c r="P35" s="599"/>
      <c r="Q35" s="794"/>
      <c r="R35" s="795"/>
      <c r="S35" s="795"/>
      <c r="T35" s="796"/>
      <c r="U35" s="39"/>
      <c r="V35"/>
      <c r="W35"/>
      <c r="X35"/>
      <c r="Y35"/>
      <c r="Z35"/>
      <c r="AD35" s="148"/>
      <c r="AF35" s="140"/>
      <c r="AG35" s="140"/>
      <c r="AH35" s="141"/>
      <c r="AI35" s="38" t="str">
        <v>Gölyazı</v>
      </c>
      <c r="BN35" s="38">
        <v>15</v>
      </c>
      <c r="BO35" s="51" t="b">
        <v>0</v>
      </c>
      <c r="BP35" s="38">
        <f t="shared" si="3"/>
        <v>0</v>
      </c>
    </row>
    <row r="36" spans="1:70" ht="28.2" customHeight="1" x14ac:dyDescent="0.3">
      <c r="A36" s="39"/>
      <c r="B36" s="39"/>
      <c r="C36" s="39"/>
      <c r="D36" s="39"/>
      <c r="F36" s="98" t="s">
        <v>21</v>
      </c>
      <c r="G36" s="868" t="s">
        <v>82</v>
      </c>
      <c r="H36" s="868"/>
      <c r="I36" s="868"/>
      <c r="J36" s="102" t="s">
        <v>773</v>
      </c>
      <c r="K36" s="102" t="s">
        <v>702</v>
      </c>
      <c r="L36" s="101" t="s">
        <v>774</v>
      </c>
      <c r="M36" s="877"/>
      <c r="N36" s="800"/>
      <c r="O36" s="547"/>
      <c r="P36" s="599"/>
      <c r="Q36" s="794"/>
      <c r="R36" s="795"/>
      <c r="S36" s="795"/>
      <c r="T36" s="796"/>
      <c r="U36" s="39"/>
      <c r="V36" s="919" t="str">
        <f>+İMARDURUMU2025</f>
        <v xml:space="preserve"> 19.06.2026 tarihinde Nilüfer Belediyesinden alınan sözlü bilgiye göre konu taşınmazın yer aldığı parsel, 14.03.2005 tarihli 1/1.000 ölçekli Fethiye İhsaniye Revizyon Uygulama İmar Planı kapsamında Konut alanında yer almakta olup, bitişik nizam, 2 kat (Hmax: 6,50 metre) yapılaşma koşullarına sahiptir. Taşınmazın yer aldığı parselin yola yaklaşık 2 m2 terki bulunmaktadır._x000D_
_x000D_
Minimum Cephe Şartı:_x000D_
Minimum cephe şartı bulunmamaktadır._x000D_
_x000D_
18. Madde Uygulaması:_x000D_
18. Madde uygulaması yapılmıştır._x000D_
_x000D_
Tevhid Şartı:_x000D_
Tevhid şartı bulunmamaktadır._x000D_
_x000D_
Kentsel Dönüşüm:_x000D_
Kentsel dönüşüm ve yenileme alanında yer almamaktadır._x000D_
_x000D_
Ruhsat Durumu:_x000D_
Ruhsat almaya engel herhangi bir durum bulunmamaktadır._x000D_
_x000D_
Hesaplanan Emsal:_x000D_
227 m2      </v>
      </c>
      <c r="W36" s="919"/>
      <c r="X36" s="919"/>
      <c r="Y36"/>
      <c r="Z36"/>
      <c r="AD36" s="146"/>
      <c r="AF36" s="153"/>
      <c r="AG36" s="153"/>
      <c r="AH36" s="154"/>
      <c r="AI36" s="38" t="str">
        <v>Görükle</v>
      </c>
      <c r="BN36" s="38">
        <v>16</v>
      </c>
      <c r="BO36" s="51" t="b">
        <v>0</v>
      </c>
      <c r="BP36" s="38">
        <f t="shared" si="3"/>
        <v>0</v>
      </c>
    </row>
    <row r="37" spans="1:70" ht="30" customHeight="1" x14ac:dyDescent="0.3">
      <c r="A37" s="39"/>
      <c r="B37" s="39"/>
      <c r="C37" s="39"/>
      <c r="D37" s="39"/>
      <c r="F37" s="612" t="s">
        <v>38</v>
      </c>
      <c r="G37" s="663" t="s">
        <v>67</v>
      </c>
      <c r="H37" s="617"/>
      <c r="I37" s="617"/>
      <c r="J37" s="240" t="s">
        <v>448</v>
      </c>
      <c r="K37" s="592">
        <v>2</v>
      </c>
      <c r="L37" s="593" t="s">
        <v>477</v>
      </c>
      <c r="M37" s="877"/>
      <c r="N37" s="800"/>
      <c r="O37" s="547"/>
      <c r="P37" s="599"/>
      <c r="Q37" s="794"/>
      <c r="R37" s="795"/>
      <c r="S37" s="795"/>
      <c r="T37" s="796"/>
      <c r="U37" s="39"/>
      <c r="V37" s="919"/>
      <c r="W37" s="919"/>
      <c r="X37" s="919"/>
      <c r="Y37"/>
      <c r="Z37"/>
      <c r="AA37" s="147"/>
      <c r="AB37" s="139"/>
      <c r="AE37" s="153"/>
      <c r="AF37" s="153"/>
      <c r="AG37" s="153"/>
      <c r="AH37" s="154"/>
      <c r="AI37" s="38" t="str">
        <v>Gümüştepe</v>
      </c>
      <c r="BN37" s="38">
        <v>17</v>
      </c>
      <c r="BO37" s="51" t="b">
        <v>0</v>
      </c>
      <c r="BP37" s="38">
        <f t="shared" si="3"/>
        <v>0</v>
      </c>
    </row>
    <row r="38" spans="1:70" ht="25.2" customHeight="1" x14ac:dyDescent="0.3">
      <c r="A38" s="39"/>
      <c r="B38" s="39"/>
      <c r="C38" s="39"/>
      <c r="D38" s="39"/>
      <c r="E38" s="38" t="s">
        <v>618</v>
      </c>
      <c r="F38" s="99" t="s">
        <v>23</v>
      </c>
      <c r="G38" s="100" t="s">
        <v>22</v>
      </c>
      <c r="H38" s="100" t="s">
        <v>24</v>
      </c>
      <c r="I38" s="100" t="s">
        <v>25</v>
      </c>
      <c r="J38" s="100" t="s">
        <v>26</v>
      </c>
      <c r="K38" s="100" t="s">
        <v>27</v>
      </c>
      <c r="L38" s="101" t="s">
        <v>159</v>
      </c>
      <c r="M38" s="877"/>
      <c r="N38" s="800"/>
      <c r="O38" s="547"/>
      <c r="P38" s="526"/>
      <c r="Q38" s="794"/>
      <c r="R38" s="795"/>
      <c r="S38" s="795"/>
      <c r="T38" s="796"/>
      <c r="U38" s="39"/>
      <c r="V38" s="919"/>
      <c r="W38" s="919"/>
      <c r="X38" s="919"/>
      <c r="Y38"/>
      <c r="Z38"/>
      <c r="AB38" s="148"/>
      <c r="AC38" s="138"/>
      <c r="AF38" s="149"/>
      <c r="AG38" s="149"/>
      <c r="AH38" s="150"/>
      <c r="AI38" s="38" t="str">
        <v>Güngören</v>
      </c>
      <c r="BN38" s="38">
        <v>18</v>
      </c>
      <c r="BO38" s="51" t="b">
        <v>0</v>
      </c>
      <c r="BP38" s="38">
        <f t="shared" si="3"/>
        <v>0</v>
      </c>
    </row>
    <row r="39" spans="1:70" ht="30" customHeight="1" x14ac:dyDescent="0.3">
      <c r="F39" s="613">
        <v>6.5</v>
      </c>
      <c r="G39" s="607">
        <v>2</v>
      </c>
      <c r="H39" s="601"/>
      <c r="I39" s="1082"/>
      <c r="J39" s="243"/>
      <c r="K39" s="243"/>
      <c r="L39" s="596"/>
      <c r="M39" s="799"/>
      <c r="N39" s="800"/>
      <c r="O39" s="59"/>
      <c r="P39" s="526"/>
      <c r="Q39" s="795"/>
      <c r="R39" s="795"/>
      <c r="S39" s="795"/>
      <c r="T39" s="796"/>
      <c r="U39" s="39"/>
      <c r="V39" s="919"/>
      <c r="W39" s="919"/>
      <c r="X39" s="919"/>
      <c r="Y39"/>
      <c r="Z39"/>
      <c r="AF39" s="151"/>
      <c r="AG39" s="151"/>
      <c r="AH39" s="152"/>
      <c r="AI39" s="38" t="str">
        <v>Hasanağa</v>
      </c>
      <c r="BN39" s="38">
        <v>19</v>
      </c>
      <c r="BO39" s="51" t="b">
        <v>0</v>
      </c>
      <c r="BP39" s="38">
        <f t="shared" si="3"/>
        <v>0</v>
      </c>
    </row>
    <row r="40" spans="1:70" ht="30.6" customHeight="1" x14ac:dyDescent="0.3">
      <c r="F40" s="98" t="s">
        <v>708</v>
      </c>
      <c r="G40" s="102" t="s">
        <v>709</v>
      </c>
      <c r="H40" s="102" t="s">
        <v>771</v>
      </c>
      <c r="I40" s="102" t="s">
        <v>770</v>
      </c>
      <c r="J40" s="102" t="s">
        <v>772</v>
      </c>
      <c r="K40" s="875" t="s">
        <v>83</v>
      </c>
      <c r="L40" s="892"/>
      <c r="M40" s="799"/>
      <c r="N40" s="800"/>
      <c r="O40" s="567"/>
      <c r="P40" s="526"/>
      <c r="Q40" s="795"/>
      <c r="R40" s="795"/>
      <c r="S40" s="795"/>
      <c r="T40" s="796"/>
      <c r="U40" s="39"/>
      <c r="V40" s="919"/>
      <c r="W40" s="919"/>
      <c r="X40" s="919"/>
      <c r="Y40"/>
      <c r="Z40"/>
      <c r="AE40" s="151"/>
      <c r="AF40" s="151"/>
      <c r="AG40" s="151"/>
      <c r="AH40" s="152"/>
      <c r="AI40" s="38" t="str">
        <v>Hasanağa Osb</v>
      </c>
      <c r="BN40" s="38">
        <v>20</v>
      </c>
      <c r="BO40" s="51" t="b">
        <v>0</v>
      </c>
      <c r="BP40" s="38">
        <f t="shared" si="3"/>
        <v>0</v>
      </c>
    </row>
    <row r="41" spans="1:70" ht="30" customHeight="1" thickBot="1" x14ac:dyDescent="0.35">
      <c r="F41" s="296" t="s">
        <v>477</v>
      </c>
      <c r="G41" s="297" t="s">
        <v>477</v>
      </c>
      <c r="H41" s="297" t="s">
        <v>448</v>
      </c>
      <c r="I41" s="297" t="s">
        <v>477</v>
      </c>
      <c r="J41" s="297" t="s">
        <v>477</v>
      </c>
      <c r="K41" s="667"/>
      <c r="L41" s="893"/>
      <c r="M41" s="898" t="s">
        <v>733</v>
      </c>
      <c r="N41" s="899"/>
      <c r="O41" s="602"/>
      <c r="P41" s="603"/>
      <c r="Q41" s="900"/>
      <c r="R41" s="901"/>
      <c r="S41" s="901"/>
      <c r="T41" s="902"/>
      <c r="U41" s="39"/>
      <c r="V41" s="919"/>
      <c r="W41" s="919"/>
      <c r="X41" s="919"/>
      <c r="Y41"/>
      <c r="Z41"/>
      <c r="AI41" s="38" t="str">
        <v>İhsaniye</v>
      </c>
      <c r="BN41" s="38">
        <v>21</v>
      </c>
      <c r="BO41" s="51" t="b">
        <v>0</v>
      </c>
      <c r="BP41" s="38">
        <f t="shared" si="3"/>
        <v>0</v>
      </c>
    </row>
    <row r="42" spans="1:70" ht="31.2" customHeight="1" thickBot="1" x14ac:dyDescent="0.35">
      <c r="F42" s="741" t="s">
        <v>248</v>
      </c>
      <c r="G42" s="742"/>
      <c r="H42" s="742"/>
      <c r="I42" s="742"/>
      <c r="J42" s="742"/>
      <c r="K42" s="742"/>
      <c r="L42" s="742"/>
      <c r="M42" s="896"/>
      <c r="N42" s="896"/>
      <c r="O42" s="896"/>
      <c r="P42" s="896"/>
      <c r="Q42" s="896"/>
      <c r="R42" s="896"/>
      <c r="S42" s="896"/>
      <c r="T42" s="897"/>
      <c r="U42" s="39"/>
      <c r="V42" s="919"/>
      <c r="W42" s="919"/>
      <c r="X42" s="919"/>
      <c r="Y42"/>
      <c r="Z42"/>
      <c r="AD42" s="130"/>
      <c r="AI42" s="38" t="str">
        <v>İnegazi</v>
      </c>
      <c r="BN42" s="38">
        <v>22</v>
      </c>
      <c r="BO42" s="51" t="b">
        <v>0</v>
      </c>
      <c r="BP42" s="38">
        <f t="shared" si="3"/>
        <v>0</v>
      </c>
    </row>
    <row r="43" spans="1:70" ht="73.2" customHeight="1" thickBot="1" x14ac:dyDescent="0.35">
      <c r="F43" s="823" t="s">
        <v>100</v>
      </c>
      <c r="G43" s="668"/>
      <c r="H43" s="580" t="s">
        <v>775</v>
      </c>
      <c r="I43" s="580" t="str">
        <f>+IF(PROJEİNCELENENKURUM="Belediye","BELEDİYE PROJE TARİHİ","TAPU PROJE TARİHİ")</f>
        <v>TAPU PROJE TARİHİ</v>
      </c>
      <c r="J43" s="580" t="str">
        <f>+IF(PROJEİNCELENENKURUM="Belediye","BELEDİYE PROJE NO","TAPU PROJE NO")</f>
        <v>TAPU PROJE NO</v>
      </c>
      <c r="K43" s="894" t="s">
        <v>107</v>
      </c>
      <c r="L43" s="894"/>
      <c r="M43" s="580" t="s">
        <v>476</v>
      </c>
      <c r="N43" s="878" t="s">
        <v>329</v>
      </c>
      <c r="O43" s="878"/>
      <c r="P43" s="878"/>
      <c r="Q43" s="580" t="s">
        <v>1350</v>
      </c>
      <c r="R43" s="580" t="s">
        <v>822</v>
      </c>
      <c r="S43" s="580" t="s">
        <v>727</v>
      </c>
      <c r="T43" s="581" t="s">
        <v>478</v>
      </c>
      <c r="V43"/>
      <c r="W43"/>
      <c r="X43"/>
      <c r="Y43"/>
      <c r="Z43"/>
      <c r="AI43" s="38" t="str">
        <v>İrfaniye</v>
      </c>
      <c r="BN43" s="38">
        <v>23</v>
      </c>
      <c r="BO43" s="51" t="b">
        <v>0</v>
      </c>
      <c r="BP43" s="38">
        <f t="shared" si="3"/>
        <v>0</v>
      </c>
    </row>
    <row r="44" spans="1:70" ht="97.95" customHeight="1" thickBot="1" x14ac:dyDescent="0.35">
      <c r="F44" s="824" t="s">
        <v>332</v>
      </c>
      <c r="G44" s="825"/>
      <c r="H44" s="584" t="s">
        <v>717</v>
      </c>
      <c r="I44" s="604"/>
      <c r="J44" s="1083"/>
      <c r="K44" s="1084" t="s">
        <v>108</v>
      </c>
      <c r="L44" s="825"/>
      <c r="M44" s="585" t="s">
        <v>777</v>
      </c>
      <c r="N44" s="1085"/>
      <c r="O44" s="879"/>
      <c r="P44" s="880"/>
      <c r="Q44" s="585" t="s">
        <v>777</v>
      </c>
      <c r="R44" s="585" t="s">
        <v>717</v>
      </c>
      <c r="S44" s="597" t="s">
        <v>729</v>
      </c>
      <c r="T44" s="586" t="s">
        <v>1360</v>
      </c>
      <c r="U44" s="39"/>
      <c r="V44"/>
      <c r="W44"/>
      <c r="X44"/>
      <c r="Y44"/>
      <c r="Z44"/>
      <c r="AI44" s="38" t="str">
        <v>Işıktepe</v>
      </c>
      <c r="BN44" s="38">
        <v>24</v>
      </c>
      <c r="BO44" s="51" t="b">
        <v>0</v>
      </c>
      <c r="BP44" s="38">
        <f t="shared" si="3"/>
        <v>0</v>
      </c>
    </row>
    <row r="45" spans="1:70" ht="30.6" customHeight="1" thickBot="1" x14ac:dyDescent="0.35">
      <c r="F45" s="741" t="s">
        <v>778</v>
      </c>
      <c r="G45" s="742"/>
      <c r="H45" s="742"/>
      <c r="I45" s="742"/>
      <c r="J45" s="743"/>
      <c r="K45" s="741" t="s">
        <v>778</v>
      </c>
      <c r="L45" s="742"/>
      <c r="M45" s="742"/>
      <c r="N45" s="742"/>
      <c r="O45" s="742"/>
      <c r="P45" s="742"/>
      <c r="Q45" s="742"/>
      <c r="R45" s="742"/>
      <c r="S45" s="742"/>
      <c r="T45" s="743"/>
      <c r="U45" s="39"/>
      <c r="V45"/>
      <c r="W45"/>
      <c r="X45"/>
      <c r="Y45"/>
      <c r="Z45"/>
      <c r="AI45" s="38" t="str">
        <v>Işıktepe Osb</v>
      </c>
    </row>
    <row r="46" spans="1:70" ht="33" customHeight="1" x14ac:dyDescent="0.3">
      <c r="F46" s="250" t="s">
        <v>59</v>
      </c>
      <c r="G46" s="162" t="s">
        <v>765</v>
      </c>
      <c r="H46" s="162" t="s">
        <v>13</v>
      </c>
      <c r="I46" s="716" t="s">
        <v>112</v>
      </c>
      <c r="J46" s="717"/>
      <c r="K46" s="904" t="s">
        <v>101</v>
      </c>
      <c r="L46" s="905"/>
      <c r="M46" s="716" t="s">
        <v>102</v>
      </c>
      <c r="N46" s="716"/>
      <c r="O46" s="716"/>
      <c r="P46" s="716"/>
      <c r="Q46" s="106" t="s">
        <v>103</v>
      </c>
      <c r="R46" s="162" t="s">
        <v>104</v>
      </c>
      <c r="S46" s="106" t="s">
        <v>105</v>
      </c>
      <c r="T46" s="165" t="s">
        <v>106</v>
      </c>
      <c r="U46" s="39"/>
      <c r="V46"/>
      <c r="W46"/>
      <c r="X46"/>
      <c r="Y46"/>
      <c r="Z46"/>
      <c r="AA46" s="39"/>
      <c r="AB46" s="39"/>
      <c r="AI46" s="38" t="str">
        <v>Kadriye</v>
      </c>
    </row>
    <row r="47" spans="1:70" ht="30" customHeight="1" x14ac:dyDescent="0.3">
      <c r="F47" s="249" t="s">
        <v>615</v>
      </c>
      <c r="G47" s="243" t="s">
        <v>40</v>
      </c>
      <c r="H47" s="243" t="s">
        <v>60</v>
      </c>
      <c r="I47" s="666" t="s">
        <v>510</v>
      </c>
      <c r="J47" s="699"/>
      <c r="K47" s="821" t="s">
        <v>657</v>
      </c>
      <c r="L47" s="822"/>
      <c r="M47" s="903"/>
      <c r="N47" s="903"/>
      <c r="O47" s="903"/>
      <c r="P47" s="903"/>
      <c r="Q47" s="9"/>
      <c r="R47" s="9"/>
      <c r="S47" s="9"/>
      <c r="T47" s="222"/>
      <c r="U47" s="39"/>
      <c r="V47"/>
      <c r="W47"/>
      <c r="X47"/>
      <c r="Y47"/>
      <c r="Z47"/>
      <c r="AA47"/>
      <c r="AB47"/>
      <c r="AC47"/>
      <c r="AD47"/>
      <c r="AE47"/>
      <c r="AF47"/>
      <c r="AG47"/>
      <c r="AH47"/>
      <c r="AI47" s="38" t="str">
        <v>Karacaoba</v>
      </c>
    </row>
    <row r="48" spans="1:70" ht="24.9" customHeight="1" x14ac:dyDescent="0.3">
      <c r="F48" s="98" t="s">
        <v>14</v>
      </c>
      <c r="G48" s="875" t="s">
        <v>640</v>
      </c>
      <c r="H48" s="875"/>
      <c r="I48" s="875" t="s">
        <v>644</v>
      </c>
      <c r="J48" s="892"/>
      <c r="K48" s="821" t="s">
        <v>658</v>
      </c>
      <c r="L48" s="822"/>
      <c r="M48" s="644"/>
      <c r="N48" s="903"/>
      <c r="O48" s="903"/>
      <c r="P48" s="903"/>
      <c r="Q48" s="9"/>
      <c r="R48" s="9"/>
      <c r="S48" s="9"/>
      <c r="T48" s="222"/>
      <c r="U48" s="39"/>
      <c r="V48"/>
      <c r="W48"/>
      <c r="X48"/>
      <c r="Y48"/>
      <c r="Z48"/>
      <c r="AA48"/>
      <c r="AB48"/>
      <c r="AC48"/>
      <c r="AD48"/>
      <c r="AE48"/>
      <c r="AF48"/>
      <c r="AG48"/>
      <c r="AH48"/>
      <c r="AI48" s="38" t="str">
        <v>Karaman</v>
      </c>
      <c r="BL48" s="265" t="s">
        <v>3327</v>
      </c>
      <c r="BM48" s="265" t="s">
        <v>3328</v>
      </c>
      <c r="BN48" s="265" t="s">
        <v>3329</v>
      </c>
      <c r="BO48" s="265" t="s">
        <v>3330</v>
      </c>
    </row>
    <row r="49" spans="1:73" ht="24.9" customHeight="1" x14ac:dyDescent="0.3">
      <c r="F49" s="248" t="s">
        <v>65</v>
      </c>
      <c r="G49" s="917" t="s">
        <v>619</v>
      </c>
      <c r="H49" s="918"/>
      <c r="I49" s="666" t="s">
        <v>646</v>
      </c>
      <c r="J49" s="699"/>
      <c r="K49" s="821" t="s">
        <v>659</v>
      </c>
      <c r="L49" s="822"/>
      <c r="M49" s="881"/>
      <c r="N49" s="819"/>
      <c r="O49" s="819"/>
      <c r="P49" s="820"/>
      <c r="Q49" s="240"/>
      <c r="R49" s="240"/>
      <c r="S49" s="9"/>
      <c r="T49" s="222"/>
      <c r="U49" s="39"/>
      <c r="V49"/>
      <c r="W49"/>
      <c r="X49"/>
      <c r="Y49"/>
      <c r="Z49"/>
      <c r="AA49"/>
      <c r="AB49"/>
      <c r="AC49"/>
      <c r="AD49"/>
      <c r="AE49"/>
      <c r="AF49"/>
      <c r="AG49"/>
      <c r="AH49"/>
      <c r="AI49" s="38" t="str">
        <v>Kayapa</v>
      </c>
      <c r="BL49" s="606" t="b">
        <v>0</v>
      </c>
      <c r="BM49" s="606" t="b">
        <v>1</v>
      </c>
      <c r="BN49" s="606" t="b">
        <v>0</v>
      </c>
      <c r="BO49" s="606" t="b">
        <v>0</v>
      </c>
    </row>
    <row r="50" spans="1:73" ht="24.9" customHeight="1" x14ac:dyDescent="0.3">
      <c r="F50" s="99" t="s">
        <v>93</v>
      </c>
      <c r="G50" s="875" t="s">
        <v>94</v>
      </c>
      <c r="H50" s="875"/>
      <c r="I50" s="875" t="s">
        <v>95</v>
      </c>
      <c r="J50" s="892"/>
      <c r="K50" s="821" t="s">
        <v>660</v>
      </c>
      <c r="L50" s="822"/>
      <c r="M50" s="915" t="s">
        <v>3398</v>
      </c>
      <c r="N50" s="617"/>
      <c r="O50" s="617"/>
      <c r="P50" s="617"/>
      <c r="Q50" s="240"/>
      <c r="R50" s="240"/>
      <c r="S50" s="240"/>
      <c r="T50" s="276"/>
      <c r="U50" s="39"/>
      <c r="V50"/>
      <c r="W50"/>
      <c r="X50"/>
      <c r="Y50"/>
      <c r="Z50"/>
      <c r="AA50"/>
      <c r="AB50"/>
      <c r="AC50"/>
      <c r="AD50"/>
      <c r="AE50"/>
      <c r="AF50"/>
      <c r="AG50"/>
      <c r="AH50"/>
      <c r="AI50" s="38" t="str">
        <v>Kızılcıklı</v>
      </c>
      <c r="BL50" s="588">
        <f>+IF(BL49=TRUE,1,0)</f>
        <v>0</v>
      </c>
      <c r="BM50" s="588">
        <f t="shared" ref="BM50:BO50" si="4">+IF(BM49=TRUE,1,0)</f>
        <v>1</v>
      </c>
      <c r="BN50" s="588">
        <f t="shared" si="4"/>
        <v>0</v>
      </c>
      <c r="BO50" s="588">
        <f t="shared" si="4"/>
        <v>0</v>
      </c>
      <c r="BP50" s="588">
        <f>SUM(BL50:BO50)</f>
        <v>1</v>
      </c>
    </row>
    <row r="51" spans="1:73" ht="24.9" customHeight="1" x14ac:dyDescent="0.3">
      <c r="F51" s="248" t="s">
        <v>511</v>
      </c>
      <c r="G51" s="663" t="s">
        <v>512</v>
      </c>
      <c r="H51" s="617"/>
      <c r="I51" s="666" t="s">
        <v>511</v>
      </c>
      <c r="J51" s="699"/>
      <c r="K51" s="821" t="s">
        <v>661</v>
      </c>
      <c r="L51" s="822"/>
      <c r="M51" s="675"/>
      <c r="N51" s="906"/>
      <c r="O51" s="906"/>
      <c r="P51" s="907"/>
      <c r="Q51" s="592">
        <v>1</v>
      </c>
      <c r="R51" s="240"/>
      <c r="S51" s="240"/>
      <c r="T51" s="222"/>
      <c r="V51"/>
      <c r="W51"/>
      <c r="X51"/>
      <c r="Y51"/>
      <c r="Z51"/>
      <c r="AA51"/>
      <c r="AB51"/>
      <c r="AC51"/>
      <c r="AD51"/>
      <c r="AE51"/>
      <c r="AF51"/>
      <c r="AG51"/>
      <c r="AH51"/>
      <c r="AI51" s="38" t="str">
        <v>Konak</v>
      </c>
      <c r="BL51" s="587" t="str">
        <f>IF(BL49=TRUE,"kuzey","")</f>
        <v/>
      </c>
      <c r="BM51" s="587" t="str">
        <f>IF(BM49=TRUE,"güney","")</f>
        <v>güney</v>
      </c>
      <c r="BN51" s="563" t="str">
        <f>IF(BN49=TRUE,"doğu","")</f>
        <v/>
      </c>
      <c r="BO51" s="563" t="str">
        <f>IF(BO49=TRUE,"batı","")</f>
        <v/>
      </c>
      <c r="BP51" s="265" t="str">
        <f>IF(COUNTIF(BL49:BO49,TRUE)=0,"",IF(COUNTIF(BL49:BO49,TRUE)=1,IF(BL51&lt;&gt;"",BL51,IF(BM51&lt;&gt;"",BM51,IF(BN51&lt;&gt;"",BN51,BO51))),IF(COUNTIF(BL49:BO49,TRUE)=2,IF(AND(BL51&lt;&gt;"",BM51&lt;&gt;""),BL51&amp;" ve "&amp;BM51,IF(AND(BL51&lt;&gt;"",BN51&lt;&gt;""),BL51&amp;" ve "&amp;BN51,IF(AND(BL51&lt;&gt;"",BO51&lt;&gt;""),BL51&amp;" ve "&amp;BO51,IF(AND(BM51&lt;&gt;"",BN51&lt;&gt;""),BM51&amp;" ve "&amp;BN51,IF(AND(BM51&lt;&gt;"",BO51&lt;&gt;""),BM51&amp;" ve "&amp;BO51,BN51&amp;" ve "&amp;BO51))))),IF(COUNTIF(BL49:BO49,TRUE)=3,IF(BL51="",BM51&amp;", "&amp;BN51&amp;" ve "&amp;BO51,IF(BM51="",BL51&amp;", "&amp;BN51&amp;" ve "&amp;BO51,IF(BN51="",BL51&amp;", "&amp;BM51&amp;" ve "&amp;BO51,BL51&amp;", "&amp;BM51&amp;" ve "&amp;BN51))),BL51&amp;", "&amp;BM51&amp;", "&amp;BN51&amp;" ve "&amp;BO51))))</f>
        <v>güney</v>
      </c>
    </row>
    <row r="52" spans="1:73" ht="24.9" customHeight="1" x14ac:dyDescent="0.3">
      <c r="F52" s="98" t="s">
        <v>178</v>
      </c>
      <c r="G52" s="868" t="s">
        <v>194</v>
      </c>
      <c r="H52" s="868"/>
      <c r="I52" s="868"/>
      <c r="J52" s="869"/>
      <c r="K52" s="821" t="s">
        <v>662</v>
      </c>
      <c r="L52" s="822"/>
      <c r="M52" s="881"/>
      <c r="N52" s="819"/>
      <c r="O52" s="819"/>
      <c r="P52" s="820"/>
      <c r="Q52" s="240"/>
      <c r="R52" s="9"/>
      <c r="S52" s="9"/>
      <c r="T52" s="222"/>
      <c r="V52"/>
      <c r="W52"/>
      <c r="X52"/>
      <c r="Y52"/>
      <c r="Z52"/>
      <c r="AA52"/>
      <c r="AB52"/>
      <c r="AC52"/>
      <c r="AD52"/>
      <c r="AE52"/>
      <c r="AF52"/>
      <c r="AG52"/>
      <c r="AH52"/>
      <c r="AI52" s="38" t="str">
        <v>Konaklı</v>
      </c>
      <c r="BM52" s="265"/>
    </row>
    <row r="53" spans="1:73" ht="24.9" customHeight="1" x14ac:dyDescent="0.3">
      <c r="A53" s="39"/>
      <c r="B53" s="39"/>
      <c r="F53" s="248" t="s">
        <v>513</v>
      </c>
      <c r="G53" s="663" t="s">
        <v>185</v>
      </c>
      <c r="H53" s="617"/>
      <c r="I53" s="663" t="s">
        <v>619</v>
      </c>
      <c r="J53" s="773"/>
      <c r="K53" s="821" t="s">
        <v>643</v>
      </c>
      <c r="L53" s="822"/>
      <c r="M53" s="903"/>
      <c r="N53" s="903"/>
      <c r="O53" s="903"/>
      <c r="P53" s="903"/>
      <c r="Q53" s="9"/>
      <c r="R53" s="9"/>
      <c r="S53" s="9"/>
      <c r="T53" s="222"/>
      <c r="V53"/>
      <c r="W53"/>
      <c r="X53"/>
      <c r="Y53"/>
      <c r="Z53"/>
      <c r="AA53"/>
      <c r="AB53"/>
      <c r="AC53"/>
      <c r="AD53"/>
      <c r="AE53"/>
      <c r="AF53"/>
      <c r="AG53"/>
      <c r="AH53"/>
      <c r="AI53" s="38" t="str">
        <v>Koru</v>
      </c>
    </row>
    <row r="54" spans="1:73" ht="24.9" customHeight="1" x14ac:dyDescent="0.3">
      <c r="A54" s="39"/>
      <c r="B54" s="39"/>
      <c r="F54" s="774" t="s">
        <v>156</v>
      </c>
      <c r="G54" s="882"/>
      <c r="H54" s="882"/>
      <c r="I54" s="882"/>
      <c r="J54" s="775"/>
      <c r="K54" s="821" t="s">
        <v>663</v>
      </c>
      <c r="L54" s="822"/>
      <c r="M54" s="881"/>
      <c r="N54" s="819"/>
      <c r="O54" s="819"/>
      <c r="P54" s="820"/>
      <c r="Q54" s="592">
        <v>1</v>
      </c>
      <c r="R54" s="9"/>
      <c r="S54" s="240"/>
      <c r="T54" s="222"/>
      <c r="V54"/>
      <c r="W54"/>
      <c r="X54"/>
      <c r="Y54"/>
      <c r="Z54"/>
      <c r="AA54"/>
      <c r="AB54"/>
      <c r="AC54"/>
      <c r="AD54"/>
      <c r="AE54"/>
      <c r="AF54"/>
      <c r="AG54"/>
      <c r="AH54"/>
      <c r="AI54" s="38" t="str">
        <v>Kültür</v>
      </c>
    </row>
    <row r="55" spans="1:73" ht="24.9" customHeight="1" x14ac:dyDescent="0.3">
      <c r="F55" s="883"/>
      <c r="G55" s="884"/>
      <c r="H55" s="884"/>
      <c r="I55" s="884"/>
      <c r="J55" s="885"/>
      <c r="K55" s="821" t="s">
        <v>664</v>
      </c>
      <c r="L55" s="822"/>
      <c r="M55" s="711" t="s">
        <v>3397</v>
      </c>
      <c r="N55" s="819"/>
      <c r="O55" s="819"/>
      <c r="P55" s="820"/>
      <c r="Q55" s="240"/>
      <c r="R55" s="9"/>
      <c r="S55" s="9"/>
      <c r="T55" s="276"/>
      <c r="V55"/>
      <c r="W55"/>
      <c r="X55"/>
      <c r="Y55"/>
      <c r="Z55"/>
      <c r="AA55"/>
      <c r="AB55"/>
      <c r="AC55"/>
      <c r="AD55"/>
      <c r="AE55"/>
      <c r="AF55"/>
      <c r="AG55"/>
      <c r="AH55"/>
      <c r="AI55" s="38" t="str">
        <v>Kurtuluş</v>
      </c>
    </row>
    <row r="56" spans="1:73" ht="24.9" customHeight="1" thickBot="1" x14ac:dyDescent="0.35">
      <c r="F56" s="886"/>
      <c r="G56" s="887"/>
      <c r="H56" s="887"/>
      <c r="I56" s="887"/>
      <c r="J56" s="888"/>
      <c r="K56" s="821" t="s">
        <v>665</v>
      </c>
      <c r="L56" s="822"/>
      <c r="M56" s="818"/>
      <c r="N56" s="819"/>
      <c r="O56" s="819"/>
      <c r="P56" s="820"/>
      <c r="Q56" s="240"/>
      <c r="R56" s="9"/>
      <c r="S56" s="9"/>
      <c r="T56" s="222"/>
      <c r="V56"/>
      <c r="W56"/>
      <c r="X56"/>
      <c r="Y56"/>
      <c r="Z56"/>
      <c r="AA56"/>
      <c r="AB56"/>
      <c r="AC56"/>
      <c r="AD56"/>
      <c r="AE56"/>
      <c r="AF56"/>
      <c r="AG56"/>
      <c r="AH56"/>
      <c r="AI56" s="38" t="str">
        <v>Kuruçeşme</v>
      </c>
    </row>
    <row r="57" spans="1:73" ht="24.9" customHeight="1" x14ac:dyDescent="0.3">
      <c r="F57" s="889" t="s">
        <v>249</v>
      </c>
      <c r="G57" s="890"/>
      <c r="H57" s="890"/>
      <c r="I57" s="890"/>
      <c r="J57" s="891"/>
      <c r="K57" s="821" t="s">
        <v>666</v>
      </c>
      <c r="L57" s="822"/>
      <c r="M57" s="818"/>
      <c r="N57" s="819"/>
      <c r="O57" s="819"/>
      <c r="P57" s="820"/>
      <c r="Q57" s="240"/>
      <c r="R57" s="9"/>
      <c r="S57" s="9"/>
      <c r="T57" s="276"/>
      <c r="V57"/>
      <c r="W57"/>
      <c r="X57"/>
      <c r="Y57"/>
      <c r="Z57"/>
      <c r="AA57"/>
      <c r="AB57"/>
      <c r="AC57"/>
      <c r="AD57"/>
      <c r="AE57"/>
      <c r="AF57"/>
      <c r="AG57"/>
      <c r="AH57"/>
      <c r="AI57" s="38" t="str">
        <v>Maksempınarı</v>
      </c>
    </row>
    <row r="58" spans="1:73" ht="24.9" customHeight="1" x14ac:dyDescent="0.3">
      <c r="F58" s="166"/>
      <c r="G58" s="828"/>
      <c r="H58" s="829"/>
      <c r="I58" s="828"/>
      <c r="J58" s="916"/>
      <c r="K58" s="821" t="s">
        <v>667</v>
      </c>
      <c r="L58" s="822"/>
      <c r="M58" s="818"/>
      <c r="N58" s="819"/>
      <c r="O58" s="819"/>
      <c r="P58" s="820"/>
      <c r="Q58" s="240"/>
      <c r="R58" s="9"/>
      <c r="S58" s="9"/>
      <c r="T58" s="222"/>
      <c r="V58"/>
      <c r="W58"/>
      <c r="X58"/>
      <c r="Y58"/>
      <c r="Z58"/>
      <c r="AA58"/>
      <c r="AB58"/>
      <c r="AC58"/>
      <c r="AD58"/>
      <c r="AE58"/>
      <c r="AF58"/>
      <c r="AG58"/>
      <c r="AH58"/>
      <c r="AI58" s="38" t="str">
        <v>Minareliçavuş Bursa Osb</v>
      </c>
    </row>
    <row r="59" spans="1:73" ht="24.9" customHeight="1" thickBot="1" x14ac:dyDescent="0.35">
      <c r="F59" s="167"/>
      <c r="G59" s="828"/>
      <c r="H59" s="829"/>
      <c r="I59" s="813"/>
      <c r="J59" s="827"/>
      <c r="K59" s="821" t="s">
        <v>668</v>
      </c>
      <c r="L59" s="822"/>
      <c r="M59" s="818"/>
      <c r="N59" s="819"/>
      <c r="O59" s="819"/>
      <c r="P59" s="820"/>
      <c r="Q59" s="240"/>
      <c r="R59" s="9"/>
      <c r="S59" s="9"/>
      <c r="T59" s="222"/>
      <c r="V59"/>
      <c r="W59"/>
      <c r="X59"/>
      <c r="Y59"/>
      <c r="Z59"/>
      <c r="AA59"/>
      <c r="AB59"/>
      <c r="AC59"/>
      <c r="AD59"/>
      <c r="AE59"/>
      <c r="AF59"/>
      <c r="AG59"/>
      <c r="AH59"/>
      <c r="AI59" s="38" t="str">
        <v>Minareliçavuş</v>
      </c>
    </row>
    <row r="60" spans="1:73" ht="24.9" customHeight="1" x14ac:dyDescent="0.3">
      <c r="F60" s="167"/>
      <c r="G60" s="828"/>
      <c r="H60" s="829"/>
      <c r="I60" s="813"/>
      <c r="J60" s="827"/>
      <c r="K60" s="821" t="s">
        <v>669</v>
      </c>
      <c r="L60" s="822"/>
      <c r="M60" s="818"/>
      <c r="N60" s="819"/>
      <c r="O60" s="819"/>
      <c r="P60" s="820"/>
      <c r="Q60" s="240"/>
      <c r="R60" s="9"/>
      <c r="S60" s="9"/>
      <c r="T60" s="222"/>
      <c r="V60"/>
      <c r="W60"/>
      <c r="X60"/>
      <c r="Y60"/>
      <c r="Z60"/>
      <c r="AA60"/>
      <c r="AB60"/>
      <c r="AC60"/>
      <c r="AD60"/>
      <c r="AE60"/>
      <c r="AF60"/>
      <c r="AG60"/>
      <c r="AH60"/>
      <c r="AI60" s="38" t="str">
        <v>Minareliçavuş Osb</v>
      </c>
      <c r="BP60" s="60" t="s">
        <v>83</v>
      </c>
      <c r="BQ60" s="61"/>
      <c r="BR60" s="38" t="b">
        <v>1</v>
      </c>
      <c r="BS60" s="38">
        <f>+BR60*1</f>
        <v>1</v>
      </c>
      <c r="BT60" s="38" t="b">
        <v>0</v>
      </c>
      <c r="BU60" s="38">
        <f>+BT60*1</f>
        <v>0</v>
      </c>
    </row>
    <row r="61" spans="1:73" ht="24.9" customHeight="1" thickBot="1" x14ac:dyDescent="0.35">
      <c r="F61" s="167"/>
      <c r="G61" s="828"/>
      <c r="H61" s="829"/>
      <c r="I61" s="813"/>
      <c r="J61" s="827"/>
      <c r="K61" s="821" t="s">
        <v>670</v>
      </c>
      <c r="L61" s="822"/>
      <c r="M61" s="818"/>
      <c r="N61" s="819"/>
      <c r="O61" s="819"/>
      <c r="P61" s="820"/>
      <c r="Q61" s="240"/>
      <c r="R61" s="9"/>
      <c r="S61" s="9"/>
      <c r="T61" s="222"/>
      <c r="V61"/>
      <c r="W61"/>
      <c r="X61"/>
      <c r="Y61"/>
      <c r="Z61"/>
      <c r="AA61"/>
      <c r="AB61"/>
      <c r="AC61"/>
      <c r="AD61"/>
      <c r="AE61"/>
      <c r="AF61"/>
      <c r="AG61"/>
      <c r="AH61"/>
      <c r="AI61" s="38" t="str">
        <v>Odunluk</v>
      </c>
      <c r="BP61" s="62" t="b">
        <v>0</v>
      </c>
      <c r="BQ61" s="63">
        <f>+BP61*1</f>
        <v>0</v>
      </c>
      <c r="BR61" s="38" t="b">
        <v>1</v>
      </c>
      <c r="BS61" s="38">
        <f>+BR61*1</f>
        <v>1</v>
      </c>
      <c r="BT61" s="38" t="b">
        <v>0</v>
      </c>
      <c r="BU61" s="38">
        <f>+BT61*1</f>
        <v>0</v>
      </c>
    </row>
    <row r="62" spans="1:73" ht="24.9" customHeight="1" x14ac:dyDescent="0.3">
      <c r="F62" s="167"/>
      <c r="G62" s="828"/>
      <c r="H62" s="829"/>
      <c r="I62" s="813"/>
      <c r="J62" s="827"/>
      <c r="K62" s="821" t="s">
        <v>671</v>
      </c>
      <c r="L62" s="822"/>
      <c r="M62" s="818"/>
      <c r="N62" s="819"/>
      <c r="O62" s="819"/>
      <c r="P62" s="820"/>
      <c r="Q62" s="240"/>
      <c r="R62" s="13"/>
      <c r="S62" s="13"/>
      <c r="T62" s="220"/>
      <c r="V62"/>
      <c r="W62"/>
      <c r="X62"/>
      <c r="Y62"/>
      <c r="Z62"/>
      <c r="AA62"/>
      <c r="AB62"/>
      <c r="AC62"/>
      <c r="AD62"/>
      <c r="AE62"/>
      <c r="AF62"/>
      <c r="AG62"/>
      <c r="AH62"/>
      <c r="AI62" s="38" t="str">
        <v>Özlüce</v>
      </c>
      <c r="BR62" s="38" t="b">
        <v>0</v>
      </c>
      <c r="BS62" s="38">
        <f>+BR62*1</f>
        <v>0</v>
      </c>
      <c r="BT62" s="38" t="b">
        <v>0</v>
      </c>
      <c r="BU62" s="38">
        <f>+BT62*1</f>
        <v>0</v>
      </c>
    </row>
    <row r="63" spans="1:73" ht="24.9" customHeight="1" x14ac:dyDescent="0.3">
      <c r="F63" s="167"/>
      <c r="G63" s="828"/>
      <c r="H63" s="829"/>
      <c r="I63" s="813"/>
      <c r="J63" s="827"/>
      <c r="K63" s="821" t="s">
        <v>672</v>
      </c>
      <c r="L63" s="822"/>
      <c r="M63" s="818"/>
      <c r="N63" s="819"/>
      <c r="O63" s="819"/>
      <c r="P63" s="820"/>
      <c r="Q63" s="240"/>
      <c r="R63" s="13"/>
      <c r="S63" s="13"/>
      <c r="T63" s="220"/>
      <c r="V63"/>
      <c r="W63"/>
      <c r="X63"/>
      <c r="Y63"/>
      <c r="Z63"/>
      <c r="AI63" s="38" t="str">
        <v>Tahtalı</v>
      </c>
    </row>
    <row r="64" spans="1:73" ht="24.9" customHeight="1" x14ac:dyDescent="0.3">
      <c r="F64" s="167"/>
      <c r="G64" s="813"/>
      <c r="H64" s="814"/>
      <c r="I64" s="813"/>
      <c r="J64" s="827"/>
      <c r="K64" s="821" t="s">
        <v>673</v>
      </c>
      <c r="L64" s="822"/>
      <c r="M64" s="818"/>
      <c r="N64" s="819"/>
      <c r="O64" s="819"/>
      <c r="P64" s="820"/>
      <c r="Q64" s="240"/>
      <c r="R64" s="13"/>
      <c r="S64" s="13"/>
      <c r="T64" s="220"/>
      <c r="V64"/>
      <c r="W64"/>
      <c r="X64"/>
      <c r="Y64"/>
      <c r="Z64"/>
      <c r="AI64" s="38" t="str">
        <v>Üçevler</v>
      </c>
    </row>
    <row r="65" spans="6:73" ht="24.9" customHeight="1" x14ac:dyDescent="0.3">
      <c r="F65" s="167"/>
      <c r="G65" s="813"/>
      <c r="H65" s="814"/>
      <c r="I65" s="813"/>
      <c r="J65" s="827"/>
      <c r="K65" s="821" t="s">
        <v>674</v>
      </c>
      <c r="L65" s="822"/>
      <c r="M65" s="818"/>
      <c r="N65" s="819"/>
      <c r="O65" s="819"/>
      <c r="P65" s="820"/>
      <c r="Q65" s="240"/>
      <c r="R65" s="13"/>
      <c r="S65" s="13"/>
      <c r="T65" s="220"/>
      <c r="V65"/>
      <c r="W65"/>
      <c r="X65"/>
      <c r="Y65"/>
      <c r="Z65"/>
      <c r="AI65" s="38" t="str">
        <v>Üçpınar</v>
      </c>
    </row>
    <row r="66" spans="6:73" ht="24.9" customHeight="1" x14ac:dyDescent="0.3">
      <c r="F66" s="167"/>
      <c r="G66" s="813"/>
      <c r="H66" s="814"/>
      <c r="I66" s="168"/>
      <c r="J66" s="169"/>
      <c r="K66" s="821" t="s">
        <v>675</v>
      </c>
      <c r="L66" s="822"/>
      <c r="M66" s="818"/>
      <c r="N66" s="819"/>
      <c r="O66" s="819"/>
      <c r="P66" s="820"/>
      <c r="Q66" s="240"/>
      <c r="R66" s="13"/>
      <c r="S66" s="13"/>
      <c r="T66" s="220"/>
      <c r="V66"/>
      <c r="W66"/>
      <c r="X66"/>
      <c r="Y66"/>
      <c r="Z66"/>
      <c r="AI66" s="38" t="str">
        <v>Unçukuru</v>
      </c>
    </row>
    <row r="67" spans="6:73" ht="24.9" customHeight="1" x14ac:dyDescent="0.3">
      <c r="F67" s="167"/>
      <c r="G67" s="813"/>
      <c r="H67" s="814"/>
      <c r="I67" s="168"/>
      <c r="J67" s="169"/>
      <c r="K67" s="821" t="s">
        <v>676</v>
      </c>
      <c r="L67" s="822"/>
      <c r="M67" s="818"/>
      <c r="N67" s="819"/>
      <c r="O67" s="819"/>
      <c r="P67" s="820"/>
      <c r="Q67" s="589"/>
      <c r="R67" s="13"/>
      <c r="S67" s="13"/>
      <c r="T67" s="220"/>
      <c r="V67"/>
      <c r="W67"/>
      <c r="X67"/>
      <c r="Y67"/>
      <c r="Z67"/>
      <c r="AI67" s="38" t="str">
        <v>Ürünlü</v>
      </c>
    </row>
    <row r="68" spans="6:73" ht="24.9" customHeight="1" x14ac:dyDescent="0.3">
      <c r="F68" s="541" t="s">
        <v>3273</v>
      </c>
      <c r="G68" s="813"/>
      <c r="H68" s="814"/>
      <c r="I68" s="168"/>
      <c r="J68" s="169"/>
      <c r="K68" s="821" t="s">
        <v>677</v>
      </c>
      <c r="L68" s="822"/>
      <c r="M68" s="818"/>
      <c r="N68" s="819"/>
      <c r="O68" s="819"/>
      <c r="P68" s="820"/>
      <c r="Q68" s="589"/>
      <c r="R68" s="13"/>
      <c r="S68" s="13"/>
      <c r="T68" s="220"/>
      <c r="V68"/>
      <c r="W68"/>
      <c r="X68"/>
      <c r="Y68"/>
      <c r="Z68"/>
      <c r="AI68" s="38" t="str">
        <v>Yaylacık</v>
      </c>
    </row>
    <row r="69" spans="6:73" ht="24.9" customHeight="1" thickBot="1" x14ac:dyDescent="0.35">
      <c r="F69" s="542">
        <f>SUM(Q49:T69)</f>
        <v>2</v>
      </c>
      <c r="G69" s="912"/>
      <c r="H69" s="913"/>
      <c r="I69" s="912"/>
      <c r="J69" s="914"/>
      <c r="K69" s="801" t="s">
        <v>678</v>
      </c>
      <c r="L69" s="802"/>
      <c r="M69" s="803"/>
      <c r="N69" s="804"/>
      <c r="O69" s="804"/>
      <c r="P69" s="804"/>
      <c r="Q69" s="297"/>
      <c r="R69" s="221"/>
      <c r="S69" s="221"/>
      <c r="T69" s="223"/>
      <c r="V69"/>
      <c r="W69"/>
      <c r="X69"/>
      <c r="Y69"/>
      <c r="Z69"/>
      <c r="AI69" s="38" t="str">
        <v>Yolçatı</v>
      </c>
    </row>
    <row r="70" spans="6:73" s="205" customFormat="1" ht="10.199999999999999" customHeight="1" thickBot="1" x14ac:dyDescent="0.35">
      <c r="V70"/>
      <c r="W70"/>
      <c r="X70"/>
      <c r="Y70"/>
      <c r="Z70"/>
      <c r="AA70" s="206"/>
      <c r="AB70" s="206"/>
      <c r="AI70" s="205" t="str">
        <v>Yüzüncü Yıl</v>
      </c>
    </row>
    <row r="71" spans="6:73" ht="28.95" customHeight="1" x14ac:dyDescent="0.3">
      <c r="F71" s="708" t="str">
        <f>+BB.NO&amp;" NOLU BAĞIMSIZ BÖLÜM ÖZELLİKLERİ"</f>
        <v xml:space="preserve"> NOLU BAĞIMSIZ BÖLÜM ÖZELLİKLERİ</v>
      </c>
      <c r="G71" s="709"/>
      <c r="H71" s="709"/>
      <c r="I71" s="709"/>
      <c r="J71" s="709"/>
      <c r="K71" s="709"/>
      <c r="L71" s="709"/>
      <c r="M71" s="709"/>
      <c r="N71" s="709"/>
      <c r="O71" s="709"/>
      <c r="P71" s="709"/>
      <c r="Q71" s="709"/>
      <c r="R71" s="709"/>
      <c r="S71" s="709"/>
      <c r="T71" s="710"/>
      <c r="V71"/>
      <c r="W71"/>
      <c r="X71"/>
      <c r="Y71"/>
      <c r="Z71"/>
    </row>
    <row r="72" spans="6:73" ht="24.9" customHeight="1" x14ac:dyDescent="0.3">
      <c r="F72" s="873" t="s">
        <v>812</v>
      </c>
      <c r="G72" s="663" t="s">
        <v>844</v>
      </c>
      <c r="H72" s="617"/>
      <c r="I72" s="866" t="s">
        <v>3326</v>
      </c>
      <c r="J72" s="866"/>
      <c r="K72" s="866"/>
      <c r="L72" s="866"/>
      <c r="M72" s="873" t="s">
        <v>158</v>
      </c>
      <c r="N72" s="876">
        <v>1</v>
      </c>
      <c r="O72" s="866" t="s">
        <v>177</v>
      </c>
      <c r="P72" s="666" t="s">
        <v>356</v>
      </c>
      <c r="Q72" s="826"/>
      <c r="R72" s="875" t="s">
        <v>111</v>
      </c>
      <c r="S72" s="698" t="s">
        <v>340</v>
      </c>
      <c r="T72" s="666" t="s">
        <v>3087</v>
      </c>
      <c r="V72"/>
      <c r="W72"/>
      <c r="X72"/>
      <c r="Y72"/>
      <c r="Z72"/>
    </row>
    <row r="73" spans="6:73" ht="29.4" customHeight="1" x14ac:dyDescent="0.3">
      <c r="F73" s="873"/>
      <c r="G73" s="617"/>
      <c r="H73" s="617"/>
      <c r="I73" s="156"/>
      <c r="J73" s="156"/>
      <c r="K73" s="156"/>
      <c r="L73" s="156"/>
      <c r="M73" s="873"/>
      <c r="N73" s="876"/>
      <c r="O73" s="866"/>
      <c r="P73" s="826"/>
      <c r="Q73" s="826"/>
      <c r="R73" s="875"/>
      <c r="S73" s="666"/>
      <c r="T73" s="826"/>
      <c r="V73"/>
      <c r="W73"/>
      <c r="X73"/>
      <c r="Y73"/>
      <c r="Z73"/>
    </row>
    <row r="74" spans="6:73" ht="24.6" customHeight="1" x14ac:dyDescent="0.3">
      <c r="F74" s="564" t="s">
        <v>101</v>
      </c>
      <c r="G74" s="564" t="s">
        <v>243</v>
      </c>
      <c r="H74" s="564" t="s">
        <v>244</v>
      </c>
      <c r="I74" s="564" t="s">
        <v>1358</v>
      </c>
      <c r="J74" s="564" t="s">
        <v>1359</v>
      </c>
      <c r="K74" s="867" t="s">
        <v>28</v>
      </c>
      <c r="L74" s="867"/>
      <c r="M74" s="867"/>
      <c r="N74" s="867"/>
      <c r="O74" s="867"/>
      <c r="P74" s="867"/>
      <c r="Q74" s="867"/>
      <c r="R74" s="867"/>
      <c r="S74" s="867"/>
      <c r="T74" s="867"/>
      <c r="V74"/>
      <c r="W74"/>
      <c r="X74"/>
      <c r="Y74"/>
      <c r="Z74"/>
    </row>
    <row r="75" spans="6:73" ht="24.9" customHeight="1" x14ac:dyDescent="0.3">
      <c r="F75" s="242" t="s">
        <v>407</v>
      </c>
      <c r="G75" s="242">
        <v>85</v>
      </c>
      <c r="H75" s="242">
        <v>85</v>
      </c>
      <c r="I75" s="242"/>
      <c r="J75" s="246"/>
      <c r="K75" s="242" t="s">
        <v>252</v>
      </c>
      <c r="L75" s="242" t="s">
        <v>240</v>
      </c>
      <c r="M75" s="242" t="s">
        <v>253</v>
      </c>
      <c r="N75" s="242" t="s">
        <v>254</v>
      </c>
      <c r="O75" s="242" t="s">
        <v>255</v>
      </c>
      <c r="P75" s="242" t="s">
        <v>290</v>
      </c>
      <c r="Q75" s="242" t="s">
        <v>293</v>
      </c>
      <c r="R75" s="242"/>
      <c r="S75" s="242"/>
      <c r="T75" s="242"/>
      <c r="V75"/>
      <c r="W75"/>
      <c r="X75"/>
      <c r="Y75"/>
      <c r="Z75"/>
    </row>
    <row r="76" spans="6:73" ht="24.9" customHeight="1" x14ac:dyDescent="0.3">
      <c r="F76" s="242"/>
      <c r="G76" s="242"/>
      <c r="H76" s="242"/>
      <c r="I76" s="242"/>
      <c r="J76" s="246"/>
      <c r="K76" s="242"/>
      <c r="L76" s="242"/>
      <c r="M76" s="242"/>
      <c r="N76" s="242"/>
      <c r="O76" s="242"/>
      <c r="P76" s="242"/>
      <c r="Q76" s="242"/>
      <c r="R76" s="16"/>
      <c r="S76" s="16"/>
      <c r="T76" s="16"/>
      <c r="V76"/>
      <c r="W76"/>
      <c r="X76"/>
      <c r="Y76"/>
      <c r="Z76"/>
    </row>
    <row r="77" spans="6:73" ht="24.9" customHeight="1" x14ac:dyDescent="0.3">
      <c r="F77" s="242"/>
      <c r="G77" s="242"/>
      <c r="H77" s="242"/>
      <c r="I77" s="242"/>
      <c r="J77" s="246"/>
      <c r="K77" s="242"/>
      <c r="L77" s="242"/>
      <c r="M77" s="242"/>
      <c r="N77" s="242"/>
      <c r="O77" s="242"/>
      <c r="P77" s="242"/>
      <c r="Q77" s="242"/>
      <c r="R77" s="16"/>
      <c r="S77" s="16"/>
      <c r="T77" s="16"/>
      <c r="V77"/>
      <c r="W77"/>
      <c r="X77"/>
      <c r="Y77"/>
      <c r="Z77"/>
      <c r="BR77" s="38" t="b">
        <v>0</v>
      </c>
      <c r="BS77" s="38">
        <f>+BR77*1</f>
        <v>0</v>
      </c>
      <c r="BT77" s="38" t="b">
        <v>0</v>
      </c>
      <c r="BU77" s="38">
        <f>+BT77*1</f>
        <v>0</v>
      </c>
    </row>
    <row r="78" spans="6:73" ht="24.9" customHeight="1" x14ac:dyDescent="0.3">
      <c r="F78" s="242"/>
      <c r="G78" s="242"/>
      <c r="H78" s="242"/>
      <c r="I78" s="242"/>
      <c r="J78" s="246"/>
      <c r="K78" s="242"/>
      <c r="L78" s="242"/>
      <c r="M78" s="242"/>
      <c r="N78" s="16"/>
      <c r="O78" s="16"/>
      <c r="P78" s="16"/>
      <c r="Q78" s="16"/>
      <c r="R78" s="16"/>
      <c r="S78" s="16"/>
      <c r="T78" s="16"/>
      <c r="V78"/>
      <c r="W78"/>
      <c r="X78"/>
      <c r="Y78"/>
      <c r="Z78"/>
      <c r="BR78" s="38" t="b">
        <v>0</v>
      </c>
      <c r="BS78" s="38">
        <f>+BR78*1</f>
        <v>0</v>
      </c>
      <c r="BT78" s="38" t="b">
        <v>0</v>
      </c>
      <c r="BU78" s="38">
        <f>+BT78*1</f>
        <v>0</v>
      </c>
    </row>
    <row r="79" spans="6:73" ht="24.9" customHeight="1" x14ac:dyDescent="0.3">
      <c r="F79" s="242"/>
      <c r="G79" s="242"/>
      <c r="H79" s="242"/>
      <c r="I79" s="242"/>
      <c r="J79" s="246"/>
      <c r="K79" s="242"/>
      <c r="L79" s="242"/>
      <c r="M79" s="242"/>
      <c r="N79" s="242"/>
      <c r="O79" s="16"/>
      <c r="P79" s="16"/>
      <c r="Q79" s="16"/>
      <c r="R79" s="16"/>
      <c r="S79" s="16"/>
      <c r="T79" s="16"/>
      <c r="V79"/>
      <c r="W79"/>
      <c r="X79"/>
      <c r="Y79"/>
      <c r="Z79"/>
    </row>
    <row r="80" spans="6:73" s="40" customFormat="1" ht="24.9" customHeight="1" thickBot="1" x14ac:dyDescent="0.35">
      <c r="F80" s="805" t="s">
        <v>250</v>
      </c>
      <c r="G80" s="806"/>
      <c r="H80" s="806"/>
      <c r="I80" s="806"/>
      <c r="J80" s="806"/>
      <c r="K80" s="806"/>
      <c r="L80" s="806"/>
      <c r="M80" s="806"/>
      <c r="N80" s="806"/>
      <c r="O80" s="806"/>
      <c r="P80" s="806"/>
      <c r="Q80" s="806"/>
      <c r="R80" s="806"/>
      <c r="S80" s="806"/>
      <c r="T80" s="807"/>
      <c r="V80"/>
      <c r="W80"/>
      <c r="X80"/>
      <c r="Y80"/>
      <c r="Z80"/>
      <c r="BR80" s="40" t="b">
        <v>1</v>
      </c>
      <c r="BS80" s="40">
        <f>+BR80*1</f>
        <v>1</v>
      </c>
      <c r="BT80" s="40" t="b">
        <v>1</v>
      </c>
      <c r="BU80" s="40">
        <f>+BT80*1</f>
        <v>1</v>
      </c>
    </row>
    <row r="81" spans="6:26" s="40" customFormat="1" ht="32.4" customHeight="1" x14ac:dyDescent="0.3">
      <c r="F81" s="108" t="s">
        <v>247</v>
      </c>
      <c r="G81" s="109" t="s">
        <v>245</v>
      </c>
      <c r="H81" s="177" t="s">
        <v>246</v>
      </c>
      <c r="I81" s="856" t="s">
        <v>251</v>
      </c>
      <c r="J81" s="874"/>
      <c r="K81" s="857"/>
      <c r="L81" s="162" t="s">
        <v>347</v>
      </c>
      <c r="M81" s="178" t="s">
        <v>348</v>
      </c>
      <c r="N81" s="178" t="s">
        <v>811</v>
      </c>
      <c r="O81" s="179" t="s">
        <v>349</v>
      </c>
      <c r="P81" s="180" t="s">
        <v>344</v>
      </c>
      <c r="Q81" s="178" t="s">
        <v>152</v>
      </c>
      <c r="R81" s="856" t="s">
        <v>438</v>
      </c>
      <c r="S81" s="857"/>
      <c r="T81" s="110" t="s">
        <v>465</v>
      </c>
      <c r="V81"/>
      <c r="W81"/>
      <c r="X81"/>
      <c r="Y81"/>
      <c r="Z81"/>
    </row>
    <row r="82" spans="6:26" s="40" customFormat="1" ht="31.2" customHeight="1" x14ac:dyDescent="0.3">
      <c r="F82" s="861" t="s">
        <v>224</v>
      </c>
      <c r="G82" s="808" t="s">
        <v>267</v>
      </c>
      <c r="H82" s="808" t="s">
        <v>223</v>
      </c>
      <c r="I82" s="852" t="s">
        <v>808</v>
      </c>
      <c r="J82" s="853"/>
      <c r="K82" s="808" t="s">
        <v>3042</v>
      </c>
      <c r="L82" s="243" t="s">
        <v>203</v>
      </c>
      <c r="M82" s="243" t="s">
        <v>203</v>
      </c>
      <c r="N82" s="243" t="s">
        <v>203</v>
      </c>
      <c r="O82" s="243" t="s">
        <v>203</v>
      </c>
      <c r="P82" s="243" t="s">
        <v>205</v>
      </c>
      <c r="Q82" s="243" t="s">
        <v>205</v>
      </c>
      <c r="R82" s="242" t="s">
        <v>441</v>
      </c>
      <c r="S82" s="242" t="s">
        <v>442</v>
      </c>
      <c r="T82" s="863" t="s">
        <v>46</v>
      </c>
      <c r="V82"/>
      <c r="W82"/>
      <c r="X82"/>
      <c r="Y82"/>
      <c r="Z82"/>
    </row>
    <row r="83" spans="6:26" s="40" customFormat="1" ht="31.2" customHeight="1" thickBot="1" x14ac:dyDescent="0.35">
      <c r="F83" s="862"/>
      <c r="G83" s="768"/>
      <c r="H83" s="768"/>
      <c r="I83" s="854"/>
      <c r="J83" s="855"/>
      <c r="K83" s="768"/>
      <c r="L83" s="590" t="s">
        <v>211</v>
      </c>
      <c r="M83" s="590" t="s">
        <v>211</v>
      </c>
      <c r="N83" s="590" t="s">
        <v>211</v>
      </c>
      <c r="O83" s="590" t="s">
        <v>211</v>
      </c>
      <c r="P83" s="598" t="s">
        <v>205</v>
      </c>
      <c r="Q83" s="590" t="s">
        <v>212</v>
      </c>
      <c r="R83" s="809" t="s">
        <v>443</v>
      </c>
      <c r="S83" s="810"/>
      <c r="T83" s="864"/>
      <c r="V83"/>
      <c r="W83"/>
      <c r="X83"/>
      <c r="Y83"/>
      <c r="Z83"/>
    </row>
    <row r="84" spans="6:26" s="40" customFormat="1" ht="24.9" customHeight="1" thickBot="1" x14ac:dyDescent="0.35">
      <c r="F84" s="858" t="s">
        <v>32</v>
      </c>
      <c r="G84" s="859"/>
      <c r="H84" s="859"/>
      <c r="I84" s="859"/>
      <c r="J84" s="859"/>
      <c r="K84" s="859"/>
      <c r="L84" s="859"/>
      <c r="M84" s="859"/>
      <c r="N84" s="859"/>
      <c r="O84" s="859"/>
      <c r="P84" s="859"/>
      <c r="Q84" s="859"/>
      <c r="R84" s="859"/>
      <c r="S84" s="859"/>
      <c r="T84" s="860"/>
      <c r="V84"/>
      <c r="W84"/>
      <c r="X84"/>
      <c r="Y84"/>
      <c r="Z84"/>
    </row>
    <row r="85" spans="6:26" s="40" customFormat="1" ht="36" customHeight="1" x14ac:dyDescent="0.3">
      <c r="F85" s="183" t="s">
        <v>815</v>
      </c>
      <c r="G85" s="1086">
        <v>2500000</v>
      </c>
      <c r="H85" s="815" t="s">
        <v>817</v>
      </c>
      <c r="I85" s="815"/>
      <c r="J85" s="1086">
        <v>12000</v>
      </c>
      <c r="K85" s="184" t="s">
        <v>605</v>
      </c>
      <c r="L85" s="252">
        <f>ROUND((J85*12)/YASALDURUMDEĞERİ,3)</f>
        <v>5.8000000000000003E-2</v>
      </c>
      <c r="M85" s="176" t="s">
        <v>516</v>
      </c>
      <c r="N85" s="254" t="e">
        <f ca="1">+ŞEREFİYEORANI</f>
        <v>#N/A</v>
      </c>
      <c r="O85" s="769" t="s">
        <v>492</v>
      </c>
      <c r="P85" s="1087">
        <v>15000</v>
      </c>
      <c r="Q85" s="769" t="s">
        <v>515</v>
      </c>
      <c r="R85" s="1088" t="s">
        <v>1340</v>
      </c>
      <c r="S85" s="769" t="s">
        <v>437</v>
      </c>
      <c r="T85" s="771" t="s">
        <v>831</v>
      </c>
      <c r="V85"/>
      <c r="W85"/>
      <c r="X85"/>
      <c r="Y85"/>
      <c r="Z85"/>
    </row>
    <row r="86" spans="6:26" s="40" customFormat="1" ht="36" customHeight="1" thickBot="1" x14ac:dyDescent="0.35">
      <c r="F86" s="185" t="s">
        <v>816</v>
      </c>
      <c r="G86" s="1089">
        <v>2500000</v>
      </c>
      <c r="H86" s="783" t="s">
        <v>818</v>
      </c>
      <c r="I86" s="783"/>
      <c r="J86" s="1089">
        <v>12000</v>
      </c>
      <c r="K86" s="186" t="s">
        <v>606</v>
      </c>
      <c r="L86" s="253" t="str">
        <f>+geridönüşhızı</f>
        <v>207 Ay</v>
      </c>
      <c r="M86" s="111" t="s">
        <v>33</v>
      </c>
      <c r="N86" s="255" t="str">
        <f>+ROUND((YASALDURUMDEĞERİ/YASALKULLANIMALANI),2)&amp;" -TL/m2"</f>
        <v>29411,76 -TL/m2</v>
      </c>
      <c r="O86" s="770"/>
      <c r="P86" s="865"/>
      <c r="Q86" s="770"/>
      <c r="R86" s="768"/>
      <c r="S86" s="770"/>
      <c r="T86" s="772"/>
      <c r="V86"/>
      <c r="W86"/>
      <c r="X86"/>
      <c r="Y86"/>
      <c r="Z86"/>
    </row>
    <row r="87" spans="6:26" s="40" customFormat="1" ht="24.9" customHeight="1" thickBot="1" x14ac:dyDescent="0.35">
      <c r="F87" s="870" t="s">
        <v>29</v>
      </c>
      <c r="G87" s="871"/>
      <c r="H87" s="871"/>
      <c r="I87" s="871"/>
      <c r="J87" s="871"/>
      <c r="K87" s="871"/>
      <c r="L87" s="871"/>
      <c r="M87" s="871"/>
      <c r="N87" s="871"/>
      <c r="O87" s="871"/>
      <c r="P87" s="871"/>
      <c r="Q87" s="871"/>
      <c r="R87" s="871"/>
      <c r="S87" s="871"/>
      <c r="T87" s="872"/>
      <c r="V87"/>
      <c r="W87"/>
      <c r="X87"/>
      <c r="Y87"/>
      <c r="Z87"/>
    </row>
    <row r="88" spans="6:26" s="40" customFormat="1" ht="24.6" customHeight="1" x14ac:dyDescent="0.3">
      <c r="F88" s="113" t="s">
        <v>560</v>
      </c>
      <c r="G88" s="774" t="s">
        <v>1320</v>
      </c>
      <c r="H88" s="775"/>
      <c r="I88" s="774" t="s">
        <v>1321</v>
      </c>
      <c r="J88" s="775"/>
      <c r="K88" s="774" t="s">
        <v>1322</v>
      </c>
      <c r="L88" s="775"/>
      <c r="M88" s="774" t="s">
        <v>1323</v>
      </c>
      <c r="N88" s="775"/>
      <c r="O88" s="774" t="s">
        <v>1324</v>
      </c>
      <c r="P88" s="775"/>
      <c r="Q88" s="774" t="s">
        <v>1325</v>
      </c>
      <c r="R88" s="775"/>
      <c r="S88" s="774" t="s">
        <v>1326</v>
      </c>
      <c r="T88" s="775"/>
      <c r="V88"/>
      <c r="W88"/>
      <c r="X88"/>
      <c r="Y88"/>
      <c r="Z88"/>
    </row>
    <row r="89" spans="6:26" s="40" customFormat="1" ht="24.6" customHeight="1" x14ac:dyDescent="0.3">
      <c r="F89" s="114" t="s">
        <v>602</v>
      </c>
      <c r="G89" s="681" t="s">
        <v>3350</v>
      </c>
      <c r="H89" s="773"/>
      <c r="I89" s="681" t="s">
        <v>3352</v>
      </c>
      <c r="J89" s="773"/>
      <c r="K89" s="779" t="s">
        <v>3354</v>
      </c>
      <c r="L89" s="712"/>
      <c r="M89" s="779" t="s">
        <v>3356</v>
      </c>
      <c r="N89" s="712"/>
      <c r="O89" s="776"/>
      <c r="P89" s="712"/>
      <c r="Q89" s="776"/>
      <c r="R89" s="712"/>
      <c r="S89" s="776"/>
      <c r="T89" s="712"/>
      <c r="V89"/>
      <c r="W89"/>
      <c r="X89"/>
      <c r="Y89"/>
      <c r="Z89"/>
    </row>
    <row r="90" spans="6:26" s="40" customFormat="1" ht="24.6" customHeight="1" x14ac:dyDescent="0.3">
      <c r="F90" s="113" t="s">
        <v>561</v>
      </c>
      <c r="G90" s="816" t="s">
        <v>3351</v>
      </c>
      <c r="H90" s="817"/>
      <c r="I90" s="816" t="s">
        <v>3353</v>
      </c>
      <c r="J90" s="817"/>
      <c r="K90" s="780" t="s">
        <v>3355</v>
      </c>
      <c r="L90" s="778"/>
      <c r="M90" s="780" t="s">
        <v>3357</v>
      </c>
      <c r="N90" s="778"/>
      <c r="O90" s="777"/>
      <c r="P90" s="778"/>
      <c r="Q90" s="777"/>
      <c r="R90" s="778"/>
      <c r="S90" s="777"/>
      <c r="T90" s="778"/>
      <c r="V90"/>
      <c r="W90"/>
      <c r="X90"/>
      <c r="Y90"/>
      <c r="Z90"/>
    </row>
    <row r="91" spans="6:26" s="40" customFormat="1" ht="24.6" customHeight="1" x14ac:dyDescent="0.3">
      <c r="F91" s="114" t="s">
        <v>586</v>
      </c>
      <c r="G91" s="681" t="s">
        <v>1317</v>
      </c>
      <c r="H91" s="773"/>
      <c r="I91" s="681" t="s">
        <v>587</v>
      </c>
      <c r="J91" s="773"/>
      <c r="K91" s="628" t="s">
        <v>587</v>
      </c>
      <c r="L91" s="773"/>
      <c r="M91" s="681" t="s">
        <v>587</v>
      </c>
      <c r="N91" s="773"/>
      <c r="O91" s="628"/>
      <c r="P91" s="773"/>
      <c r="Q91" s="628"/>
      <c r="R91" s="773"/>
      <c r="S91" s="628"/>
      <c r="T91" s="773"/>
      <c r="V91"/>
      <c r="W91"/>
      <c r="X91"/>
      <c r="Y91"/>
      <c r="Z91"/>
    </row>
    <row r="92" spans="6:26" s="40" customFormat="1" ht="24.6" customHeight="1" x14ac:dyDescent="0.3">
      <c r="F92" s="114" t="s">
        <v>601</v>
      </c>
      <c r="G92" s="782"/>
      <c r="H92" s="773"/>
      <c r="I92" s="628"/>
      <c r="J92" s="773"/>
      <c r="K92" s="776"/>
      <c r="L92" s="712"/>
      <c r="M92" s="781"/>
      <c r="N92" s="712"/>
      <c r="O92" s="776"/>
      <c r="P92" s="712"/>
      <c r="Q92" s="776"/>
      <c r="R92" s="712"/>
      <c r="S92" s="776"/>
      <c r="T92" s="712"/>
      <c r="V92"/>
      <c r="W92"/>
      <c r="X92"/>
      <c r="Y92"/>
      <c r="Z92"/>
    </row>
    <row r="93" spans="6:26" s="40" customFormat="1" ht="24.6" customHeight="1" x14ac:dyDescent="0.3">
      <c r="F93" s="113" t="s">
        <v>574</v>
      </c>
      <c r="G93" s="681" t="s">
        <v>103</v>
      </c>
      <c r="H93" s="773"/>
      <c r="I93" s="681" t="s">
        <v>103</v>
      </c>
      <c r="J93" s="773"/>
      <c r="K93" s="681" t="s">
        <v>103</v>
      </c>
      <c r="L93" s="773"/>
      <c r="M93" s="681" t="s">
        <v>103</v>
      </c>
      <c r="N93" s="773"/>
      <c r="O93" s="681"/>
      <c r="P93" s="773"/>
      <c r="Q93" s="681"/>
      <c r="R93" s="773"/>
      <c r="S93" s="681"/>
      <c r="T93" s="773"/>
      <c r="V93"/>
      <c r="W93"/>
      <c r="X93"/>
      <c r="Y93"/>
      <c r="Z93"/>
    </row>
    <row r="94" spans="6:26" s="40" customFormat="1" ht="24.6" customHeight="1" x14ac:dyDescent="0.3">
      <c r="F94" s="114" t="s">
        <v>577</v>
      </c>
      <c r="G94" s="681" t="s">
        <v>581</v>
      </c>
      <c r="H94" s="773"/>
      <c r="I94" s="681" t="s">
        <v>581</v>
      </c>
      <c r="J94" s="773"/>
      <c r="K94" s="681" t="s">
        <v>581</v>
      </c>
      <c r="L94" s="773"/>
      <c r="M94" s="681" t="s">
        <v>581</v>
      </c>
      <c r="N94" s="773"/>
      <c r="O94" s="776"/>
      <c r="P94" s="712"/>
      <c r="Q94" s="776"/>
      <c r="R94" s="712"/>
      <c r="S94" s="776"/>
      <c r="T94" s="712"/>
      <c r="V94"/>
      <c r="W94"/>
      <c r="X94"/>
      <c r="Y94"/>
      <c r="Z94"/>
    </row>
    <row r="95" spans="6:26" s="40" customFormat="1" ht="24.6" customHeight="1" x14ac:dyDescent="0.3">
      <c r="F95" s="114" t="s">
        <v>603</v>
      </c>
      <c r="G95" s="681" t="s">
        <v>568</v>
      </c>
      <c r="H95" s="773"/>
      <c r="I95" s="681" t="s">
        <v>568</v>
      </c>
      <c r="J95" s="773"/>
      <c r="K95" s="681" t="s">
        <v>568</v>
      </c>
      <c r="L95" s="773"/>
      <c r="M95" s="681" t="s">
        <v>568</v>
      </c>
      <c r="N95" s="773"/>
      <c r="O95" s="776"/>
      <c r="P95" s="712"/>
      <c r="Q95" s="776"/>
      <c r="R95" s="712"/>
      <c r="S95" s="776"/>
      <c r="T95" s="712"/>
      <c r="V95"/>
      <c r="W95"/>
      <c r="X95"/>
      <c r="Y95"/>
      <c r="Z95"/>
    </row>
    <row r="96" spans="6:26" s="40" customFormat="1" ht="24.6" customHeight="1" x14ac:dyDescent="0.3">
      <c r="F96" s="114" t="s">
        <v>564</v>
      </c>
      <c r="G96" s="616" t="s">
        <v>3061</v>
      </c>
      <c r="H96" s="699"/>
      <c r="I96" s="616" t="s">
        <v>3335</v>
      </c>
      <c r="J96" s="699"/>
      <c r="K96" s="616" t="s">
        <v>3335</v>
      </c>
      <c r="L96" s="699"/>
      <c r="M96" s="616" t="s">
        <v>3335</v>
      </c>
      <c r="N96" s="699"/>
      <c r="O96" s="791"/>
      <c r="P96" s="792"/>
      <c r="Q96" s="791"/>
      <c r="R96" s="792"/>
      <c r="S96" s="791"/>
      <c r="T96" s="792"/>
      <c r="V96"/>
      <c r="W96"/>
      <c r="X96"/>
      <c r="Y96"/>
      <c r="Z96"/>
    </row>
    <row r="97" spans="1:26" s="40" customFormat="1" ht="24.6" customHeight="1" x14ac:dyDescent="0.3">
      <c r="F97" s="114" t="s">
        <v>563</v>
      </c>
      <c r="G97" s="241" t="s">
        <v>1319</v>
      </c>
      <c r="H97" s="244">
        <v>0</v>
      </c>
      <c r="I97" s="241" t="s">
        <v>1297</v>
      </c>
      <c r="J97" s="244">
        <v>0</v>
      </c>
      <c r="K97" s="241" t="s">
        <v>1297</v>
      </c>
      <c r="L97" s="244">
        <v>0</v>
      </c>
      <c r="M97" s="241" t="s">
        <v>1297</v>
      </c>
      <c r="N97" s="244">
        <v>0</v>
      </c>
      <c r="O97" s="219" t="s">
        <v>1297</v>
      </c>
      <c r="P97" s="239">
        <v>0</v>
      </c>
      <c r="Q97" s="219" t="s">
        <v>1297</v>
      </c>
      <c r="R97" s="239">
        <v>0</v>
      </c>
      <c r="S97" s="219" t="s">
        <v>1297</v>
      </c>
      <c r="T97" s="239">
        <v>0</v>
      </c>
      <c r="V97"/>
      <c r="W97"/>
      <c r="X97"/>
      <c r="Y97"/>
      <c r="Z97"/>
    </row>
    <row r="98" spans="1:26" s="40" customFormat="1" ht="24.6" customHeight="1" x14ac:dyDescent="0.3">
      <c r="A98" s="42"/>
      <c r="B98" s="42"/>
      <c r="C98" s="42"/>
      <c r="D98" s="42"/>
      <c r="E98" s="42"/>
      <c r="F98" s="114" t="s">
        <v>585</v>
      </c>
      <c r="G98" s="241" t="s">
        <v>1297</v>
      </c>
      <c r="H98" s="244">
        <v>0</v>
      </c>
      <c r="I98" s="241" t="s">
        <v>1297</v>
      </c>
      <c r="J98" s="244">
        <v>0</v>
      </c>
      <c r="K98" s="219" t="s">
        <v>1297</v>
      </c>
      <c r="L98" s="244">
        <v>0</v>
      </c>
      <c r="M98" s="241" t="s">
        <v>1319</v>
      </c>
      <c r="N98" s="244">
        <v>0</v>
      </c>
      <c r="O98" s="219" t="s">
        <v>1297</v>
      </c>
      <c r="P98" s="239">
        <v>0</v>
      </c>
      <c r="Q98" s="219" t="s">
        <v>1297</v>
      </c>
      <c r="R98" s="239">
        <v>0</v>
      </c>
      <c r="S98" s="219" t="s">
        <v>1297</v>
      </c>
      <c r="T98" s="239">
        <v>0</v>
      </c>
      <c r="V98"/>
      <c r="W98"/>
      <c r="X98"/>
      <c r="Y98"/>
      <c r="Z98"/>
    </row>
    <row r="99" spans="1:26" s="40" customFormat="1" ht="24.6" customHeight="1" x14ac:dyDescent="0.3">
      <c r="A99" s="42"/>
      <c r="B99" s="42"/>
      <c r="C99" s="42"/>
      <c r="D99" s="42"/>
      <c r="E99" s="42"/>
      <c r="F99" s="114" t="s">
        <v>566</v>
      </c>
      <c r="G99" s="616"/>
      <c r="H99" s="699"/>
      <c r="I99" s="616"/>
      <c r="J99" s="699"/>
      <c r="K99" s="841"/>
      <c r="L99" s="792"/>
      <c r="M99" s="841"/>
      <c r="N99" s="792"/>
      <c r="O99" s="791"/>
      <c r="P99" s="792"/>
      <c r="Q99" s="791"/>
      <c r="R99" s="792"/>
      <c r="S99" s="791"/>
      <c r="T99" s="792"/>
      <c r="V99"/>
      <c r="W99"/>
      <c r="X99"/>
      <c r="Y99"/>
      <c r="Z99"/>
    </row>
    <row r="100" spans="1:26" ht="24.6" customHeight="1" x14ac:dyDescent="0.3">
      <c r="A100" s="41"/>
      <c r="B100" s="41"/>
      <c r="C100" s="41"/>
      <c r="D100" s="41"/>
      <c r="E100" s="41"/>
      <c r="F100" s="114" t="s">
        <v>565</v>
      </c>
      <c r="G100" s="681" t="s">
        <v>1304</v>
      </c>
      <c r="H100" s="773"/>
      <c r="I100" s="681" t="s">
        <v>1304</v>
      </c>
      <c r="J100" s="773"/>
      <c r="K100" s="681" t="s">
        <v>1303</v>
      </c>
      <c r="L100" s="773"/>
      <c r="M100" s="681" t="s">
        <v>1302</v>
      </c>
      <c r="N100" s="773"/>
      <c r="O100" s="628"/>
      <c r="P100" s="773"/>
      <c r="Q100" s="628"/>
      <c r="R100" s="773"/>
      <c r="S100" s="628"/>
      <c r="T100" s="773"/>
      <c r="V100"/>
      <c r="W100"/>
      <c r="X100"/>
      <c r="Y100"/>
      <c r="Z100"/>
    </row>
    <row r="101" spans="1:26" ht="24.6" customHeight="1" x14ac:dyDescent="0.3">
      <c r="A101" s="41"/>
      <c r="B101" s="41"/>
      <c r="C101" s="41"/>
      <c r="D101" s="41"/>
      <c r="E101" s="41"/>
      <c r="F101" s="114" t="s">
        <v>562</v>
      </c>
      <c r="G101" s="784">
        <v>170</v>
      </c>
      <c r="H101" s="785"/>
      <c r="I101" s="784">
        <v>160</v>
      </c>
      <c r="J101" s="785"/>
      <c r="K101" s="793">
        <v>150</v>
      </c>
      <c r="L101" s="790"/>
      <c r="M101" s="793">
        <v>160</v>
      </c>
      <c r="N101" s="790"/>
      <c r="O101" s="789"/>
      <c r="P101" s="790"/>
      <c r="Q101" s="789"/>
      <c r="R101" s="790"/>
      <c r="S101" s="789"/>
      <c r="T101" s="790"/>
      <c r="V101"/>
      <c r="W101"/>
      <c r="X101"/>
      <c r="Y101"/>
      <c r="Z101"/>
    </row>
    <row r="102" spans="1:26" ht="24.6" customHeight="1" x14ac:dyDescent="0.3">
      <c r="A102" s="41"/>
      <c r="B102" s="41"/>
      <c r="C102" s="41"/>
      <c r="D102" s="41"/>
      <c r="E102" s="41"/>
      <c r="F102" s="113" t="s">
        <v>604</v>
      </c>
      <c r="G102" s="766">
        <v>145</v>
      </c>
      <c r="H102" s="767"/>
      <c r="I102" s="766">
        <v>145</v>
      </c>
      <c r="J102" s="767"/>
      <c r="K102" s="836">
        <v>140</v>
      </c>
      <c r="L102" s="837"/>
      <c r="M102" s="836">
        <v>140</v>
      </c>
      <c r="N102" s="837"/>
      <c r="O102" s="842"/>
      <c r="P102" s="837"/>
      <c r="Q102" s="842"/>
      <c r="R102" s="837"/>
      <c r="S102" s="842"/>
      <c r="T102" s="837"/>
      <c r="V102"/>
      <c r="W102"/>
      <c r="X102"/>
      <c r="Y102"/>
      <c r="Z102"/>
    </row>
    <row r="103" spans="1:26" ht="24.6" customHeight="1" x14ac:dyDescent="0.3">
      <c r="A103" s="41"/>
      <c r="B103" s="41"/>
      <c r="C103" s="41"/>
      <c r="D103" s="41"/>
      <c r="E103" s="41"/>
      <c r="F103" s="114" t="s">
        <v>1314</v>
      </c>
      <c r="G103" s="834">
        <v>7790000</v>
      </c>
      <c r="H103" s="835"/>
      <c r="I103" s="839">
        <v>8950000</v>
      </c>
      <c r="J103" s="840"/>
      <c r="K103" s="834">
        <v>7950000</v>
      </c>
      <c r="L103" s="835"/>
      <c r="M103" s="834">
        <v>8050000</v>
      </c>
      <c r="N103" s="835"/>
      <c r="O103" s="838"/>
      <c r="P103" s="835"/>
      <c r="Q103" s="838"/>
      <c r="R103" s="835"/>
      <c r="S103" s="838"/>
      <c r="T103" s="835"/>
      <c r="V103"/>
      <c r="W103"/>
      <c r="X103"/>
      <c r="Y103"/>
      <c r="Z103"/>
    </row>
    <row r="104" spans="1:26" s="40" customFormat="1" ht="24.6" customHeight="1" x14ac:dyDescent="0.3">
      <c r="A104" s="42"/>
      <c r="B104" s="42"/>
      <c r="C104" s="42"/>
      <c r="D104" s="42"/>
      <c r="E104" s="42"/>
      <c r="F104" s="217" t="s">
        <v>1315</v>
      </c>
      <c r="G104" s="834">
        <v>7750000</v>
      </c>
      <c r="H104" s="835"/>
      <c r="I104" s="834">
        <v>8000000</v>
      </c>
      <c r="J104" s="835"/>
      <c r="K104" s="834">
        <v>7500000</v>
      </c>
      <c r="L104" s="835"/>
      <c r="M104" s="834">
        <v>7500000</v>
      </c>
      <c r="N104" s="835"/>
      <c r="O104" s="838"/>
      <c r="P104" s="835"/>
      <c r="Q104" s="838"/>
      <c r="R104" s="835"/>
      <c r="S104" s="838"/>
      <c r="T104" s="835"/>
      <c r="V104"/>
      <c r="W104"/>
      <c r="X104"/>
      <c r="Y104"/>
      <c r="Z104"/>
    </row>
    <row r="105" spans="1:26" ht="24.6" customHeight="1" thickBot="1" x14ac:dyDescent="0.35">
      <c r="A105" s="41"/>
      <c r="B105" s="41"/>
      <c r="C105" s="41"/>
      <c r="D105" s="41"/>
      <c r="E105" s="41"/>
      <c r="F105" s="115" t="s">
        <v>591</v>
      </c>
      <c r="G105" s="830">
        <f>1-(G104/G103)</f>
        <v>5.1347881899871384E-3</v>
      </c>
      <c r="H105" s="831"/>
      <c r="I105" s="830">
        <f>1-(I104/I103)</f>
        <v>0.1061452513966481</v>
      </c>
      <c r="J105" s="831"/>
      <c r="K105" s="830">
        <f>1-(K104/K103)</f>
        <v>5.6603773584905648E-2</v>
      </c>
      <c r="L105" s="831"/>
      <c r="M105" s="830">
        <f>1-(M104/M103)</f>
        <v>6.8322981366459645E-2</v>
      </c>
      <c r="N105" s="831"/>
      <c r="O105" s="830" t="e">
        <f>1-(O104/O103)</f>
        <v>#DIV/0!</v>
      </c>
      <c r="P105" s="831"/>
      <c r="Q105" s="830" t="e">
        <f>1-(Q104/Q103)</f>
        <v>#DIV/0!</v>
      </c>
      <c r="R105" s="831"/>
      <c r="S105" s="830" t="e">
        <f>1-(S104/S103)</f>
        <v>#DIV/0!</v>
      </c>
      <c r="T105" s="831"/>
      <c r="V105"/>
      <c r="W105"/>
      <c r="X105"/>
      <c r="Y105"/>
      <c r="Z105"/>
    </row>
    <row r="106" spans="1:26" ht="24.6" customHeight="1" thickBot="1" x14ac:dyDescent="0.35">
      <c r="A106" s="41"/>
      <c r="B106" s="41"/>
      <c r="C106" s="41"/>
      <c r="D106" s="41"/>
      <c r="E106" s="41"/>
      <c r="F106" s="218" t="s">
        <v>1316</v>
      </c>
      <c r="G106" s="834">
        <v>40000</v>
      </c>
      <c r="H106" s="835"/>
      <c r="I106" s="834">
        <v>40000</v>
      </c>
      <c r="J106" s="835"/>
      <c r="K106" s="834">
        <v>35000</v>
      </c>
      <c r="L106" s="835"/>
      <c r="M106" s="834">
        <v>35000</v>
      </c>
      <c r="N106" s="835"/>
      <c r="O106" s="838"/>
      <c r="P106" s="835"/>
      <c r="Q106" s="838"/>
      <c r="R106" s="835"/>
      <c r="S106" s="838"/>
      <c r="T106" s="835"/>
      <c r="V106"/>
      <c r="W106"/>
      <c r="X106"/>
      <c r="Y106"/>
      <c r="Z106"/>
    </row>
    <row r="107" spans="1:26" ht="24.6" customHeight="1" thickBot="1" x14ac:dyDescent="0.35">
      <c r="A107" s="41"/>
      <c r="B107" s="41"/>
      <c r="C107" s="41"/>
      <c r="D107" s="41"/>
      <c r="E107" s="41"/>
      <c r="F107" s="112" t="s">
        <v>1318</v>
      </c>
      <c r="G107" s="843">
        <f>(IF(G98="+",-1+(1-H98),-1+(1+H98))+IF(G97="+",-1+(1-H97),-1+(1+H97))+1)*G108</f>
        <v>53448.28</v>
      </c>
      <c r="H107" s="844"/>
      <c r="I107" s="843">
        <f>(IF(I98="+",-1+(1-J98),-1+(1+J98))+IF(I97="+",-1+(1-J97),-1+(1+J97))+1)*I108</f>
        <v>55172.41</v>
      </c>
      <c r="J107" s="844"/>
      <c r="K107" s="843">
        <f>(IF(K98="+",-1+(1-L98),-1+(1+L98))+IF(K97="+",-1+(1-L97),-1+(1+L97))+1)*K108</f>
        <v>53571.43</v>
      </c>
      <c r="L107" s="844"/>
      <c r="M107" s="843">
        <f>(IF(M98="+",-1+(1-N98),-1+(1+N98))+IF(M97="+",-1+(1-N97),-1+(1+N97))+1)*M108</f>
        <v>53571.43</v>
      </c>
      <c r="N107" s="844"/>
      <c r="O107" s="843" t="e">
        <f>(IF(O98="+",-1+(1-P98),-1+(1+P98))+IF(O97="+",-1+(1-P97),-1+(1+P97))+1)*O108</f>
        <v>#DIV/0!</v>
      </c>
      <c r="P107" s="844"/>
      <c r="Q107" s="843" t="e">
        <f>(IF(Q98="+",-1+(1-R98),-1+(1+R98))+IF(Q97="+",-1+(1-R97),-1+(1+R97))+1)*Q108</f>
        <v>#DIV/0!</v>
      </c>
      <c r="R107" s="844"/>
      <c r="S107" s="843" t="e">
        <f>(IF(S98="+",-1+(1-T98),-1+(1+T98))+IF(S97="+",-1+(1-T97),-1+(1+T97))+1)*S108</f>
        <v>#DIV/0!</v>
      </c>
      <c r="T107" s="844"/>
      <c r="V107"/>
      <c r="W107"/>
      <c r="X107"/>
      <c r="Y107"/>
      <c r="Z107"/>
    </row>
    <row r="108" spans="1:26" ht="24.6" customHeight="1" thickBot="1" x14ac:dyDescent="0.35">
      <c r="A108" s="41"/>
      <c r="B108" s="41"/>
      <c r="C108" s="41"/>
      <c r="D108" s="41"/>
      <c r="E108" s="41"/>
      <c r="F108" s="112" t="s">
        <v>611</v>
      </c>
      <c r="G108" s="843">
        <f>ROUND((G104/G102),2)</f>
        <v>53448.28</v>
      </c>
      <c r="H108" s="844"/>
      <c r="I108" s="843">
        <f>ROUND((I104/I102),2)</f>
        <v>55172.41</v>
      </c>
      <c r="J108" s="844"/>
      <c r="K108" s="843">
        <f>ROUND((K104/K102),2)</f>
        <v>53571.43</v>
      </c>
      <c r="L108" s="844"/>
      <c r="M108" s="843">
        <f>ROUND((M104/M102),2)</f>
        <v>53571.43</v>
      </c>
      <c r="N108" s="844"/>
      <c r="O108" s="843" t="e">
        <f>ROUND((O104/O102),2)</f>
        <v>#DIV/0!</v>
      </c>
      <c r="P108" s="844"/>
      <c r="Q108" s="843" t="e">
        <f>ROUND((Q104/Q102),2)</f>
        <v>#DIV/0!</v>
      </c>
      <c r="R108" s="844"/>
      <c r="S108" s="843" t="e">
        <f>ROUND((S104/S102),2)</f>
        <v>#DIV/0!</v>
      </c>
      <c r="T108" s="844"/>
      <c r="V108"/>
      <c r="W108"/>
      <c r="X108"/>
      <c r="Y108"/>
      <c r="Z108"/>
    </row>
    <row r="109" spans="1:26" ht="24.6" customHeight="1" x14ac:dyDescent="0.3">
      <c r="A109" s="41"/>
      <c r="B109" s="41"/>
      <c r="C109" s="41"/>
      <c r="D109" s="41"/>
      <c r="E109" s="41"/>
      <c r="F109"/>
      <c r="G109"/>
      <c r="H109"/>
      <c r="I109"/>
      <c r="J109"/>
      <c r="K109"/>
      <c r="L109"/>
      <c r="M109"/>
      <c r="N109"/>
      <c r="O109"/>
      <c r="P109"/>
      <c r="Q109"/>
      <c r="R109"/>
      <c r="S109"/>
      <c r="T109"/>
      <c r="V109"/>
      <c r="W109"/>
      <c r="X109"/>
      <c r="Y109"/>
      <c r="Z109"/>
    </row>
    <row r="110" spans="1:26" ht="21.9" customHeight="1" x14ac:dyDescent="0.3">
      <c r="A110" s="41"/>
      <c r="B110" s="41"/>
      <c r="C110" s="41"/>
      <c r="D110" s="41"/>
      <c r="E110" s="41"/>
      <c r="F110"/>
      <c r="G110"/>
      <c r="H110"/>
      <c r="I110"/>
      <c r="J110"/>
      <c r="K110"/>
      <c r="L110"/>
      <c r="M110"/>
      <c r="N110"/>
      <c r="O110"/>
      <c r="P110"/>
      <c r="Q110"/>
      <c r="R110"/>
      <c r="S110"/>
      <c r="T110"/>
      <c r="V110"/>
      <c r="W110"/>
      <c r="X110"/>
      <c r="Y110"/>
      <c r="Z110"/>
    </row>
    <row r="111" spans="1:26" ht="21.9" customHeight="1" x14ac:dyDescent="0.3">
      <c r="A111" s="41"/>
      <c r="B111" s="41"/>
      <c r="C111" s="41"/>
      <c r="D111" s="41"/>
      <c r="E111" s="41"/>
      <c r="F111" s="245"/>
      <c r="G111" s="245"/>
      <c r="H111" s="245"/>
      <c r="I111"/>
      <c r="J111" s="245"/>
      <c r="K111" s="245"/>
      <c r="L111" s="245"/>
      <c r="M111"/>
      <c r="N111"/>
      <c r="O111"/>
      <c r="P111" s="214"/>
      <c r="Q111" s="214"/>
      <c r="R111" s="214"/>
      <c r="S111"/>
      <c r="T111"/>
      <c r="V111"/>
      <c r="W111"/>
      <c r="X111"/>
      <c r="Y111"/>
      <c r="Z111"/>
    </row>
    <row r="112" spans="1:26" ht="21.9" customHeight="1" x14ac:dyDescent="0.3">
      <c r="A112" s="41"/>
      <c r="B112" s="41"/>
      <c r="C112" s="41"/>
      <c r="D112" s="41"/>
      <c r="E112" s="41"/>
      <c r="F112" s="245"/>
      <c r="G112" s="245"/>
      <c r="H112" s="245"/>
      <c r="I112"/>
      <c r="J112" s="245"/>
      <c r="K112" s="245"/>
      <c r="L112"/>
      <c r="M112"/>
      <c r="N112"/>
      <c r="O112"/>
      <c r="P112" s="214"/>
      <c r="Q112" s="214"/>
      <c r="R112" s="214"/>
      <c r="S112"/>
      <c r="T112"/>
      <c r="V112"/>
      <c r="W112"/>
      <c r="X112"/>
      <c r="Y112"/>
      <c r="Z112"/>
    </row>
    <row r="113" spans="1:70" ht="21.9" customHeight="1" x14ac:dyDescent="0.3">
      <c r="A113" s="41"/>
      <c r="B113" s="41"/>
      <c r="C113" s="41"/>
      <c r="D113" s="41"/>
      <c r="E113" s="41"/>
      <c r="F113" s="245"/>
      <c r="G113" s="245"/>
      <c r="H113" s="245"/>
      <c r="I113"/>
      <c r="J113" s="245"/>
      <c r="K113" s="245"/>
      <c r="L113" s="245"/>
      <c r="M113" s="245"/>
      <c r="N113" s="245"/>
      <c r="O113"/>
      <c r="P113" s="214"/>
      <c r="Q113"/>
      <c r="R113"/>
      <c r="S113"/>
      <c r="T113"/>
      <c r="V113"/>
      <c r="W113"/>
      <c r="X113"/>
      <c r="Y113"/>
      <c r="Z113"/>
    </row>
    <row r="114" spans="1:70" ht="27" customHeight="1" x14ac:dyDescent="0.3">
      <c r="A114" s="41"/>
      <c r="B114" s="41"/>
      <c r="C114" s="41"/>
      <c r="D114" s="41"/>
      <c r="E114" s="41"/>
      <c r="F114" s="245"/>
      <c r="G114" s="245"/>
      <c r="H114" s="245"/>
      <c r="I114"/>
      <c r="J114" s="245"/>
      <c r="K114" s="245"/>
      <c r="L114" s="245"/>
      <c r="M114" s="245"/>
      <c r="N114" s="245"/>
      <c r="O114" s="214"/>
      <c r="P114" s="245"/>
      <c r="Q114" s="245"/>
      <c r="R114" s="245"/>
      <c r="S114"/>
      <c r="T114"/>
      <c r="V114"/>
      <c r="W114"/>
      <c r="X114"/>
      <c r="Y114"/>
      <c r="Z114"/>
    </row>
    <row r="115" spans="1:70" ht="21.9" customHeight="1" x14ac:dyDescent="0.3">
      <c r="A115" s="41"/>
      <c r="B115" s="41"/>
      <c r="C115" s="41"/>
      <c r="D115" s="41"/>
      <c r="E115" s="41"/>
      <c r="F115" s="245"/>
      <c r="G115" s="245"/>
      <c r="H115" s="245"/>
      <c r="I115"/>
      <c r="J115"/>
      <c r="K115"/>
      <c r="L115" s="245"/>
      <c r="M115"/>
      <c r="N115"/>
      <c r="O115" s="245"/>
      <c r="P115" s="245"/>
      <c r="Q115" s="245"/>
      <c r="R115" s="245"/>
      <c r="S115"/>
      <c r="T115"/>
      <c r="V115" s="846"/>
      <c r="W115" s="846"/>
      <c r="X115" s="846"/>
      <c r="Y115" s="846"/>
    </row>
    <row r="116" spans="1:70" ht="21.9" customHeight="1" x14ac:dyDescent="0.3">
      <c r="A116" s="41"/>
      <c r="B116" s="41"/>
      <c r="C116" s="41"/>
      <c r="D116" s="41"/>
      <c r="E116" s="41"/>
      <c r="F116" s="285"/>
      <c r="G116" s="245"/>
      <c r="H116" s="245"/>
      <c r="I116"/>
      <c r="J116" s="238"/>
      <c r="K116" s="238"/>
      <c r="L116" s="286"/>
      <c r="M116"/>
      <c r="N116"/>
      <c r="O116" s="245"/>
      <c r="P116" s="245"/>
      <c r="Q116" s="265"/>
      <c r="R116" s="245"/>
      <c r="S116"/>
      <c r="T116"/>
      <c r="V116" s="846"/>
      <c r="W116" s="846"/>
      <c r="X116" s="846"/>
      <c r="Y116" s="846"/>
    </row>
    <row r="117" spans="1:70" ht="21.9" customHeight="1" x14ac:dyDescent="0.3">
      <c r="A117" s="41"/>
      <c r="B117" s="41"/>
      <c r="C117" s="41"/>
      <c r="D117" s="41"/>
      <c r="E117" s="41"/>
      <c r="F117" s="285"/>
      <c r="G117" s="245"/>
      <c r="H117" s="245"/>
      <c r="I117"/>
      <c r="J117" s="286"/>
      <c r="K117" s="286"/>
      <c r="L117" s="286"/>
      <c r="M117"/>
      <c r="N117"/>
      <c r="O117" s="245"/>
      <c r="P117" s="245"/>
      <c r="Q117" s="245"/>
      <c r="R117" s="245"/>
      <c r="S117"/>
      <c r="T117"/>
      <c r="V117" s="846"/>
      <c r="W117" s="846"/>
      <c r="X117" s="846"/>
      <c r="Y117" s="846"/>
    </row>
    <row r="118" spans="1:70" ht="21.9" customHeight="1" x14ac:dyDescent="0.3">
      <c r="A118" s="41"/>
      <c r="B118" s="41"/>
      <c r="C118" s="41"/>
      <c r="D118" s="41"/>
      <c r="E118" s="41"/>
      <c r="F118" s="285"/>
      <c r="G118" s="245"/>
      <c r="H118" s="245"/>
      <c r="I118"/>
      <c r="J118" s="238"/>
      <c r="K118" s="238"/>
      <c r="L118" s="286"/>
      <c r="M118" s="245"/>
      <c r="N118"/>
      <c r="O118" s="245"/>
      <c r="P118" s="265"/>
      <c r="Q118" s="265"/>
      <c r="R118" s="245"/>
      <c r="S118"/>
      <c r="T118"/>
      <c r="V118" s="846"/>
      <c r="W118" s="846"/>
      <c r="X118" s="846"/>
      <c r="Y118" s="846"/>
    </row>
    <row r="119" spans="1:70" ht="21.9" customHeight="1" x14ac:dyDescent="0.3">
      <c r="A119" s="41"/>
      <c r="B119" s="41"/>
      <c r="C119" s="41"/>
      <c r="D119" s="41"/>
      <c r="E119" s="41"/>
      <c r="F119" s="285"/>
      <c r="G119" s="245"/>
      <c r="H119" s="245"/>
      <c r="I119"/>
      <c r="J119" s="121"/>
      <c r="K119" s="238"/>
      <c r="L119" s="286"/>
      <c r="M119"/>
      <c r="N119"/>
      <c r="O119"/>
      <c r="P119" s="245"/>
      <c r="Q119" s="245"/>
      <c r="R119" s="245"/>
      <c r="S119"/>
      <c r="T119"/>
    </row>
    <row r="120" spans="1:70" ht="21.9" customHeight="1" x14ac:dyDescent="0.3">
      <c r="A120" s="41"/>
      <c r="B120" s="41"/>
      <c r="C120" s="41"/>
      <c r="D120" s="41"/>
      <c r="E120" s="41"/>
      <c r="F120"/>
      <c r="G120"/>
      <c r="H120" s="245"/>
      <c r="I120"/>
      <c r="J120" s="245"/>
      <c r="K120" s="286"/>
      <c r="L120" s="245"/>
      <c r="M120"/>
      <c r="N120"/>
      <c r="O120"/>
      <c r="P120"/>
      <c r="Q120"/>
      <c r="R120"/>
      <c r="S120"/>
      <c r="T120"/>
    </row>
    <row r="121" spans="1:70" ht="21.9" customHeight="1" x14ac:dyDescent="0.3">
      <c r="A121" s="41"/>
      <c r="B121" s="41"/>
      <c r="C121" s="41"/>
      <c r="D121" s="41"/>
      <c r="E121" s="41"/>
      <c r="F121"/>
      <c r="G121"/>
      <c r="H121" s="245"/>
      <c r="I121"/>
      <c r="J121" s="245"/>
      <c r="K121" s="286"/>
      <c r="L121" s="245"/>
      <c r="M121"/>
      <c r="N121"/>
      <c r="O121"/>
      <c r="P121"/>
      <c r="Q121"/>
      <c r="R121" s="245"/>
      <c r="S121"/>
      <c r="T121"/>
      <c r="U121"/>
      <c r="V121"/>
      <c r="W121"/>
      <c r="X121"/>
      <c r="Y121"/>
      <c r="Z121"/>
      <c r="AA121"/>
      <c r="AB121"/>
    </row>
    <row r="122" spans="1:70" ht="21.9" customHeight="1" x14ac:dyDescent="0.3">
      <c r="A122" s="41"/>
      <c r="B122" s="41"/>
      <c r="C122" s="41"/>
      <c r="D122" s="41"/>
      <c r="E122" s="41"/>
      <c r="F122"/>
      <c r="G122"/>
      <c r="H122" s="245"/>
      <c r="I122"/>
      <c r="J122" s="245"/>
      <c r="K122" s="286"/>
      <c r="L122" s="245"/>
      <c r="M122"/>
      <c r="N122"/>
      <c r="O122"/>
      <c r="P122"/>
      <c r="Q122"/>
      <c r="R122" s="245"/>
      <c r="S122" s="245"/>
      <c r="T122"/>
      <c r="U122"/>
      <c r="V122"/>
      <c r="W122"/>
      <c r="X122"/>
      <c r="Y122"/>
      <c r="Z122"/>
      <c r="AA122"/>
      <c r="AB122"/>
    </row>
    <row r="123" spans="1:70" ht="21.9" customHeight="1" x14ac:dyDescent="0.3">
      <c r="A123" s="41"/>
      <c r="B123" s="41"/>
      <c r="C123" s="41"/>
      <c r="D123" s="41"/>
      <c r="E123" s="41"/>
      <c r="F123"/>
      <c r="G123"/>
      <c r="H123" s="245"/>
      <c r="I123"/>
      <c r="J123" s="245"/>
      <c r="K123" s="286"/>
      <c r="L123" s="245"/>
      <c r="M123"/>
      <c r="N123"/>
      <c r="O123"/>
      <c r="P123"/>
      <c r="Q123"/>
      <c r="R123"/>
      <c r="S123"/>
      <c r="T123"/>
      <c r="U123"/>
      <c r="V123"/>
      <c r="W123"/>
      <c r="X123"/>
      <c r="Y123"/>
      <c r="Z123"/>
      <c r="AA123"/>
      <c r="AB123"/>
    </row>
    <row r="124" spans="1:70" ht="24.9" customHeight="1" x14ac:dyDescent="0.3">
      <c r="A124" s="41"/>
      <c r="B124" s="41"/>
      <c r="C124" s="41"/>
      <c r="D124" s="41"/>
      <c r="E124" s="41"/>
      <c r="F124"/>
      <c r="G124"/>
      <c r="H124"/>
      <c r="I124"/>
      <c r="J124" s="245"/>
      <c r="K124" s="286"/>
      <c r="L124" s="245"/>
      <c r="M124"/>
      <c r="N124"/>
      <c r="O124"/>
      <c r="P124" s="245"/>
      <c r="Q124" s="245"/>
      <c r="R124"/>
      <c r="S124"/>
      <c r="T124"/>
      <c r="U124"/>
      <c r="V124"/>
      <c r="W124"/>
      <c r="X124"/>
      <c r="Y124"/>
      <c r="Z124"/>
      <c r="AA124"/>
      <c r="AB124"/>
    </row>
    <row r="125" spans="1:70" ht="24.9" customHeight="1" x14ac:dyDescent="0.3">
      <c r="A125" s="41"/>
      <c r="B125" s="41"/>
      <c r="C125" s="41"/>
      <c r="D125" s="41"/>
      <c r="E125" s="41"/>
      <c r="F125" s="245"/>
      <c r="G125" s="245"/>
      <c r="H125"/>
      <c r="I125"/>
      <c r="J125" s="245"/>
      <c r="K125" s="286"/>
      <c r="L125" s="245"/>
      <c r="M125"/>
      <c r="N125"/>
      <c r="O125"/>
      <c r="P125" s="245"/>
      <c r="Q125" s="24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row>
    <row r="126" spans="1:70" s="52" customFormat="1" ht="20.100000000000001" customHeight="1" x14ac:dyDescent="0.3">
      <c r="A126" s="21"/>
      <c r="B126" s="21"/>
      <c r="C126" s="21"/>
      <c r="D126" s="21"/>
      <c r="E126" s="21"/>
      <c r="F126" s="245"/>
      <c r="G126" s="245"/>
      <c r="H126"/>
      <c r="I126"/>
      <c r="J126" s="245"/>
      <c r="K126" s="286"/>
      <c r="L126" s="245"/>
      <c r="M126"/>
      <c r="N126"/>
      <c r="O126"/>
      <c r="P126" s="245"/>
      <c r="Q126" s="245"/>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row>
    <row r="127" spans="1:70" s="93" customFormat="1" ht="20.100000000000001" customHeight="1" x14ac:dyDescent="0.3">
      <c r="A127" s="64"/>
      <c r="B127" s="64"/>
      <c r="C127" s="64"/>
      <c r="D127" s="64"/>
      <c r="E127" s="64"/>
      <c r="F127" s="245"/>
      <c r="G127" s="245"/>
      <c r="H127"/>
      <c r="I127"/>
      <c r="J127"/>
      <c r="K127" s="238"/>
      <c r="L127" s="245"/>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row>
    <row r="128" spans="1:70" s="52" customFormat="1" ht="19.5" customHeight="1" x14ac:dyDescent="0.3">
      <c r="A128" s="21"/>
      <c r="B128" s="21"/>
      <c r="C128" s="21"/>
      <c r="D128" s="21"/>
      <c r="E128" s="21"/>
      <c r="F128"/>
      <c r="G128" s="245"/>
      <c r="H128"/>
      <c r="I128"/>
      <c r="J128"/>
      <c r="K128" s="238"/>
      <c r="L128" s="245"/>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row>
    <row r="129" spans="1:142" s="93" customFormat="1" ht="22.5" customHeight="1" x14ac:dyDescent="0.3">
      <c r="A129" s="64"/>
      <c r="B129" s="64"/>
      <c r="C129" s="64"/>
      <c r="D129" s="64"/>
      <c r="E129" s="64"/>
      <c r="F129"/>
      <c r="G129"/>
      <c r="H129"/>
      <c r="I129"/>
      <c r="J129" s="245"/>
      <c r="K129" s="286"/>
      <c r="L129" s="245"/>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row>
    <row r="130" spans="1:142" s="93" customFormat="1" ht="33" customHeight="1" x14ac:dyDescent="0.3">
      <c r="A130" s="64"/>
      <c r="B130" s="64"/>
      <c r="C130" s="64"/>
      <c r="D130" s="64"/>
      <c r="E130" s="64"/>
      <c r="F130"/>
      <c r="G130"/>
      <c r="H130"/>
      <c r="I130"/>
      <c r="J130"/>
      <c r="K130" s="238"/>
      <c r="L130" s="245"/>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row>
    <row r="131" spans="1:142" s="52" customFormat="1" ht="20.100000000000001" customHeight="1" x14ac:dyDescent="0.3">
      <c r="F131"/>
      <c r="G131"/>
      <c r="H131"/>
      <c r="I131"/>
      <c r="J131"/>
      <c r="K131"/>
      <c r="L131" s="245"/>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s="21"/>
    </row>
    <row r="132" spans="1:142" s="93" customFormat="1" ht="19.5" customHeight="1" x14ac:dyDescent="0.3">
      <c r="F132"/>
      <c r="G132"/>
      <c r="H132"/>
      <c r="I132"/>
      <c r="J132"/>
      <c r="K132"/>
      <c r="L132" s="245"/>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s="64"/>
    </row>
    <row r="133" spans="1:142" s="52" customFormat="1" ht="20.100000000000001" customHeight="1" x14ac:dyDescent="0.3">
      <c r="F133"/>
      <c r="G133"/>
      <c r="H133"/>
      <c r="I133"/>
      <c r="J133"/>
      <c r="K133"/>
      <c r="L133" s="245"/>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s="21"/>
    </row>
    <row r="134" spans="1:142" s="93" customFormat="1" ht="20.100000000000001" customHeight="1" x14ac:dyDescent="0.3">
      <c r="F134"/>
      <c r="G134"/>
      <c r="H134"/>
      <c r="I134"/>
      <c r="J134"/>
      <c r="K134"/>
      <c r="L134" s="245"/>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s="64"/>
    </row>
    <row r="135" spans="1:142" s="93" customFormat="1" ht="17.25" customHeight="1" x14ac:dyDescent="0.3">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s="64"/>
    </row>
    <row r="136" spans="1:142" s="93" customFormat="1" ht="81" customHeight="1" x14ac:dyDescent="0.3">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s="64"/>
      <c r="EL136" s="93">
        <f>+LEN(AC139)</f>
        <v>0</v>
      </c>
    </row>
    <row r="137" spans="1:142" s="52" customFormat="1" ht="19.5" customHeight="1" x14ac:dyDescent="0.3">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s="21"/>
      <c r="EL137" s="39"/>
    </row>
    <row r="138" spans="1:142" s="52" customFormat="1" ht="22.5" customHeight="1" x14ac:dyDescent="0.3">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s="21"/>
      <c r="EL138" s="93">
        <f>+LEN(AC145)</f>
        <v>0</v>
      </c>
    </row>
    <row r="139" spans="1:142" s="93" customFormat="1" ht="57.6" customHeight="1" x14ac:dyDescent="0.3">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s="64"/>
      <c r="EL139" s="39"/>
    </row>
    <row r="140" spans="1:142" s="52" customFormat="1" ht="19.5" customHeight="1" x14ac:dyDescent="0.3">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s="21"/>
      <c r="EL140" s="39"/>
    </row>
    <row r="141" spans="1:142" s="93" customFormat="1" ht="30.6" customHeight="1" x14ac:dyDescent="0.3">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s="64"/>
    </row>
    <row r="142" spans="1:142" s="52" customFormat="1" ht="19.5" customHeight="1" x14ac:dyDescent="0.3">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s="21"/>
    </row>
    <row r="143" spans="1:142" s="93" customFormat="1" ht="52.2" customHeight="1" x14ac:dyDescent="0.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s="64"/>
    </row>
    <row r="144" spans="1:142" s="52" customFormat="1" ht="19.5" customHeight="1" x14ac:dyDescent="0.3">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s="21"/>
    </row>
    <row r="145" spans="6:71" s="93" customFormat="1" ht="19.5" customHeight="1" x14ac:dyDescent="0.3">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s="64"/>
    </row>
    <row r="146" spans="6:71" s="93" customFormat="1" ht="290.39999999999998" customHeight="1" x14ac:dyDescent="0.3">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s="64"/>
    </row>
    <row r="147" spans="6:71" s="52" customFormat="1" ht="18.75" customHeight="1" x14ac:dyDescent="0.3">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s="21"/>
    </row>
    <row r="148" spans="6:71" s="93" customFormat="1" ht="19.5" customHeight="1" x14ac:dyDescent="0.3">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s="64"/>
    </row>
    <row r="149" spans="6:71" s="93" customFormat="1" ht="47.4" customHeight="1" x14ac:dyDescent="0.3">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s="64"/>
    </row>
    <row r="150" spans="6:71" s="52" customFormat="1" ht="17.25" customHeight="1" x14ac:dyDescent="0.3">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s="21"/>
    </row>
    <row r="151" spans="6:71" s="93" customFormat="1" ht="20.100000000000001" customHeight="1" x14ac:dyDescent="0.3">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s="64"/>
    </row>
    <row r="152" spans="6:71" s="52" customFormat="1" ht="19.5" customHeight="1" x14ac:dyDescent="0.3">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s="21"/>
    </row>
    <row r="153" spans="6:71" s="93" customFormat="1" ht="15.75" customHeight="1" x14ac:dyDescent="0.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s="64"/>
    </row>
    <row r="154" spans="6:71" s="93" customFormat="1" ht="19.5" customHeight="1" x14ac:dyDescent="0.3">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s="64"/>
    </row>
    <row r="155" spans="6:71" s="93" customFormat="1" ht="18.75" customHeight="1" x14ac:dyDescent="0.3">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s="64"/>
    </row>
    <row r="156" spans="6:71" s="52" customFormat="1" ht="19.5" customHeight="1" x14ac:dyDescent="0.3">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s="21"/>
    </row>
    <row r="157" spans="6:71" s="93" customFormat="1" ht="20.25" customHeight="1" x14ac:dyDescent="0.3">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s="64"/>
    </row>
    <row r="158" spans="6:71" s="93" customFormat="1" ht="19.5" customHeight="1" x14ac:dyDescent="0.3">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s="64"/>
    </row>
    <row r="159" spans="6:71" s="52" customFormat="1" ht="18" customHeight="1" x14ac:dyDescent="0.3">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s="21"/>
    </row>
    <row r="160" spans="6:71" s="93" customFormat="1" ht="19.5" customHeight="1" x14ac:dyDescent="0.3">
      <c r="F160"/>
      <c r="G160"/>
      <c r="H160"/>
      <c r="I160"/>
      <c r="J160"/>
      <c r="K160"/>
      <c r="L160"/>
      <c r="M160"/>
      <c r="N160"/>
      <c r="O160"/>
      <c r="P160"/>
      <c r="Q160"/>
      <c r="R160"/>
      <c r="S160"/>
      <c r="T160"/>
      <c r="U160"/>
      <c r="V160"/>
      <c r="W160"/>
      <c r="X160"/>
      <c r="Y160"/>
      <c r="Z160"/>
      <c r="AA160"/>
      <c r="AB160"/>
      <c r="AC160" s="845" t="e">
        <f ca="1">UPPER(TRIM(Cevir(EMSAL2)))</f>
        <v>#VALUE!</v>
      </c>
      <c r="AD160" s="845"/>
      <c r="AE160" s="845"/>
      <c r="AF160" s="845"/>
      <c r="AG160" s="845"/>
      <c r="AH160" s="845"/>
      <c r="AI160" s="845"/>
      <c r="AJ160" s="847" t="s">
        <v>29</v>
      </c>
      <c r="AK160" s="847"/>
      <c r="AL160" s="847"/>
      <c r="AM160" s="847"/>
      <c r="AN160" s="847"/>
      <c r="AO160" s="847"/>
      <c r="AV160" s="833" t="s">
        <v>609</v>
      </c>
      <c r="AW160" s="833"/>
      <c r="AX160" s="833"/>
      <c r="AY160" s="833"/>
      <c r="AZ160" s="833"/>
      <c r="BA160" s="833"/>
      <c r="BB160" s="833"/>
      <c r="BP160" s="64"/>
      <c r="BQ160" s="64"/>
      <c r="BR160" s="64"/>
      <c r="BS160" s="64"/>
    </row>
    <row r="161" spans="1:71" s="93" customFormat="1" ht="18.75" customHeight="1" x14ac:dyDescent="0.3">
      <c r="F161"/>
      <c r="G161"/>
      <c r="H161"/>
      <c r="I161"/>
      <c r="J161"/>
      <c r="K161"/>
      <c r="L161"/>
      <c r="M161"/>
      <c r="N161"/>
      <c r="O161"/>
      <c r="P161"/>
      <c r="Q161"/>
      <c r="R161"/>
      <c r="S161"/>
      <c r="T161"/>
      <c r="U161"/>
      <c r="V161"/>
      <c r="W161"/>
      <c r="X161"/>
      <c r="Y161"/>
      <c r="Z161"/>
      <c r="AA161"/>
      <c r="AB161"/>
      <c r="AC161" s="848" t="s">
        <v>609</v>
      </c>
      <c r="AD161" s="848"/>
      <c r="AE161" s="848"/>
      <c r="AF161" s="848"/>
      <c r="AG161" s="848"/>
      <c r="AH161" s="848"/>
      <c r="AI161" s="848"/>
      <c r="AJ161" s="833" t="s">
        <v>607</v>
      </c>
      <c r="AK161" s="833"/>
      <c r="AL161" s="833"/>
      <c r="AM161" s="833"/>
      <c r="AN161" s="833"/>
      <c r="AO161" s="833"/>
      <c r="AV161" s="832" t="e">
        <f ca="1">+TRIM(Cevir(EMSAL3))</f>
        <v>#VALUE!</v>
      </c>
      <c r="AW161" s="832"/>
      <c r="AX161" s="832"/>
      <c r="AY161" s="832"/>
      <c r="AZ161" s="832"/>
      <c r="BA161" s="832"/>
      <c r="BB161" s="832"/>
      <c r="BP161" s="64"/>
      <c r="BQ161" s="64"/>
      <c r="BR161" s="64"/>
      <c r="BS161" s="64"/>
    </row>
    <row r="162" spans="1:71" s="52" customFormat="1" ht="20.100000000000001" customHeight="1" x14ac:dyDescent="0.3">
      <c r="F162"/>
      <c r="G162"/>
      <c r="H162"/>
      <c r="I162"/>
      <c r="J162"/>
      <c r="K162"/>
      <c r="L162"/>
      <c r="M162"/>
      <c r="N162"/>
      <c r="O162"/>
      <c r="P162"/>
      <c r="Q162"/>
      <c r="R162"/>
      <c r="S162"/>
      <c r="T162"/>
      <c r="U162"/>
      <c r="V162"/>
      <c r="W162"/>
      <c r="X162"/>
      <c r="Y162"/>
      <c r="Z162"/>
      <c r="AA162"/>
      <c r="AB162"/>
      <c r="AC162" s="845" t="e">
        <f ca="1">UPPER(TRIM(Cevir(EMSAL3)))</f>
        <v>#VALUE!</v>
      </c>
      <c r="AD162" s="845"/>
      <c r="AE162" s="845"/>
      <c r="AF162" s="845"/>
      <c r="AG162" s="845"/>
      <c r="AH162" s="845"/>
      <c r="AI162" s="845"/>
      <c r="AJ162" s="832" t="str">
        <f ca="1">+TRIM(Cevir(EMSAL1))</f>
        <v>EMSAL 1) (İrtibat Kişisi ve Telefon No: Almutova Gayrimenkul - 0 (536) 432 05 03)_x000D_
_x000D_
Ekspertize konu taşınmaz satılık olup, 170 m2 olarak beyan edilmiş, 145 m2 olduğu bilinmektedir. Taşınmaz için 7.790.000 TL talep edilmektedir. Pazarlık payı vardır. Pazarlık payının yaklaşık %1 olduğu düşünülmektedir.</v>
      </c>
      <c r="AK162" s="832"/>
      <c r="AL162" s="832"/>
      <c r="AM162" s="832"/>
      <c r="AN162" s="832"/>
      <c r="AO162" s="832"/>
      <c r="AV162" s="833" t="s">
        <v>610</v>
      </c>
      <c r="AW162" s="833"/>
      <c r="AX162" s="833"/>
      <c r="AY162" s="833"/>
      <c r="AZ162" s="833"/>
      <c r="BA162" s="833"/>
      <c r="BB162" s="833"/>
      <c r="BP162" s="21"/>
      <c r="BQ162" s="21"/>
      <c r="BR162" s="21"/>
      <c r="BS162" s="21"/>
    </row>
    <row r="163" spans="1:71" s="93" customFormat="1" ht="19.5" customHeight="1" x14ac:dyDescent="0.3">
      <c r="F163"/>
      <c r="G163"/>
      <c r="H163"/>
      <c r="I163"/>
      <c r="J163"/>
      <c r="K163"/>
      <c r="L163"/>
      <c r="M163"/>
      <c r="N163"/>
      <c r="O163"/>
      <c r="P163"/>
      <c r="Q163"/>
      <c r="R163"/>
      <c r="S163"/>
      <c r="T163"/>
      <c r="U163"/>
      <c r="V163"/>
      <c r="W163"/>
      <c r="X163"/>
      <c r="Y163"/>
      <c r="Z163"/>
      <c r="AA163"/>
      <c r="AB163"/>
      <c r="AC163" s="848" t="e">
        <f>+IF(emsal4irtibat="","","EMSAL 4)")</f>
        <v>#NAME?</v>
      </c>
      <c r="AD163" s="848"/>
      <c r="AE163" s="848"/>
      <c r="AF163" s="848"/>
      <c r="AG163" s="848"/>
      <c r="AH163" s="848"/>
      <c r="AI163" s="848"/>
      <c r="AJ163" s="833" t="s">
        <v>608</v>
      </c>
      <c r="AK163" s="833"/>
      <c r="AL163" s="833"/>
      <c r="AM163" s="833"/>
      <c r="AN163" s="833"/>
      <c r="AO163" s="833"/>
      <c r="AV163" s="832" t="e">
        <f>IF(emsal4irtibat="","",TRIM(Cevir(EMSAL4)))</f>
        <v>#NAME?</v>
      </c>
      <c r="AW163" s="832"/>
      <c r="AX163" s="832"/>
      <c r="AY163" s="832"/>
      <c r="AZ163" s="832"/>
      <c r="BA163" s="832"/>
      <c r="BB163" s="832"/>
      <c r="BP163" s="64"/>
      <c r="BQ163" s="64"/>
      <c r="BR163" s="64"/>
      <c r="BS163" s="64"/>
    </row>
    <row r="164" spans="1:71" s="52" customFormat="1" ht="43.5" customHeight="1" x14ac:dyDescent="0.3">
      <c r="F164"/>
      <c r="G164"/>
      <c r="H164"/>
      <c r="I164"/>
      <c r="J164"/>
      <c r="K164"/>
      <c r="L164"/>
      <c r="M164"/>
      <c r="N164"/>
      <c r="O164"/>
      <c r="P164"/>
      <c r="Q164"/>
      <c r="R164"/>
      <c r="S164"/>
      <c r="T164"/>
      <c r="U164"/>
      <c r="V164"/>
      <c r="W164"/>
      <c r="X164"/>
      <c r="Y164"/>
      <c r="Z164"/>
      <c r="AA164"/>
      <c r="AB164"/>
      <c r="AC164" s="845" t="e">
        <f ca="1">UPPER(TRIM(Cevir(EMSAL4)))</f>
        <v>#VALUE!</v>
      </c>
      <c r="AD164" s="845"/>
      <c r="AE164" s="845"/>
      <c r="AF164" s="845"/>
      <c r="AG164" s="845"/>
      <c r="AH164" s="845"/>
      <c r="AI164" s="845"/>
      <c r="AJ164" s="832" t="e">
        <f ca="1">+TRIM(Cevir(EMSAL2))</f>
        <v>#VALUE!</v>
      </c>
      <c r="AK164" s="832"/>
      <c r="AL164" s="832"/>
      <c r="AM164" s="832"/>
      <c r="AN164" s="832"/>
      <c r="AO164" s="832"/>
      <c r="BP164" s="21"/>
      <c r="BQ164" s="21"/>
      <c r="BR164" s="21"/>
      <c r="BS164" s="21"/>
    </row>
    <row r="165" spans="1:71" s="93" customFormat="1" ht="19.5" customHeight="1" x14ac:dyDescent="0.3">
      <c r="F165"/>
      <c r="G165"/>
      <c r="H165"/>
      <c r="I165"/>
      <c r="J165"/>
      <c r="K165"/>
      <c r="L165"/>
      <c r="M165"/>
      <c r="N165"/>
      <c r="O165"/>
      <c r="P165"/>
      <c r="Q165"/>
      <c r="R165"/>
      <c r="S165"/>
      <c r="T165"/>
      <c r="U165"/>
      <c r="V165"/>
      <c r="W165"/>
      <c r="X165"/>
      <c r="Y165"/>
      <c r="Z165"/>
      <c r="AA165"/>
      <c r="AB165"/>
      <c r="AC165" s="848" t="e">
        <f>+IF(emsal5irtibat="","","EMSAL 5)")</f>
        <v>#NAME?</v>
      </c>
      <c r="AD165" s="848"/>
      <c r="AE165" s="848"/>
      <c r="AF165" s="848"/>
      <c r="AG165" s="848"/>
      <c r="AH165" s="848"/>
      <c r="AI165" s="848"/>
      <c r="AJ165" s="833" t="s">
        <v>609</v>
      </c>
      <c r="AK165" s="833"/>
      <c r="AL165" s="833"/>
      <c r="AM165" s="833"/>
      <c r="AN165" s="833"/>
      <c r="AO165" s="833"/>
      <c r="BP165" s="64"/>
      <c r="BQ165" s="64"/>
      <c r="BR165" s="64"/>
      <c r="BS165" s="64"/>
    </row>
    <row r="166" spans="1:71" s="52" customFormat="1" ht="48.6" customHeight="1" x14ac:dyDescent="0.3">
      <c r="F166"/>
      <c r="G166"/>
      <c r="H166"/>
      <c r="I166"/>
      <c r="J166"/>
      <c r="K166"/>
      <c r="L166"/>
      <c r="M166"/>
      <c r="N166"/>
      <c r="O166"/>
      <c r="P166"/>
      <c r="Q166"/>
      <c r="R166"/>
      <c r="S166"/>
      <c r="T166"/>
      <c r="U166"/>
      <c r="V166"/>
      <c r="W166"/>
      <c r="X166"/>
      <c r="Y166"/>
      <c r="Z166"/>
      <c r="AA166"/>
      <c r="AB166"/>
      <c r="AC166" s="845" t="e">
        <f>IF(emsal5irtibat="","",TRIM(Cevir(EMSAL5)))</f>
        <v>#NAME?</v>
      </c>
      <c r="AD166" s="845"/>
      <c r="AE166" s="845"/>
      <c r="AF166" s="845"/>
      <c r="AG166" s="845"/>
      <c r="AH166" s="845"/>
      <c r="AI166" s="845"/>
      <c r="AJ166" s="832" t="e">
        <f ca="1">+TRIM(Cevir(EMSAL3))</f>
        <v>#VALUE!</v>
      </c>
      <c r="AK166" s="832"/>
      <c r="AL166" s="832"/>
      <c r="AM166" s="832"/>
      <c r="AN166" s="832"/>
      <c r="AO166" s="832"/>
      <c r="BP166" s="21"/>
      <c r="BQ166" s="21"/>
      <c r="BR166" s="21"/>
      <c r="BS166" s="21"/>
    </row>
    <row r="167" spans="1:71" s="93" customFormat="1" ht="20.100000000000001" customHeight="1" x14ac:dyDescent="0.3">
      <c r="F167"/>
      <c r="G167"/>
      <c r="H167"/>
      <c r="I167"/>
      <c r="J167"/>
      <c r="K167"/>
      <c r="L167"/>
      <c r="M167"/>
      <c r="N167"/>
      <c r="O167"/>
      <c r="P167"/>
      <c r="Q167"/>
      <c r="R167"/>
      <c r="S167"/>
      <c r="T167"/>
      <c r="U167"/>
      <c r="V167"/>
      <c r="W167"/>
      <c r="X167"/>
      <c r="Y167"/>
      <c r="Z167"/>
      <c r="AA167"/>
      <c r="AB167"/>
      <c r="AC167" s="96"/>
      <c r="AD167" s="96"/>
      <c r="AE167" s="96"/>
      <c r="AF167" s="96"/>
      <c r="AG167" s="96"/>
      <c r="AH167" s="96"/>
      <c r="AI167" s="96"/>
      <c r="AJ167" s="833" t="s">
        <v>610</v>
      </c>
      <c r="AK167" s="833"/>
      <c r="AL167" s="833"/>
      <c r="AM167" s="833"/>
      <c r="AN167" s="833"/>
      <c r="AO167" s="833"/>
      <c r="BP167" s="64"/>
      <c r="BQ167" s="64"/>
      <c r="BR167" s="64"/>
      <c r="BS167" s="64"/>
    </row>
    <row r="168" spans="1:71" s="52" customFormat="1" ht="19.5" customHeight="1" x14ac:dyDescent="0.3">
      <c r="F168"/>
      <c r="G168"/>
      <c r="H168"/>
      <c r="I168"/>
      <c r="J168"/>
      <c r="K168"/>
      <c r="L168"/>
      <c r="M168"/>
      <c r="N168"/>
      <c r="O168"/>
      <c r="P168"/>
      <c r="Q168"/>
      <c r="R168"/>
      <c r="S168"/>
      <c r="T168"/>
      <c r="U168"/>
      <c r="V168"/>
      <c r="W168"/>
      <c r="X168"/>
      <c r="Y168"/>
      <c r="Z168"/>
      <c r="AA168"/>
      <c r="AB168"/>
      <c r="AC168" s="39"/>
      <c r="AD168" s="39"/>
      <c r="AE168" s="39"/>
      <c r="AF168" s="39"/>
      <c r="AG168" s="39"/>
      <c r="AH168" s="39"/>
      <c r="AI168" s="39"/>
      <c r="AJ168" s="832" t="e">
        <f>IF(emsal4irtibat="","",TRIM(Cevir(EMSAL4)))</f>
        <v>#NAME?</v>
      </c>
      <c r="AK168" s="832"/>
      <c r="AL168" s="832"/>
      <c r="AM168" s="832"/>
      <c r="AN168" s="832"/>
      <c r="AO168" s="832"/>
      <c r="BP168" s="21"/>
      <c r="BQ168" s="21"/>
      <c r="BR168" s="21"/>
      <c r="BS168" s="21"/>
    </row>
    <row r="169" spans="1:71" s="93" customFormat="1" ht="20.100000000000001" customHeight="1" x14ac:dyDescent="0.3">
      <c r="F169"/>
      <c r="G169"/>
      <c r="H169"/>
      <c r="I169"/>
      <c r="J169"/>
      <c r="K169"/>
      <c r="L169"/>
      <c r="M169"/>
      <c r="N169"/>
      <c r="O169"/>
      <c r="P169"/>
      <c r="Q169"/>
      <c r="R169"/>
      <c r="S169"/>
      <c r="T169"/>
      <c r="U169"/>
      <c r="V169"/>
      <c r="W169"/>
      <c r="X169"/>
      <c r="Y169"/>
      <c r="Z169"/>
      <c r="AA169"/>
      <c r="AB169"/>
      <c r="AC169" s="39"/>
      <c r="AD169" s="39"/>
      <c r="AE169" s="39"/>
      <c r="AF169" s="39"/>
      <c r="AG169" s="39"/>
      <c r="AH169" s="39"/>
      <c r="AI169" s="39"/>
      <c r="AJ169" s="833" t="e">
        <f>+IF(emsal5irtibat="","","EMSAL 5)")</f>
        <v>#NAME?</v>
      </c>
      <c r="AK169" s="833"/>
      <c r="AL169" s="833"/>
      <c r="AM169" s="833"/>
      <c r="AN169" s="833"/>
      <c r="AO169" s="833"/>
      <c r="BP169" s="64"/>
      <c r="BQ169" s="64"/>
      <c r="BR169" s="64"/>
      <c r="BS169" s="64"/>
    </row>
    <row r="170" spans="1:71" s="52" customFormat="1" ht="19.5" customHeight="1" x14ac:dyDescent="0.3">
      <c r="F170">
        <f>3.95+1.1+1.7</f>
        <v>6.7500000000000009</v>
      </c>
      <c r="G170"/>
      <c r="H170"/>
      <c r="I170"/>
      <c r="J170"/>
      <c r="K170" s="188"/>
      <c r="L170" s="188"/>
      <c r="M170" s="188"/>
      <c r="N170" s="38"/>
      <c r="O170" s="38"/>
      <c r="P170" s="38"/>
      <c r="Q170" s="39"/>
      <c r="R170" s="39"/>
      <c r="S170" s="39"/>
      <c r="T170" s="39"/>
      <c r="U170"/>
      <c r="V170"/>
      <c r="W170"/>
      <c r="X170"/>
      <c r="Y170"/>
      <c r="Z170"/>
      <c r="AA170"/>
      <c r="AB170"/>
      <c r="AC170" s="39"/>
      <c r="AD170" s="39"/>
      <c r="AE170" s="39"/>
      <c r="AF170" s="39"/>
      <c r="AG170" s="39"/>
      <c r="AH170" s="39"/>
      <c r="AI170" s="39"/>
      <c r="AJ170" s="832" t="e">
        <f>IF(emsal5irtibat="","",TRIM(Cevir(EMSAL5)))</f>
        <v>#NAME?</v>
      </c>
      <c r="AK170" s="832"/>
      <c r="AL170" s="832"/>
      <c r="AM170" s="832"/>
      <c r="AN170" s="832"/>
      <c r="AO170" s="832"/>
      <c r="BP170" s="21"/>
      <c r="BQ170" s="21"/>
      <c r="BR170" s="21"/>
      <c r="BS170" s="21"/>
    </row>
    <row r="171" spans="1:71" s="93" customFormat="1" ht="19.5" customHeight="1" x14ac:dyDescent="0.3">
      <c r="F171"/>
      <c r="G171"/>
      <c r="H171"/>
      <c r="I171"/>
      <c r="J171"/>
      <c r="K171" s="189"/>
      <c r="L171" s="189"/>
      <c r="M171" s="189"/>
      <c r="N171" s="38"/>
      <c r="O171" s="38"/>
      <c r="P171" s="38"/>
      <c r="Q171" s="39"/>
      <c r="R171" s="39"/>
      <c r="S171" s="39"/>
      <c r="T171" s="39"/>
      <c r="U171"/>
      <c r="V171"/>
      <c r="W171"/>
      <c r="X171"/>
      <c r="Y171"/>
      <c r="Z171"/>
      <c r="AA171"/>
      <c r="AB171"/>
      <c r="AG171" s="93" t="s">
        <v>616</v>
      </c>
      <c r="AJ171" s="833" t="e">
        <f>+IF(emsal6irtibat="","","EMSAL 6)")</f>
        <v>#NAME?</v>
      </c>
      <c r="AK171" s="833"/>
      <c r="AL171" s="833"/>
      <c r="AM171" s="833"/>
      <c r="AN171" s="833"/>
      <c r="AO171" s="833"/>
      <c r="BP171" s="64"/>
      <c r="BQ171" s="64"/>
      <c r="BR171" s="64"/>
      <c r="BS171" s="64"/>
    </row>
    <row r="172" spans="1:71" s="52" customFormat="1" ht="19.5" customHeight="1" x14ac:dyDescent="0.3">
      <c r="F172"/>
      <c r="G172"/>
      <c r="H172"/>
      <c r="I172"/>
      <c r="J172"/>
      <c r="K172" s="188"/>
      <c r="L172" s="188"/>
      <c r="M172" s="188"/>
      <c r="N172" s="38"/>
      <c r="O172" s="38"/>
      <c r="P172" s="38"/>
      <c r="Q172" s="39"/>
      <c r="R172" s="39"/>
      <c r="S172" s="39"/>
      <c r="T172" s="39"/>
      <c r="U172"/>
      <c r="V172"/>
      <c r="W172"/>
      <c r="X172"/>
      <c r="Y172"/>
      <c r="Z172"/>
      <c r="AA172"/>
      <c r="AB172"/>
      <c r="AJ172" s="832" t="e">
        <f>IF(emsal6irtibat="","",TRIM(Cevir(EMSAL6)))</f>
        <v>#NAME?</v>
      </c>
      <c r="AK172" s="832"/>
      <c r="AL172" s="832"/>
      <c r="AM172" s="832"/>
      <c r="AN172" s="832"/>
      <c r="AO172" s="832"/>
      <c r="BP172" s="21"/>
      <c r="BQ172" s="21"/>
      <c r="BR172" s="21"/>
      <c r="BS172" s="21"/>
    </row>
    <row r="173" spans="1:71" s="93" customFormat="1" ht="19.5" customHeight="1" x14ac:dyDescent="0.3">
      <c r="F173" s="188"/>
      <c r="G173" s="188"/>
      <c r="H173" s="188"/>
      <c r="I173" s="188"/>
      <c r="J173" s="188"/>
      <c r="K173" s="189"/>
      <c r="L173" s="189"/>
      <c r="M173" s="189"/>
      <c r="N173" s="38"/>
      <c r="O173" s="38"/>
      <c r="P173" s="38"/>
      <c r="Q173" s="39"/>
      <c r="R173" s="39"/>
      <c r="S173" s="39"/>
      <c r="T173" s="39"/>
      <c r="U173"/>
      <c r="V173"/>
      <c r="W173"/>
      <c r="X173"/>
      <c r="Y173"/>
      <c r="Z173"/>
      <c r="AA173"/>
      <c r="AB173"/>
      <c r="AJ173" s="833" t="e">
        <f>+IF(emsal7irtibat="","","EMSAL 7)")</f>
        <v>#NAME?</v>
      </c>
      <c r="AK173" s="833"/>
      <c r="AL173" s="833"/>
      <c r="AM173" s="833"/>
      <c r="AN173" s="833"/>
      <c r="AO173" s="833"/>
      <c r="BP173" s="64"/>
      <c r="BQ173" s="64"/>
      <c r="BR173" s="64"/>
      <c r="BS173" s="64"/>
    </row>
    <row r="174" spans="1:71" s="52" customFormat="1" ht="20.100000000000001" customHeight="1" x14ac:dyDescent="0.3">
      <c r="F174" s="189"/>
      <c r="G174" s="189"/>
      <c r="H174" s="189"/>
      <c r="I174" s="189"/>
      <c r="J174" s="189"/>
      <c r="K174" s="188"/>
      <c r="L174" s="188"/>
      <c r="M174" s="188"/>
      <c r="N174" s="38"/>
      <c r="O174" s="38"/>
      <c r="P174" s="38"/>
      <c r="Q174" s="39"/>
      <c r="R174" s="39"/>
      <c r="S174" s="39"/>
      <c r="T174" s="39"/>
      <c r="U174"/>
      <c r="V174"/>
      <c r="W174"/>
      <c r="X174"/>
      <c r="Y174"/>
      <c r="Z174"/>
      <c r="AA174"/>
      <c r="AB174"/>
      <c r="AJ174" s="850" t="e">
        <f>IF(emsal7irtibat="","",TRIM(Cevir(EMSAL7)))</f>
        <v>#NAME?</v>
      </c>
      <c r="AK174" s="850"/>
      <c r="AL174" s="850"/>
      <c r="AM174" s="850"/>
      <c r="AN174" s="850"/>
      <c r="AO174" s="850"/>
      <c r="BP174" s="21"/>
      <c r="BQ174" s="21"/>
      <c r="BR174" s="21"/>
      <c r="BS174" s="21"/>
    </row>
    <row r="175" spans="1:71" s="93" customFormat="1" ht="20.100000000000001" customHeight="1" x14ac:dyDescent="0.3">
      <c r="F175" s="188"/>
      <c r="G175" s="188"/>
      <c r="H175" s="188"/>
      <c r="I175" s="188"/>
      <c r="J175" s="188"/>
      <c r="K175" s="97"/>
      <c r="L175" s="97"/>
      <c r="M175" s="97"/>
      <c r="N175" s="38"/>
      <c r="O175" s="38"/>
      <c r="P175" s="38"/>
      <c r="Q175" s="39"/>
      <c r="R175" s="39"/>
      <c r="S175" s="39"/>
      <c r="T175" s="39"/>
      <c r="U175"/>
      <c r="V175"/>
      <c r="W175"/>
      <c r="X175"/>
      <c r="Y175"/>
      <c r="Z175"/>
      <c r="AA175"/>
      <c r="AB175"/>
      <c r="AJ175" s="851" t="s">
        <v>613</v>
      </c>
      <c r="AK175" s="851"/>
      <c r="AL175" s="851"/>
      <c r="AM175" s="851"/>
      <c r="AN175" s="851"/>
      <c r="AO175" s="851"/>
      <c r="BP175" s="64"/>
      <c r="BQ175" s="64"/>
      <c r="BR175" s="64"/>
      <c r="BS175" s="64"/>
    </row>
    <row r="176" spans="1:71" s="93" customFormat="1" ht="20.100000000000001" customHeight="1" x14ac:dyDescent="0.3">
      <c r="A176" s="65"/>
      <c r="B176" s="66"/>
      <c r="C176" s="66"/>
      <c r="D176" s="39"/>
      <c r="E176" s="39"/>
      <c r="F176" s="189"/>
      <c r="G176" s="189"/>
      <c r="H176" s="189"/>
      <c r="I176" s="189"/>
      <c r="J176" s="189"/>
      <c r="K176" s="38"/>
      <c r="L176" s="38"/>
      <c r="M176" s="38"/>
      <c r="N176" s="38"/>
      <c r="O176" s="38"/>
      <c r="P176" s="38"/>
      <c r="Q176" s="39"/>
      <c r="R176" s="39"/>
      <c r="S176" s="39"/>
      <c r="T176" s="39"/>
      <c r="U176"/>
      <c r="V176"/>
      <c r="W176"/>
      <c r="X176"/>
      <c r="Y176"/>
      <c r="Z176"/>
      <c r="AA176"/>
      <c r="AB176"/>
      <c r="AJ176" s="849" t="s">
        <v>30</v>
      </c>
      <c r="AK176" s="849"/>
      <c r="AL176" s="849"/>
      <c r="AM176" s="849"/>
      <c r="AN176" s="849"/>
      <c r="AO176" s="849"/>
      <c r="BP176" s="64"/>
      <c r="BQ176" s="64"/>
      <c r="BR176" s="64"/>
      <c r="BS176" s="64"/>
    </row>
    <row r="177" spans="5:71" s="93" customFormat="1" ht="20.100000000000001" customHeight="1" x14ac:dyDescent="0.3">
      <c r="F177" s="188"/>
      <c r="G177" s="188"/>
      <c r="H177" s="188"/>
      <c r="I177" s="188"/>
      <c r="J177" s="188"/>
      <c r="K177" s="38"/>
      <c r="L177" s="38"/>
      <c r="M177" s="38"/>
      <c r="N177" s="38"/>
      <c r="O177" s="38"/>
      <c r="P177" s="38"/>
      <c r="Q177" s="39"/>
      <c r="R177" s="39"/>
      <c r="S177" s="39"/>
      <c r="T177" s="39"/>
      <c r="U177"/>
      <c r="V177"/>
      <c r="W177"/>
      <c r="X177"/>
      <c r="Y177"/>
      <c r="Z177"/>
      <c r="AA177"/>
      <c r="AB177"/>
      <c r="AJ177" s="64"/>
      <c r="AK177" s="64"/>
      <c r="AL177" s="64"/>
      <c r="AM177" s="64"/>
      <c r="AN177" s="64"/>
      <c r="AO177" s="64"/>
      <c r="BP177" s="64"/>
      <c r="BQ177" s="64"/>
      <c r="BR177" s="64"/>
      <c r="BS177" s="64"/>
    </row>
    <row r="178" spans="5:71" ht="20.25" customHeight="1" x14ac:dyDescent="0.3">
      <c r="F178" s="97"/>
      <c r="G178" s="97"/>
      <c r="H178" s="97"/>
      <c r="I178" s="97"/>
      <c r="J178" s="97"/>
      <c r="Q178" s="39"/>
      <c r="R178" s="39"/>
      <c r="S178" s="39"/>
      <c r="T178" s="39"/>
      <c r="U178"/>
      <c r="V178"/>
      <c r="W178"/>
      <c r="X178"/>
      <c r="Y178"/>
      <c r="Z178"/>
      <c r="AA178"/>
      <c r="AB178"/>
      <c r="BP178" s="41"/>
      <c r="BQ178" s="41"/>
      <c r="BR178" s="41"/>
      <c r="BS178" s="41"/>
    </row>
    <row r="179" spans="5:71" ht="20.100000000000001" customHeight="1" x14ac:dyDescent="0.3">
      <c r="Q179" s="39"/>
      <c r="R179" s="39"/>
      <c r="S179" s="39"/>
      <c r="T179" s="39"/>
      <c r="U179"/>
      <c r="V179"/>
      <c r="W179"/>
      <c r="X179"/>
      <c r="Y179"/>
      <c r="Z179"/>
      <c r="AA179"/>
      <c r="AB179"/>
      <c r="BP179" s="41"/>
      <c r="BQ179" s="41"/>
      <c r="BR179" s="41"/>
      <c r="BS179" s="41"/>
    </row>
    <row r="180" spans="5:71" ht="57" customHeight="1" x14ac:dyDescent="0.3">
      <c r="Q180" s="306"/>
      <c r="R180" s="39"/>
      <c r="S180" s="39"/>
      <c r="T180" s="39"/>
      <c r="U180"/>
      <c r="V180"/>
      <c r="W180"/>
      <c r="X180"/>
      <c r="Y180"/>
      <c r="Z180"/>
      <c r="AA180"/>
      <c r="AB180"/>
      <c r="BP180" s="41"/>
      <c r="BQ180" s="41"/>
      <c r="BR180" s="41"/>
      <c r="BS180" s="41"/>
    </row>
    <row r="181" spans="5:71" ht="20.100000000000001" customHeight="1" x14ac:dyDescent="0.3">
      <c r="Q181" s="306"/>
      <c r="R181" s="39"/>
      <c r="S181" s="39"/>
      <c r="T181" s="39"/>
      <c r="U181"/>
      <c r="V181"/>
      <c r="W181"/>
      <c r="X181"/>
      <c r="Y181"/>
      <c r="Z181"/>
      <c r="AA181"/>
      <c r="AB181"/>
      <c r="BP181" s="41"/>
      <c r="BQ181" s="41"/>
      <c r="BR181" s="41"/>
      <c r="BS181" s="41"/>
    </row>
    <row r="182" spans="5:71" ht="19.5" customHeight="1" x14ac:dyDescent="0.3">
      <c r="Q182" s="306"/>
      <c r="R182" s="39"/>
      <c r="S182" s="39"/>
      <c r="T182" s="39"/>
      <c r="U182"/>
      <c r="V182"/>
      <c r="W182"/>
      <c r="X182"/>
      <c r="Y182"/>
      <c r="Z182"/>
      <c r="AA182"/>
      <c r="AB182"/>
      <c r="BP182" s="41"/>
      <c r="BQ182" s="41"/>
      <c r="BR182" s="41"/>
      <c r="BS182" s="41"/>
    </row>
    <row r="183" spans="5:71" ht="20.100000000000001" customHeight="1" x14ac:dyDescent="0.3">
      <c r="Q183" s="308">
        <v>2.2999999999999998</v>
      </c>
      <c r="R183" s="309">
        <f>3.5+2.9</f>
        <v>6.4</v>
      </c>
      <c r="S183" s="523">
        <f>+R183*Q183</f>
        <v>14.719999999999999</v>
      </c>
      <c r="T183" s="39"/>
      <c r="U183"/>
      <c r="V183"/>
      <c r="W183"/>
      <c r="X183"/>
      <c r="Y183"/>
      <c r="Z183"/>
      <c r="AA183"/>
      <c r="AB183"/>
    </row>
    <row r="184" spans="5:71" ht="20.100000000000001" customHeight="1" x14ac:dyDescent="0.3">
      <c r="K184" s="69"/>
      <c r="L184" s="69"/>
      <c r="M184" s="69"/>
      <c r="N184" s="69"/>
      <c r="O184" s="69"/>
      <c r="P184" s="69"/>
      <c r="Q184" s="308">
        <v>-0.2</v>
      </c>
      <c r="R184" s="309">
        <v>3.5</v>
      </c>
      <c r="S184" s="523">
        <f t="shared" ref="S184:S201" si="5">+R184*Q184</f>
        <v>-0.70000000000000007</v>
      </c>
      <c r="T184" s="39"/>
      <c r="U184"/>
      <c r="V184"/>
      <c r="W184"/>
      <c r="X184"/>
      <c r="Y184"/>
      <c r="Z184"/>
      <c r="AA184"/>
      <c r="AB184"/>
      <c r="AC184" s="52"/>
    </row>
    <row r="185" spans="5:71" ht="20.100000000000001" customHeight="1" x14ac:dyDescent="0.3">
      <c r="K185" s="71"/>
      <c r="L185" s="71"/>
      <c r="M185" s="71"/>
      <c r="N185" s="71"/>
      <c r="O185" s="71"/>
      <c r="P185" s="71"/>
      <c r="Q185" s="308">
        <v>4.2</v>
      </c>
      <c r="R185" s="309">
        <f>3.2+3.95+2.7</f>
        <v>9.8500000000000014</v>
      </c>
      <c r="S185" s="523">
        <f t="shared" si="5"/>
        <v>41.370000000000005</v>
      </c>
      <c r="T185" s="39"/>
      <c r="U185"/>
      <c r="V185"/>
      <c r="W185"/>
      <c r="X185"/>
      <c r="Y185"/>
      <c r="Z185"/>
      <c r="AA185"/>
      <c r="AB185"/>
      <c r="AC185" s="52"/>
    </row>
    <row r="186" spans="5:71" ht="20.100000000000001" customHeight="1" x14ac:dyDescent="0.3">
      <c r="K186" s="71"/>
      <c r="L186" s="71"/>
      <c r="M186" s="71"/>
      <c r="N186" s="71"/>
      <c r="O186" s="71"/>
      <c r="P186" s="71"/>
      <c r="Q186" s="308">
        <v>3.1</v>
      </c>
      <c r="R186" s="309">
        <f>+R185+1.3</f>
        <v>11.150000000000002</v>
      </c>
      <c r="S186" s="523">
        <f t="shared" si="5"/>
        <v>34.565000000000005</v>
      </c>
      <c r="T186" s="39"/>
      <c r="U186" s="39"/>
      <c r="V186" s="39"/>
      <c r="W186" s="39"/>
      <c r="X186" s="39"/>
    </row>
    <row r="187" spans="5:71" ht="20.100000000000001" customHeight="1" x14ac:dyDescent="0.3">
      <c r="G187" s="69"/>
      <c r="H187" s="69"/>
      <c r="I187" s="69"/>
      <c r="J187" s="69"/>
      <c r="K187" s="71"/>
      <c r="L187" s="71"/>
      <c r="M187" s="71"/>
      <c r="N187" s="71"/>
      <c r="O187" s="71"/>
      <c r="P187" s="71"/>
      <c r="Q187" s="308">
        <v>-1</v>
      </c>
      <c r="R187" s="309">
        <v>1.5</v>
      </c>
      <c r="S187" s="523">
        <f t="shared" si="5"/>
        <v>-1.5</v>
      </c>
      <c r="T187" s="39"/>
      <c r="U187" s="39"/>
      <c r="V187" s="39"/>
      <c r="W187" s="39"/>
      <c r="X187" s="39"/>
    </row>
    <row r="188" spans="5:71" ht="20.100000000000001" customHeight="1" x14ac:dyDescent="0.3">
      <c r="E188" s="67"/>
      <c r="F188" s="70"/>
      <c r="G188" s="71"/>
      <c r="H188" s="71"/>
      <c r="I188" s="71"/>
      <c r="J188" s="71"/>
      <c r="K188" s="73"/>
      <c r="L188" s="73"/>
      <c r="M188" s="73"/>
      <c r="N188" s="73"/>
      <c r="O188" s="73"/>
      <c r="P188" s="73"/>
      <c r="Q188" s="308">
        <v>3.6</v>
      </c>
      <c r="R188" s="309">
        <f>3.65+3.5+4</f>
        <v>11.15</v>
      </c>
      <c r="S188" s="523">
        <f t="shared" si="5"/>
        <v>40.14</v>
      </c>
      <c r="T188" s="39"/>
      <c r="U188" s="39"/>
      <c r="V188" s="39"/>
      <c r="W188" s="39"/>
      <c r="X188" s="39"/>
    </row>
    <row r="189" spans="5:71" ht="20.100000000000001" customHeight="1" x14ac:dyDescent="0.3">
      <c r="E189" s="68"/>
      <c r="F189" s="70"/>
      <c r="G189" s="71"/>
      <c r="H189" s="71"/>
      <c r="I189" s="71"/>
      <c r="J189" s="71"/>
      <c r="Q189" s="308">
        <v>2.1</v>
      </c>
      <c r="R189" s="309">
        <f>3.5+4</f>
        <v>7.5</v>
      </c>
      <c r="S189" s="523">
        <f t="shared" si="5"/>
        <v>15.75</v>
      </c>
      <c r="T189" s="39"/>
      <c r="U189" s="39"/>
      <c r="V189" s="39"/>
      <c r="W189" s="39"/>
      <c r="X189" s="39"/>
    </row>
    <row r="190" spans="5:71" ht="20.100000000000001" customHeight="1" x14ac:dyDescent="0.3">
      <c r="F190" s="70"/>
      <c r="G190" s="71"/>
      <c r="H190" s="71"/>
      <c r="I190" s="71"/>
      <c r="J190" s="71"/>
      <c r="K190" s="74"/>
      <c r="L190" s="74"/>
      <c r="M190" s="74"/>
      <c r="N190" s="74"/>
      <c r="O190" s="74"/>
      <c r="P190" s="74"/>
      <c r="Q190" s="308">
        <v>-0.5</v>
      </c>
      <c r="R190" s="309">
        <v>2.4</v>
      </c>
      <c r="S190" s="523">
        <f t="shared" si="5"/>
        <v>-1.2</v>
      </c>
      <c r="T190" s="39"/>
      <c r="U190" s="39"/>
      <c r="V190" s="39"/>
      <c r="W190" s="39"/>
      <c r="X190" s="39"/>
    </row>
    <row r="191" spans="5:71" ht="20.100000000000001" customHeight="1" x14ac:dyDescent="0.3">
      <c r="F191" s="72"/>
      <c r="G191" s="73"/>
      <c r="H191" s="73"/>
      <c r="I191" s="73"/>
      <c r="J191" s="73"/>
      <c r="K191" s="41"/>
      <c r="L191" s="41"/>
      <c r="M191" s="41"/>
      <c r="N191" s="41"/>
      <c r="O191" s="41"/>
      <c r="P191" s="41"/>
      <c r="Q191" s="308">
        <v>-0.2</v>
      </c>
      <c r="R191" s="309">
        <v>3.5</v>
      </c>
      <c r="S191" s="523">
        <f t="shared" si="5"/>
        <v>-0.70000000000000007</v>
      </c>
      <c r="T191" s="39"/>
      <c r="U191" s="39"/>
      <c r="V191" s="39"/>
      <c r="W191" s="39"/>
      <c r="X191" s="39"/>
    </row>
    <row r="192" spans="5:71" ht="19.5" customHeight="1" x14ac:dyDescent="0.3">
      <c r="K192" s="41"/>
      <c r="L192" s="41"/>
      <c r="M192" s="41"/>
      <c r="N192" s="41"/>
      <c r="O192" s="41"/>
      <c r="P192" s="41"/>
      <c r="Q192" s="308"/>
      <c r="R192" s="309"/>
      <c r="S192" s="523">
        <f>SUM(S183:S191)</f>
        <v>142.44500000000005</v>
      </c>
      <c r="T192" s="39"/>
      <c r="U192" s="39"/>
      <c r="V192" s="39"/>
      <c r="W192" s="39"/>
      <c r="X192" s="39"/>
    </row>
    <row r="193" spans="6:24" ht="24.9" customHeight="1" x14ac:dyDescent="0.3">
      <c r="G193" s="74"/>
      <c r="H193" s="74"/>
      <c r="I193" s="74"/>
      <c r="J193" s="74"/>
      <c r="K193" s="77"/>
      <c r="L193" s="77"/>
      <c r="M193" s="77"/>
      <c r="N193" s="77"/>
      <c r="O193" s="77"/>
      <c r="P193" s="77"/>
      <c r="Q193" s="308"/>
      <c r="R193" s="309"/>
      <c r="S193" s="523">
        <f t="shared" si="5"/>
        <v>0</v>
      </c>
      <c r="T193" s="39"/>
      <c r="U193" s="39"/>
      <c r="V193" s="39"/>
      <c r="W193" s="39"/>
      <c r="X193" s="39"/>
    </row>
    <row r="194" spans="6:24" ht="24.9" customHeight="1" x14ac:dyDescent="0.3">
      <c r="F194" s="75"/>
      <c r="G194" s="41"/>
      <c r="H194" s="41"/>
      <c r="I194" s="41"/>
      <c r="J194" s="41"/>
      <c r="Q194" s="310"/>
      <c r="R194" s="311"/>
      <c r="S194" s="523">
        <f t="shared" si="5"/>
        <v>0</v>
      </c>
      <c r="T194" s="39"/>
      <c r="U194" s="39"/>
      <c r="V194" s="39"/>
      <c r="W194" s="39"/>
      <c r="X194" s="39"/>
    </row>
    <row r="195" spans="6:24" ht="24.9" customHeight="1" x14ac:dyDescent="0.3">
      <c r="F195" s="75"/>
      <c r="G195" s="41"/>
      <c r="H195" s="41"/>
      <c r="I195" s="41"/>
      <c r="J195" s="41"/>
      <c r="K195" s="74"/>
      <c r="L195" s="74"/>
      <c r="M195" s="74"/>
      <c r="N195" s="74"/>
      <c r="O195" s="74"/>
      <c r="P195" s="74"/>
      <c r="Q195" s="310"/>
      <c r="R195" s="311"/>
      <c r="S195" s="523">
        <f t="shared" si="5"/>
        <v>0</v>
      </c>
      <c r="T195" s="39"/>
      <c r="U195" s="39"/>
      <c r="V195" s="39"/>
      <c r="W195" s="39"/>
      <c r="X195" s="39"/>
    </row>
    <row r="196" spans="6:24" ht="24.9" customHeight="1" x14ac:dyDescent="0.3">
      <c r="F196" s="76"/>
      <c r="G196" s="77"/>
      <c r="H196" s="77"/>
      <c r="I196" s="77"/>
      <c r="J196" s="77"/>
      <c r="K196" s="41"/>
      <c r="L196" s="41"/>
      <c r="M196" s="41"/>
      <c r="N196" s="41"/>
      <c r="O196" s="41"/>
      <c r="P196" s="41"/>
      <c r="Q196" s="310"/>
      <c r="R196" s="311"/>
      <c r="S196" s="523">
        <f t="shared" si="5"/>
        <v>0</v>
      </c>
      <c r="T196" s="39"/>
      <c r="U196" s="39"/>
      <c r="V196" s="39"/>
      <c r="W196" s="39"/>
      <c r="X196" s="39"/>
    </row>
    <row r="197" spans="6:24" ht="24.9" customHeight="1" x14ac:dyDescent="0.3">
      <c r="K197" s="41"/>
      <c r="L197" s="41"/>
      <c r="M197" s="41"/>
      <c r="N197" s="41"/>
      <c r="O197" s="41"/>
      <c r="P197" s="41"/>
      <c r="Q197" s="310"/>
      <c r="R197" s="311"/>
      <c r="S197" s="523">
        <f t="shared" si="5"/>
        <v>0</v>
      </c>
      <c r="T197" s="39"/>
      <c r="U197" s="39"/>
      <c r="V197" s="39"/>
      <c r="W197" s="39"/>
      <c r="X197" s="39"/>
    </row>
    <row r="198" spans="6:24" ht="34.5" customHeight="1" x14ac:dyDescent="0.3">
      <c r="G198" s="74"/>
      <c r="H198" s="74"/>
      <c r="I198" s="74"/>
      <c r="J198" s="74"/>
      <c r="K198" s="41"/>
      <c r="L198" s="41"/>
      <c r="M198" s="41"/>
      <c r="N198" s="41"/>
      <c r="O198" s="41"/>
      <c r="P198" s="41"/>
      <c r="Q198" s="310"/>
      <c r="R198" s="311"/>
      <c r="S198" s="523">
        <f t="shared" si="5"/>
        <v>0</v>
      </c>
      <c r="T198" s="39"/>
      <c r="U198" s="39"/>
      <c r="V198" s="39"/>
      <c r="W198" s="39"/>
      <c r="X198" s="39"/>
    </row>
    <row r="199" spans="6:24" ht="24.9" customHeight="1" x14ac:dyDescent="0.3">
      <c r="F199" s="75"/>
      <c r="G199" s="41"/>
      <c r="H199" s="41"/>
      <c r="I199" s="41"/>
      <c r="J199" s="41"/>
      <c r="K199" s="41"/>
      <c r="L199" s="41"/>
      <c r="M199" s="41"/>
      <c r="N199" s="41"/>
      <c r="O199" s="41"/>
      <c r="P199" s="41"/>
      <c r="Q199" s="310"/>
      <c r="R199" s="311"/>
      <c r="S199" s="523">
        <f t="shared" si="5"/>
        <v>0</v>
      </c>
      <c r="T199" s="39"/>
      <c r="U199" s="39"/>
      <c r="V199" s="39"/>
      <c r="W199" s="39"/>
      <c r="X199" s="39"/>
    </row>
    <row r="200" spans="6:24" ht="24.9" customHeight="1" x14ac:dyDescent="0.3">
      <c r="F200" s="75"/>
      <c r="G200" s="41"/>
      <c r="H200" s="41"/>
      <c r="I200" s="41"/>
      <c r="J200" s="41"/>
      <c r="K200" s="77"/>
      <c r="L200" s="77"/>
      <c r="M200" s="77"/>
      <c r="N200" s="77"/>
      <c r="O200" s="77"/>
      <c r="P200" s="77"/>
      <c r="Q200" s="306"/>
      <c r="R200" s="39"/>
      <c r="S200" s="523">
        <f t="shared" si="5"/>
        <v>0</v>
      </c>
      <c r="T200" s="39"/>
      <c r="U200" s="39"/>
      <c r="V200" s="39"/>
      <c r="W200" s="39"/>
      <c r="X200" s="39"/>
    </row>
    <row r="201" spans="6:24" ht="24.9" customHeight="1" x14ac:dyDescent="0.3">
      <c r="F201" s="75"/>
      <c r="G201" s="41"/>
      <c r="H201" s="41"/>
      <c r="I201" s="41"/>
      <c r="J201" s="41"/>
      <c r="Q201" s="306"/>
      <c r="R201" s="39"/>
      <c r="S201" s="523">
        <f t="shared" si="5"/>
        <v>0</v>
      </c>
      <c r="U201" s="39"/>
      <c r="V201" s="39"/>
      <c r="W201" s="39"/>
      <c r="X201" s="39"/>
    </row>
    <row r="202" spans="6:24" ht="24.9" customHeight="1" x14ac:dyDescent="0.3">
      <c r="F202" s="75"/>
      <c r="G202" s="41"/>
      <c r="H202" s="41"/>
      <c r="I202" s="41"/>
      <c r="J202" s="41"/>
      <c r="Q202" s="307"/>
      <c r="U202" s="39"/>
      <c r="V202" s="39"/>
      <c r="W202" s="39"/>
      <c r="X202" s="39"/>
    </row>
    <row r="203" spans="6:24" ht="24.9" customHeight="1" x14ac:dyDescent="0.3">
      <c r="F203" s="76"/>
      <c r="G203" s="77"/>
      <c r="H203" s="77"/>
      <c r="I203" s="77"/>
      <c r="J203" s="77"/>
      <c r="U203" s="39"/>
      <c r="V203" s="39"/>
      <c r="W203" s="39"/>
      <c r="X203" s="39"/>
    </row>
    <row r="204" spans="6:24" ht="24.9" customHeight="1" x14ac:dyDescent="0.3">
      <c r="K204" s="201"/>
      <c r="L204" s="201"/>
      <c r="M204" s="201"/>
      <c r="N204" s="201"/>
      <c r="O204" s="201"/>
      <c r="P204" s="201"/>
      <c r="Q204" s="201"/>
      <c r="R204" s="312">
        <f>SUM(R183:R203)</f>
        <v>56.95</v>
      </c>
      <c r="S204" s="201"/>
      <c r="T204" s="202"/>
      <c r="U204" s="39"/>
      <c r="V204" s="39"/>
      <c r="W204" s="39"/>
      <c r="X204" s="39"/>
    </row>
    <row r="205" spans="6:24" ht="24.9" customHeight="1" x14ac:dyDescent="0.3">
      <c r="K205" s="74"/>
      <c r="L205" s="74"/>
      <c r="M205" s="74"/>
      <c r="N205" s="74"/>
      <c r="O205" s="74"/>
      <c r="P205" s="74"/>
      <c r="Q205" s="74"/>
      <c r="R205" s="74"/>
      <c r="S205" s="74"/>
      <c r="T205" s="78"/>
      <c r="U205" s="39"/>
      <c r="V205" s="39"/>
      <c r="W205" s="39"/>
      <c r="X205" s="39"/>
    </row>
    <row r="206" spans="6:24" ht="24.9" customHeight="1" x14ac:dyDescent="0.3">
      <c r="K206" s="41"/>
      <c r="L206" s="41"/>
      <c r="M206" s="41"/>
      <c r="N206" s="41"/>
      <c r="O206" s="41"/>
      <c r="P206" s="41"/>
      <c r="Q206" s="41"/>
      <c r="R206" s="41"/>
      <c r="S206" s="41"/>
      <c r="T206" s="79"/>
      <c r="U206" s="39"/>
      <c r="V206" s="39"/>
      <c r="W206" s="39"/>
      <c r="X206" s="39"/>
    </row>
    <row r="207" spans="6:24" ht="24.9" customHeight="1" x14ac:dyDescent="0.3">
      <c r="F207" s="200" t="s">
        <v>31</v>
      </c>
      <c r="G207" s="201"/>
      <c r="H207" s="201"/>
      <c r="I207" s="201"/>
      <c r="J207" s="201"/>
      <c r="K207" s="41"/>
      <c r="L207" s="41"/>
      <c r="M207" s="41"/>
      <c r="N207" s="41"/>
      <c r="O207" s="41"/>
      <c r="P207" s="41"/>
      <c r="Q207" s="41"/>
      <c r="R207" s="41"/>
      <c r="S207" s="41"/>
      <c r="T207" s="79"/>
      <c r="U207" s="39"/>
      <c r="V207" s="39"/>
      <c r="W207" s="39"/>
      <c r="X207" s="39"/>
    </row>
    <row r="208" spans="6:24" ht="24.9" customHeight="1" x14ac:dyDescent="0.3">
      <c r="G208" s="74"/>
      <c r="H208" s="74"/>
      <c r="I208" s="74"/>
      <c r="J208" s="74"/>
      <c r="K208" s="77"/>
      <c r="L208" s="77"/>
      <c r="M208" s="77"/>
      <c r="N208" s="77"/>
      <c r="O208" s="77"/>
      <c r="P208" s="77"/>
      <c r="Q208" s="77"/>
      <c r="R208" s="77"/>
      <c r="S208" s="77"/>
      <c r="T208" s="80"/>
      <c r="U208" s="39"/>
      <c r="V208" s="39"/>
      <c r="W208" s="39"/>
      <c r="X208" s="39"/>
    </row>
    <row r="209" spans="6:40" ht="24.9" customHeight="1" x14ac:dyDescent="0.3">
      <c r="F209" s="75"/>
      <c r="G209" s="41"/>
      <c r="H209" s="41"/>
      <c r="I209" s="41"/>
      <c r="J209" s="41"/>
      <c r="K209" s="201"/>
      <c r="L209" s="201"/>
      <c r="M209" s="201"/>
      <c r="N209" s="201"/>
      <c r="O209" s="201"/>
      <c r="P209" s="201"/>
      <c r="Q209" s="201"/>
      <c r="R209" s="201"/>
      <c r="S209" s="201"/>
      <c r="T209" s="202"/>
      <c r="U209" s="39"/>
      <c r="V209" s="39"/>
      <c r="W209" s="39"/>
      <c r="X209" s="39"/>
    </row>
    <row r="210" spans="6:40" ht="24.9" customHeight="1" x14ac:dyDescent="0.3">
      <c r="F210" s="75"/>
      <c r="G210" s="41"/>
      <c r="H210" s="41"/>
      <c r="I210" s="41"/>
      <c r="J210" s="41"/>
      <c r="K210" s="198"/>
      <c r="L210" s="198"/>
      <c r="M210" s="198"/>
      <c r="N210" s="198"/>
      <c r="O210" s="198"/>
      <c r="P210" s="198"/>
      <c r="Q210" s="198"/>
      <c r="R210" s="198"/>
      <c r="S210" s="198"/>
      <c r="T210" s="199"/>
      <c r="U210" s="39"/>
      <c r="V210" s="39"/>
      <c r="W210" s="39"/>
      <c r="X210" s="39"/>
    </row>
    <row r="211" spans="6:40" ht="39.9" customHeight="1" x14ac:dyDescent="0.3">
      <c r="F211" s="76"/>
      <c r="G211" s="77"/>
      <c r="H211" s="77"/>
      <c r="I211" s="77"/>
      <c r="J211" s="77"/>
      <c r="K211" s="203"/>
      <c r="L211" s="203"/>
      <c r="M211" s="203"/>
      <c r="N211" s="203"/>
      <c r="O211" s="203"/>
      <c r="P211" s="203"/>
      <c r="Q211" s="203"/>
      <c r="R211" s="203"/>
      <c r="S211" s="203"/>
      <c r="T211" s="191"/>
      <c r="U211" s="39"/>
      <c r="V211" s="39"/>
      <c r="W211" s="39"/>
      <c r="X211" s="39"/>
    </row>
    <row r="212" spans="6:40" ht="39.9" customHeight="1" x14ac:dyDescent="0.3">
      <c r="F212" s="200" t="s">
        <v>172</v>
      </c>
      <c r="G212" s="201"/>
      <c r="H212" s="201"/>
      <c r="I212" s="201"/>
      <c r="J212" s="201"/>
      <c r="K212" s="204"/>
      <c r="L212" s="204"/>
      <c r="M212" s="204"/>
      <c r="N212" s="204"/>
      <c r="O212" s="204"/>
      <c r="P212" s="204"/>
      <c r="Q212" s="204"/>
      <c r="R212" s="204"/>
      <c r="S212" s="204"/>
      <c r="T212" s="196"/>
      <c r="U212" s="39"/>
      <c r="V212" s="39"/>
      <c r="W212" s="39"/>
      <c r="X212" s="39"/>
    </row>
    <row r="213" spans="6:40" ht="39.9" customHeight="1" x14ac:dyDescent="0.3">
      <c r="F213" s="197" t="e">
        <f>+IF(OR(Sayfa1!K122=1,TEST!#REF!&lt;&gt;"trampa")," ",TRIM(Cevir(trampasigortadeğ1)))</f>
        <v>#REF!</v>
      </c>
      <c r="G213" s="198"/>
      <c r="H213" s="198"/>
      <c r="I213" s="198"/>
      <c r="J213" s="198"/>
      <c r="K213" s="204"/>
      <c r="L213" s="204"/>
      <c r="M213" s="204"/>
      <c r="N213" s="204"/>
      <c r="O213" s="204"/>
      <c r="P213" s="204"/>
      <c r="Q213" s="204"/>
      <c r="R213" s="204"/>
      <c r="S213" s="204"/>
      <c r="T213" s="196"/>
      <c r="U213" s="39"/>
      <c r="V213" s="39"/>
      <c r="W213" s="39"/>
      <c r="X213" s="39"/>
    </row>
    <row r="214" spans="6:40" ht="39.9" customHeight="1" x14ac:dyDescent="0.3">
      <c r="F214" s="190" t="e">
        <f>+IF(TEST!#REF!&lt;&gt;"trampa"," ",TRIM(Cevir(Sayfa1!#REF!)))</f>
        <v>#REF!</v>
      </c>
      <c r="G214" s="203"/>
      <c r="H214" s="203"/>
      <c r="I214" s="203"/>
      <c r="J214" s="203"/>
      <c r="K214" s="193"/>
      <c r="L214" s="193"/>
      <c r="M214" s="193"/>
      <c r="N214" s="193"/>
      <c r="O214" s="193"/>
      <c r="P214" s="193"/>
      <c r="Q214" s="193"/>
      <c r="R214" s="193"/>
      <c r="S214" s="193"/>
      <c r="T214" s="194"/>
      <c r="W214" s="38"/>
      <c r="X214" s="38"/>
    </row>
    <row r="215" spans="6:40" ht="39.9" customHeight="1" x14ac:dyDescent="0.3">
      <c r="F215" s="195" t="e">
        <f>TRIM(Cevir(SİGORTADEĞERİTAMAM))</f>
        <v>#VALUE!</v>
      </c>
      <c r="G215" s="204"/>
      <c r="H215" s="204"/>
      <c r="I215" s="204"/>
      <c r="J215" s="204"/>
    </row>
    <row r="216" spans="6:40" ht="39.9" customHeight="1" x14ac:dyDescent="0.3">
      <c r="F216" s="195" t="e">
        <f>IF(TEST!#REF!="trampa","",TRIM(Cevir(SİGORTADEĞERİ)))</f>
        <v>#REF!</v>
      </c>
      <c r="G216" s="204"/>
      <c r="H216" s="204"/>
      <c r="I216" s="204"/>
      <c r="J216" s="204"/>
    </row>
    <row r="217" spans="6:40" ht="24.9" customHeight="1" x14ac:dyDescent="0.3">
      <c r="F217" s="192"/>
      <c r="G217" s="193"/>
      <c r="H217" s="193"/>
      <c r="I217" s="193"/>
      <c r="J217" s="193"/>
      <c r="AC217" s="40"/>
      <c r="AD217" s="40"/>
      <c r="AE217" s="40"/>
      <c r="AF217" s="40"/>
      <c r="AG217" s="40"/>
      <c r="AH217" s="40"/>
      <c r="AI217" s="40"/>
      <c r="AJ217" s="40"/>
      <c r="AK217" s="40"/>
      <c r="AL217" s="40"/>
      <c r="AM217" s="40"/>
      <c r="AN217" s="40"/>
    </row>
    <row r="218" spans="6:40" ht="24.9" customHeight="1" x14ac:dyDescent="0.3">
      <c r="AC218" s="40"/>
      <c r="AD218" s="40"/>
      <c r="AE218" s="40"/>
      <c r="AF218" s="40"/>
      <c r="AG218" s="40"/>
      <c r="AH218" s="40"/>
      <c r="AI218" s="40"/>
      <c r="AJ218" s="40"/>
      <c r="AK218" s="40"/>
      <c r="AL218" s="40"/>
      <c r="AM218" s="40"/>
      <c r="AN218" s="40"/>
    </row>
    <row r="219" spans="6:40" ht="24.9" customHeight="1" x14ac:dyDescent="0.3">
      <c r="AC219" s="40"/>
      <c r="AD219" s="40"/>
      <c r="AE219" s="40"/>
      <c r="AF219" s="40"/>
      <c r="AG219" s="40"/>
      <c r="AH219" s="40"/>
      <c r="AI219" s="40"/>
      <c r="AJ219" s="40"/>
      <c r="AK219" s="40"/>
      <c r="AL219" s="40"/>
      <c r="AM219" s="40"/>
      <c r="AN219" s="40"/>
    </row>
    <row r="220" spans="6:40" ht="24.9" customHeight="1" x14ac:dyDescent="0.3">
      <c r="AC220" s="40"/>
      <c r="AD220" s="40"/>
      <c r="AE220" s="40"/>
      <c r="AF220" s="40"/>
      <c r="AG220" s="40"/>
      <c r="AH220" s="40"/>
      <c r="AI220" s="40"/>
      <c r="AJ220" s="40"/>
      <c r="AK220" s="40"/>
      <c r="AL220" s="40"/>
      <c r="AM220" s="40"/>
      <c r="AN220" s="40"/>
    </row>
    <row r="221" spans="6:40" ht="24.9" customHeight="1" x14ac:dyDescent="0.3">
      <c r="AC221" s="40"/>
      <c r="AD221" s="40"/>
      <c r="AE221" s="40"/>
      <c r="AF221" s="40"/>
      <c r="AG221" s="40"/>
      <c r="AH221" s="40"/>
      <c r="AI221" s="40"/>
      <c r="AJ221" s="40"/>
      <c r="AK221" s="40"/>
      <c r="AL221" s="40"/>
      <c r="AM221" s="40"/>
      <c r="AN221" s="40"/>
    </row>
    <row r="222" spans="6:40" ht="24.9" customHeight="1" x14ac:dyDescent="0.3">
      <c r="AC222" s="40"/>
      <c r="AD222" s="40"/>
      <c r="AE222" s="40"/>
      <c r="AF222" s="40"/>
      <c r="AG222" s="40"/>
      <c r="AH222" s="40"/>
      <c r="AI222" s="40"/>
      <c r="AJ222" s="40"/>
      <c r="AK222" s="40"/>
      <c r="AL222" s="40"/>
      <c r="AM222" s="40"/>
      <c r="AN222" s="40"/>
    </row>
    <row r="223" spans="6:40" ht="24.9" customHeight="1" x14ac:dyDescent="0.3">
      <c r="AC223" s="40"/>
      <c r="AD223" s="40"/>
      <c r="AE223" s="40"/>
      <c r="AF223" s="40"/>
      <c r="AG223" s="40"/>
      <c r="AH223" s="40"/>
      <c r="AI223" s="40"/>
      <c r="AJ223" s="40"/>
      <c r="AK223" s="40"/>
      <c r="AL223" s="40"/>
      <c r="AM223" s="40"/>
      <c r="AN223" s="40"/>
    </row>
    <row r="224" spans="6:40" ht="24.9" customHeight="1" x14ac:dyDescent="0.3">
      <c r="AC224" s="40"/>
      <c r="AD224" s="40"/>
      <c r="AE224" s="40"/>
      <c r="AF224" s="40"/>
      <c r="AG224" s="40"/>
      <c r="AH224" s="40"/>
      <c r="AI224" s="40"/>
      <c r="AJ224" s="40"/>
      <c r="AK224" s="40"/>
      <c r="AL224" s="40"/>
      <c r="AM224" s="40"/>
      <c r="AN224" s="40"/>
    </row>
    <row r="225" spans="29:40" ht="24.9" customHeight="1" x14ac:dyDescent="0.3">
      <c r="AC225" s="40"/>
      <c r="AD225" s="40"/>
      <c r="AE225" s="40"/>
      <c r="AF225" s="40"/>
      <c r="AG225" s="40"/>
      <c r="AH225" s="40"/>
      <c r="AI225" s="40"/>
      <c r="AJ225" s="40"/>
      <c r="AK225" s="40"/>
      <c r="AL225" s="40"/>
      <c r="AM225" s="40"/>
      <c r="AN225" s="40"/>
    </row>
    <row r="226" spans="29:40" ht="24.9" customHeight="1" x14ac:dyDescent="0.3">
      <c r="AC226" s="40"/>
      <c r="AD226" s="40"/>
      <c r="AE226" s="40"/>
      <c r="AF226" s="40"/>
      <c r="AG226" s="40"/>
      <c r="AH226" s="40"/>
      <c r="AI226" s="40"/>
      <c r="AJ226" s="40"/>
      <c r="AK226" s="40"/>
      <c r="AL226" s="40"/>
      <c r="AM226" s="40"/>
      <c r="AN226" s="40"/>
    </row>
    <row r="227" spans="29:40" ht="21" customHeight="1" x14ac:dyDescent="0.3">
      <c r="AC227" s="40"/>
      <c r="AD227" s="40"/>
      <c r="AE227" s="40"/>
      <c r="AF227" s="40"/>
      <c r="AG227" s="40"/>
      <c r="AH227" s="40"/>
      <c r="AI227" s="40"/>
      <c r="AJ227" s="40"/>
      <c r="AK227" s="40"/>
      <c r="AL227" s="40"/>
      <c r="AM227" s="40"/>
      <c r="AN227" s="40"/>
    </row>
    <row r="228" spans="29:40" ht="20.100000000000001" customHeight="1" x14ac:dyDescent="0.3">
      <c r="AC228" s="40"/>
      <c r="AD228" s="40"/>
      <c r="AE228" s="40"/>
      <c r="AF228" s="40"/>
      <c r="AG228" s="40"/>
      <c r="AH228" s="40"/>
      <c r="AI228" s="40"/>
      <c r="AJ228" s="40"/>
      <c r="AK228" s="40"/>
      <c r="AL228" s="40"/>
      <c r="AM228" s="40"/>
      <c r="AN228" s="40"/>
    </row>
    <row r="229" spans="29:40" ht="20.100000000000001" customHeight="1" x14ac:dyDescent="0.3">
      <c r="AC229" s="40"/>
      <c r="AD229" s="40"/>
      <c r="AE229" s="40"/>
      <c r="AF229" s="40"/>
      <c r="AG229" s="40"/>
      <c r="AH229" s="40"/>
      <c r="AI229" s="40"/>
      <c r="AJ229" s="40"/>
      <c r="AK229" s="40"/>
      <c r="AL229" s="40"/>
      <c r="AM229" s="40"/>
      <c r="AN229" s="40"/>
    </row>
    <row r="230" spans="29:40" ht="20.100000000000001" customHeight="1" x14ac:dyDescent="0.3">
      <c r="AC230" s="40"/>
      <c r="AD230" s="40"/>
      <c r="AE230" s="40"/>
      <c r="AF230" s="40"/>
      <c r="AG230" s="40"/>
      <c r="AH230" s="40"/>
      <c r="AI230" s="40"/>
      <c r="AJ230" s="40"/>
      <c r="AK230" s="40"/>
      <c r="AL230" s="40"/>
      <c r="AM230" s="40"/>
      <c r="AN230" s="40"/>
    </row>
    <row r="231" spans="29:40" ht="20.100000000000001" customHeight="1" x14ac:dyDescent="0.3">
      <c r="AC231" s="40"/>
      <c r="AD231" s="40"/>
      <c r="AE231" s="40"/>
      <c r="AF231" s="40"/>
      <c r="AG231" s="40"/>
      <c r="AH231" s="40"/>
      <c r="AI231" s="40"/>
      <c r="AJ231" s="40"/>
      <c r="AK231" s="40"/>
      <c r="AL231" s="40"/>
      <c r="AM231" s="40"/>
      <c r="AN231" s="40"/>
    </row>
    <row r="232" spans="29:40" ht="20.100000000000001" customHeight="1" x14ac:dyDescent="0.3">
      <c r="AC232" s="40"/>
      <c r="AD232" s="40"/>
      <c r="AE232" s="40"/>
      <c r="AF232" s="40"/>
      <c r="AG232" s="40"/>
      <c r="AH232" s="40"/>
      <c r="AI232" s="40"/>
      <c r="AJ232" s="40"/>
      <c r="AK232" s="40"/>
      <c r="AL232" s="40"/>
      <c r="AM232" s="40"/>
      <c r="AN232" s="40"/>
    </row>
    <row r="233" spans="29:40" ht="24.75" customHeight="1" x14ac:dyDescent="0.3">
      <c r="AC233" s="40"/>
      <c r="AD233" s="40"/>
      <c r="AE233" s="40"/>
      <c r="AF233" s="40"/>
      <c r="AG233" s="40"/>
      <c r="AH233" s="40"/>
      <c r="AI233" s="40"/>
      <c r="AJ233" s="40"/>
      <c r="AK233" s="40"/>
      <c r="AL233" s="40"/>
      <c r="AM233" s="40"/>
      <c r="AN233" s="40"/>
    </row>
    <row r="234" spans="29:40" ht="15" customHeight="1" x14ac:dyDescent="0.3">
      <c r="AC234" s="40"/>
      <c r="AD234" s="40"/>
      <c r="AE234" s="40"/>
      <c r="AF234" s="40"/>
      <c r="AG234" s="40"/>
      <c r="AH234" s="40"/>
      <c r="AI234" s="40"/>
      <c r="AJ234" s="40"/>
      <c r="AK234" s="40"/>
      <c r="AL234" s="40"/>
      <c r="AM234" s="40"/>
      <c r="AN234" s="40"/>
    </row>
    <row r="235" spans="29:40" ht="20.25" customHeight="1" x14ac:dyDescent="0.3">
      <c r="AC235" s="40"/>
      <c r="AD235" s="40"/>
      <c r="AE235" s="40"/>
      <c r="AF235" s="40"/>
      <c r="AG235" s="40"/>
      <c r="AH235" s="40"/>
      <c r="AI235" s="40"/>
      <c r="AJ235" s="40"/>
      <c r="AK235" s="40"/>
      <c r="AL235" s="40"/>
      <c r="AM235" s="40"/>
      <c r="AN235" s="40"/>
    </row>
    <row r="236" spans="29:40" x14ac:dyDescent="0.3">
      <c r="AC236" s="40"/>
      <c r="AD236" s="40"/>
      <c r="AE236" s="40"/>
      <c r="AF236" s="40"/>
      <c r="AG236" s="40"/>
      <c r="AH236" s="40"/>
      <c r="AI236" s="40"/>
      <c r="AJ236" s="40"/>
      <c r="AK236" s="40"/>
      <c r="AL236" s="40"/>
      <c r="AM236" s="40"/>
      <c r="AN236" s="40"/>
    </row>
    <row r="237" spans="29:40" x14ac:dyDescent="0.3">
      <c r="AC237" s="40"/>
      <c r="AD237" s="40"/>
      <c r="AE237" s="40"/>
      <c r="AF237" s="40"/>
      <c r="AG237" s="40"/>
      <c r="AH237" s="40"/>
      <c r="AI237" s="40"/>
      <c r="AJ237" s="40"/>
      <c r="AK237" s="40"/>
      <c r="AL237" s="40"/>
      <c r="AM237" s="40"/>
      <c r="AN237" s="40"/>
    </row>
    <row r="238" spans="29:40" x14ac:dyDescent="0.3">
      <c r="AC238" s="40"/>
      <c r="AD238" s="40"/>
      <c r="AE238" s="40"/>
      <c r="AF238" s="40"/>
      <c r="AG238" s="40"/>
      <c r="AH238" s="40"/>
      <c r="AI238" s="40"/>
      <c r="AJ238" s="40"/>
      <c r="AK238" s="40"/>
      <c r="AL238" s="40"/>
      <c r="AM238" s="40"/>
      <c r="AN238" s="40"/>
    </row>
    <row r="239" spans="29:40" x14ac:dyDescent="0.3">
      <c r="AC239" s="40"/>
      <c r="AD239" s="40"/>
      <c r="AE239" s="40"/>
      <c r="AF239" s="40"/>
      <c r="AG239" s="40"/>
      <c r="AH239" s="40"/>
      <c r="AI239" s="40"/>
      <c r="AJ239" s="40"/>
      <c r="AK239" s="40"/>
      <c r="AL239" s="40"/>
      <c r="AM239" s="40"/>
      <c r="AN239" s="40"/>
    </row>
    <row r="240" spans="29:40" x14ac:dyDescent="0.3">
      <c r="AC240" s="40"/>
      <c r="AD240" s="40"/>
      <c r="AE240" s="40"/>
      <c r="AF240" s="40"/>
      <c r="AG240" s="40"/>
      <c r="AH240" s="40"/>
      <c r="AI240" s="40"/>
      <c r="AJ240" s="40"/>
      <c r="AK240" s="40"/>
      <c r="AL240" s="40"/>
      <c r="AM240" s="40"/>
      <c r="AN240" s="40"/>
    </row>
    <row r="241" spans="29:40" x14ac:dyDescent="0.3">
      <c r="AC241" s="40"/>
      <c r="AD241" s="40"/>
      <c r="AE241" s="40"/>
      <c r="AF241" s="40"/>
      <c r="AG241" s="40"/>
      <c r="AH241" s="40"/>
      <c r="AI241" s="40"/>
      <c r="AJ241" s="40"/>
      <c r="AK241" s="40"/>
      <c r="AL241" s="40"/>
      <c r="AM241" s="40"/>
      <c r="AN241" s="40"/>
    </row>
    <row r="242" spans="29:40" x14ac:dyDescent="0.3">
      <c r="AC242" s="40"/>
      <c r="AD242" s="40"/>
      <c r="AE242" s="40"/>
      <c r="AF242" s="40"/>
      <c r="AG242" s="40"/>
      <c r="AH242" s="40"/>
      <c r="AI242" s="40"/>
      <c r="AJ242" s="40"/>
      <c r="AK242" s="40"/>
      <c r="AL242" s="40"/>
      <c r="AM242" s="40"/>
      <c r="AN242" s="40"/>
    </row>
    <row r="243" spans="29:40" x14ac:dyDescent="0.3">
      <c r="AC243" s="40"/>
      <c r="AD243" s="40"/>
      <c r="AE243" s="40"/>
      <c r="AF243" s="40"/>
      <c r="AG243" s="40"/>
      <c r="AH243" s="40"/>
      <c r="AI243" s="40"/>
      <c r="AJ243" s="40"/>
      <c r="AK243" s="40"/>
      <c r="AL243" s="40"/>
      <c r="AM243" s="40"/>
      <c r="AN243" s="40"/>
    </row>
    <row r="244" spans="29:40" x14ac:dyDescent="0.3">
      <c r="AC244" s="40"/>
      <c r="AD244" s="40"/>
      <c r="AE244" s="40"/>
      <c r="AF244" s="40"/>
      <c r="AG244" s="40"/>
      <c r="AH244" s="40"/>
      <c r="AI244" s="40"/>
      <c r="AJ244" s="40"/>
      <c r="AK244" s="40"/>
      <c r="AL244" s="40"/>
      <c r="AM244" s="40"/>
      <c r="AN244" s="40"/>
    </row>
    <row r="245" spans="29:40" x14ac:dyDescent="0.3">
      <c r="AC245" s="40"/>
      <c r="AD245" s="40"/>
      <c r="AE245" s="40"/>
      <c r="AF245" s="40"/>
      <c r="AG245" s="40"/>
      <c r="AH245" s="40"/>
      <c r="AI245" s="40"/>
      <c r="AJ245" s="40"/>
      <c r="AK245" s="40"/>
      <c r="AL245" s="40"/>
      <c r="AM245" s="40"/>
      <c r="AN245" s="40"/>
    </row>
    <row r="246" spans="29:40" x14ac:dyDescent="0.3">
      <c r="AC246" s="40"/>
      <c r="AD246" s="40"/>
      <c r="AE246" s="40"/>
      <c r="AF246" s="40"/>
      <c r="AG246" s="40"/>
      <c r="AH246" s="40"/>
      <c r="AI246" s="40"/>
      <c r="AJ246" s="40"/>
      <c r="AK246" s="40"/>
      <c r="AL246" s="40"/>
      <c r="AM246" s="40"/>
      <c r="AN246" s="40"/>
    </row>
    <row r="247" spans="29:40" x14ac:dyDescent="0.3">
      <c r="AC247" s="40"/>
      <c r="AD247" s="40"/>
      <c r="AE247" s="40"/>
      <c r="AF247" s="40"/>
      <c r="AG247" s="40"/>
      <c r="AH247" s="40"/>
      <c r="AI247" s="40"/>
      <c r="AJ247" s="40"/>
      <c r="AK247" s="40"/>
      <c r="AL247" s="40"/>
      <c r="AM247" s="40"/>
      <c r="AN247" s="40"/>
    </row>
    <row r="248" spans="29:40" x14ac:dyDescent="0.3">
      <c r="AC248" s="40"/>
      <c r="AD248" s="40"/>
      <c r="AE248" s="40"/>
      <c r="AF248" s="40"/>
      <c r="AG248" s="40"/>
      <c r="AH248" s="40"/>
      <c r="AI248" s="40"/>
      <c r="AJ248" s="40"/>
      <c r="AK248" s="40"/>
      <c r="AL248" s="40"/>
      <c r="AM248" s="40"/>
      <c r="AN248" s="40"/>
    </row>
    <row r="249" spans="29:40" x14ac:dyDescent="0.3">
      <c r="AC249" s="40"/>
      <c r="AD249" s="40"/>
      <c r="AE249" s="40"/>
      <c r="AF249" s="40"/>
      <c r="AG249" s="40"/>
      <c r="AH249" s="40"/>
      <c r="AI249" s="40"/>
      <c r="AJ249" s="40"/>
      <c r="AK249" s="40"/>
      <c r="AL249" s="40"/>
      <c r="AM249" s="40"/>
      <c r="AN249" s="40"/>
    </row>
    <row r="250" spans="29:40" x14ac:dyDescent="0.3">
      <c r="AC250" s="40"/>
      <c r="AD250" s="40"/>
      <c r="AE250" s="40"/>
      <c r="AF250" s="40"/>
      <c r="AG250" s="40"/>
      <c r="AH250" s="40"/>
      <c r="AI250" s="40"/>
      <c r="AJ250" s="40"/>
      <c r="AK250" s="40"/>
      <c r="AL250" s="40"/>
      <c r="AM250" s="40"/>
      <c r="AN250" s="40"/>
    </row>
    <row r="251" spans="29:40" x14ac:dyDescent="0.3">
      <c r="AC251" s="40"/>
      <c r="AD251" s="40"/>
      <c r="AE251" s="40"/>
      <c r="AF251" s="40"/>
      <c r="AG251" s="40"/>
      <c r="AH251" s="40"/>
      <c r="AI251" s="40"/>
      <c r="AJ251" s="40"/>
      <c r="AK251" s="40"/>
      <c r="AL251" s="40"/>
      <c r="AM251" s="40"/>
      <c r="AN251" s="40"/>
    </row>
    <row r="252" spans="29:40" x14ac:dyDescent="0.3">
      <c r="AC252" s="40"/>
      <c r="AD252" s="40"/>
      <c r="AE252" s="40"/>
      <c r="AF252" s="40"/>
      <c r="AG252" s="40"/>
      <c r="AH252" s="40"/>
      <c r="AI252" s="40"/>
      <c r="AJ252" s="40"/>
      <c r="AK252" s="40"/>
      <c r="AL252" s="40"/>
      <c r="AM252" s="40"/>
      <c r="AN252" s="40"/>
    </row>
    <row r="253" spans="29:40" x14ac:dyDescent="0.3">
      <c r="AC253" s="40"/>
      <c r="AD253" s="40"/>
      <c r="AE253" s="40"/>
      <c r="AF253" s="40"/>
      <c r="AG253" s="40"/>
      <c r="AH253" s="40"/>
      <c r="AI253" s="40"/>
      <c r="AJ253" s="40"/>
      <c r="AK253" s="40"/>
      <c r="AL253" s="40"/>
      <c r="AM253" s="40"/>
      <c r="AN253" s="40"/>
    </row>
    <row r="254" spans="29:40" x14ac:dyDescent="0.3">
      <c r="AC254" s="40"/>
      <c r="AD254" s="40"/>
      <c r="AE254" s="40"/>
      <c r="AF254" s="40"/>
      <c r="AG254" s="40"/>
      <c r="AH254" s="40"/>
      <c r="AI254" s="40"/>
      <c r="AJ254" s="40"/>
      <c r="AK254" s="40"/>
      <c r="AL254" s="40"/>
      <c r="AM254" s="40"/>
      <c r="AN254" s="40"/>
    </row>
    <row r="255" spans="29:40" x14ac:dyDescent="0.3">
      <c r="AC255" s="40"/>
      <c r="AD255" s="40"/>
      <c r="AE255" s="40"/>
      <c r="AF255" s="40"/>
      <c r="AG255" s="40"/>
      <c r="AH255" s="40"/>
      <c r="AI255" s="40"/>
      <c r="AJ255" s="40"/>
      <c r="AK255" s="40"/>
      <c r="AL255" s="40"/>
      <c r="AM255" s="40"/>
      <c r="AN255" s="40"/>
    </row>
    <row r="256" spans="29:40" x14ac:dyDescent="0.3">
      <c r="AC256" s="40"/>
      <c r="AD256" s="40"/>
      <c r="AE256" s="40"/>
      <c r="AF256" s="40"/>
      <c r="AG256" s="40"/>
      <c r="AH256" s="40"/>
      <c r="AI256" s="40"/>
      <c r="AJ256" s="40"/>
      <c r="AK256" s="40"/>
      <c r="AL256" s="40"/>
      <c r="AM256" s="40"/>
      <c r="AN256" s="40"/>
    </row>
    <row r="257" spans="29:40" x14ac:dyDescent="0.3">
      <c r="AC257" s="40"/>
      <c r="AD257" s="40"/>
      <c r="AE257" s="40"/>
      <c r="AF257" s="40"/>
      <c r="AG257" s="40"/>
      <c r="AH257" s="40"/>
      <c r="AI257" s="40"/>
      <c r="AJ257" s="40"/>
      <c r="AK257" s="40"/>
      <c r="AL257" s="40"/>
      <c r="AM257" s="40"/>
      <c r="AN257" s="40"/>
    </row>
    <row r="258" spans="29:40" x14ac:dyDescent="0.3">
      <c r="AC258" s="40"/>
      <c r="AD258" s="40"/>
      <c r="AE258" s="40"/>
      <c r="AF258" s="40"/>
      <c r="AG258" s="40"/>
      <c r="AH258" s="40"/>
      <c r="AI258" s="40"/>
      <c r="AJ258" s="40"/>
      <c r="AK258" s="40"/>
      <c r="AL258" s="40"/>
      <c r="AM258" s="40"/>
      <c r="AN258" s="40"/>
    </row>
    <row r="259" spans="29:40" x14ac:dyDescent="0.3">
      <c r="AC259" s="40"/>
      <c r="AD259" s="40"/>
      <c r="AE259" s="40"/>
      <c r="AF259" s="40"/>
      <c r="AG259" s="40"/>
      <c r="AH259" s="40"/>
      <c r="AI259" s="40"/>
      <c r="AJ259" s="40"/>
      <c r="AK259" s="40"/>
      <c r="AL259" s="40"/>
      <c r="AM259" s="40"/>
      <c r="AN259" s="40"/>
    </row>
    <row r="260" spans="29:40" x14ac:dyDescent="0.3">
      <c r="AC260" s="40"/>
      <c r="AD260" s="40"/>
      <c r="AE260" s="40"/>
      <c r="AF260" s="40"/>
      <c r="AG260" s="40"/>
      <c r="AH260" s="40"/>
      <c r="AI260" s="40"/>
      <c r="AJ260" s="40"/>
      <c r="AK260" s="40"/>
      <c r="AL260" s="40"/>
      <c r="AM260" s="40"/>
      <c r="AN260" s="40"/>
    </row>
    <row r="261" spans="29:40" x14ac:dyDescent="0.3">
      <c r="AC261" s="40"/>
      <c r="AD261" s="40"/>
      <c r="AE261" s="40"/>
      <c r="AF261" s="40"/>
      <c r="AG261" s="40"/>
      <c r="AH261" s="40"/>
      <c r="AI261" s="40"/>
      <c r="AJ261" s="40"/>
      <c r="AK261" s="40"/>
      <c r="AL261" s="40"/>
      <c r="AM261" s="40"/>
      <c r="AN261" s="40"/>
    </row>
    <row r="262" spans="29:40" x14ac:dyDescent="0.3">
      <c r="AC262" s="40"/>
      <c r="AD262" s="40"/>
      <c r="AE262" s="40"/>
      <c r="AF262" s="40"/>
      <c r="AG262" s="40"/>
      <c r="AH262" s="40"/>
      <c r="AI262" s="40"/>
      <c r="AJ262" s="40"/>
      <c r="AK262" s="40"/>
      <c r="AL262" s="40"/>
      <c r="AM262" s="40"/>
      <c r="AN262" s="40"/>
    </row>
    <row r="263" spans="29:40" x14ac:dyDescent="0.3">
      <c r="AC263" s="40"/>
      <c r="AD263" s="40"/>
      <c r="AE263" s="40"/>
      <c r="AF263" s="40"/>
      <c r="AG263" s="40"/>
      <c r="AH263" s="40"/>
      <c r="AI263" s="40"/>
      <c r="AJ263" s="40"/>
      <c r="AK263" s="40"/>
      <c r="AL263" s="40"/>
      <c r="AM263" s="40"/>
      <c r="AN263" s="40"/>
    </row>
    <row r="264" spans="29:40" x14ac:dyDescent="0.3">
      <c r="AC264" s="40"/>
      <c r="AD264" s="40"/>
      <c r="AE264" s="40"/>
      <c r="AF264" s="40"/>
      <c r="AG264" s="40"/>
      <c r="AH264" s="40"/>
      <c r="AI264" s="40"/>
      <c r="AJ264" s="40"/>
      <c r="AK264" s="40"/>
      <c r="AL264" s="40"/>
      <c r="AM264" s="40"/>
      <c r="AN264" s="40"/>
    </row>
    <row r="265" spans="29:40" x14ac:dyDescent="0.3">
      <c r="AC265" s="40"/>
      <c r="AD265" s="40"/>
      <c r="AE265" s="40"/>
      <c r="AF265" s="40"/>
      <c r="AG265" s="40"/>
      <c r="AH265" s="40"/>
      <c r="AI265" s="40"/>
      <c r="AJ265" s="40"/>
      <c r="AK265" s="40"/>
      <c r="AL265" s="40"/>
      <c r="AM265" s="40"/>
      <c r="AN265" s="40"/>
    </row>
    <row r="266" spans="29:40" x14ac:dyDescent="0.3">
      <c r="AC266" s="40"/>
      <c r="AD266" s="40"/>
      <c r="AE266" s="40"/>
      <c r="AF266" s="40"/>
      <c r="AG266" s="40"/>
      <c r="AH266" s="40"/>
      <c r="AI266" s="40"/>
      <c r="AJ266" s="40"/>
      <c r="AK266" s="40"/>
      <c r="AL266" s="40"/>
      <c r="AM266" s="40"/>
      <c r="AN266" s="40"/>
    </row>
    <row r="267" spans="29:40" x14ac:dyDescent="0.3">
      <c r="AC267" s="40"/>
      <c r="AD267" s="40"/>
      <c r="AE267" s="40"/>
      <c r="AF267" s="40"/>
      <c r="AG267" s="40"/>
      <c r="AH267" s="40"/>
      <c r="AI267" s="40"/>
      <c r="AJ267" s="40"/>
      <c r="AK267" s="40"/>
      <c r="AL267" s="40"/>
      <c r="AM267" s="40"/>
      <c r="AN267" s="40"/>
    </row>
    <row r="268" spans="29:40" x14ac:dyDescent="0.3">
      <c r="AC268" s="40"/>
      <c r="AD268" s="40"/>
      <c r="AE268" s="40"/>
      <c r="AF268" s="40"/>
      <c r="AG268" s="40"/>
      <c r="AH268" s="40"/>
      <c r="AI268" s="40"/>
      <c r="AJ268" s="40"/>
      <c r="AK268" s="40"/>
      <c r="AL268" s="40"/>
      <c r="AM268" s="40"/>
      <c r="AN268" s="40"/>
    </row>
    <row r="269" spans="29:40" x14ac:dyDescent="0.3">
      <c r="AC269" s="40"/>
      <c r="AD269" s="40"/>
      <c r="AE269" s="40"/>
      <c r="AF269" s="40"/>
      <c r="AG269" s="40"/>
      <c r="AH269" s="40"/>
      <c r="AI269" s="40"/>
      <c r="AJ269" s="40"/>
      <c r="AK269" s="40"/>
      <c r="AL269" s="40"/>
      <c r="AM269" s="40"/>
      <c r="AN269" s="40"/>
    </row>
    <row r="270" spans="29:40" x14ac:dyDescent="0.3">
      <c r="AC270" s="40"/>
      <c r="AD270" s="40"/>
      <c r="AE270" s="40"/>
      <c r="AF270" s="40"/>
      <c r="AG270" s="40"/>
      <c r="AH270" s="40"/>
      <c r="AI270" s="40"/>
      <c r="AJ270" s="40"/>
      <c r="AK270" s="40"/>
      <c r="AL270" s="40"/>
      <c r="AM270" s="40"/>
      <c r="AN270" s="40"/>
    </row>
    <row r="271" spans="29:40" x14ac:dyDescent="0.3">
      <c r="AC271" s="40"/>
      <c r="AD271" s="40"/>
      <c r="AE271" s="40"/>
      <c r="AF271" s="40"/>
      <c r="AG271" s="40"/>
      <c r="AH271" s="40"/>
      <c r="AI271" s="40"/>
      <c r="AJ271" s="40"/>
      <c r="AK271" s="40"/>
      <c r="AL271" s="40"/>
      <c r="AM271" s="40"/>
      <c r="AN271" s="40"/>
    </row>
    <row r="272" spans="29:40" x14ac:dyDescent="0.3">
      <c r="AC272" s="40"/>
      <c r="AD272" s="40"/>
      <c r="AE272" s="40"/>
      <c r="AF272" s="40"/>
      <c r="AG272" s="40"/>
      <c r="AH272" s="40"/>
      <c r="AI272" s="40"/>
      <c r="AJ272" s="40"/>
      <c r="AK272" s="40"/>
      <c r="AL272" s="40"/>
      <c r="AM272" s="40"/>
      <c r="AN272" s="40"/>
    </row>
    <row r="273" spans="29:40" x14ac:dyDescent="0.3">
      <c r="AC273" s="40"/>
      <c r="AD273" s="40"/>
      <c r="AE273" s="40"/>
      <c r="AF273" s="40"/>
      <c r="AG273" s="40"/>
      <c r="AH273" s="40"/>
      <c r="AI273" s="40"/>
      <c r="AJ273" s="40"/>
      <c r="AK273" s="40"/>
      <c r="AL273" s="40"/>
      <c r="AM273" s="40"/>
      <c r="AN273" s="40"/>
    </row>
    <row r="274" spans="29:40" x14ac:dyDescent="0.3">
      <c r="AC274" s="40"/>
      <c r="AD274" s="40"/>
      <c r="AE274" s="40"/>
      <c r="AF274" s="40"/>
      <c r="AG274" s="40"/>
      <c r="AH274" s="40"/>
      <c r="AI274" s="40"/>
      <c r="AJ274" s="40"/>
      <c r="AK274" s="40"/>
      <c r="AL274" s="40"/>
      <c r="AM274" s="40"/>
      <c r="AN274" s="40"/>
    </row>
    <row r="275" spans="29:40" x14ac:dyDescent="0.3">
      <c r="AC275" s="40"/>
      <c r="AD275" s="40"/>
      <c r="AE275" s="40"/>
      <c r="AF275" s="40"/>
      <c r="AG275" s="40"/>
      <c r="AH275" s="40"/>
      <c r="AI275" s="40"/>
      <c r="AJ275" s="40"/>
      <c r="AK275" s="40"/>
      <c r="AL275" s="40"/>
      <c r="AM275" s="40"/>
      <c r="AN275" s="40"/>
    </row>
    <row r="276" spans="29:40" x14ac:dyDescent="0.3">
      <c r="AC276" s="40"/>
      <c r="AD276" s="40"/>
      <c r="AE276" s="40"/>
      <c r="AF276" s="40"/>
      <c r="AG276" s="40"/>
      <c r="AH276" s="40"/>
      <c r="AI276" s="40"/>
      <c r="AJ276" s="40"/>
      <c r="AK276" s="40"/>
      <c r="AL276" s="40"/>
      <c r="AM276" s="40"/>
      <c r="AN276" s="40"/>
    </row>
    <row r="277" spans="29:40" x14ac:dyDescent="0.3">
      <c r="AC277" s="40"/>
      <c r="AD277" s="40"/>
      <c r="AE277" s="40"/>
      <c r="AF277" s="40"/>
      <c r="AG277" s="40"/>
      <c r="AH277" s="40"/>
      <c r="AI277" s="40"/>
      <c r="AJ277" s="40"/>
      <c r="AK277" s="40"/>
      <c r="AL277" s="40"/>
      <c r="AM277" s="40"/>
      <c r="AN277" s="40"/>
    </row>
    <row r="278" spans="29:40" x14ac:dyDescent="0.3">
      <c r="AC278" s="40"/>
      <c r="AD278" s="40"/>
      <c r="AE278" s="40"/>
      <c r="AF278" s="40"/>
      <c r="AG278" s="40"/>
      <c r="AH278" s="40"/>
      <c r="AI278" s="40"/>
      <c r="AJ278" s="40"/>
      <c r="AK278" s="40"/>
      <c r="AL278" s="40"/>
      <c r="AM278" s="40"/>
      <c r="AN278" s="40"/>
    </row>
    <row r="279" spans="29:40" x14ac:dyDescent="0.3">
      <c r="AC279" s="40"/>
      <c r="AD279" s="40"/>
      <c r="AE279" s="40"/>
      <c r="AF279" s="40"/>
      <c r="AG279" s="40"/>
      <c r="AH279" s="40"/>
      <c r="AI279" s="40"/>
      <c r="AJ279" s="40"/>
      <c r="AK279" s="40"/>
      <c r="AL279" s="40"/>
      <c r="AM279" s="40"/>
      <c r="AN279" s="40"/>
    </row>
    <row r="280" spans="29:40" x14ac:dyDescent="0.3">
      <c r="AC280" s="40"/>
      <c r="AD280" s="40"/>
      <c r="AE280" s="40"/>
      <c r="AF280" s="40"/>
      <c r="AG280" s="40"/>
      <c r="AH280" s="40"/>
      <c r="AI280" s="40"/>
      <c r="AJ280" s="40"/>
      <c r="AK280" s="40"/>
      <c r="AL280" s="40"/>
      <c r="AM280" s="40"/>
      <c r="AN280" s="40"/>
    </row>
    <row r="281" spans="29:40" x14ac:dyDescent="0.3">
      <c r="AC281" s="40"/>
      <c r="AD281" s="40"/>
      <c r="AE281" s="40"/>
      <c r="AF281" s="40"/>
      <c r="AG281" s="40"/>
      <c r="AH281" s="40"/>
      <c r="AI281" s="40"/>
      <c r="AJ281" s="40"/>
      <c r="AK281" s="40"/>
      <c r="AL281" s="40"/>
      <c r="AM281" s="40"/>
      <c r="AN281" s="40"/>
    </row>
    <row r="282" spans="29:40" x14ac:dyDescent="0.3">
      <c r="AC282" s="40"/>
      <c r="AD282" s="40"/>
      <c r="AE282" s="40"/>
      <c r="AF282" s="40"/>
      <c r="AG282" s="40"/>
      <c r="AH282" s="40"/>
      <c r="AI282" s="40"/>
      <c r="AJ282" s="40"/>
      <c r="AK282" s="40"/>
      <c r="AL282" s="40"/>
      <c r="AM282" s="40"/>
      <c r="AN282" s="40"/>
    </row>
    <row r="283" spans="29:40" x14ac:dyDescent="0.3">
      <c r="AC283" s="40"/>
      <c r="AD283" s="40"/>
      <c r="AE283" s="40"/>
      <c r="AF283" s="40"/>
      <c r="AG283" s="40"/>
      <c r="AH283" s="40"/>
      <c r="AI283" s="40"/>
      <c r="AJ283" s="40"/>
      <c r="AK283" s="40"/>
      <c r="AL283" s="40"/>
      <c r="AM283" s="40"/>
      <c r="AN283" s="40"/>
    </row>
    <row r="284" spans="29:40" x14ac:dyDescent="0.3">
      <c r="AC284" s="40"/>
      <c r="AD284" s="40"/>
      <c r="AE284" s="40"/>
      <c r="AF284" s="40"/>
      <c r="AG284" s="40"/>
      <c r="AH284" s="40"/>
      <c r="AI284" s="40"/>
      <c r="AJ284" s="40"/>
      <c r="AK284" s="40"/>
      <c r="AL284" s="40"/>
      <c r="AM284" s="40"/>
      <c r="AN284" s="40"/>
    </row>
    <row r="285" spans="29:40" x14ac:dyDescent="0.3">
      <c r="AC285" s="40"/>
      <c r="AD285" s="40"/>
      <c r="AE285" s="40"/>
      <c r="AF285" s="40"/>
      <c r="AG285" s="40"/>
      <c r="AH285" s="40"/>
      <c r="AI285" s="40"/>
      <c r="AJ285" s="40"/>
      <c r="AK285" s="40"/>
      <c r="AL285" s="40"/>
      <c r="AM285" s="40"/>
      <c r="AN285" s="40"/>
    </row>
    <row r="286" spans="29:40" x14ac:dyDescent="0.3">
      <c r="AC286" s="40"/>
      <c r="AD286" s="40"/>
      <c r="AE286" s="40"/>
      <c r="AF286" s="40"/>
      <c r="AG286" s="40"/>
      <c r="AH286" s="40"/>
      <c r="AI286" s="40"/>
      <c r="AJ286" s="40"/>
      <c r="AK286" s="40"/>
      <c r="AL286" s="40"/>
      <c r="AM286" s="40"/>
      <c r="AN286" s="40"/>
    </row>
    <row r="287" spans="29:40" x14ac:dyDescent="0.3">
      <c r="AC287" s="40"/>
      <c r="AD287" s="40"/>
      <c r="AE287" s="40"/>
      <c r="AF287" s="40"/>
      <c r="AG287" s="40"/>
      <c r="AH287" s="40"/>
      <c r="AI287" s="40"/>
      <c r="AJ287" s="40"/>
      <c r="AK287" s="40"/>
      <c r="AL287" s="40"/>
      <c r="AM287" s="40"/>
      <c r="AN287" s="40"/>
    </row>
    <row r="288" spans="29:40" x14ac:dyDescent="0.3">
      <c r="AC288" s="40"/>
      <c r="AD288" s="40"/>
      <c r="AE288" s="40"/>
      <c r="AF288" s="40"/>
      <c r="AG288" s="40"/>
      <c r="AH288" s="40"/>
      <c r="AI288" s="40"/>
      <c r="AJ288" s="40"/>
      <c r="AK288" s="40"/>
      <c r="AL288" s="40"/>
      <c r="AM288" s="40"/>
      <c r="AN288" s="40"/>
    </row>
    <row r="289" spans="29:40" x14ac:dyDescent="0.3">
      <c r="AC289" s="40"/>
      <c r="AD289" s="40"/>
      <c r="AE289" s="40"/>
      <c r="AF289" s="40"/>
      <c r="AG289" s="40"/>
      <c r="AH289" s="40"/>
      <c r="AI289" s="40"/>
      <c r="AJ289" s="40"/>
      <c r="AK289" s="40"/>
      <c r="AL289" s="40"/>
      <c r="AM289" s="40"/>
      <c r="AN289" s="40"/>
    </row>
    <row r="1203" spans="2:2" x14ac:dyDescent="0.3">
      <c r="B1203" s="38" t="b">
        <v>0</v>
      </c>
    </row>
  </sheetData>
  <sheetProtection selectLockedCells="1"/>
  <mergeCells count="431">
    <mergeCell ref="V36:X42"/>
    <mergeCell ref="Q36:T36"/>
    <mergeCell ref="Q40:T40"/>
    <mergeCell ref="Q38:T38"/>
    <mergeCell ref="Q37:T37"/>
    <mergeCell ref="M36:N36"/>
    <mergeCell ref="M37:N37"/>
    <mergeCell ref="Q39:T39"/>
    <mergeCell ref="M38:N38"/>
    <mergeCell ref="M39:N39"/>
    <mergeCell ref="F28:K28"/>
    <mergeCell ref="H35:L35"/>
    <mergeCell ref="G33:I33"/>
    <mergeCell ref="F22:K22"/>
    <mergeCell ref="M65:P65"/>
    <mergeCell ref="G69:H69"/>
    <mergeCell ref="I69:J69"/>
    <mergeCell ref="I53:J53"/>
    <mergeCell ref="K49:L49"/>
    <mergeCell ref="M67:P67"/>
    <mergeCell ref="M52:P52"/>
    <mergeCell ref="K47:L47"/>
    <mergeCell ref="M53:P53"/>
    <mergeCell ref="K55:L55"/>
    <mergeCell ref="G36:I36"/>
    <mergeCell ref="G60:H60"/>
    <mergeCell ref="I58:J58"/>
    <mergeCell ref="I59:J59"/>
    <mergeCell ref="G53:H53"/>
    <mergeCell ref="G49:H49"/>
    <mergeCell ref="G50:H50"/>
    <mergeCell ref="G51:H51"/>
    <mergeCell ref="F45:J45"/>
    <mergeCell ref="G52:J52"/>
    <mergeCell ref="K67:L67"/>
    <mergeCell ref="M62:P62"/>
    <mergeCell ref="M66:P66"/>
    <mergeCell ref="K58:L58"/>
    <mergeCell ref="K52:L52"/>
    <mergeCell ref="K51:L51"/>
    <mergeCell ref="K45:T45"/>
    <mergeCell ref="M60:P60"/>
    <mergeCell ref="K54:L54"/>
    <mergeCell ref="M55:P55"/>
    <mergeCell ref="K63:L63"/>
    <mergeCell ref="K60:L60"/>
    <mergeCell ref="M33:N33"/>
    <mergeCell ref="G67:H67"/>
    <mergeCell ref="G63:H63"/>
    <mergeCell ref="I61:J61"/>
    <mergeCell ref="I60:J60"/>
    <mergeCell ref="K48:L48"/>
    <mergeCell ref="I63:J63"/>
    <mergeCell ref="G37:I37"/>
    <mergeCell ref="F42:T42"/>
    <mergeCell ref="I46:J46"/>
    <mergeCell ref="M41:N41"/>
    <mergeCell ref="Q41:T41"/>
    <mergeCell ref="G64:H64"/>
    <mergeCell ref="K62:L62"/>
    <mergeCell ref="M47:P47"/>
    <mergeCell ref="K44:L44"/>
    <mergeCell ref="K46:L46"/>
    <mergeCell ref="K50:L50"/>
    <mergeCell ref="M51:P51"/>
    <mergeCell ref="M48:P48"/>
    <mergeCell ref="M49:P49"/>
    <mergeCell ref="K53:L53"/>
    <mergeCell ref="J33:K33"/>
    <mergeCell ref="G58:H58"/>
    <mergeCell ref="G59:H59"/>
    <mergeCell ref="F54:J54"/>
    <mergeCell ref="F55:J56"/>
    <mergeCell ref="F57:J57"/>
    <mergeCell ref="I64:J64"/>
    <mergeCell ref="M59:P59"/>
    <mergeCell ref="K56:L56"/>
    <mergeCell ref="K40:L40"/>
    <mergeCell ref="K41:L41"/>
    <mergeCell ref="K43:L43"/>
    <mergeCell ref="M64:P64"/>
    <mergeCell ref="I51:J51"/>
    <mergeCell ref="I50:J50"/>
    <mergeCell ref="G48:H48"/>
    <mergeCell ref="I47:J47"/>
    <mergeCell ref="I48:J48"/>
    <mergeCell ref="M35:N35"/>
    <mergeCell ref="M46:P46"/>
    <mergeCell ref="M40:N40"/>
    <mergeCell ref="I49:J49"/>
    <mergeCell ref="N43:P43"/>
    <mergeCell ref="N44:P44"/>
    <mergeCell ref="M56:P56"/>
    <mergeCell ref="K57:L57"/>
    <mergeCell ref="M54:P54"/>
    <mergeCell ref="M57:P57"/>
    <mergeCell ref="M50:P50"/>
    <mergeCell ref="H34:L34"/>
    <mergeCell ref="G61:H61"/>
    <mergeCell ref="M68:P68"/>
    <mergeCell ref="K68:L68"/>
    <mergeCell ref="K66:L66"/>
    <mergeCell ref="K65:L65"/>
    <mergeCell ref="K93:L93"/>
    <mergeCell ref="G91:H91"/>
    <mergeCell ref="H82:H83"/>
    <mergeCell ref="F87:T87"/>
    <mergeCell ref="M72:M73"/>
    <mergeCell ref="I81:K81"/>
    <mergeCell ref="Q85:Q86"/>
    <mergeCell ref="T72:T73"/>
    <mergeCell ref="G66:H66"/>
    <mergeCell ref="G65:H65"/>
    <mergeCell ref="I93:J93"/>
    <mergeCell ref="M93:N93"/>
    <mergeCell ref="I65:J65"/>
    <mergeCell ref="R72:R73"/>
    <mergeCell ref="I88:J88"/>
    <mergeCell ref="K88:L88"/>
    <mergeCell ref="F72:F73"/>
    <mergeCell ref="N72:N73"/>
    <mergeCell ref="O72:O73"/>
    <mergeCell ref="S72:S73"/>
    <mergeCell ref="Q94:R94"/>
    <mergeCell ref="Q93:R93"/>
    <mergeCell ref="K94:L94"/>
    <mergeCell ref="I89:J89"/>
    <mergeCell ref="Q89:R89"/>
    <mergeCell ref="Q92:R92"/>
    <mergeCell ref="M94:N94"/>
    <mergeCell ref="K74:T74"/>
    <mergeCell ref="I92:J92"/>
    <mergeCell ref="I72:L72"/>
    <mergeCell ref="M95:N95"/>
    <mergeCell ref="I94:J94"/>
    <mergeCell ref="I95:J95"/>
    <mergeCell ref="S92:T92"/>
    <mergeCell ref="S95:T95"/>
    <mergeCell ref="Q88:R88"/>
    <mergeCell ref="I82:J83"/>
    <mergeCell ref="R81:S81"/>
    <mergeCell ref="S93:T93"/>
    <mergeCell ref="S94:T94"/>
    <mergeCell ref="I90:J90"/>
    <mergeCell ref="O94:P94"/>
    <mergeCell ref="Q95:R95"/>
    <mergeCell ref="S88:T88"/>
    <mergeCell ref="S89:T89"/>
    <mergeCell ref="S90:T90"/>
    <mergeCell ref="F84:T84"/>
    <mergeCell ref="F82:F83"/>
    <mergeCell ref="T82:T83"/>
    <mergeCell ref="S91:T91"/>
    <mergeCell ref="Q91:R91"/>
    <mergeCell ref="G88:H88"/>
    <mergeCell ref="P85:P86"/>
    <mergeCell ref="I91:J91"/>
    <mergeCell ref="AJ176:AO176"/>
    <mergeCell ref="AJ167:AO167"/>
    <mergeCell ref="AJ168:AO168"/>
    <mergeCell ref="AJ169:AO169"/>
    <mergeCell ref="AJ170:AO170"/>
    <mergeCell ref="AJ171:AO171"/>
    <mergeCell ref="AJ172:AO172"/>
    <mergeCell ref="AJ173:AO173"/>
    <mergeCell ref="AJ174:AO174"/>
    <mergeCell ref="AJ175:AO175"/>
    <mergeCell ref="AJ166:AO166"/>
    <mergeCell ref="O102:P102"/>
    <mergeCell ref="O103:P103"/>
    <mergeCell ref="O104:P104"/>
    <mergeCell ref="O105:P105"/>
    <mergeCell ref="O106:P106"/>
    <mergeCell ref="K103:L103"/>
    <mergeCell ref="M108:N108"/>
    <mergeCell ref="S103:T103"/>
    <mergeCell ref="M102:N102"/>
    <mergeCell ref="AJ165:AO165"/>
    <mergeCell ref="AC161:AI161"/>
    <mergeCell ref="S106:T106"/>
    <mergeCell ref="K105:L105"/>
    <mergeCell ref="O107:P107"/>
    <mergeCell ref="O108:P108"/>
    <mergeCell ref="S108:T108"/>
    <mergeCell ref="AC166:AI166"/>
    <mergeCell ref="AC165:AI165"/>
    <mergeCell ref="Q104:R104"/>
    <mergeCell ref="Q105:R105"/>
    <mergeCell ref="Q106:R106"/>
    <mergeCell ref="Q107:R107"/>
    <mergeCell ref="Q108:R108"/>
    <mergeCell ref="AV163:BB163"/>
    <mergeCell ref="AJ160:AO160"/>
    <mergeCell ref="AJ161:AO161"/>
    <mergeCell ref="AJ162:AO162"/>
    <mergeCell ref="AJ163:AO163"/>
    <mergeCell ref="AC162:AI162"/>
    <mergeCell ref="AC163:AI163"/>
    <mergeCell ref="AV160:BB160"/>
    <mergeCell ref="AC160:AI160"/>
    <mergeCell ref="AJ164:AO164"/>
    <mergeCell ref="G108:H108"/>
    <mergeCell ref="G106:H106"/>
    <mergeCell ref="I106:J106"/>
    <mergeCell ref="K106:L106"/>
    <mergeCell ref="M106:N106"/>
    <mergeCell ref="G107:H107"/>
    <mergeCell ref="I107:J107"/>
    <mergeCell ref="K107:L107"/>
    <mergeCell ref="M107:N107"/>
    <mergeCell ref="K108:L108"/>
    <mergeCell ref="I108:J108"/>
    <mergeCell ref="AC164:AI164"/>
    <mergeCell ref="S107:T107"/>
    <mergeCell ref="V115:Y118"/>
    <mergeCell ref="M99:N99"/>
    <mergeCell ref="Q102:R102"/>
    <mergeCell ref="S101:T101"/>
    <mergeCell ref="S102:T102"/>
    <mergeCell ref="S99:T99"/>
    <mergeCell ref="S100:T100"/>
    <mergeCell ref="Q96:R96"/>
    <mergeCell ref="I100:J100"/>
    <mergeCell ref="I101:J101"/>
    <mergeCell ref="O101:P101"/>
    <mergeCell ref="K99:L99"/>
    <mergeCell ref="M100:N100"/>
    <mergeCell ref="M96:N96"/>
    <mergeCell ref="K96:L96"/>
    <mergeCell ref="I96:J96"/>
    <mergeCell ref="S96:T96"/>
    <mergeCell ref="I102:J102"/>
    <mergeCell ref="I99:J99"/>
    <mergeCell ref="G105:H105"/>
    <mergeCell ref="AV161:BB161"/>
    <mergeCell ref="AV162:BB162"/>
    <mergeCell ref="G104:H104"/>
    <mergeCell ref="I104:J104"/>
    <mergeCell ref="K104:L104"/>
    <mergeCell ref="K101:L101"/>
    <mergeCell ref="K102:L102"/>
    <mergeCell ref="S105:T105"/>
    <mergeCell ref="Q103:R103"/>
    <mergeCell ref="G103:H103"/>
    <mergeCell ref="I103:J103"/>
    <mergeCell ref="M103:N103"/>
    <mergeCell ref="M105:N105"/>
    <mergeCell ref="M104:N104"/>
    <mergeCell ref="I105:J105"/>
    <mergeCell ref="S104:T104"/>
    <mergeCell ref="G99:H99"/>
    <mergeCell ref="AY6:AY7"/>
    <mergeCell ref="G68:H68"/>
    <mergeCell ref="G72:H73"/>
    <mergeCell ref="H85:I85"/>
    <mergeCell ref="G89:H89"/>
    <mergeCell ref="G90:H90"/>
    <mergeCell ref="F71:T71"/>
    <mergeCell ref="M89:N89"/>
    <mergeCell ref="M90:N90"/>
    <mergeCell ref="G82:G83"/>
    <mergeCell ref="M58:P58"/>
    <mergeCell ref="K59:L59"/>
    <mergeCell ref="M61:P61"/>
    <mergeCell ref="M63:P63"/>
    <mergeCell ref="K64:L64"/>
    <mergeCell ref="F43:G43"/>
    <mergeCell ref="F44:G44"/>
    <mergeCell ref="O85:O86"/>
    <mergeCell ref="P72:Q73"/>
    <mergeCell ref="I62:J62"/>
    <mergeCell ref="G62:H62"/>
    <mergeCell ref="K61:L61"/>
    <mergeCell ref="O99:P99"/>
    <mergeCell ref="K95:L95"/>
    <mergeCell ref="G100:H100"/>
    <mergeCell ref="G92:H92"/>
    <mergeCell ref="H86:I86"/>
    <mergeCell ref="Q90:R90"/>
    <mergeCell ref="Q100:R100"/>
    <mergeCell ref="G101:H101"/>
    <mergeCell ref="O100:P100"/>
    <mergeCell ref="AY9:BA9"/>
    <mergeCell ref="Q101:R101"/>
    <mergeCell ref="Q99:R99"/>
    <mergeCell ref="O95:P95"/>
    <mergeCell ref="O96:P96"/>
    <mergeCell ref="M101:N101"/>
    <mergeCell ref="K100:L100"/>
    <mergeCell ref="Q34:T34"/>
    <mergeCell ref="Q35:T35"/>
    <mergeCell ref="F31:K31"/>
    <mergeCell ref="M34:N34"/>
    <mergeCell ref="K69:L69"/>
    <mergeCell ref="M69:P69"/>
    <mergeCell ref="F80:T80"/>
    <mergeCell ref="K82:K83"/>
    <mergeCell ref="R83:S83"/>
    <mergeCell ref="Q33:T33"/>
    <mergeCell ref="F20:M20"/>
    <mergeCell ref="F29:K29"/>
    <mergeCell ref="G102:H102"/>
    <mergeCell ref="R85:R86"/>
    <mergeCell ref="S85:S86"/>
    <mergeCell ref="T85:T86"/>
    <mergeCell ref="G93:H93"/>
    <mergeCell ref="O88:P88"/>
    <mergeCell ref="O89:P89"/>
    <mergeCell ref="O90:P90"/>
    <mergeCell ref="O91:P91"/>
    <mergeCell ref="O92:P92"/>
    <mergeCell ref="O93:P93"/>
    <mergeCell ref="K89:L89"/>
    <mergeCell ref="K90:L90"/>
    <mergeCell ref="M88:N88"/>
    <mergeCell ref="M91:N91"/>
    <mergeCell ref="M92:N92"/>
    <mergeCell ref="K91:L91"/>
    <mergeCell ref="K92:L92"/>
    <mergeCell ref="G94:H94"/>
    <mergeCell ref="G95:H95"/>
    <mergeCell ref="G96:H96"/>
    <mergeCell ref="F21:K21"/>
    <mergeCell ref="Q4:R4"/>
    <mergeCell ref="P8:Q11"/>
    <mergeCell ref="K10:L10"/>
    <mergeCell ref="AU13:AV13"/>
    <mergeCell ref="AU14:AV14"/>
    <mergeCell ref="M32:T32"/>
    <mergeCell ref="N23:O23"/>
    <mergeCell ref="N22:O22"/>
    <mergeCell ref="N26:T26"/>
    <mergeCell ref="S16:T16"/>
    <mergeCell ref="S12:T12"/>
    <mergeCell ref="AU9:AV9"/>
    <mergeCell ref="N25:O25"/>
    <mergeCell ref="P27:R27"/>
    <mergeCell ref="P28:R28"/>
    <mergeCell ref="P29:R29"/>
    <mergeCell ref="P30:R30"/>
    <mergeCell ref="P31:R31"/>
    <mergeCell ref="AV26:AW30"/>
    <mergeCell ref="N24:O24"/>
    <mergeCell ref="N20:T20"/>
    <mergeCell ref="F32:L32"/>
    <mergeCell ref="N21:O21"/>
    <mergeCell ref="AU6:AV6"/>
    <mergeCell ref="AU7:AV7"/>
    <mergeCell ref="AU8:AV8"/>
    <mergeCell ref="AU10:AV10"/>
    <mergeCell ref="R6:S7"/>
    <mergeCell ref="T6:T7"/>
    <mergeCell ref="AU12:AV12"/>
    <mergeCell ref="R8:S11"/>
    <mergeCell ref="T8:T11"/>
    <mergeCell ref="F3:L3"/>
    <mergeCell ref="G7:H7"/>
    <mergeCell ref="G8:H8"/>
    <mergeCell ref="M5:T5"/>
    <mergeCell ref="N4:O4"/>
    <mergeCell ref="K4:L4"/>
    <mergeCell ref="K5:L5"/>
    <mergeCell ref="M6:O7"/>
    <mergeCell ref="P6:Q7"/>
    <mergeCell ref="M3:T3"/>
    <mergeCell ref="M8:O11"/>
    <mergeCell ref="K9:L9"/>
    <mergeCell ref="K8:L8"/>
    <mergeCell ref="I10:J10"/>
    <mergeCell ref="K7:L7"/>
    <mergeCell ref="I11:J11"/>
    <mergeCell ref="M12:N12"/>
    <mergeCell ref="I12:J12"/>
    <mergeCell ref="G4:H4"/>
    <mergeCell ref="G5:H5"/>
    <mergeCell ref="G6:H6"/>
    <mergeCell ref="G9:H9"/>
    <mergeCell ref="I6:J6"/>
    <mergeCell ref="I7:J7"/>
    <mergeCell ref="I8:J8"/>
    <mergeCell ref="I9:J9"/>
    <mergeCell ref="K11:L11"/>
    <mergeCell ref="K12:L12"/>
    <mergeCell ref="S13:T15"/>
    <mergeCell ref="G12:H12"/>
    <mergeCell ref="G14:H14"/>
    <mergeCell ref="I16:J16"/>
    <mergeCell ref="K16:L16"/>
    <mergeCell ref="I14:J14"/>
    <mergeCell ref="O17:O19"/>
    <mergeCell ref="P17:P19"/>
    <mergeCell ref="Q17:R19"/>
    <mergeCell ref="Q16:R16"/>
    <mergeCell ref="Q13:R15"/>
    <mergeCell ref="G18:H18"/>
    <mergeCell ref="I18:J18"/>
    <mergeCell ref="K18:L18"/>
    <mergeCell ref="G19:H19"/>
    <mergeCell ref="I19:J19"/>
    <mergeCell ref="K19:L19"/>
    <mergeCell ref="M13:N15"/>
    <mergeCell ref="O13:P15"/>
    <mergeCell ref="I13:J13"/>
    <mergeCell ref="K13:L13"/>
    <mergeCell ref="Q12:R12"/>
    <mergeCell ref="O12:P12"/>
    <mergeCell ref="S17:T19"/>
    <mergeCell ref="F1:L2"/>
    <mergeCell ref="O1:T2"/>
    <mergeCell ref="F23:K23"/>
    <mergeCell ref="G13:H13"/>
    <mergeCell ref="AZ26:AZ30"/>
    <mergeCell ref="AX26:AX30"/>
    <mergeCell ref="AY26:AY30"/>
    <mergeCell ref="G16:H16"/>
    <mergeCell ref="G17:H17"/>
    <mergeCell ref="I15:J15"/>
    <mergeCell ref="F30:K30"/>
    <mergeCell ref="F24:K24"/>
    <mergeCell ref="I17:J17"/>
    <mergeCell ref="Q21:R21"/>
    <mergeCell ref="Q22:R22"/>
    <mergeCell ref="Q23:R23"/>
    <mergeCell ref="Q24:R24"/>
    <mergeCell ref="Q25:R25"/>
    <mergeCell ref="M17:M19"/>
    <mergeCell ref="N17:N19"/>
    <mergeCell ref="K17:L17"/>
    <mergeCell ref="F25:K25"/>
    <mergeCell ref="F27:K27"/>
    <mergeCell ref="F26:M26"/>
  </mergeCells>
  <phoneticPr fontId="30" type="noConversion"/>
  <conditionalFormatting sqref="Q54:Q55">
    <cfRule type="expression" dxfId="106" priority="542">
      <formula>BP20=0</formula>
    </cfRule>
  </conditionalFormatting>
  <conditionalFormatting sqref="R54:R55">
    <cfRule type="expression" dxfId="105" priority="541">
      <formula>BP20=0</formula>
    </cfRule>
  </conditionalFormatting>
  <conditionalFormatting sqref="S54:S55">
    <cfRule type="expression" dxfId="104" priority="540">
      <formula>BP20=0</formula>
    </cfRule>
  </conditionalFormatting>
  <conditionalFormatting sqref="T54:T55">
    <cfRule type="expression" dxfId="103" priority="539">
      <formula>BP20=0</formula>
    </cfRule>
  </conditionalFormatting>
  <conditionalFormatting sqref="K47:K51">
    <cfRule type="expression" dxfId="102" priority="531">
      <formula>BL23=0</formula>
    </cfRule>
  </conditionalFormatting>
  <conditionalFormatting sqref="K52">
    <cfRule type="expression" dxfId="101" priority="530">
      <formula>BL28=0</formula>
    </cfRule>
  </conditionalFormatting>
  <conditionalFormatting sqref="K53">
    <cfRule type="expression" dxfId="100" priority="529">
      <formula>BL29=0</formula>
    </cfRule>
  </conditionalFormatting>
  <conditionalFormatting sqref="K65:K68">
    <cfRule type="expression" dxfId="99" priority="528">
      <formula>BP32=0</formula>
    </cfRule>
  </conditionalFormatting>
  <conditionalFormatting sqref="M50 M52">
    <cfRule type="expression" dxfId="98" priority="565">
      <formula>BL26=0</formula>
    </cfRule>
  </conditionalFormatting>
  <conditionalFormatting sqref="M47:P47">
    <cfRule type="expression" dxfId="97" priority="511">
      <formula>BL23=0</formula>
    </cfRule>
  </conditionalFormatting>
  <conditionalFormatting sqref="M48:P48">
    <cfRule type="expression" dxfId="96" priority="510">
      <formula>BL24=0</formula>
    </cfRule>
  </conditionalFormatting>
  <conditionalFormatting sqref="M51:P51">
    <cfRule type="expression" dxfId="95" priority="507">
      <formula>BL27=0</formula>
    </cfRule>
  </conditionalFormatting>
  <conditionalFormatting sqref="M50:P50">
    <cfRule type="expression" dxfId="94" priority="508">
      <formula>BL26=0</formula>
    </cfRule>
  </conditionalFormatting>
  <conditionalFormatting sqref="M52:P52">
    <cfRule type="expression" dxfId="93" priority="506">
      <formula>BL28=0</formula>
    </cfRule>
  </conditionalFormatting>
  <conditionalFormatting sqref="M53:P53">
    <cfRule type="expression" dxfId="92" priority="505">
      <formula>BL29=0</formula>
    </cfRule>
  </conditionalFormatting>
  <conditionalFormatting sqref="M54:M55 P54:P55">
    <cfRule type="expression" dxfId="91" priority="504">
      <formula>BP20=0</formula>
    </cfRule>
  </conditionalFormatting>
  <conditionalFormatting sqref="N27">
    <cfRule type="expression" dxfId="90" priority="491">
      <formula>BL10=0</formula>
    </cfRule>
  </conditionalFormatting>
  <conditionalFormatting sqref="N28">
    <cfRule type="expression" dxfId="89" priority="490">
      <formula>BL10=0</formula>
    </cfRule>
  </conditionalFormatting>
  <conditionalFormatting sqref="N30">
    <cfRule type="expression" dxfId="88" priority="489">
      <formula>BL10=0</formula>
    </cfRule>
  </conditionalFormatting>
  <conditionalFormatting sqref="F21:K21">
    <cfRule type="expression" dxfId="87" priority="486">
      <formula>BL8=0</formula>
    </cfRule>
  </conditionalFormatting>
  <conditionalFormatting sqref="F22:K22">
    <cfRule type="expression" dxfId="86" priority="485">
      <formula>BL8=0</formula>
    </cfRule>
  </conditionalFormatting>
  <conditionalFormatting sqref="F23:K23">
    <cfRule type="expression" dxfId="85" priority="484">
      <formula>BL8=0</formula>
    </cfRule>
  </conditionalFormatting>
  <conditionalFormatting sqref="F24:K24">
    <cfRule type="expression" dxfId="84" priority="483">
      <formula>BL8=0</formula>
    </cfRule>
  </conditionalFormatting>
  <conditionalFormatting sqref="F25:K25">
    <cfRule type="expression" dxfId="83" priority="482">
      <formula>BL8=0</formula>
    </cfRule>
  </conditionalFormatting>
  <conditionalFormatting sqref="N21:O21">
    <cfRule type="expression" dxfId="82" priority="480">
      <formula>BL9=0</formula>
    </cfRule>
  </conditionalFormatting>
  <conditionalFormatting sqref="N25:O25">
    <cfRule type="expression" dxfId="81" priority="476">
      <formula>BL9=0</formula>
    </cfRule>
  </conditionalFormatting>
  <conditionalFormatting sqref="F28:K28">
    <cfRule type="expression" dxfId="80" priority="474">
      <formula>BL11=0</formula>
    </cfRule>
  </conditionalFormatting>
  <conditionalFormatting sqref="F29:K29">
    <cfRule type="expression" dxfId="79" priority="473">
      <formula>BL11=0</formula>
    </cfRule>
  </conditionalFormatting>
  <conditionalFormatting sqref="F30:K30">
    <cfRule type="expression" dxfId="78" priority="472">
      <formula>BL11=0</formula>
    </cfRule>
  </conditionalFormatting>
  <conditionalFormatting sqref="M21">
    <cfRule type="expression" dxfId="77" priority="469">
      <formula>BL8=0</formula>
    </cfRule>
  </conditionalFormatting>
  <conditionalFormatting sqref="L21">
    <cfRule type="expression" dxfId="76" priority="468">
      <formula>BL8=0</formula>
    </cfRule>
  </conditionalFormatting>
  <conditionalFormatting sqref="P21">
    <cfRule type="expression" dxfId="75" priority="460">
      <formula>BL9=0</formula>
    </cfRule>
  </conditionalFormatting>
  <conditionalFormatting sqref="Q21">
    <cfRule type="expression" dxfId="74" priority="445">
      <formula>BL9=0</formula>
    </cfRule>
  </conditionalFormatting>
  <conditionalFormatting sqref="S21">
    <cfRule type="expression" dxfId="73" priority="443">
      <formula>BL9=0</formula>
    </cfRule>
  </conditionalFormatting>
  <conditionalFormatting sqref="T21">
    <cfRule type="expression" dxfId="72" priority="442">
      <formula>BL9=0</formula>
    </cfRule>
  </conditionalFormatting>
  <conditionalFormatting sqref="P27">
    <cfRule type="expression" dxfId="71" priority="422">
      <formula>BL10=0</formula>
    </cfRule>
  </conditionalFormatting>
  <conditionalFormatting sqref="S27">
    <cfRule type="expression" dxfId="70" priority="415">
      <formula>BL10=0</formula>
    </cfRule>
  </conditionalFormatting>
  <conditionalFormatting sqref="T27">
    <cfRule type="expression" dxfId="69" priority="414">
      <formula>BL10=0</formula>
    </cfRule>
  </conditionalFormatting>
  <conditionalFormatting sqref="F27:K27">
    <cfRule type="expression" dxfId="68" priority="404">
      <formula>BL11=0</formula>
    </cfRule>
  </conditionalFormatting>
  <conditionalFormatting sqref="L27">
    <cfRule type="expression" dxfId="67" priority="403">
      <formula>BL11=0</formula>
    </cfRule>
  </conditionalFormatting>
  <conditionalFormatting sqref="M27">
    <cfRule type="expression" dxfId="66" priority="402">
      <formula>BL11=0</formula>
    </cfRule>
  </conditionalFormatting>
  <conditionalFormatting sqref="N29">
    <cfRule type="expression" dxfId="65" priority="400">
      <formula>BL10=0</formula>
    </cfRule>
  </conditionalFormatting>
  <conditionalFormatting sqref="F31:K31">
    <cfRule type="expression" dxfId="64" priority="394">
      <formula>BL11=0</formula>
    </cfRule>
  </conditionalFormatting>
  <conditionalFormatting sqref="N31">
    <cfRule type="expression" dxfId="63" priority="391">
      <formula>BL10=0</formula>
    </cfRule>
  </conditionalFormatting>
  <conditionalFormatting sqref="AY9:BB10">
    <cfRule type="expression" dxfId="62" priority="588">
      <formula>$BR$14=0</formula>
    </cfRule>
  </conditionalFormatting>
  <conditionalFormatting sqref="BB9:BB10">
    <cfRule type="expression" dxfId="61" priority="589">
      <formula>$BR$14=2</formula>
    </cfRule>
  </conditionalFormatting>
  <conditionalFormatting sqref="AY9:BA10">
    <cfRule type="expression" dxfId="60" priority="590">
      <formula>$BR$14=1</formula>
    </cfRule>
  </conditionalFormatting>
  <conditionalFormatting sqref="M49">
    <cfRule type="expression" dxfId="59" priority="128">
      <formula>BL25=0</formula>
    </cfRule>
  </conditionalFormatting>
  <conditionalFormatting sqref="M49:P49">
    <cfRule type="expression" dxfId="58" priority="127">
      <formula>BL25=0</formula>
    </cfRule>
  </conditionalFormatting>
  <conditionalFormatting sqref="N54:O55">
    <cfRule type="expression" dxfId="57" priority="617">
      <formula>BN33=0</formula>
    </cfRule>
  </conditionalFormatting>
  <conditionalFormatting sqref="K54:T54 K55:L68">
    <cfRule type="expression" dxfId="56" priority="37">
      <formula>$BP$20=0</formula>
    </cfRule>
  </conditionalFormatting>
  <conditionalFormatting sqref="M55:T55">
    <cfRule type="expression" dxfId="55" priority="36">
      <formula>$BP$21=0</formula>
    </cfRule>
  </conditionalFormatting>
  <conditionalFormatting sqref="M56:T56">
    <cfRule type="expression" dxfId="54" priority="35">
      <formula>$BP$22=0</formula>
    </cfRule>
  </conditionalFormatting>
  <conditionalFormatting sqref="M57:T57">
    <cfRule type="expression" dxfId="53" priority="34">
      <formula>$BP$23=0</formula>
    </cfRule>
  </conditionalFormatting>
  <conditionalFormatting sqref="M58:T58">
    <cfRule type="expression" dxfId="52" priority="33">
      <formula>$BP$24=0</formula>
    </cfRule>
  </conditionalFormatting>
  <conditionalFormatting sqref="M59:T59">
    <cfRule type="expression" dxfId="51" priority="32">
      <formula>$BP$25=0</formula>
    </cfRule>
  </conditionalFormatting>
  <conditionalFormatting sqref="M60:T60">
    <cfRule type="expression" dxfId="50" priority="31">
      <formula>$BP$26=0</formula>
    </cfRule>
  </conditionalFormatting>
  <conditionalFormatting sqref="M61:T61">
    <cfRule type="expression" dxfId="49" priority="30">
      <formula>$BP$27=0</formula>
    </cfRule>
  </conditionalFormatting>
  <conditionalFormatting sqref="M62:T62">
    <cfRule type="expression" dxfId="48" priority="29">
      <formula>$BP$28=0</formula>
    </cfRule>
  </conditionalFormatting>
  <conditionalFormatting sqref="M63:T63">
    <cfRule type="expression" dxfId="47" priority="28">
      <formula>$BP$29=0</formula>
    </cfRule>
  </conditionalFormatting>
  <conditionalFormatting sqref="M64:T64">
    <cfRule type="expression" dxfId="46" priority="27">
      <formula>$BP$30=0</formula>
    </cfRule>
  </conditionalFormatting>
  <conditionalFormatting sqref="M65:T65">
    <cfRule type="expression" dxfId="45" priority="26">
      <formula>$BP$32=0</formula>
    </cfRule>
  </conditionalFormatting>
  <conditionalFormatting sqref="M66:T66">
    <cfRule type="expression" dxfId="44" priority="25">
      <formula>$BP$33=0</formula>
    </cfRule>
  </conditionalFormatting>
  <conditionalFormatting sqref="M67:T67">
    <cfRule type="expression" dxfId="43" priority="24">
      <formula>$BP$34=0</formula>
    </cfRule>
  </conditionalFormatting>
  <conditionalFormatting sqref="M68:T68">
    <cfRule type="expression" dxfId="42" priority="23">
      <formula>$BP$35=0</formula>
    </cfRule>
  </conditionalFormatting>
  <conditionalFormatting sqref="K69:T69">
    <cfRule type="expression" dxfId="41" priority="22">
      <formula>$BL$32=0</formula>
    </cfRule>
  </conditionalFormatting>
  <conditionalFormatting sqref="K54:K64">
    <cfRule type="expression" dxfId="40" priority="641">
      <formula>BP20=0</formula>
    </cfRule>
  </conditionalFormatting>
  <conditionalFormatting sqref="AZ11:BA11 AA24">
    <cfRule type="expression" dxfId="39" priority="643">
      <formula>#REF!&lt;&gt;"trampa"</formula>
    </cfRule>
  </conditionalFormatting>
  <conditionalFormatting sqref="AF35:AH35 N43">
    <cfRule type="expression" dxfId="38" priority="648">
      <formula>#REF!="uygundur."</formula>
    </cfRule>
  </conditionalFormatting>
  <conditionalFormatting sqref="AB38:AC38 AD35 AD42 K43:K44 M43 S44">
    <cfRule type="expression" dxfId="37" priority="649">
      <formula>$F$44="Projesi Bulunmamaktadır."</formula>
    </cfRule>
  </conditionalFormatting>
  <conditionalFormatting sqref="I44:J44">
    <cfRule type="expression" dxfId="36" priority="693">
      <formula>$H$44="yok"</formula>
    </cfRule>
  </conditionalFormatting>
  <conditionalFormatting sqref="AA10:AA11">
    <cfRule type="expression" dxfId="35" priority="708">
      <formula>$M$44="EVET"</formula>
    </cfRule>
  </conditionalFormatting>
  <conditionalFormatting sqref="AG34:AH34">
    <cfRule type="expression" dxfId="34" priority="710">
      <formula>$T$44="yok"</formula>
    </cfRule>
  </conditionalFormatting>
  <conditionalFormatting sqref="Q47:Q53">
    <cfRule type="expression" dxfId="33" priority="716">
      <formula>BL23=0</formula>
    </cfRule>
  </conditionalFormatting>
  <conditionalFormatting sqref="R47:R53">
    <cfRule type="expression" dxfId="32" priority="717">
      <formula>BL23=0</formula>
    </cfRule>
  </conditionalFormatting>
  <conditionalFormatting sqref="S47:S53">
    <cfRule type="expression" dxfId="31" priority="718">
      <formula>BL23=0</formula>
    </cfRule>
  </conditionalFormatting>
  <conditionalFormatting sqref="T47:T53">
    <cfRule type="expression" dxfId="30" priority="719">
      <formula>BL23=0</formula>
    </cfRule>
  </conditionalFormatting>
  <conditionalFormatting sqref="N22:O24">
    <cfRule type="expression" dxfId="29" priority="4">
      <formula>BL8=0</formula>
    </cfRule>
  </conditionalFormatting>
  <conditionalFormatting sqref="M12:T12 M6 M8 P6 P8 R6 T6 R8 T8 O13 Q13 M20:M21 O20:Q21 S20:S21 F52:F53 F50:G51 I50:I51 M26:M27 S26:S27 F83:J83 F81:I81 L81:R81 O26:Q26 P27 O22:O25 O16:Q17 M13 M16:M17 S13 S16:S17 F82:S82 L83:R83">
    <cfRule type="expression" dxfId="28" priority="722">
      <formula>#REF!="GARANTİ"</formula>
    </cfRule>
  </conditionalFormatting>
  <conditionalFormatting sqref="T81:T82">
    <cfRule type="expression" dxfId="27" priority="725">
      <formula>$N$72&lt;&gt;1</formula>
    </cfRule>
  </conditionalFormatting>
  <dataValidations count="39">
    <dataValidation type="list" allowBlank="1" showInputMessage="1" showErrorMessage="1" sqref="F35" xr:uid="{00000000-0002-0000-0100-000005000000}">
      <formula1>PLAN_ÖLÇEĞİ</formula1>
    </dataValidation>
    <dataValidation type="list" allowBlank="1" showInputMessage="1" showErrorMessage="1" sqref="S72" xr:uid="{00000000-0002-0000-0100-00000A000000}">
      <formula1>ısıtma</formula1>
    </dataValidation>
    <dataValidation type="list" allowBlank="1" showInputMessage="1" showErrorMessage="1" sqref="M44 H44 L20:L21 K20:K31 L26:L27 R44 K16:L17" xr:uid="{00000000-0002-0000-0100-00000D000000}">
      <formula1>"Evet,Hayır"</formula1>
    </dataValidation>
    <dataValidation type="list" allowBlank="1" showInputMessage="1" showErrorMessage="1" sqref="G53:H53" xr:uid="{00000000-0002-0000-0100-00000F000000}">
      <formula1>GİRİŞKATT</formula1>
    </dataValidation>
    <dataValidation type="list" allowBlank="1" showInputMessage="1" showErrorMessage="1" sqref="K79:T79 Q76:T78 M76:P76 L78:P78" xr:uid="{00000000-0002-0000-0100-000011000000}">
      <formula1>diğeriçhacimler</formula1>
    </dataValidation>
    <dataValidation type="list" allowBlank="1" showInputMessage="1" showErrorMessage="1" sqref="I82" xr:uid="{00000000-0002-0000-0100-000012000000}">
      <formula1>MUTFAKDOLAPLARI</formula1>
    </dataValidation>
    <dataValidation type="list" allowBlank="1" showInputMessage="1" showErrorMessage="1" sqref="K82" xr:uid="{00000000-0002-0000-0100-000013000000}">
      <formula1>MUTFAKTEZGAHI</formula1>
    </dataValidation>
    <dataValidation type="list" allowBlank="1" showInputMessage="1" showErrorMessage="1" sqref="F82" xr:uid="{00000000-0002-0000-0100-000014000000}">
      <formula1>PENCERELER</formula1>
    </dataValidation>
    <dataValidation type="list" allowBlank="1" showInputMessage="1" showErrorMessage="1" sqref="G82:H82" xr:uid="{00000000-0002-0000-0100-000015000000}">
      <formula1>kapılar</formula1>
    </dataValidation>
    <dataValidation type="list" allowBlank="1" showInputMessage="1" showErrorMessage="1" sqref="L82:Q82" xr:uid="{00000000-0002-0000-0100-000016000000}">
      <formula1>ZEMİNKAPLAMA</formula1>
    </dataValidation>
    <dataValidation type="list" allowBlank="1" showInputMessage="1" showErrorMessage="1" sqref="L83:Q83" xr:uid="{00000000-0002-0000-0100-000017000000}">
      <formula1>DUVARKAPLAMA</formula1>
    </dataValidation>
    <dataValidation type="list" allowBlank="1" showInputMessage="1" showErrorMessage="1" sqref="K75:K78 L75:T75 L76:L77 M77:P77" xr:uid="{00000000-0002-0000-0100-00001B000000}">
      <formula1>İÇHACİMLER</formula1>
    </dataValidation>
    <dataValidation type="list" allowBlank="1" showInputMessage="1" showErrorMessage="1" sqref="T4" xr:uid="{00000000-0002-0000-0100-00001D000000}">
      <formula1>saat</formula1>
    </dataValidation>
    <dataValidation type="list" allowBlank="1" showInputMessage="1" showErrorMessage="1" sqref="N4" xr:uid="{00000000-0002-0000-0100-00001E000000}">
      <formula1>"görülmüştür.,dışarıdan görülmüştür."</formula1>
    </dataValidation>
    <dataValidation type="list" allowBlank="1" showInputMessage="1" showErrorMessage="1" sqref="N28:N31" xr:uid="{00000000-0002-0000-0100-000021000000}">
      <formula1>şerhler</formula1>
    </dataValidation>
    <dataValidation type="list" allowBlank="1" showInputMessage="1" showErrorMessage="1" sqref="G7" xr:uid="{00000000-0002-0000-0100-000024000000}">
      <formula1>ilçeler</formula1>
    </dataValidation>
    <dataValidation type="list" allowBlank="1" showInputMessage="1" showErrorMessage="1" sqref="J37 L37 F41:J41 G33:I33 K5 AW17:AX17" xr:uid="{00000000-0002-0000-0100-000025000000}">
      <formula1>"EVET,HAYIR"</formula1>
    </dataValidation>
    <dataValidation type="list" allowBlank="1" showInputMessage="1" showErrorMessage="1" sqref="M34:M40" xr:uid="{00000000-0002-0000-0100-000026000000}">
      <formula1>RUHSATLAR</formula1>
    </dataValidation>
    <dataValidation type="list" allowBlank="1" showInputMessage="1" showErrorMessage="1" sqref="O81" xr:uid="{00000000-0002-0000-0100-000027000000}">
      <formula1>"Mutfak,Mutfak nişi"</formula1>
    </dataValidation>
    <dataValidation type="list" allowBlank="1" showInputMessage="1" showErrorMessage="1" sqref="Q81" xr:uid="{00000000-0002-0000-0100-000028000000}">
      <formula1>"balkon,teras,veranda"</formula1>
    </dataValidation>
    <dataValidation type="list" allowBlank="1" showInputMessage="1" showErrorMessage="1" sqref="AA25 F76 F77 F78 F75 F79" xr:uid="{00000000-0002-0000-0100-00002A000000}">
      <formula1>katlar1</formula1>
    </dataValidation>
    <dataValidation type="list" allowBlank="1" showInputMessage="1" showErrorMessage="1" sqref="T85" xr:uid="{00000000-0002-0000-0100-00002B000000}">
      <formula1>satışkabiliyeti</formula1>
    </dataValidation>
    <dataValidation type="list" allowBlank="1" showInputMessage="1" showErrorMessage="1" sqref="R82:R83 S82" xr:uid="{00000000-0002-0000-0100-00002D000000}">
      <formula1>vitrifyeelemanları</formula1>
    </dataValidation>
    <dataValidation type="list" allowBlank="1" showInputMessage="1" showErrorMessage="1" sqref="G5:H5" xr:uid="{71794AD3-A138-4DE2-A461-32BC41CBF5B1}">
      <formula1>"Webtapu Sistemi,Tapu Kütüğü,Memurdan sözlü olarak,Takbis Belgesi"</formula1>
    </dataValidation>
    <dataValidation type="list" allowBlank="1" showInputMessage="1" showErrorMessage="1" sqref="H47" xr:uid="{00000000-0002-0000-0100-00000C000000}">
      <formula1>YAPISINIFLARI</formula1>
    </dataValidation>
    <dataValidation type="list" allowBlank="1" showInputMessage="1" showErrorMessage="1" sqref="F47" xr:uid="{00000000-0002-0000-0100-000023000000}">
      <formula1>"betonarme karkas,yığma,çelik,prefabrik,ahşap"</formula1>
    </dataValidation>
    <dataValidation type="list" allowBlank="1" showInputMessage="1" showErrorMessage="1" sqref="T8" xr:uid="{00000000-0002-0000-0100-00002C000000}">
      <formula1>"1. Derece,2. Derece,3. Derece,4. Derece"</formula1>
    </dataValidation>
    <dataValidation type="list" allowBlank="1" showInputMessage="1" showErrorMessage="1" sqref="AZ10" xr:uid="{00000000-0002-0000-0100-000009000000}">
      <formula1>",sağ,sağ ön,sağ arka,sol,sol ön,sol arka,ön,arka"</formula1>
    </dataValidation>
    <dataValidation type="list" allowBlank="1" showInputMessage="1" showErrorMessage="1" sqref="BB10" xr:uid="{00000000-0002-0000-0100-000029000000}">
      <formula1>"dikey,yatay"</formula1>
    </dataValidation>
    <dataValidation type="list" allowBlank="1" showInputMessage="1" showErrorMessage="1" sqref="Q26 Q20:Q21" xr:uid="{00000000-0002-0000-0100-000007000000}">
      <formula1>bölgypkulamc</formula1>
    </dataValidation>
    <dataValidation type="list" allowBlank="1" showInputMessage="1" showErrorMessage="1" sqref="M17 O17 M26:M27 M20:M21 O20:O21 P27 O25:O26" xr:uid="{00000000-0002-0000-0100-000018000000}">
      <formula1>"düşük,orta,yüksek"</formula1>
    </dataValidation>
    <dataValidation type="list" allowBlank="1" showInputMessage="1" showErrorMessage="1" sqref="AD42 K44" xr:uid="{00000000-0002-0000-0100-000008000000}">
      <formula1>UYGUNLUK</formula1>
    </dataValidation>
    <dataValidation type="list" allowBlank="1" showInputMessage="1" showErrorMessage="1" sqref="T44" xr:uid="{6308F27F-5286-46CB-A62F-F49AFAB616F6}">
      <formula1>"evet,hayır"</formula1>
    </dataValidation>
    <dataValidation type="list" allowBlank="1" showInputMessage="1" showErrorMessage="1" sqref="G97:G98 I97:I98 K97:K98 M97:M98 O97:O98 Q97:Q98 S97:S98" xr:uid="{FEECCBAF-35A6-4A6F-8093-406FE52F4717}">
      <formula1>"+,-"</formula1>
    </dataValidation>
    <dataValidation type="list" allowBlank="1" showInputMessage="1" showErrorMessage="1" sqref="M41:N41" xr:uid="{45994D2F-63A4-4A6C-97A4-DAFE067D6A41}">
      <formula1>"Yapı Kullanma İzin Belgesi, "</formula1>
    </dataValidation>
    <dataValidation type="list" allowBlank="1" showInputMessage="1" showErrorMessage="1" sqref="Q44" xr:uid="{9F4FBA35-EA9D-4177-A8B2-B261F0FED9AF}">
      <formula1>STATİKKONTROL</formula1>
    </dataValidation>
    <dataValidation type="list" allowBlank="1" showInputMessage="1" showErrorMessage="1" sqref="K9:L9" xr:uid="{12C101B0-806D-4836-B020-1004A40CD341}">
      <formula1>_xlfn.ANCHORARRAY(AI1)</formula1>
    </dataValidation>
    <dataValidation type="list" allowBlank="1" showInputMessage="1" showErrorMessage="1" sqref="T72:T73" xr:uid="{387AAA8A-D0D8-4A98-A28F-673F372A97B4}">
      <formula1>"Monte,Demonte"</formula1>
    </dataValidation>
    <dataValidation type="list" allowBlank="1" showInputMessage="1" showErrorMessage="1" sqref="G18:H18" xr:uid="{8A3CED16-1F95-4866-9054-370D13E40E3E}">
      <formula1>"HAYIR,A,B,C,D,E,F,G"</formula1>
    </dataValidation>
  </dataValidations>
  <pageMargins left="3.937007874015748E-2" right="3.937007874015748E-2" top="0.19685039370078741" bottom="0.15748031496062992" header="0.11811023622047245" footer="0.31496062992125984"/>
  <pageSetup paperSize="9" scale="55"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208" r:id="rId4" name="Check Box 112">
              <controlPr defaultSize="0" autoFill="0" autoLine="0" autoPict="0">
                <anchor moveWithCells="1">
                  <from>
                    <xdr:col>5</xdr:col>
                    <xdr:colOff>45720</xdr:colOff>
                    <xdr:row>58</xdr:row>
                    <xdr:rowOff>45720</xdr:rowOff>
                  </from>
                  <to>
                    <xdr:col>5</xdr:col>
                    <xdr:colOff>647700</xdr:colOff>
                    <xdr:row>58</xdr:row>
                    <xdr:rowOff>175260</xdr:rowOff>
                  </to>
                </anchor>
              </controlPr>
            </control>
          </mc:Choice>
        </mc:AlternateContent>
        <mc:AlternateContent xmlns:mc="http://schemas.openxmlformats.org/markup-compatibility/2006">
          <mc:Choice Requires="x14">
            <control shapeId="4209" r:id="rId5" name="Check Box 113">
              <controlPr defaultSize="0" autoFill="0" autoLine="0" autoPict="0">
                <anchor moveWithCells="1">
                  <from>
                    <xdr:col>5</xdr:col>
                    <xdr:colOff>45720</xdr:colOff>
                    <xdr:row>59</xdr:row>
                    <xdr:rowOff>45720</xdr:rowOff>
                  </from>
                  <to>
                    <xdr:col>5</xdr:col>
                    <xdr:colOff>632460</xdr:colOff>
                    <xdr:row>59</xdr:row>
                    <xdr:rowOff>175260</xdr:rowOff>
                  </to>
                </anchor>
              </controlPr>
            </control>
          </mc:Choice>
        </mc:AlternateContent>
        <mc:AlternateContent xmlns:mc="http://schemas.openxmlformats.org/markup-compatibility/2006">
          <mc:Choice Requires="x14">
            <control shapeId="4212" r:id="rId6" name="Check Box 116">
              <controlPr defaultSize="0" autoFill="0" autoLine="0" autoPict="0">
                <anchor moveWithCells="1">
                  <from>
                    <xdr:col>6</xdr:col>
                    <xdr:colOff>99060</xdr:colOff>
                    <xdr:row>59</xdr:row>
                    <xdr:rowOff>38100</xdr:rowOff>
                  </from>
                  <to>
                    <xdr:col>7</xdr:col>
                    <xdr:colOff>99060</xdr:colOff>
                    <xdr:row>59</xdr:row>
                    <xdr:rowOff>160020</xdr:rowOff>
                  </to>
                </anchor>
              </controlPr>
            </control>
          </mc:Choice>
        </mc:AlternateContent>
        <mc:AlternateContent xmlns:mc="http://schemas.openxmlformats.org/markup-compatibility/2006">
          <mc:Choice Requires="x14">
            <control shapeId="4213" r:id="rId7" name="Check Box 117">
              <controlPr defaultSize="0" autoFill="0" autoLine="0" autoPict="0">
                <anchor moveWithCells="1">
                  <from>
                    <xdr:col>6</xdr:col>
                    <xdr:colOff>99060</xdr:colOff>
                    <xdr:row>60</xdr:row>
                    <xdr:rowOff>22860</xdr:rowOff>
                  </from>
                  <to>
                    <xdr:col>7</xdr:col>
                    <xdr:colOff>99060</xdr:colOff>
                    <xdr:row>60</xdr:row>
                    <xdr:rowOff>160020</xdr:rowOff>
                  </to>
                </anchor>
              </controlPr>
            </control>
          </mc:Choice>
        </mc:AlternateContent>
        <mc:AlternateContent xmlns:mc="http://schemas.openxmlformats.org/markup-compatibility/2006">
          <mc:Choice Requires="x14">
            <control shapeId="4214" r:id="rId8" name="Check Box 118">
              <controlPr defaultSize="0" autoFill="0" autoLine="0" autoPict="0">
                <anchor moveWithCells="1">
                  <from>
                    <xdr:col>6</xdr:col>
                    <xdr:colOff>106680</xdr:colOff>
                    <xdr:row>61</xdr:row>
                    <xdr:rowOff>22860</xdr:rowOff>
                  </from>
                  <to>
                    <xdr:col>7</xdr:col>
                    <xdr:colOff>99060</xdr:colOff>
                    <xdr:row>61</xdr:row>
                    <xdr:rowOff>175260</xdr:rowOff>
                  </to>
                </anchor>
              </controlPr>
            </control>
          </mc:Choice>
        </mc:AlternateContent>
        <mc:AlternateContent xmlns:mc="http://schemas.openxmlformats.org/markup-compatibility/2006">
          <mc:Choice Requires="x14">
            <control shapeId="4215" r:id="rId9" name="Check Box 119">
              <controlPr defaultSize="0" autoFill="0" autoLine="0" autoPict="0">
                <anchor moveWithCells="1">
                  <from>
                    <xdr:col>5</xdr:col>
                    <xdr:colOff>45720</xdr:colOff>
                    <xdr:row>57</xdr:row>
                    <xdr:rowOff>22860</xdr:rowOff>
                  </from>
                  <to>
                    <xdr:col>5</xdr:col>
                    <xdr:colOff>647700</xdr:colOff>
                    <xdr:row>57</xdr:row>
                    <xdr:rowOff>182880</xdr:rowOff>
                  </to>
                </anchor>
              </controlPr>
            </control>
          </mc:Choice>
        </mc:AlternateContent>
        <mc:AlternateContent xmlns:mc="http://schemas.openxmlformats.org/markup-compatibility/2006">
          <mc:Choice Requires="x14">
            <control shapeId="4217" r:id="rId10" name="Check Box 121">
              <controlPr defaultSize="0" autoFill="0" autoLine="0" autoPict="0">
                <anchor moveWithCells="1">
                  <from>
                    <xdr:col>5</xdr:col>
                    <xdr:colOff>45720</xdr:colOff>
                    <xdr:row>60</xdr:row>
                    <xdr:rowOff>45720</xdr:rowOff>
                  </from>
                  <to>
                    <xdr:col>5</xdr:col>
                    <xdr:colOff>632460</xdr:colOff>
                    <xdr:row>60</xdr:row>
                    <xdr:rowOff>160020</xdr:rowOff>
                  </to>
                </anchor>
              </controlPr>
            </control>
          </mc:Choice>
        </mc:AlternateContent>
        <mc:AlternateContent xmlns:mc="http://schemas.openxmlformats.org/markup-compatibility/2006">
          <mc:Choice Requires="x14">
            <control shapeId="4218" r:id="rId11" name="Check Box 122">
              <controlPr defaultSize="0" autoFill="0" autoLine="0" autoPict="0">
                <anchor moveWithCells="1">
                  <from>
                    <xdr:col>5</xdr:col>
                    <xdr:colOff>45720</xdr:colOff>
                    <xdr:row>63</xdr:row>
                    <xdr:rowOff>45720</xdr:rowOff>
                  </from>
                  <to>
                    <xdr:col>5</xdr:col>
                    <xdr:colOff>601980</xdr:colOff>
                    <xdr:row>63</xdr:row>
                    <xdr:rowOff>160020</xdr:rowOff>
                  </to>
                </anchor>
              </controlPr>
            </control>
          </mc:Choice>
        </mc:AlternateContent>
        <mc:AlternateContent xmlns:mc="http://schemas.openxmlformats.org/markup-compatibility/2006">
          <mc:Choice Requires="x14">
            <control shapeId="4221" r:id="rId12" name="Check Box 125">
              <controlPr defaultSize="0" autoFill="0" autoLine="0" autoPict="0">
                <anchor moveWithCells="1">
                  <from>
                    <xdr:col>5</xdr:col>
                    <xdr:colOff>45720</xdr:colOff>
                    <xdr:row>64</xdr:row>
                    <xdr:rowOff>38100</xdr:rowOff>
                  </from>
                  <to>
                    <xdr:col>5</xdr:col>
                    <xdr:colOff>632460</xdr:colOff>
                    <xdr:row>64</xdr:row>
                    <xdr:rowOff>160020</xdr:rowOff>
                  </to>
                </anchor>
              </controlPr>
            </control>
          </mc:Choice>
        </mc:AlternateContent>
        <mc:AlternateContent xmlns:mc="http://schemas.openxmlformats.org/markup-compatibility/2006">
          <mc:Choice Requires="x14">
            <control shapeId="4222" r:id="rId13" name="Check Box 126">
              <controlPr defaultSize="0" autoFill="0" autoLine="0" autoPict="0">
                <anchor moveWithCells="1">
                  <from>
                    <xdr:col>6</xdr:col>
                    <xdr:colOff>106680</xdr:colOff>
                    <xdr:row>62</xdr:row>
                    <xdr:rowOff>38100</xdr:rowOff>
                  </from>
                  <to>
                    <xdr:col>7</xdr:col>
                    <xdr:colOff>99060</xdr:colOff>
                    <xdr:row>62</xdr:row>
                    <xdr:rowOff>160020</xdr:rowOff>
                  </to>
                </anchor>
              </controlPr>
            </control>
          </mc:Choice>
        </mc:AlternateContent>
        <mc:AlternateContent xmlns:mc="http://schemas.openxmlformats.org/markup-compatibility/2006">
          <mc:Choice Requires="x14">
            <control shapeId="4223" r:id="rId14" name="Check Box 127">
              <controlPr defaultSize="0" autoFill="0" autoLine="0" autoPict="0">
                <anchor moveWithCells="1">
                  <from>
                    <xdr:col>6</xdr:col>
                    <xdr:colOff>99060</xdr:colOff>
                    <xdr:row>63</xdr:row>
                    <xdr:rowOff>45720</xdr:rowOff>
                  </from>
                  <to>
                    <xdr:col>7</xdr:col>
                    <xdr:colOff>99060</xdr:colOff>
                    <xdr:row>63</xdr:row>
                    <xdr:rowOff>160020</xdr:rowOff>
                  </to>
                </anchor>
              </controlPr>
            </control>
          </mc:Choice>
        </mc:AlternateContent>
        <mc:AlternateContent xmlns:mc="http://schemas.openxmlformats.org/markup-compatibility/2006">
          <mc:Choice Requires="x14">
            <control shapeId="4224" r:id="rId15" name="Check Box 128">
              <controlPr defaultSize="0" autoFill="0" autoLine="0" autoPict="0">
                <anchor moveWithCells="1">
                  <from>
                    <xdr:col>6</xdr:col>
                    <xdr:colOff>99060</xdr:colOff>
                    <xdr:row>64</xdr:row>
                    <xdr:rowOff>38100</xdr:rowOff>
                  </from>
                  <to>
                    <xdr:col>7</xdr:col>
                    <xdr:colOff>99060</xdr:colOff>
                    <xdr:row>64</xdr:row>
                    <xdr:rowOff>160020</xdr:rowOff>
                  </to>
                </anchor>
              </controlPr>
            </control>
          </mc:Choice>
        </mc:AlternateContent>
        <mc:AlternateContent xmlns:mc="http://schemas.openxmlformats.org/markup-compatibility/2006">
          <mc:Choice Requires="x14">
            <control shapeId="4225" r:id="rId16" name="Check Box 129">
              <controlPr defaultSize="0" autoFill="0" autoLine="0" autoPict="0">
                <anchor moveWithCells="1">
                  <from>
                    <xdr:col>6</xdr:col>
                    <xdr:colOff>99060</xdr:colOff>
                    <xdr:row>65</xdr:row>
                    <xdr:rowOff>30480</xdr:rowOff>
                  </from>
                  <to>
                    <xdr:col>7</xdr:col>
                    <xdr:colOff>114300</xdr:colOff>
                    <xdr:row>65</xdr:row>
                    <xdr:rowOff>160020</xdr:rowOff>
                  </to>
                </anchor>
              </controlPr>
            </control>
          </mc:Choice>
        </mc:AlternateContent>
        <mc:AlternateContent xmlns:mc="http://schemas.openxmlformats.org/markup-compatibility/2006">
          <mc:Choice Requires="x14">
            <control shapeId="4226" r:id="rId17" name="Check Box 130">
              <controlPr defaultSize="0" autoFill="0" autoLine="0" autoPict="0">
                <anchor moveWithCells="1">
                  <from>
                    <xdr:col>6</xdr:col>
                    <xdr:colOff>99060</xdr:colOff>
                    <xdr:row>66</xdr:row>
                    <xdr:rowOff>30480</xdr:rowOff>
                  </from>
                  <to>
                    <xdr:col>7</xdr:col>
                    <xdr:colOff>99060</xdr:colOff>
                    <xdr:row>66</xdr:row>
                    <xdr:rowOff>144780</xdr:rowOff>
                  </to>
                </anchor>
              </controlPr>
            </control>
          </mc:Choice>
        </mc:AlternateContent>
        <mc:AlternateContent xmlns:mc="http://schemas.openxmlformats.org/markup-compatibility/2006">
          <mc:Choice Requires="x14">
            <control shapeId="4227" r:id="rId18" name="Check Box 131">
              <controlPr defaultSize="0" autoFill="0" autoLine="0" autoPict="0">
                <anchor moveWithCells="1">
                  <from>
                    <xdr:col>5</xdr:col>
                    <xdr:colOff>45720</xdr:colOff>
                    <xdr:row>62</xdr:row>
                    <xdr:rowOff>45720</xdr:rowOff>
                  </from>
                  <to>
                    <xdr:col>5</xdr:col>
                    <xdr:colOff>861060</xdr:colOff>
                    <xdr:row>62</xdr:row>
                    <xdr:rowOff>175260</xdr:rowOff>
                  </to>
                </anchor>
              </controlPr>
            </control>
          </mc:Choice>
        </mc:AlternateContent>
        <mc:AlternateContent xmlns:mc="http://schemas.openxmlformats.org/markup-compatibility/2006">
          <mc:Choice Requires="x14">
            <control shapeId="4228" r:id="rId19" name="Check Box 132">
              <controlPr defaultSize="0" autoFill="0" autoLine="0" autoPict="0">
                <anchor moveWithCells="1">
                  <from>
                    <xdr:col>5</xdr:col>
                    <xdr:colOff>45720</xdr:colOff>
                    <xdr:row>65</xdr:row>
                    <xdr:rowOff>38100</xdr:rowOff>
                  </from>
                  <to>
                    <xdr:col>5</xdr:col>
                    <xdr:colOff>632460</xdr:colOff>
                    <xdr:row>65</xdr:row>
                    <xdr:rowOff>160020</xdr:rowOff>
                  </to>
                </anchor>
              </controlPr>
            </control>
          </mc:Choice>
        </mc:AlternateContent>
        <mc:AlternateContent xmlns:mc="http://schemas.openxmlformats.org/markup-compatibility/2006">
          <mc:Choice Requires="x14">
            <control shapeId="4229" r:id="rId20" name="Check Box 133">
              <controlPr defaultSize="0" autoFill="0" autoLine="0" autoPict="0">
                <anchor moveWithCells="1">
                  <from>
                    <xdr:col>5</xdr:col>
                    <xdr:colOff>45720</xdr:colOff>
                    <xdr:row>61</xdr:row>
                    <xdr:rowOff>45720</xdr:rowOff>
                  </from>
                  <to>
                    <xdr:col>5</xdr:col>
                    <xdr:colOff>632460</xdr:colOff>
                    <xdr:row>61</xdr:row>
                    <xdr:rowOff>175260</xdr:rowOff>
                  </to>
                </anchor>
              </controlPr>
            </control>
          </mc:Choice>
        </mc:AlternateContent>
        <mc:AlternateContent xmlns:mc="http://schemas.openxmlformats.org/markup-compatibility/2006">
          <mc:Choice Requires="x14">
            <control shapeId="4230" r:id="rId21" name="Check Box 134">
              <controlPr defaultSize="0" autoFill="0" autoLine="0" autoPict="0">
                <anchor moveWithCells="1">
                  <from>
                    <xdr:col>6</xdr:col>
                    <xdr:colOff>99060</xdr:colOff>
                    <xdr:row>67</xdr:row>
                    <xdr:rowOff>30480</xdr:rowOff>
                  </from>
                  <to>
                    <xdr:col>7</xdr:col>
                    <xdr:colOff>99060</xdr:colOff>
                    <xdr:row>67</xdr:row>
                    <xdr:rowOff>144780</xdr:rowOff>
                  </to>
                </anchor>
              </controlPr>
            </control>
          </mc:Choice>
        </mc:AlternateContent>
        <mc:AlternateContent xmlns:mc="http://schemas.openxmlformats.org/markup-compatibility/2006">
          <mc:Choice Requires="x14">
            <control shapeId="4231" r:id="rId22" name="Check Box 135">
              <controlPr defaultSize="0" autoFill="0" autoLine="0" autoPict="0">
                <anchor moveWithCells="1">
                  <from>
                    <xdr:col>6</xdr:col>
                    <xdr:colOff>99060</xdr:colOff>
                    <xdr:row>68</xdr:row>
                    <xdr:rowOff>38100</xdr:rowOff>
                  </from>
                  <to>
                    <xdr:col>7</xdr:col>
                    <xdr:colOff>99060</xdr:colOff>
                    <xdr:row>68</xdr:row>
                    <xdr:rowOff>160020</xdr:rowOff>
                  </to>
                </anchor>
              </controlPr>
            </control>
          </mc:Choice>
        </mc:AlternateContent>
        <mc:AlternateContent xmlns:mc="http://schemas.openxmlformats.org/markup-compatibility/2006">
          <mc:Choice Requires="x14">
            <control shapeId="4232" r:id="rId23" name="Check Box 136">
              <controlPr defaultSize="0" autoFill="0" autoLine="0" autoPict="0">
                <anchor moveWithCells="1">
                  <from>
                    <xdr:col>8</xdr:col>
                    <xdr:colOff>7620</xdr:colOff>
                    <xdr:row>57</xdr:row>
                    <xdr:rowOff>45720</xdr:rowOff>
                  </from>
                  <to>
                    <xdr:col>9</xdr:col>
                    <xdr:colOff>60960</xdr:colOff>
                    <xdr:row>57</xdr:row>
                    <xdr:rowOff>160020</xdr:rowOff>
                  </to>
                </anchor>
              </controlPr>
            </control>
          </mc:Choice>
        </mc:AlternateContent>
        <mc:AlternateContent xmlns:mc="http://schemas.openxmlformats.org/markup-compatibility/2006">
          <mc:Choice Requires="x14">
            <control shapeId="4234" r:id="rId24" name="Check Box 138">
              <controlPr defaultSize="0" autoFill="0" autoLine="0" autoPict="0">
                <anchor moveWithCells="1">
                  <from>
                    <xdr:col>8</xdr:col>
                    <xdr:colOff>7620</xdr:colOff>
                    <xdr:row>59</xdr:row>
                    <xdr:rowOff>45720</xdr:rowOff>
                  </from>
                  <to>
                    <xdr:col>9</xdr:col>
                    <xdr:colOff>60960</xdr:colOff>
                    <xdr:row>59</xdr:row>
                    <xdr:rowOff>160020</xdr:rowOff>
                  </to>
                </anchor>
              </controlPr>
            </control>
          </mc:Choice>
        </mc:AlternateContent>
        <mc:AlternateContent xmlns:mc="http://schemas.openxmlformats.org/markup-compatibility/2006">
          <mc:Choice Requires="x14">
            <control shapeId="4235" r:id="rId25" name="Check Box 139">
              <controlPr defaultSize="0" autoFill="0" autoLine="0" autoPict="0">
                <anchor moveWithCells="1">
                  <from>
                    <xdr:col>8</xdr:col>
                    <xdr:colOff>0</xdr:colOff>
                    <xdr:row>60</xdr:row>
                    <xdr:rowOff>45720</xdr:rowOff>
                  </from>
                  <to>
                    <xdr:col>9</xdr:col>
                    <xdr:colOff>45720</xdr:colOff>
                    <xdr:row>60</xdr:row>
                    <xdr:rowOff>160020</xdr:rowOff>
                  </to>
                </anchor>
              </controlPr>
            </control>
          </mc:Choice>
        </mc:AlternateContent>
        <mc:AlternateContent xmlns:mc="http://schemas.openxmlformats.org/markup-compatibility/2006">
          <mc:Choice Requires="x14">
            <control shapeId="4236" r:id="rId26" name="Check Box 140">
              <controlPr defaultSize="0" autoFill="0" autoLine="0" autoPict="0">
                <anchor moveWithCells="1">
                  <from>
                    <xdr:col>8</xdr:col>
                    <xdr:colOff>0</xdr:colOff>
                    <xdr:row>61</xdr:row>
                    <xdr:rowOff>38100</xdr:rowOff>
                  </from>
                  <to>
                    <xdr:col>9</xdr:col>
                    <xdr:colOff>45720</xdr:colOff>
                    <xdr:row>61</xdr:row>
                    <xdr:rowOff>175260</xdr:rowOff>
                  </to>
                </anchor>
              </controlPr>
            </control>
          </mc:Choice>
        </mc:AlternateContent>
        <mc:AlternateContent xmlns:mc="http://schemas.openxmlformats.org/markup-compatibility/2006">
          <mc:Choice Requires="x14">
            <control shapeId="4237" r:id="rId27" name="Check Box 141">
              <controlPr defaultSize="0" autoFill="0" autoLine="0" autoPict="0">
                <anchor moveWithCells="1">
                  <from>
                    <xdr:col>8</xdr:col>
                    <xdr:colOff>0</xdr:colOff>
                    <xdr:row>62</xdr:row>
                    <xdr:rowOff>45720</xdr:rowOff>
                  </from>
                  <to>
                    <xdr:col>9</xdr:col>
                    <xdr:colOff>45720</xdr:colOff>
                    <xdr:row>62</xdr:row>
                    <xdr:rowOff>160020</xdr:rowOff>
                  </to>
                </anchor>
              </controlPr>
            </control>
          </mc:Choice>
        </mc:AlternateContent>
        <mc:AlternateContent xmlns:mc="http://schemas.openxmlformats.org/markup-compatibility/2006">
          <mc:Choice Requires="x14">
            <control shapeId="4238" r:id="rId28" name="Check Box 142">
              <controlPr defaultSize="0" autoFill="0" autoLine="0" autoPict="0">
                <anchor moveWithCells="1">
                  <from>
                    <xdr:col>8</xdr:col>
                    <xdr:colOff>0</xdr:colOff>
                    <xdr:row>63</xdr:row>
                    <xdr:rowOff>45720</xdr:rowOff>
                  </from>
                  <to>
                    <xdr:col>9</xdr:col>
                    <xdr:colOff>30480</xdr:colOff>
                    <xdr:row>63</xdr:row>
                    <xdr:rowOff>160020</xdr:rowOff>
                  </to>
                </anchor>
              </controlPr>
            </control>
          </mc:Choice>
        </mc:AlternateContent>
        <mc:AlternateContent xmlns:mc="http://schemas.openxmlformats.org/markup-compatibility/2006">
          <mc:Choice Requires="x14">
            <control shapeId="4239" r:id="rId29" name="Check Box 143">
              <controlPr defaultSize="0" autoFill="0" autoLine="0" autoPict="0">
                <anchor moveWithCells="1">
                  <from>
                    <xdr:col>8</xdr:col>
                    <xdr:colOff>0</xdr:colOff>
                    <xdr:row>64</xdr:row>
                    <xdr:rowOff>45720</xdr:rowOff>
                  </from>
                  <to>
                    <xdr:col>8</xdr:col>
                    <xdr:colOff>556260</xdr:colOff>
                    <xdr:row>64</xdr:row>
                    <xdr:rowOff>160020</xdr:rowOff>
                  </to>
                </anchor>
              </controlPr>
            </control>
          </mc:Choice>
        </mc:AlternateContent>
        <mc:AlternateContent xmlns:mc="http://schemas.openxmlformats.org/markup-compatibility/2006">
          <mc:Choice Requires="x14">
            <control shapeId="4240" r:id="rId30" name="Check Box 144">
              <controlPr defaultSize="0" autoFill="0" autoLine="0" autoPict="0">
                <anchor moveWithCells="1">
                  <from>
                    <xdr:col>8</xdr:col>
                    <xdr:colOff>0</xdr:colOff>
                    <xdr:row>65</xdr:row>
                    <xdr:rowOff>45720</xdr:rowOff>
                  </from>
                  <to>
                    <xdr:col>9</xdr:col>
                    <xdr:colOff>45720</xdr:colOff>
                    <xdr:row>65</xdr:row>
                    <xdr:rowOff>160020</xdr:rowOff>
                  </to>
                </anchor>
              </controlPr>
            </control>
          </mc:Choice>
        </mc:AlternateContent>
        <mc:AlternateContent xmlns:mc="http://schemas.openxmlformats.org/markup-compatibility/2006">
          <mc:Choice Requires="x14">
            <control shapeId="4241" r:id="rId31" name="Check Box 145">
              <controlPr defaultSize="0" autoFill="0" autoLine="0" autoPict="0">
                <anchor moveWithCells="1">
                  <from>
                    <xdr:col>8</xdr:col>
                    <xdr:colOff>0</xdr:colOff>
                    <xdr:row>66</xdr:row>
                    <xdr:rowOff>45720</xdr:rowOff>
                  </from>
                  <to>
                    <xdr:col>9</xdr:col>
                    <xdr:colOff>45720</xdr:colOff>
                    <xdr:row>66</xdr:row>
                    <xdr:rowOff>144780</xdr:rowOff>
                  </to>
                </anchor>
              </controlPr>
            </control>
          </mc:Choice>
        </mc:AlternateContent>
        <mc:AlternateContent xmlns:mc="http://schemas.openxmlformats.org/markup-compatibility/2006">
          <mc:Choice Requires="x14">
            <control shapeId="4242" r:id="rId32" name="Check Box 146">
              <controlPr defaultSize="0" autoFill="0" autoLine="0" autoPict="0">
                <anchor moveWithCells="1">
                  <from>
                    <xdr:col>8</xdr:col>
                    <xdr:colOff>0</xdr:colOff>
                    <xdr:row>67</xdr:row>
                    <xdr:rowOff>45720</xdr:rowOff>
                  </from>
                  <to>
                    <xdr:col>9</xdr:col>
                    <xdr:colOff>30480</xdr:colOff>
                    <xdr:row>67</xdr:row>
                    <xdr:rowOff>160020</xdr:rowOff>
                  </to>
                </anchor>
              </controlPr>
            </control>
          </mc:Choice>
        </mc:AlternateContent>
        <mc:AlternateContent xmlns:mc="http://schemas.openxmlformats.org/markup-compatibility/2006">
          <mc:Choice Requires="x14">
            <control shapeId="4243" r:id="rId33" name="Check Box 147">
              <controlPr defaultSize="0" autoFill="0" autoLine="0" autoPict="0">
                <anchor moveWithCells="1">
                  <from>
                    <xdr:col>8</xdr:col>
                    <xdr:colOff>0</xdr:colOff>
                    <xdr:row>68</xdr:row>
                    <xdr:rowOff>45720</xdr:rowOff>
                  </from>
                  <to>
                    <xdr:col>9</xdr:col>
                    <xdr:colOff>45720</xdr:colOff>
                    <xdr:row>68</xdr:row>
                    <xdr:rowOff>144780</xdr:rowOff>
                  </to>
                </anchor>
              </controlPr>
            </control>
          </mc:Choice>
        </mc:AlternateContent>
        <mc:AlternateContent xmlns:mc="http://schemas.openxmlformats.org/markup-compatibility/2006">
          <mc:Choice Requires="x14">
            <control shapeId="4244" r:id="rId34" name="Check Box 148">
              <controlPr defaultSize="0" autoFill="0" autoLine="0" autoPict="0">
                <anchor moveWithCells="1">
                  <from>
                    <xdr:col>6</xdr:col>
                    <xdr:colOff>106680</xdr:colOff>
                    <xdr:row>58</xdr:row>
                    <xdr:rowOff>38100</xdr:rowOff>
                  </from>
                  <to>
                    <xdr:col>7</xdr:col>
                    <xdr:colOff>99060</xdr:colOff>
                    <xdr:row>58</xdr:row>
                    <xdr:rowOff>160020</xdr:rowOff>
                  </to>
                </anchor>
              </controlPr>
            </control>
          </mc:Choice>
        </mc:AlternateContent>
        <mc:AlternateContent xmlns:mc="http://schemas.openxmlformats.org/markup-compatibility/2006">
          <mc:Choice Requires="x14">
            <control shapeId="4245" r:id="rId35" name="Check Box 149">
              <controlPr defaultSize="0" autoFill="0" autoLine="0" autoPict="0">
                <anchor moveWithCells="1">
                  <from>
                    <xdr:col>6</xdr:col>
                    <xdr:colOff>106680</xdr:colOff>
                    <xdr:row>57</xdr:row>
                    <xdr:rowOff>38100</xdr:rowOff>
                  </from>
                  <to>
                    <xdr:col>7</xdr:col>
                    <xdr:colOff>99060</xdr:colOff>
                    <xdr:row>57</xdr:row>
                    <xdr:rowOff>160020</xdr:rowOff>
                  </to>
                </anchor>
              </controlPr>
            </control>
          </mc:Choice>
        </mc:AlternateContent>
        <mc:AlternateContent xmlns:mc="http://schemas.openxmlformats.org/markup-compatibility/2006">
          <mc:Choice Requires="x14">
            <control shapeId="4248" r:id="rId36" name="Check Box 152">
              <controlPr defaultSize="0" autoFill="0" autoLine="0" autoPict="0">
                <anchor moveWithCells="1">
                  <from>
                    <xdr:col>8</xdr:col>
                    <xdr:colOff>7620</xdr:colOff>
                    <xdr:row>58</xdr:row>
                    <xdr:rowOff>45720</xdr:rowOff>
                  </from>
                  <to>
                    <xdr:col>9</xdr:col>
                    <xdr:colOff>60960</xdr:colOff>
                    <xdr:row>58</xdr:row>
                    <xdr:rowOff>160020</xdr:rowOff>
                  </to>
                </anchor>
              </controlPr>
            </control>
          </mc:Choice>
        </mc:AlternateContent>
        <mc:AlternateContent xmlns:mc="http://schemas.openxmlformats.org/markup-compatibility/2006">
          <mc:Choice Requires="x14">
            <control shapeId="4253" r:id="rId37" name="Check Box 157">
              <controlPr defaultSize="0" autoFill="0" autoLine="0" autoPict="0" altText="KUZEY">
                <anchor moveWithCells="1">
                  <from>
                    <xdr:col>8</xdr:col>
                    <xdr:colOff>160020</xdr:colOff>
                    <xdr:row>72</xdr:row>
                    <xdr:rowOff>7620</xdr:rowOff>
                  </from>
                  <to>
                    <xdr:col>8</xdr:col>
                    <xdr:colOff>876300</xdr:colOff>
                    <xdr:row>72</xdr:row>
                    <xdr:rowOff>304800</xdr:rowOff>
                  </to>
                </anchor>
              </controlPr>
            </control>
          </mc:Choice>
        </mc:AlternateContent>
        <mc:AlternateContent xmlns:mc="http://schemas.openxmlformats.org/markup-compatibility/2006">
          <mc:Choice Requires="x14">
            <control shapeId="4254" r:id="rId38" name="Check Box 158">
              <controlPr defaultSize="0" autoFill="0" autoLine="0" autoPict="0" altText="KUZEY">
                <anchor moveWithCells="1">
                  <from>
                    <xdr:col>9</xdr:col>
                    <xdr:colOff>160020</xdr:colOff>
                    <xdr:row>72</xdr:row>
                    <xdr:rowOff>7620</xdr:rowOff>
                  </from>
                  <to>
                    <xdr:col>9</xdr:col>
                    <xdr:colOff>861060</xdr:colOff>
                    <xdr:row>72</xdr:row>
                    <xdr:rowOff>312420</xdr:rowOff>
                  </to>
                </anchor>
              </controlPr>
            </control>
          </mc:Choice>
        </mc:AlternateContent>
        <mc:AlternateContent xmlns:mc="http://schemas.openxmlformats.org/markup-compatibility/2006">
          <mc:Choice Requires="x14">
            <control shapeId="4255" r:id="rId39" name="Check Box 159">
              <controlPr defaultSize="0" autoFill="0" autoLine="0" autoPict="0" altText="KUZEY">
                <anchor moveWithCells="1">
                  <from>
                    <xdr:col>10</xdr:col>
                    <xdr:colOff>114300</xdr:colOff>
                    <xdr:row>72</xdr:row>
                    <xdr:rowOff>7620</xdr:rowOff>
                  </from>
                  <to>
                    <xdr:col>10</xdr:col>
                    <xdr:colOff>716280</xdr:colOff>
                    <xdr:row>72</xdr:row>
                    <xdr:rowOff>312420</xdr:rowOff>
                  </to>
                </anchor>
              </controlPr>
            </control>
          </mc:Choice>
        </mc:AlternateContent>
        <mc:AlternateContent xmlns:mc="http://schemas.openxmlformats.org/markup-compatibility/2006">
          <mc:Choice Requires="x14">
            <control shapeId="4256" r:id="rId40" name="Check Box 160">
              <controlPr defaultSize="0" autoFill="0" autoLine="0" autoPict="0" altText="KUZEY">
                <anchor moveWithCells="1">
                  <from>
                    <xdr:col>11</xdr:col>
                    <xdr:colOff>175260</xdr:colOff>
                    <xdr:row>72</xdr:row>
                    <xdr:rowOff>0</xdr:rowOff>
                  </from>
                  <to>
                    <xdr:col>11</xdr:col>
                    <xdr:colOff>792480</xdr:colOff>
                    <xdr:row>72</xdr:row>
                    <xdr:rowOff>312420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58" id="{6B075831-A134-43FA-B63D-35FE3F5A2539}">
            <xm:f>$F$44=VERİDOĞRULAMA!$S$3</xm:f>
            <x14:dxf>
              <fill>
                <patternFill>
                  <bgColor theme="1"/>
                </patternFill>
              </fill>
            </x14:dxf>
          </x14:cfRule>
          <x14:cfRule type="expression" priority="659" id="{195E3D3C-6501-461A-97AF-8EBB2C37994A}">
            <xm:f>$F$44=VERİDOĞRULAMA!$S$2</xm:f>
            <x14:dxf>
              <fill>
                <patternFill>
                  <bgColor theme="1"/>
                </patternFill>
              </fill>
            </x14:dxf>
          </x14:cfRule>
          <xm:sqref>AB38:AC38</xm:sqref>
        </x14:conditionalFormatting>
        <x14:conditionalFormatting xmlns:xm="http://schemas.microsoft.com/office/excel/2006/main">
          <x14:cfRule type="expression" priority="707" id="{1AE9E7FF-F442-4C91-9A3C-8E93187F3921}">
            <xm:f>$F$44=VERİDOĞRULAMA!$S$2</xm:f>
            <x14:dxf>
              <fill>
                <patternFill>
                  <bgColor theme="0"/>
                </patternFill>
              </fill>
            </x14:dxf>
          </x14:cfRule>
          <xm:sqref>O35:O36</xm:sqref>
        </x14:conditionalFormatting>
      </x14:conditionalFormattings>
    </ext>
    <ext xmlns:x14="http://schemas.microsoft.com/office/spreadsheetml/2009/9/main" uri="{CCE6A557-97BC-4b89-ADB6-D9C93CAAB3DF}">
      <x14:dataValidations xmlns:xm="http://schemas.microsoft.com/office/excel/2006/main" count="45">
        <x14:dataValidation type="list" allowBlank="1" showInputMessage="1" showErrorMessage="1" xr:uid="{00000000-0002-0000-0100-00000E000000}">
          <x14:formula1>
            <xm:f>VERİDOĞRULAMA!$E$2:$E$40</xm:f>
          </x14:formula1>
          <xm:sqref>F49</xm:sqref>
        </x14:dataValidation>
        <x14:dataValidation type="list" allowBlank="1" showInputMessage="1" showErrorMessage="1" xr:uid="{00000000-0002-0000-0100-000000000000}">
          <x14:formula1>
            <xm:f>VERİDOĞRULAMA!$AZ$2:$AZ$7</xm:f>
          </x14:formula1>
          <xm:sqref>F37 M13</xm:sqref>
        </x14:dataValidation>
        <x14:dataValidation type="list" allowBlank="1" showInputMessage="1" showErrorMessage="1" xr:uid="{00000000-0002-0000-0100-000004000000}">
          <x14:formula1>
            <xm:f>VERİDOĞRULAMA!$S$2:$S$5</xm:f>
          </x14:formula1>
          <xm:sqref>F44 AA37:AB37</xm:sqref>
        </x14:dataValidation>
        <x14:dataValidation type="list" allowBlank="1" showInputMessage="1" showErrorMessage="1" xr:uid="{00000000-0002-0000-0100-000010000000}">
          <x14:formula1>
            <xm:f>VERİDOĞRULAMA!$N$2:$N$9</xm:f>
          </x14:formula1>
          <xm:sqref>I53</xm:sqref>
        </x14:dataValidation>
        <x14:dataValidation type="list" allowBlank="1" showInputMessage="1" showErrorMessage="1" xr:uid="{00000000-0002-0000-0100-000037000000}">
          <x14:formula1>
            <xm:f>VERİDOĞRULAMA!$DT$2:$DT$7</xm:f>
          </x14:formula1>
          <xm:sqref>L33</xm:sqref>
        </x14:dataValidation>
        <x14:dataValidation type="list" allowBlank="1" showInputMessage="1" showErrorMessage="1" xr:uid="{00000000-0002-0000-0100-000042000000}">
          <x14:formula1>
            <xm:f>Sayfa1!$N$367:$N$372</xm:f>
          </x14:formula1>
          <xm:sqref>Q96 S96 O96</xm:sqref>
        </x14:dataValidation>
        <x14:dataValidation type="list" allowBlank="1" showInputMessage="1" showErrorMessage="1" xr:uid="{29C49C54-0D2E-4A63-B38D-4A6F3F87BCA1}">
          <x14:formula1>
            <xm:f>VERİDOĞRULAMA!$Q$2:$Q$28</xm:f>
          </x14:formula1>
          <xm:sqref>G37:I37</xm:sqref>
        </x14:dataValidation>
        <x14:dataValidation type="list" allowBlank="1" showInputMessage="1" showErrorMessage="1" xr:uid="{E859354F-244C-4C25-8D5E-D94A36CA5969}">
          <x14:formula1>
            <xm:f>VERİDOĞRULAMA!$U$2:$U$6</xm:f>
          </x14:formula1>
          <xm:sqref>S44</xm:sqref>
        </x14:dataValidation>
        <x14:dataValidation type="list" allowBlank="1" showInputMessage="1" showErrorMessage="1" xr:uid="{00000000-0002-0000-0100-000038000000}">
          <x14:formula1>
            <xm:f>VERİDOĞRULAMA!$Z$2:$Z$4</xm:f>
          </x14:formula1>
          <xm:sqref>F5</xm:sqref>
        </x14:dataValidation>
        <x14:dataValidation type="list" allowBlank="1" showInputMessage="1" showErrorMessage="1" xr:uid="{00000000-0002-0000-0100-00002F000000}">
          <x14:formula1>
            <xm:f>VERİDOĞRULAMA!$AD$3:$AD$10</xm:f>
          </x14:formula1>
          <xm:sqref>F53</xm:sqref>
        </x14:dataValidation>
        <x14:dataValidation type="list" allowBlank="1" showInputMessage="1" showErrorMessage="1" xr:uid="{00000000-0002-0000-0100-00003B000000}">
          <x14:formula1>
            <xm:f>VERİDOĞRULAMA!$AA$3:$AA$15</xm:f>
          </x14:formula1>
          <xm:sqref>F51</xm:sqref>
        </x14:dataValidation>
        <x14:dataValidation type="list" allowBlank="1" showInputMessage="1" showErrorMessage="1" xr:uid="{00000000-0002-0000-0100-00003C000000}">
          <x14:formula1>
            <xm:f>VERİDOĞRULAMA!$AB$3:$AB$7</xm:f>
          </x14:formula1>
          <xm:sqref>G51</xm:sqref>
        </x14:dataValidation>
        <x14:dataValidation type="list" allowBlank="1" showInputMessage="1" showErrorMessage="1" xr:uid="{00000000-0002-0000-0100-00003D000000}">
          <x14:formula1>
            <xm:f>VERİDOĞRULAMA!$AC$3:$AC$8</xm:f>
          </x14:formula1>
          <xm:sqref>I51</xm:sqref>
        </x14:dataValidation>
        <x14:dataValidation type="list" allowBlank="1" showInputMessage="1" showErrorMessage="1" xr:uid="{AAAB1A3D-62B8-40A0-A9C9-98395F007C83}">
          <x14:formula1>
            <xm:f>VERİDOĞRULAMA!$K$2:$K$4</xm:f>
          </x14:formula1>
          <xm:sqref>P17 P26:P27 P20:P21</xm:sqref>
        </x14:dataValidation>
        <x14:dataValidation type="list" allowBlank="1" showInputMessage="1" showErrorMessage="1" xr:uid="{F6330B54-377F-4370-8164-FA5B15D872AF}">
          <x14:formula1>
            <xm:f>VERİDOĞRULAMA!$L$2:$L$4</xm:f>
          </x14:formula1>
          <xm:sqref>S17 S26:T27 S20:T21</xm:sqref>
        </x14:dataValidation>
        <x14:dataValidation type="list" allowBlank="1" showInputMessage="1" showErrorMessage="1" xr:uid="{A765063C-F461-429C-9DCD-10A2BBB4CE8D}">
          <x14:formula1>
            <xm:f>VERİDOĞRULAMA!$W$2:$W$4</xm:f>
          </x14:formula1>
          <xm:sqref>Q34:Q41</xm:sqref>
        </x14:dataValidation>
        <x14:dataValidation type="list" allowBlank="1" showInputMessage="1" showErrorMessage="1" xr:uid="{7859D3CA-0C49-4353-9800-FBAB6B6AC00F}">
          <x14:formula1>
            <xm:f>VERİDOĞRULAMA!$X$2:$X$7</xm:f>
          </x14:formula1>
          <xm:sqref>F52 I47</xm:sqref>
        </x14:dataValidation>
        <x14:dataValidation type="list" allowBlank="1" showInputMessage="1" showErrorMessage="1" xr:uid="{E3FE2E33-60CE-46F2-874D-C2D65E1BF625}">
          <x14:formula1>
            <xm:f>VERİDOĞRULAMA!$N$2:$N$10</xm:f>
          </x14:formula1>
          <xm:sqref>G49</xm:sqref>
        </x14:dataValidation>
        <x14:dataValidation type="list" allowBlank="1" showInputMessage="1" showErrorMessage="1" xr:uid="{B70DF4C9-4AA6-4562-BA37-A0D03E8E8052}">
          <x14:formula1>
            <xm:f>VERİDOĞRULAMA!$AI$2:$AI$6</xm:f>
          </x14:formula1>
          <xm:sqref>R85:R86</xm:sqref>
        </x14:dataValidation>
        <x14:dataValidation type="list" allowBlank="1" showInputMessage="1" showErrorMessage="1" xr:uid="{6682B6A2-429A-42AC-8C3A-8C4B61D80E72}">
          <x14:formula1>
            <xm:f>VERİDOĞRULAMA!$AP$2:$AP$22</xm:f>
          </x14:formula1>
          <xm:sqref>H97:H98 T97:T98 R97:R98 P97:P98 N97:N98 L97:L98 J97:J98</xm:sqref>
        </x14:dataValidation>
        <x14:dataValidation type="list" allowBlank="1" showInputMessage="1" showErrorMessage="1" xr:uid="{C305D1EC-76AC-41B7-A248-D98D4FDC9214}">
          <x14:formula1>
            <xm:f>VERİDOĞRULAMA!$AQ$2:$AQ$17</xm:f>
          </x14:formula1>
          <xm:sqref>G100:T100</xm:sqref>
        </x14:dataValidation>
        <x14:dataValidation type="list" allowBlank="1" showInputMessage="1" showErrorMessage="1" xr:uid="{6A46EF28-CCF6-43EB-AE2C-287F3D23A042}">
          <x14:formula1>
            <xm:f>VERİDOĞRULAMA!$AU$2:$AU$38</xm:f>
          </x14:formula1>
          <xm:sqref>N22:O24</xm:sqref>
        </x14:dataValidation>
        <x14:dataValidation type="list" allowBlank="1" showInputMessage="1" showErrorMessage="1" xr:uid="{8C40A34B-C6E2-46F2-A924-5E57B51B0895}">
          <x14:formula1>
            <xm:f>VERİDOĞRULAMA!$AX$2:$AX$3</xm:f>
          </x14:formula1>
          <xm:sqref>AC12</xm:sqref>
        </x14:dataValidation>
        <x14:dataValidation type="list" allowBlank="1" showInputMessage="1" showErrorMessage="1" xr:uid="{2EB277BC-56D2-4833-99F8-F249EA6D0BBD}">
          <x14:formula1>
            <xm:f>VERİDOĞRULAMA!$AV$2:$AV$6</xm:f>
          </x14:formula1>
          <xm:sqref>G17</xm:sqref>
        </x14:dataValidation>
        <x14:dataValidation type="list" allowBlank="1" showInputMessage="1" showErrorMessage="1" xr:uid="{4DF83D73-179C-493E-A1E2-D6EC9C569D22}">
          <x14:formula1>
            <xm:f>VERİDOĞRULAMA!$BA$2:$BA$7</xm:f>
          </x14:formula1>
          <xm:sqref>Q17:R19</xm:sqref>
        </x14:dataValidation>
        <x14:dataValidation type="list" allowBlank="1" showInputMessage="1" showErrorMessage="1" xr:uid="{80717487-FC52-44ED-BF3C-68C8F1D5109C}">
          <x14:formula1>
            <xm:f>VERİDOĞRULAMA!$BB$2:$BB$6</xm:f>
          </x14:formula1>
          <xm:sqref>Q13</xm:sqref>
        </x14:dataValidation>
        <x14:dataValidation type="list" allowBlank="1" showInputMessage="1" showErrorMessage="1" xr:uid="{9FF43638-EDCA-4058-8C44-1F3331BD5C87}">
          <x14:formula1>
            <xm:f>VERİDOĞRULAMA!$BD$2:$BD$7</xm:f>
          </x14:formula1>
          <xm:sqref>S13</xm:sqref>
        </x14:dataValidation>
        <x14:dataValidation type="list" allowBlank="1" showInputMessage="1" showErrorMessage="1" xr:uid="{A78ED0B2-A927-4DB2-9107-B21EE96D3C8E}">
          <x14:formula1>
            <xm:f>VERİDOĞRULAMA!$AZ$2:$AZ$12</xm:f>
          </x14:formula1>
          <xm:sqref>G47</xm:sqref>
        </x14:dataValidation>
        <x14:dataValidation type="list" allowBlank="1" showInputMessage="1" showErrorMessage="1" xr:uid="{00000000-0002-0000-0100-00003F000000}">
          <x14:formula1>
            <xm:f>Sayfa1!$L$76:$L$84</xm:f>
          </x14:formula1>
          <xm:sqref>G72</xm:sqref>
        </x14:dataValidation>
        <x14:dataValidation type="list" allowBlank="1" showInputMessage="1" showErrorMessage="1" xr:uid="{00000000-0002-0000-0100-000030000000}">
          <x14:formula1>
            <xm:f>Sayfa1!$P$81:$P$85</xm:f>
          </x14:formula1>
          <xm:sqref>H15 L15</xm:sqref>
        </x14:dataValidation>
        <x14:dataValidation type="list" allowBlank="1" showInputMessage="1" showErrorMessage="1" xr:uid="{00000000-0002-0000-0100-000031000000}">
          <x14:formula1>
            <xm:f>Sayfa1!$O$81:$O$84</xm:f>
          </x14:formula1>
          <xm:sqref>G15 K15</xm:sqref>
        </x14:dataValidation>
        <x14:dataValidation type="list" allowBlank="1" showInputMessage="1" showErrorMessage="1" xr:uid="{2A24CE3D-12AF-48E3-B1A5-776284445AC1}">
          <x14:formula1>
            <xm:f>Sayfa1!$J$60:$J$63</xm:f>
          </x14:formula1>
          <xm:sqref>I49:J49</xm:sqref>
        </x14:dataValidation>
        <x14:dataValidation type="list" allowBlank="1" showInputMessage="1" showErrorMessage="1" xr:uid="{F066D1E8-B4D9-4236-A926-E34F34C8426C}">
          <x14:formula1>
            <xm:f>VERİDOĞRULAMA!$BF$2:$BF$8</xm:f>
          </x14:formula1>
          <xm:sqref>N17:N19</xm:sqref>
        </x14:dataValidation>
        <x14:dataValidation type="list" allowBlank="1" showInputMessage="1" showErrorMessage="1" xr:uid="{00000000-0002-0000-0100-000048000000}">
          <x14:formula1>
            <xm:f>VERİDOĞRULAMA!$BV$3:$BV$25</xm:f>
          </x14:formula1>
          <xm:sqref>G39</xm:sqref>
        </x14:dataValidation>
        <x14:dataValidation type="list" allowBlank="1" showInputMessage="1" showErrorMessage="1" xr:uid="{00000000-0002-0000-0100-000035000000}">
          <x14:formula1>
            <xm:f>VERİDOĞRULAMA!$CG$2:$CG$6</xm:f>
          </x14:formula1>
          <xm:sqref>T82:T83</xm:sqref>
        </x14:dataValidation>
        <x14:dataValidation type="list" allowBlank="1" showInputMessage="1" showErrorMessage="1" xr:uid="{00000000-0002-0000-0100-000032000000}">
          <x14:formula1>
            <xm:f>VERİDOĞRULAMA!$CN$2:$CN$6</xm:f>
          </x14:formula1>
          <xm:sqref>P72</xm:sqref>
        </x14:dataValidation>
        <x14:dataValidation type="list" allowBlank="1" showInputMessage="1" showErrorMessage="1" xr:uid="{00000000-0002-0000-0100-000034000000}">
          <x14:formula1>
            <xm:f>Sayfa1!$AC$94:$AC$118</xm:f>
          </x14:formula1>
          <xm:sqref>AY10</xm:sqref>
        </x14:dataValidation>
        <x14:dataValidation type="list" allowBlank="1" showInputMessage="1" showErrorMessage="1" xr:uid="{4AD45724-FC98-4CDD-9BDD-C9D71AF2547F}">
          <x14:formula1>
            <xm:f>VERİDOĞRULAMA!$CR$2:$CR$6</xm:f>
          </x14:formula1>
          <xm:sqref>G91:T91</xm:sqref>
        </x14:dataValidation>
        <x14:dataValidation type="list" allowBlank="1" showInputMessage="1" showErrorMessage="1" xr:uid="{00000000-0002-0000-0100-000045000000}">
          <x14:formula1>
            <xm:f>VERİDOĞRULAMA!$CU$2:$CU$8</xm:f>
          </x14:formula1>
          <xm:sqref>G94 Q94 O94 S94 I94 K94 M94</xm:sqref>
        </x14:dataValidation>
        <x14:dataValidation type="list" allowBlank="1" showInputMessage="1" showErrorMessage="1" xr:uid="{00000000-0002-0000-0100-000047000000}">
          <x14:formula1>
            <xm:f>VERİDOĞRULAMA!$CV$2:$CV$9</xm:f>
          </x14:formula1>
          <xm:sqref>S95:S96 O95:O96 Q95:Q96 G95:N95</xm:sqref>
        </x14:dataValidation>
        <x14:dataValidation type="list" allowBlank="1" showInputMessage="1" showErrorMessage="1" xr:uid="{F9291A60-BE6D-483B-83ED-75DC4B4A5D2C}">
          <x14:formula1>
            <xm:f>VERİDOĞRULAMA!$CT$2:$CT$15</xm:f>
          </x14:formula1>
          <xm:sqref>G93:T93</xm:sqref>
        </x14:dataValidation>
        <x14:dataValidation type="list" allowBlank="1" showInputMessage="1" showErrorMessage="1" xr:uid="{00000000-0002-0000-0100-000033000000}">
          <x14:formula1>
            <xm:f>VERİDOĞRULAMA!$DA$13:$DA$19</xm:f>
          </x14:formula1>
          <xm:sqref>P81</xm:sqref>
        </x14:dataValidation>
        <x14:dataValidation type="list" showInputMessage="1" showErrorMessage="1" xr:uid="{FE4C1EE3-5F0C-4081-94F4-E827B33618A7}">
          <x14:formula1>
            <xm:f>VERİDOĞRULAMA!$AJ$3:$AJ$82</xm:f>
          </x14:formula1>
          <xm:sqref>BF6</xm:sqref>
        </x14:dataValidation>
        <x14:dataValidation type="list" allowBlank="1" showInputMessage="1" showErrorMessage="1" xr:uid="{00000000-0002-0000-0100-00000B000000}">
          <x14:formula1>
            <xm:f>VERİDOĞRULAMA!$CL$2:$CL$102</xm:f>
          </x14:formula1>
          <xm:sqref>N72</xm:sqref>
        </x14:dataValidation>
        <x14:dataValidation type="list" allowBlank="1" showInputMessage="1" showErrorMessage="1" xr:uid="{631A5983-2852-404F-8FAB-7D2735114C6C}">
          <x14:formula1>
            <xm:f>VERİDOĞRULAMA!$BI$2:$BI$10</xm:f>
          </x14:formula1>
          <xm:sqref>G96:N96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26807-DB1C-47F7-B8E3-F8FA08D22322}">
  <sheetPr published="0" codeName="Sayfa24"/>
  <dimension ref="A1:AA35"/>
  <sheetViews>
    <sheetView zoomScale="85" zoomScaleNormal="85" workbookViewId="0">
      <selection activeCell="K19" sqref="K19"/>
    </sheetView>
  </sheetViews>
  <sheetFormatPr defaultRowHeight="14.4" x14ac:dyDescent="0.3"/>
  <cols>
    <col min="1" max="1" width="33" customWidth="1"/>
    <col min="2" max="2" width="13.44140625" customWidth="1"/>
    <col min="3" max="3" width="10.33203125" customWidth="1"/>
    <col min="4" max="4" width="23" customWidth="1"/>
    <col min="5" max="5" width="14.44140625" customWidth="1"/>
    <col min="17" max="17" width="11.109375" bestFit="1" customWidth="1"/>
    <col min="20" max="21" width="12.109375" bestFit="1" customWidth="1"/>
    <col min="22" max="22" width="15.88671875" bestFit="1" customWidth="1"/>
  </cols>
  <sheetData>
    <row r="1" spans="1:27" x14ac:dyDescent="0.3">
      <c r="B1" s="34" t="s">
        <v>3295</v>
      </c>
      <c r="C1" s="34" t="s">
        <v>3296</v>
      </c>
      <c r="D1" s="34" t="s">
        <v>3297</v>
      </c>
    </row>
    <row r="2" spans="1:27" x14ac:dyDescent="0.3">
      <c r="A2" s="557" t="s">
        <v>3302</v>
      </c>
      <c r="B2" s="119" cm="1">
        <f t="array" ref="B2">DegerlemeUcreti(E11,E10)</f>
        <v>16500</v>
      </c>
      <c r="C2" s="555">
        <v>0.2</v>
      </c>
      <c r="D2" s="556">
        <f>+B2*(1+C2)</f>
        <v>19800</v>
      </c>
    </row>
    <row r="3" spans="1:27" x14ac:dyDescent="0.3">
      <c r="A3" s="557" t="s">
        <v>3299</v>
      </c>
      <c r="B3" s="558">
        <v>2278.2600000000002</v>
      </c>
      <c r="C3" s="555">
        <v>0.2</v>
      </c>
      <c r="D3" s="556">
        <f>+B3*(1+C3)</f>
        <v>2733.9120000000003</v>
      </c>
    </row>
    <row r="4" spans="1:27" x14ac:dyDescent="0.3">
      <c r="A4" s="557" t="s">
        <v>3301</v>
      </c>
      <c r="B4" s="558">
        <f>+ISBANKTAPUADEDI*255.83</f>
        <v>255.83</v>
      </c>
      <c r="C4" s="555">
        <v>0.2</v>
      </c>
      <c r="D4" s="556">
        <f>+B4*(1+C4)</f>
        <v>306.99599999999998</v>
      </c>
    </row>
    <row r="5" spans="1:27" x14ac:dyDescent="0.3">
      <c r="A5" s="557" t="s">
        <v>3300</v>
      </c>
      <c r="B5" s="556">
        <f>+D5/(1+C5)</f>
        <v>0</v>
      </c>
      <c r="C5" s="555">
        <v>0.2</v>
      </c>
      <c r="D5" s="558">
        <f>+BELEDİYEHARC</f>
        <v>0</v>
      </c>
    </row>
    <row r="6" spans="1:27" x14ac:dyDescent="0.3">
      <c r="A6" s="557" t="s">
        <v>3298</v>
      </c>
      <c r="B6" s="558">
        <v>176</v>
      </c>
      <c r="C6" s="555">
        <v>0.2</v>
      </c>
      <c r="D6" s="556">
        <f>+B6*(1+C6)</f>
        <v>211.2</v>
      </c>
    </row>
    <row r="7" spans="1:27" x14ac:dyDescent="0.3">
      <c r="A7" s="557" t="s">
        <v>3294</v>
      </c>
      <c r="B7" s="558">
        <v>125</v>
      </c>
      <c r="C7" s="555">
        <v>0.2</v>
      </c>
      <c r="D7" s="556">
        <f>+B7*(1+C7)</f>
        <v>150</v>
      </c>
    </row>
    <row r="8" spans="1:27" x14ac:dyDescent="0.3">
      <c r="A8" s="557" t="s">
        <v>3274</v>
      </c>
      <c r="D8" s="120">
        <f>SUM(D2:D7)</f>
        <v>23202.108</v>
      </c>
    </row>
    <row r="9" spans="1:27" ht="27.6" customHeight="1" x14ac:dyDescent="0.3">
      <c r="A9" s="557"/>
      <c r="B9" s="560" t="s">
        <v>3324</v>
      </c>
      <c r="C9" s="34"/>
      <c r="D9" s="556"/>
    </row>
    <row r="10" spans="1:27" x14ac:dyDescent="0.3">
      <c r="A10" s="557" t="s">
        <v>3303</v>
      </c>
      <c r="B10" s="556">
        <v>16500</v>
      </c>
      <c r="C10" s="34" t="str">
        <f>LEFT(A10,FIND("-",A10)-1)</f>
        <v>1</v>
      </c>
      <c r="D10" s="557" t="s">
        <v>3323</v>
      </c>
      <c r="E10" s="119">
        <f>+MEVCUTKULLANIMALANI</f>
        <v>85</v>
      </c>
    </row>
    <row r="11" spans="1:27" x14ac:dyDescent="0.3">
      <c r="A11" s="557" t="s">
        <v>3304</v>
      </c>
      <c r="B11" s="556">
        <v>17622</v>
      </c>
      <c r="C11" s="34" t="str">
        <f t="shared" ref="C11:C15" si="0">LEFT(A11,FIND("-",A11)-1)</f>
        <v>150</v>
      </c>
      <c r="D11" s="559" t="s">
        <v>3322</v>
      </c>
      <c r="E11" s="540" t="str">
        <f>+TEST!L15</f>
        <v>daire</v>
      </c>
      <c r="P11" t="s">
        <v>3341</v>
      </c>
      <c r="Q11" s="119">
        <v>5079.63</v>
      </c>
      <c r="R11">
        <v>2</v>
      </c>
      <c r="S11">
        <v>16</v>
      </c>
      <c r="T11" s="119">
        <f>+Q11*R11/S11</f>
        <v>634.95375000000001</v>
      </c>
      <c r="U11" s="119">
        <v>24000</v>
      </c>
      <c r="V11" s="119">
        <f>+U11*T11</f>
        <v>15238890</v>
      </c>
      <c r="W11" s="119"/>
      <c r="X11" s="119"/>
      <c r="Y11" s="119"/>
      <c r="Z11" s="119"/>
      <c r="AA11" s="119"/>
    </row>
    <row r="12" spans="1:27" x14ac:dyDescent="0.3">
      <c r="A12" s="557" t="s">
        <v>3305</v>
      </c>
      <c r="B12" s="556">
        <v>20217</v>
      </c>
      <c r="C12" s="34" t="str">
        <f t="shared" si="0"/>
        <v>251</v>
      </c>
      <c r="K12">
        <v>284</v>
      </c>
      <c r="R12" s="119"/>
      <c r="S12" s="119"/>
      <c r="T12" s="119">
        <v>284</v>
      </c>
      <c r="U12" s="119">
        <v>32000</v>
      </c>
      <c r="V12" s="119">
        <f>+U12*T12</f>
        <v>9088000</v>
      </c>
      <c r="W12" s="119"/>
      <c r="X12" s="119"/>
      <c r="Y12" s="119"/>
      <c r="Z12" s="119"/>
      <c r="AA12" s="119"/>
    </row>
    <row r="13" spans="1:27" x14ac:dyDescent="0.3">
      <c r="A13" s="557" t="s">
        <v>3306</v>
      </c>
      <c r="B13" s="556">
        <v>23946</v>
      </c>
      <c r="C13" s="34" t="str">
        <f t="shared" si="0"/>
        <v>501</v>
      </c>
      <c r="K13">
        <v>400</v>
      </c>
      <c r="Q13" s="119"/>
      <c r="R13" s="119"/>
      <c r="S13" s="119"/>
      <c r="T13" s="119"/>
      <c r="U13" s="119"/>
      <c r="V13" s="119">
        <f>SUM(V11:V12)</f>
        <v>24326890</v>
      </c>
      <c r="W13" s="119"/>
      <c r="X13" s="119"/>
      <c r="Y13" s="119"/>
      <c r="Z13" s="119"/>
      <c r="AA13" s="119"/>
    </row>
    <row r="14" spans="1:27" x14ac:dyDescent="0.3">
      <c r="A14" s="557" t="s">
        <v>3307</v>
      </c>
      <c r="B14" s="556">
        <v>35187</v>
      </c>
      <c r="C14" s="34" t="str">
        <f t="shared" si="0"/>
        <v>1001</v>
      </c>
      <c r="Q14" s="119"/>
      <c r="R14" s="119"/>
      <c r="S14" s="119"/>
      <c r="T14" s="119"/>
      <c r="U14" s="119"/>
      <c r="V14" s="119">
        <f>27000000-V13</f>
        <v>2673110</v>
      </c>
      <c r="W14" s="119"/>
      <c r="X14" s="119"/>
      <c r="Y14" s="119"/>
      <c r="Z14" s="119"/>
      <c r="AA14" s="119"/>
    </row>
    <row r="15" spans="1:27" x14ac:dyDescent="0.3">
      <c r="A15" s="557" t="s">
        <v>3308</v>
      </c>
      <c r="B15" s="556">
        <v>55569</v>
      </c>
      <c r="C15" s="34" t="str">
        <f t="shared" si="0"/>
        <v>5001</v>
      </c>
      <c r="D15" s="556"/>
      <c r="Q15" s="119"/>
      <c r="R15" s="119"/>
      <c r="S15" s="119"/>
      <c r="T15" s="119"/>
      <c r="U15" s="119"/>
      <c r="V15" s="119">
        <f>+V14+V13</f>
        <v>27000000</v>
      </c>
      <c r="W15" s="119"/>
      <c r="X15" s="119"/>
      <c r="Y15" s="119"/>
      <c r="Z15" s="119"/>
      <c r="AA15" s="119"/>
    </row>
    <row r="16" spans="1:27" x14ac:dyDescent="0.3">
      <c r="A16" s="557"/>
      <c r="B16" s="119"/>
      <c r="D16" s="119"/>
      <c r="Q16" s="119"/>
      <c r="R16" s="119"/>
      <c r="S16" s="119"/>
      <c r="T16" s="119"/>
      <c r="U16" s="119"/>
      <c r="V16" s="119">
        <v>25000000</v>
      </c>
      <c r="W16" s="119"/>
      <c r="X16" s="119"/>
      <c r="Y16" s="119"/>
      <c r="Z16" s="119"/>
      <c r="AA16" s="119"/>
    </row>
    <row r="17" spans="1:27" x14ac:dyDescent="0.3">
      <c r="A17" s="557"/>
      <c r="B17" s="556" t="s">
        <v>653</v>
      </c>
      <c r="Q17" s="119"/>
      <c r="R17" s="119"/>
      <c r="S17" s="119"/>
      <c r="T17" s="119"/>
      <c r="U17" s="119"/>
      <c r="V17" s="119"/>
      <c r="W17" s="119"/>
      <c r="X17" s="119"/>
      <c r="Y17" s="119"/>
      <c r="Z17" s="119"/>
      <c r="AA17" s="119"/>
    </row>
    <row r="18" spans="1:27" x14ac:dyDescent="0.3">
      <c r="A18" s="557" t="s">
        <v>3309</v>
      </c>
      <c r="B18" s="119">
        <v>17949</v>
      </c>
      <c r="C18" s="34" t="str">
        <f>LEFT(A18,FIND("-",A18)-1)</f>
        <v>1</v>
      </c>
      <c r="P18" t="s">
        <v>3341</v>
      </c>
      <c r="Q18" s="119">
        <v>5079.63</v>
      </c>
      <c r="R18">
        <v>2</v>
      </c>
      <c r="S18">
        <v>16</v>
      </c>
      <c r="T18" s="119">
        <f>+Q18*R18/S18</f>
        <v>634.95375000000001</v>
      </c>
      <c r="U18" s="119">
        <v>24000</v>
      </c>
      <c r="V18" s="119">
        <f>+U18*T18</f>
        <v>15238890</v>
      </c>
      <c r="W18" s="119"/>
      <c r="X18" s="119"/>
      <c r="Y18" s="119"/>
      <c r="Z18" s="119"/>
      <c r="AA18" s="119"/>
    </row>
    <row r="19" spans="1:27" x14ac:dyDescent="0.3">
      <c r="A19" s="557" t="s">
        <v>3310</v>
      </c>
      <c r="B19" s="556">
        <v>20985</v>
      </c>
      <c r="C19" s="34" t="str">
        <f t="shared" ref="C19:C26" si="1">LEFT(A19,FIND("-",A19)-1)</f>
        <v>101</v>
      </c>
      <c r="R19" s="119"/>
      <c r="S19" s="119"/>
      <c r="T19" s="119">
        <v>400</v>
      </c>
      <c r="U19" s="119">
        <v>32000</v>
      </c>
      <c r="V19" s="119">
        <f>+U19*T19</f>
        <v>12800000</v>
      </c>
      <c r="W19" s="119"/>
      <c r="X19" s="119"/>
      <c r="Y19" s="119"/>
      <c r="Z19" s="119"/>
      <c r="AA19" s="119"/>
    </row>
    <row r="20" spans="1:27" x14ac:dyDescent="0.3">
      <c r="A20" s="557" t="s">
        <v>3311</v>
      </c>
      <c r="B20" s="119">
        <v>33039</v>
      </c>
      <c r="C20" s="34" t="str">
        <f t="shared" si="1"/>
        <v>501</v>
      </c>
      <c r="Q20" s="119"/>
      <c r="R20" s="119"/>
      <c r="S20" s="119"/>
      <c r="T20" s="119"/>
      <c r="U20" s="119"/>
      <c r="V20" s="119">
        <f>SUM(V18:V19)</f>
        <v>28038890</v>
      </c>
      <c r="W20" s="119"/>
      <c r="X20" s="119"/>
      <c r="Y20" s="119"/>
      <c r="Z20" s="119"/>
      <c r="AA20" s="119"/>
    </row>
    <row r="21" spans="1:27" x14ac:dyDescent="0.3">
      <c r="A21" s="557" t="s">
        <v>3312</v>
      </c>
      <c r="B21" s="556">
        <v>45207</v>
      </c>
      <c r="C21" s="34" t="str">
        <f t="shared" si="1"/>
        <v>2001</v>
      </c>
      <c r="J21">
        <v>400</v>
      </c>
      <c r="K21">
        <v>32000</v>
      </c>
      <c r="L21">
        <v>0.22</v>
      </c>
      <c r="M21">
        <f>+J21*K21*L21</f>
        <v>2816000</v>
      </c>
      <c r="Q21" s="119"/>
      <c r="R21" s="119"/>
      <c r="S21" s="119"/>
      <c r="T21" s="119"/>
      <c r="U21" s="119"/>
      <c r="V21" s="119">
        <f>31000000-V20</f>
        <v>2961110</v>
      </c>
      <c r="W21" s="119"/>
      <c r="X21" s="119"/>
      <c r="Y21" s="119"/>
      <c r="Z21" s="119"/>
      <c r="AA21" s="119"/>
    </row>
    <row r="22" spans="1:27" x14ac:dyDescent="0.3">
      <c r="A22" s="557" t="s">
        <v>3313</v>
      </c>
      <c r="B22" s="119">
        <v>58485</v>
      </c>
      <c r="C22" s="34" t="str">
        <f t="shared" si="1"/>
        <v>5001</v>
      </c>
      <c r="J22">
        <v>284</v>
      </c>
      <c r="K22">
        <v>32000</v>
      </c>
      <c r="L22">
        <v>0.22</v>
      </c>
      <c r="M22">
        <f t="shared" ref="M22:M24" si="2">+J22*K22*L22</f>
        <v>1999360</v>
      </c>
      <c r="Q22" s="119"/>
      <c r="R22" s="119"/>
      <c r="S22" s="119"/>
      <c r="T22" s="119"/>
      <c r="U22" s="119"/>
      <c r="V22" s="119">
        <f>+V21+V20</f>
        <v>31000000</v>
      </c>
      <c r="W22" s="119"/>
      <c r="X22" s="119"/>
      <c r="Y22" s="119"/>
      <c r="Z22" s="119"/>
      <c r="AA22" s="119"/>
    </row>
    <row r="23" spans="1:27" x14ac:dyDescent="0.3">
      <c r="A23" s="557" t="s">
        <v>3314</v>
      </c>
      <c r="B23" s="556">
        <v>98667</v>
      </c>
      <c r="C23" s="34" t="str">
        <f t="shared" si="1"/>
        <v>10001</v>
      </c>
      <c r="M23">
        <f t="shared" si="2"/>
        <v>0</v>
      </c>
      <c r="T23" s="119"/>
      <c r="U23" s="119"/>
      <c r="V23" s="119">
        <v>28000000</v>
      </c>
      <c r="W23" s="119"/>
      <c r="X23" s="119"/>
      <c r="Y23" s="119"/>
      <c r="Z23" s="119"/>
      <c r="AA23" s="119"/>
    </row>
    <row r="24" spans="1:27" x14ac:dyDescent="0.3">
      <c r="A24" s="557" t="s">
        <v>3315</v>
      </c>
      <c r="B24" s="119">
        <v>201195</v>
      </c>
      <c r="C24" s="34" t="str">
        <f t="shared" si="1"/>
        <v>20001</v>
      </c>
      <c r="M24">
        <f t="shared" si="2"/>
        <v>0</v>
      </c>
      <c r="T24" s="119"/>
      <c r="U24" s="119"/>
      <c r="V24" s="119"/>
      <c r="W24" s="119"/>
      <c r="X24" s="119"/>
      <c r="Y24" s="119"/>
      <c r="Z24" s="119"/>
      <c r="AA24" s="119"/>
    </row>
    <row r="25" spans="1:27" x14ac:dyDescent="0.3">
      <c r="A25" s="557" t="s">
        <v>3316</v>
      </c>
      <c r="B25" s="556">
        <v>245568</v>
      </c>
      <c r="C25" s="34" t="str">
        <f t="shared" si="1"/>
        <v>50001</v>
      </c>
      <c r="T25" s="119"/>
      <c r="U25" s="119"/>
      <c r="V25" s="119"/>
      <c r="W25" s="119"/>
      <c r="X25" s="119"/>
      <c r="Y25" s="119"/>
      <c r="Z25" s="119"/>
      <c r="AA25" s="119"/>
    </row>
    <row r="26" spans="1:27" x14ac:dyDescent="0.3">
      <c r="A26" s="557" t="s">
        <v>3317</v>
      </c>
      <c r="B26" s="119">
        <v>267759</v>
      </c>
      <c r="C26" s="34" t="str">
        <f t="shared" si="1"/>
        <v>100001</v>
      </c>
      <c r="T26" s="119"/>
      <c r="U26" s="119"/>
      <c r="V26" s="119"/>
      <c r="W26" s="119"/>
      <c r="X26" s="119"/>
      <c r="Y26" s="119"/>
      <c r="Z26" s="119"/>
      <c r="AA26" s="119"/>
    </row>
    <row r="28" spans="1:27" x14ac:dyDescent="0.3">
      <c r="B28" s="34" t="s">
        <v>654</v>
      </c>
    </row>
    <row r="29" spans="1:27" x14ac:dyDescent="0.3">
      <c r="A29" s="557" t="s">
        <v>3318</v>
      </c>
      <c r="B29" s="119">
        <v>16197</v>
      </c>
      <c r="C29" s="34" t="str">
        <f>LEFT(A29,FIND("-",A29)-1)</f>
        <v>1</v>
      </c>
    </row>
    <row r="30" spans="1:27" x14ac:dyDescent="0.3">
      <c r="A30" s="557" t="s">
        <v>3305</v>
      </c>
      <c r="B30" s="119">
        <v>19878</v>
      </c>
      <c r="C30" s="34" t="str">
        <f t="shared" ref="C30:C35" si="3">LEFT(A30,FIND("-",A30)-1)</f>
        <v>251</v>
      </c>
    </row>
    <row r="31" spans="1:27" x14ac:dyDescent="0.3">
      <c r="A31" s="557" t="s">
        <v>3311</v>
      </c>
      <c r="B31" s="119">
        <v>23598</v>
      </c>
      <c r="C31" s="34" t="str">
        <f t="shared" si="3"/>
        <v>501</v>
      </c>
    </row>
    <row r="32" spans="1:27" x14ac:dyDescent="0.3">
      <c r="A32" s="557" t="s">
        <v>3319</v>
      </c>
      <c r="B32" s="119">
        <v>31437</v>
      </c>
      <c r="C32" s="34" t="str">
        <f t="shared" si="3"/>
        <v>2001</v>
      </c>
    </row>
    <row r="33" spans="1:3" x14ac:dyDescent="0.3">
      <c r="A33" s="557" t="s">
        <v>3320</v>
      </c>
      <c r="B33" s="119">
        <v>58965</v>
      </c>
      <c r="C33" s="34" t="str">
        <f t="shared" si="3"/>
        <v>10001</v>
      </c>
    </row>
    <row r="34" spans="1:3" x14ac:dyDescent="0.3">
      <c r="A34" s="557" t="s">
        <v>3321</v>
      </c>
      <c r="B34" s="119">
        <v>96492</v>
      </c>
      <c r="C34" s="34" t="str">
        <f t="shared" si="3"/>
        <v>25001</v>
      </c>
    </row>
    <row r="35" spans="1:3" x14ac:dyDescent="0.3">
      <c r="A35" s="557" t="s">
        <v>3317</v>
      </c>
      <c r="B35" s="119">
        <v>135393</v>
      </c>
      <c r="C35" s="34" t="str">
        <f t="shared" si="3"/>
        <v>100001</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DDC11FA-66D4-4956-8EFF-ECE27F935CD3}">
          <x14:formula1>
            <xm:f>Sayfa1!$P$81:$P$85</xm:f>
          </x14:formula1>
          <xm:sqref>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79771-4F8D-48F3-9A5B-EEB0E55903EF}">
  <sheetPr published="0" codeName="Sayfa23"/>
  <dimension ref="A1:J2"/>
  <sheetViews>
    <sheetView workbookViewId="0">
      <selection activeCell="I18" sqref="I18"/>
    </sheetView>
  </sheetViews>
  <sheetFormatPr defaultRowHeight="14.4" x14ac:dyDescent="0.3"/>
  <cols>
    <col min="1" max="1" width="8" bestFit="1" customWidth="1"/>
    <col min="2" max="2" width="8.109375" bestFit="1" customWidth="1"/>
    <col min="3" max="3" width="18.6640625" bestFit="1" customWidth="1"/>
    <col min="4" max="4" width="15.88671875" bestFit="1" customWidth="1"/>
    <col min="5" max="5" width="14.6640625" bestFit="1" customWidth="1"/>
    <col min="6" max="6" width="13.5546875" bestFit="1" customWidth="1"/>
    <col min="7" max="7" width="10.77734375" bestFit="1" customWidth="1"/>
    <col min="8" max="9" width="11.6640625" bestFit="1" customWidth="1"/>
    <col min="10" max="10" width="80.88671875" bestFit="1" customWidth="1"/>
    <col min="11" max="11" width="18.6640625" bestFit="1" customWidth="1"/>
    <col min="12" max="12" width="8" bestFit="1" customWidth="1"/>
    <col min="13" max="13" width="8.109375" bestFit="1" customWidth="1"/>
    <col min="14" max="14" width="19.33203125" bestFit="1" customWidth="1"/>
    <col min="15" max="15" width="15.88671875" bestFit="1" customWidth="1"/>
    <col min="16" max="16" width="14.6640625" bestFit="1" customWidth="1"/>
    <col min="17" max="17" width="13.5546875" bestFit="1" customWidth="1"/>
    <col min="18" max="18" width="10.6640625" bestFit="1" customWidth="1"/>
    <col min="19" max="20" width="11.6640625" bestFit="1" customWidth="1"/>
    <col min="21" max="21" width="80.88671875" bestFit="1" customWidth="1"/>
  </cols>
  <sheetData>
    <row r="1" spans="1:10" x14ac:dyDescent="0.3">
      <c r="A1" t="s">
        <v>2823</v>
      </c>
      <c r="B1" t="s">
        <v>2824</v>
      </c>
      <c r="C1" t="s">
        <v>2825</v>
      </c>
      <c r="D1" t="s">
        <v>2826</v>
      </c>
      <c r="E1" t="s">
        <v>2827</v>
      </c>
      <c r="F1" t="s">
        <v>2828</v>
      </c>
      <c r="G1" t="s">
        <v>2829</v>
      </c>
      <c r="H1" t="s">
        <v>2830</v>
      </c>
      <c r="I1" t="s">
        <v>2831</v>
      </c>
      <c r="J1" t="s">
        <v>2832</v>
      </c>
    </row>
    <row r="2" spans="1:10" x14ac:dyDescent="0.3">
      <c r="A2" t="s">
        <v>2833</v>
      </c>
      <c r="B2" t="s">
        <v>3386</v>
      </c>
      <c r="C2" t="s">
        <v>3387</v>
      </c>
      <c r="D2" t="s">
        <v>3388</v>
      </c>
      <c r="E2" t="s">
        <v>3389</v>
      </c>
      <c r="F2" t="s">
        <v>844</v>
      </c>
      <c r="H2" t="s">
        <v>1319</v>
      </c>
      <c r="I2" t="s">
        <v>3390</v>
      </c>
      <c r="J2" t="s">
        <v>3391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0C886-BC3D-4F7D-9E44-954A5576BD46}">
  <sheetPr published="0" codeName="Sayfa22"/>
  <dimension ref="A1:L34"/>
  <sheetViews>
    <sheetView tabSelected="1" topLeftCell="A13" workbookViewId="0">
      <selection activeCell="I19" sqref="I19"/>
    </sheetView>
  </sheetViews>
  <sheetFormatPr defaultRowHeight="14.4" x14ac:dyDescent="0.3"/>
  <cols>
    <col min="1" max="1" width="12.88671875" bestFit="1" customWidth="1"/>
    <col min="2" max="2" width="15.5546875" bestFit="1" customWidth="1"/>
    <col min="3" max="3" width="12.109375" bestFit="1" customWidth="1"/>
    <col min="4" max="4" width="14.21875" bestFit="1" customWidth="1"/>
    <col min="5" max="5" width="11.33203125" bestFit="1" customWidth="1"/>
    <col min="6" max="6" width="14.44140625" bestFit="1" customWidth="1"/>
    <col min="7" max="7" width="14.109375" bestFit="1" customWidth="1"/>
    <col min="8" max="8" width="10.88671875" bestFit="1" customWidth="1"/>
    <col min="9" max="9" width="21.88671875" customWidth="1"/>
  </cols>
  <sheetData>
    <row r="1" spans="1:12" x14ac:dyDescent="0.3">
      <c r="A1" t="s">
        <v>3255</v>
      </c>
      <c r="B1" t="s">
        <v>3256</v>
      </c>
      <c r="C1" t="s">
        <v>3257</v>
      </c>
      <c r="D1" t="s">
        <v>3258</v>
      </c>
      <c r="E1" t="s">
        <v>3268</v>
      </c>
    </row>
    <row r="2" spans="1:12" x14ac:dyDescent="0.3">
      <c r="A2" s="34" t="s">
        <v>3345</v>
      </c>
      <c r="B2" s="34" t="s">
        <v>3346</v>
      </c>
      <c r="C2" t="s">
        <v>3347</v>
      </c>
      <c r="D2" t="s">
        <v>3348</v>
      </c>
      <c r="E2" t="s">
        <v>3349</v>
      </c>
    </row>
    <row r="7" spans="1:12" x14ac:dyDescent="0.3">
      <c r="A7">
        <v>2.15</v>
      </c>
      <c r="B7">
        <v>5.4</v>
      </c>
      <c r="C7">
        <f>+B7*A7</f>
        <v>11.61</v>
      </c>
      <c r="G7">
        <v>71</v>
      </c>
    </row>
    <row r="8" spans="1:12" x14ac:dyDescent="0.3">
      <c r="A8">
        <v>4.5999999999999996</v>
      </c>
      <c r="B8">
        <f>4.6+0.8+1.35+1.3</f>
        <v>8.0500000000000007</v>
      </c>
      <c r="C8">
        <f t="shared" ref="C8:C34" si="0">+B8*A8</f>
        <v>37.03</v>
      </c>
      <c r="G8">
        <v>65</v>
      </c>
    </row>
    <row r="9" spans="1:12" x14ac:dyDescent="0.3">
      <c r="A9">
        <v>1.6</v>
      </c>
      <c r="B9">
        <v>8.25</v>
      </c>
      <c r="C9">
        <f t="shared" si="0"/>
        <v>13.200000000000001</v>
      </c>
      <c r="G9">
        <v>6</v>
      </c>
    </row>
    <row r="10" spans="1:12" x14ac:dyDescent="0.3">
      <c r="A10">
        <v>1.1000000000000001</v>
      </c>
      <c r="B10">
        <f>+B9-1.3</f>
        <v>6.95</v>
      </c>
      <c r="C10">
        <f t="shared" si="0"/>
        <v>7.6450000000000005</v>
      </c>
    </row>
    <row r="11" spans="1:12" x14ac:dyDescent="0.3">
      <c r="A11">
        <v>3.4</v>
      </c>
      <c r="B11">
        <v>5.8</v>
      </c>
      <c r="C11">
        <f t="shared" si="0"/>
        <v>19.72</v>
      </c>
      <c r="F11" t="s">
        <v>84</v>
      </c>
      <c r="G11" s="119">
        <v>89</v>
      </c>
    </row>
    <row r="12" spans="1:12" x14ac:dyDescent="0.3">
      <c r="C12">
        <f>SUM(C7:C11)</f>
        <v>89.204999999999998</v>
      </c>
      <c r="F12" t="s">
        <v>17</v>
      </c>
      <c r="G12" s="119">
        <v>63</v>
      </c>
    </row>
    <row r="13" spans="1:12" x14ac:dyDescent="0.3">
      <c r="C13">
        <f t="shared" si="0"/>
        <v>0</v>
      </c>
      <c r="F13" t="s">
        <v>18</v>
      </c>
      <c r="G13" s="119">
        <v>29</v>
      </c>
      <c r="J13">
        <v>75</v>
      </c>
      <c r="K13">
        <v>35</v>
      </c>
      <c r="L13">
        <f>+K13*J13</f>
        <v>2625</v>
      </c>
    </row>
    <row r="14" spans="1:12" x14ac:dyDescent="0.3">
      <c r="A14">
        <v>2.15</v>
      </c>
      <c r="B14">
        <v>3.5</v>
      </c>
      <c r="C14">
        <f t="shared" si="0"/>
        <v>7.5249999999999995</v>
      </c>
      <c r="F14" t="s">
        <v>3274</v>
      </c>
      <c r="G14" s="119">
        <f>+G12+G11</f>
        <v>152</v>
      </c>
    </row>
    <row r="15" spans="1:12" x14ac:dyDescent="0.3">
      <c r="A15">
        <v>6.2</v>
      </c>
      <c r="B15">
        <f>3.5+2.65</f>
        <v>6.15</v>
      </c>
      <c r="C15">
        <f t="shared" si="0"/>
        <v>38.130000000000003</v>
      </c>
    </row>
    <row r="16" spans="1:12" x14ac:dyDescent="0.3">
      <c r="A16">
        <v>2</v>
      </c>
      <c r="B16">
        <f>+B15-1.3</f>
        <v>4.8500000000000005</v>
      </c>
      <c r="C16">
        <f t="shared" si="0"/>
        <v>9.7000000000000011</v>
      </c>
    </row>
    <row r="17" spans="1:8" x14ac:dyDescent="0.3">
      <c r="A17">
        <v>2.6</v>
      </c>
      <c r="B17">
        <v>2.8</v>
      </c>
      <c r="C17">
        <f t="shared" si="0"/>
        <v>7.2799999999999994</v>
      </c>
    </row>
    <row r="18" spans="1:8" x14ac:dyDescent="0.3">
      <c r="C18">
        <f>SUM(C13:C17)</f>
        <v>62.635000000000005</v>
      </c>
      <c r="G18">
        <f>58+58-6</f>
        <v>110</v>
      </c>
    </row>
    <row r="19" spans="1:8" x14ac:dyDescent="0.3">
      <c r="C19">
        <f t="shared" si="0"/>
        <v>0</v>
      </c>
    </row>
    <row r="20" spans="1:8" x14ac:dyDescent="0.3">
      <c r="A20">
        <v>3</v>
      </c>
      <c r="B20">
        <v>3.1</v>
      </c>
      <c r="C20">
        <f t="shared" si="0"/>
        <v>9.3000000000000007</v>
      </c>
    </row>
    <row r="21" spans="1:8" x14ac:dyDescent="0.3">
      <c r="A21">
        <v>3</v>
      </c>
      <c r="B21">
        <v>2.4</v>
      </c>
      <c r="C21">
        <f t="shared" si="0"/>
        <v>7.1999999999999993</v>
      </c>
    </row>
    <row r="22" spans="1:8" x14ac:dyDescent="0.3">
      <c r="A22">
        <v>6.65</v>
      </c>
      <c r="B22">
        <v>1.9</v>
      </c>
      <c r="C22">
        <f t="shared" si="0"/>
        <v>12.635</v>
      </c>
    </row>
    <row r="23" spans="1:8" x14ac:dyDescent="0.3">
      <c r="C23">
        <f>SUM(C19:C22)</f>
        <v>29.134999999999998</v>
      </c>
    </row>
    <row r="24" spans="1:8" x14ac:dyDescent="0.3">
      <c r="C24">
        <f t="shared" si="0"/>
        <v>0</v>
      </c>
      <c r="G24" t="s">
        <v>243</v>
      </c>
      <c r="H24" t="s">
        <v>244</v>
      </c>
    </row>
    <row r="25" spans="1:8" x14ac:dyDescent="0.3">
      <c r="C25">
        <f t="shared" si="0"/>
        <v>0</v>
      </c>
      <c r="F25" t="s">
        <v>3400</v>
      </c>
      <c r="G25" s="119">
        <v>97</v>
      </c>
      <c r="H25" s="119">
        <v>97</v>
      </c>
    </row>
    <row r="26" spans="1:8" x14ac:dyDescent="0.3">
      <c r="A26">
        <f>5.86+3.5+0.6</f>
        <v>9.9599999999999991</v>
      </c>
      <c r="B26">
        <v>9.6</v>
      </c>
      <c r="C26">
        <f t="shared" si="0"/>
        <v>95.615999999999985</v>
      </c>
      <c r="F26" t="s">
        <v>3399</v>
      </c>
      <c r="G26" s="119">
        <v>97</v>
      </c>
      <c r="H26" s="119">
        <v>103</v>
      </c>
    </row>
    <row r="27" spans="1:8" x14ac:dyDescent="0.3">
      <c r="C27">
        <f t="shared" si="0"/>
        <v>0</v>
      </c>
      <c r="F27" t="s">
        <v>3358</v>
      </c>
      <c r="G27" s="119">
        <v>97</v>
      </c>
      <c r="H27" s="119">
        <v>103</v>
      </c>
    </row>
    <row r="28" spans="1:8" x14ac:dyDescent="0.3">
      <c r="C28">
        <f t="shared" si="0"/>
        <v>0</v>
      </c>
      <c r="F28" t="s">
        <v>3401</v>
      </c>
      <c r="G28" s="119">
        <v>0</v>
      </c>
      <c r="H28" s="119">
        <v>103</v>
      </c>
    </row>
    <row r="29" spans="1:8" x14ac:dyDescent="0.3">
      <c r="C29">
        <f t="shared" si="0"/>
        <v>0</v>
      </c>
      <c r="F29" t="s">
        <v>3274</v>
      </c>
      <c r="G29" s="120">
        <f>SUM(G25:G28)</f>
        <v>291</v>
      </c>
      <c r="H29" s="120">
        <f>SUM(H25:H28)</f>
        <v>406</v>
      </c>
    </row>
    <row r="30" spans="1:8" x14ac:dyDescent="0.3">
      <c r="C30">
        <f t="shared" si="0"/>
        <v>0</v>
      </c>
    </row>
    <row r="31" spans="1:8" x14ac:dyDescent="0.3">
      <c r="C31">
        <f t="shared" si="0"/>
        <v>0</v>
      </c>
    </row>
    <row r="32" spans="1:8" x14ac:dyDescent="0.3">
      <c r="C32">
        <f t="shared" si="0"/>
        <v>0</v>
      </c>
    </row>
    <row r="33" spans="3:3" x14ac:dyDescent="0.3">
      <c r="C33">
        <f t="shared" si="0"/>
        <v>0</v>
      </c>
    </row>
    <row r="34" spans="3:3" x14ac:dyDescent="0.3">
      <c r="C34">
        <f t="shared" si="0"/>
        <v>0</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1A470-C3FC-45ED-84CD-5BEEEBD5F669}">
  <sheetPr published="0" codeName="Sayfa5"/>
  <dimension ref="A1:B5"/>
  <sheetViews>
    <sheetView workbookViewId="0">
      <selection activeCell="B13" sqref="B13"/>
    </sheetView>
  </sheetViews>
  <sheetFormatPr defaultRowHeight="14.4" x14ac:dyDescent="0.3"/>
  <cols>
    <col min="1" max="1" width="35.6640625" customWidth="1"/>
    <col min="2" max="2" width="128.44140625" customWidth="1"/>
  </cols>
  <sheetData>
    <row r="1" spans="1:2" x14ac:dyDescent="0.3">
      <c r="A1" s="187" t="s">
        <v>3247</v>
      </c>
      <c r="B1" s="187" t="s">
        <v>3248</v>
      </c>
    </row>
    <row r="2" spans="1:2" x14ac:dyDescent="0.3">
      <c r="A2" s="187" t="s">
        <v>3249</v>
      </c>
      <c r="B2" s="187" t="s">
        <v>3251</v>
      </c>
    </row>
    <row r="3" spans="1:2" x14ac:dyDescent="0.3">
      <c r="A3" t="s">
        <v>3250</v>
      </c>
      <c r="B3" t="s">
        <v>3251</v>
      </c>
    </row>
    <row r="4" spans="1:2" x14ac:dyDescent="0.3">
      <c r="A4" s="187" t="s">
        <v>3252</v>
      </c>
      <c r="B4" s="187" t="s">
        <v>3253</v>
      </c>
    </row>
    <row r="5" spans="1:2" x14ac:dyDescent="0.3">
      <c r="A5" s="187" t="s">
        <v>3284</v>
      </c>
      <c r="B5" s="187" t="s">
        <v>3285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8D7BC-9CCE-4B26-89A0-BDAE5742D48F}">
  <sheetPr published="0" codeName="Sayfa10"/>
  <dimension ref="A1:DT102"/>
  <sheetViews>
    <sheetView topLeftCell="AJ16" zoomScale="85" zoomScaleNormal="85" workbookViewId="0">
      <selection activeCell="AU1" sqref="AU1:AU38"/>
    </sheetView>
  </sheetViews>
  <sheetFormatPr defaultRowHeight="15.6" thickTop="1" thickBottom="1" x14ac:dyDescent="0.35"/>
  <cols>
    <col min="1" max="1" width="8.88671875" style="278"/>
    <col min="5" max="5" width="8.88671875" style="278"/>
    <col min="6" max="6" width="21.33203125" customWidth="1"/>
    <col min="7" max="7" width="12.88671875" style="278" customWidth="1"/>
    <col min="8" max="8" width="13" customWidth="1"/>
    <col min="9" max="9" width="20.44140625" customWidth="1"/>
    <col min="10" max="12" width="13" customWidth="1"/>
    <col min="13" max="13" width="17.5546875" customWidth="1"/>
    <col min="14" max="15" width="13" customWidth="1"/>
    <col min="16" max="16" width="27.6640625" style="278" customWidth="1"/>
    <col min="17" max="20" width="13" customWidth="1"/>
    <col min="21" max="21" width="12.6640625" customWidth="1"/>
    <col min="22" max="23" width="13" customWidth="1"/>
    <col min="24" max="24" width="17.6640625" customWidth="1"/>
    <col min="25" max="25" width="12.88671875" customWidth="1"/>
    <col min="26" max="26" width="17.5546875" customWidth="1"/>
    <col min="27" max="30" width="19.33203125" style="142" customWidth="1"/>
    <col min="31" max="31" width="20.109375" customWidth="1"/>
    <col min="33" max="33" width="16.33203125" customWidth="1"/>
    <col min="34" max="34" width="48.44140625" customWidth="1"/>
    <col min="35" max="35" width="23.44140625" customWidth="1"/>
    <col min="36" max="36" width="14.33203125" style="7" customWidth="1"/>
    <col min="37" max="37" width="12.6640625" style="7" customWidth="1"/>
    <col min="38" max="38" width="12.109375" customWidth="1"/>
    <col min="39" max="39" width="19.6640625" customWidth="1"/>
    <col min="40" max="40" width="17.33203125" customWidth="1"/>
    <col min="41" max="41" width="18.6640625" customWidth="1"/>
    <col min="42" max="42" width="21.109375" customWidth="1"/>
    <col min="43" max="43" width="24.6640625" customWidth="1"/>
    <col min="44" max="44" width="11.33203125" customWidth="1"/>
    <col min="47" max="47" width="38.109375" style="498" customWidth="1"/>
    <col min="48" max="48" width="26" style="34" customWidth="1"/>
    <col min="49" max="49" width="38.109375" style="6" customWidth="1"/>
    <col min="50" max="50" width="19.109375" customWidth="1"/>
    <col min="51" max="51" width="15.6640625" customWidth="1"/>
    <col min="59" max="59" width="18.6640625" customWidth="1"/>
    <col min="61" max="61" width="14.44140625" style="34" customWidth="1"/>
    <col min="64" max="64" width="11.33203125" customWidth="1"/>
    <col min="67" max="72" width="11.6640625" customWidth="1"/>
    <col min="77" max="79" width="11.33203125" style="375" customWidth="1"/>
    <col min="80" max="80" width="14" customWidth="1"/>
    <col min="81" max="82" width="13.33203125" customWidth="1"/>
    <col min="83" max="83" width="15.33203125" customWidth="1"/>
    <col min="85" max="88" width="14.6640625" style="142" customWidth="1"/>
    <col min="92" max="92" width="12.5546875" style="142" customWidth="1"/>
    <col min="93" max="93" width="19.44140625" style="142" customWidth="1"/>
    <col min="94" max="94" width="19.33203125" style="142" customWidth="1"/>
    <col min="95" max="95" width="5.44140625" style="142" customWidth="1"/>
    <col min="96" max="96" width="15.88671875" customWidth="1"/>
    <col min="97" max="97" width="6.44140625" customWidth="1"/>
    <col min="102" max="102" width="10.88671875" style="6" customWidth="1"/>
    <col min="103" max="103" width="30.109375" style="7" customWidth="1"/>
    <col min="105" max="105" width="15.44140625" customWidth="1"/>
    <col min="109" max="121" width="14.109375" style="7" customWidth="1"/>
    <col min="122" max="122" width="14.109375" customWidth="1"/>
    <col min="124" max="124" width="14.5546875" customWidth="1"/>
  </cols>
  <sheetData>
    <row r="1" spans="1:124" ht="27.6" customHeight="1" thickTop="1" thickBot="1" x14ac:dyDescent="0.35">
      <c r="A1" s="489" t="s">
        <v>3075</v>
      </c>
      <c r="C1" s="489" t="s">
        <v>437</v>
      </c>
      <c r="E1" s="420" t="s">
        <v>14</v>
      </c>
      <c r="F1" s="499" t="str">
        <f>+VLOOKUP(BLOKADEDİ,VERİDOĞRULAMA!E2:F40,2,0)</f>
        <v>inşa edilmiş apartman içinde yer almaktadır.</v>
      </c>
      <c r="G1" s="500" t="s">
        <v>330</v>
      </c>
      <c r="H1" s="457" t="s">
        <v>7</v>
      </c>
      <c r="I1" s="457" t="s">
        <v>6</v>
      </c>
      <c r="J1" s="457" t="s">
        <v>9</v>
      </c>
      <c r="K1" s="457" t="s">
        <v>623</v>
      </c>
      <c r="L1" s="457" t="s">
        <v>628</v>
      </c>
      <c r="M1" s="457" t="s">
        <v>650</v>
      </c>
      <c r="N1" s="457" t="s">
        <v>632</v>
      </c>
      <c r="P1" s="509" t="s">
        <v>285</v>
      </c>
      <c r="Q1" s="508" t="s">
        <v>68</v>
      </c>
      <c r="R1" s="131" t="s">
        <v>20</v>
      </c>
      <c r="S1" s="921" t="s">
        <v>15</v>
      </c>
      <c r="T1" s="921"/>
      <c r="U1" s="132" t="s">
        <v>728</v>
      </c>
      <c r="V1" s="924" t="s">
        <v>735</v>
      </c>
      <c r="W1" s="925"/>
      <c r="X1" s="925" t="s">
        <v>742</v>
      </c>
      <c r="Y1" s="925"/>
      <c r="Z1" s="118" t="s">
        <v>495</v>
      </c>
      <c r="AA1" s="920" t="s">
        <v>766</v>
      </c>
      <c r="AB1" s="920"/>
      <c r="AC1" s="920"/>
      <c r="AD1" s="920"/>
      <c r="AF1" s="930" t="s">
        <v>172</v>
      </c>
      <c r="AG1" s="930"/>
      <c r="AH1" s="930"/>
      <c r="AI1" s="29" t="s">
        <v>515</v>
      </c>
      <c r="AJ1" s="367" t="s">
        <v>66</v>
      </c>
      <c r="AK1" s="367" t="s">
        <v>835</v>
      </c>
      <c r="AM1" s="207" t="s">
        <v>836</v>
      </c>
      <c r="AN1" s="208">
        <v>46056</v>
      </c>
      <c r="AO1" s="208">
        <f ca="1">+TODAY()</f>
        <v>46192</v>
      </c>
      <c r="AP1" s="172" t="s">
        <v>1298</v>
      </c>
      <c r="AQ1" s="95" t="s">
        <v>66</v>
      </c>
      <c r="AR1" s="489" t="s">
        <v>1353</v>
      </c>
      <c r="AU1" s="420" t="s">
        <v>1480</v>
      </c>
      <c r="AV1" s="372" t="s">
        <v>1481</v>
      </c>
      <c r="AW1" s="496" t="str">
        <f>+VLOOKUP(B.B.KULLANIMDURUMU,VERİDOĞRULAMA!AV2:AW6,2)</f>
        <v>Ekspertize konu taşınmaz mal sahibi tarafından kullanılmaktadır.</v>
      </c>
      <c r="AX1" s="471" t="s">
        <v>1489</v>
      </c>
      <c r="AZ1" s="457" t="s">
        <v>7</v>
      </c>
      <c r="BA1" s="457" t="s">
        <v>6</v>
      </c>
      <c r="BB1" s="457" t="s">
        <v>9</v>
      </c>
      <c r="BC1" s="457" t="s">
        <v>36</v>
      </c>
      <c r="BD1" s="457" t="s">
        <v>8</v>
      </c>
      <c r="BE1" s="457" t="s">
        <v>54</v>
      </c>
      <c r="BF1" s="482" t="s">
        <v>3043</v>
      </c>
      <c r="BG1" s="482" t="str">
        <f>+VLOOKUP(TEST!N17,VERİDOĞRULAMA!BF2:BG9,2,0)</f>
        <v>30 - 40 yıllık yapılardan</v>
      </c>
      <c r="BI1" s="485" t="s">
        <v>3060</v>
      </c>
      <c r="BJ1" s="486" t="s">
        <v>3064</v>
      </c>
      <c r="BL1" s="489" t="s">
        <v>28</v>
      </c>
      <c r="BO1" s="926" t="s">
        <v>101</v>
      </c>
      <c r="BP1" s="926"/>
      <c r="BQ1" s="926"/>
      <c r="BR1" s="926"/>
      <c r="BS1" s="926"/>
      <c r="BT1" s="926"/>
      <c r="BV1" s="929" t="s">
        <v>3074</v>
      </c>
      <c r="BW1" s="929"/>
      <c r="BY1" s="457" t="s">
        <v>201</v>
      </c>
      <c r="BZ1" s="457" t="s">
        <v>202</v>
      </c>
      <c r="CA1" s="457" t="s">
        <v>220</v>
      </c>
      <c r="CB1" s="457" t="s">
        <v>228</v>
      </c>
      <c r="CC1" s="457" t="s">
        <v>231</v>
      </c>
      <c r="CD1" s="457" t="s">
        <v>237</v>
      </c>
      <c r="CE1" s="457" t="s">
        <v>439</v>
      </c>
      <c r="CG1" s="936" t="s">
        <v>3076</v>
      </c>
      <c r="CH1" s="936"/>
      <c r="CI1" s="936"/>
      <c r="CJ1" s="501" t="s">
        <v>501</v>
      </c>
      <c r="CL1" s="457" t="s">
        <v>3077</v>
      </c>
      <c r="CN1" s="936" t="s">
        <v>3078</v>
      </c>
      <c r="CO1" s="936"/>
      <c r="CP1" s="487" t="str">
        <f>+VLOOKUP(MANZARA,CN2:CO6,2,0)</f>
        <v/>
      </c>
      <c r="CR1" s="365" t="s">
        <v>586</v>
      </c>
      <c r="CT1" s="506" t="s">
        <v>574</v>
      </c>
      <c r="CU1" s="506" t="s">
        <v>577</v>
      </c>
      <c r="CV1" s="506" t="s">
        <v>2</v>
      </c>
      <c r="CX1" s="926" t="s">
        <v>3082</v>
      </c>
      <c r="CY1" s="926"/>
      <c r="DA1" s="420" t="s">
        <v>331</v>
      </c>
      <c r="DE1" s="931" t="s">
        <v>3093</v>
      </c>
      <c r="DF1" s="932"/>
      <c r="DG1" s="932"/>
      <c r="DH1" s="932"/>
      <c r="DI1" s="932"/>
      <c r="DJ1" s="932"/>
      <c r="DK1" s="932"/>
      <c r="DL1" s="932"/>
      <c r="DM1" s="932"/>
      <c r="DN1" s="932"/>
      <c r="DO1" s="932"/>
      <c r="DP1" s="932"/>
      <c r="DQ1" s="933"/>
      <c r="DR1" s="516" t="s">
        <v>3094</v>
      </c>
      <c r="DT1" s="457" t="s">
        <v>714</v>
      </c>
    </row>
    <row r="2" spans="1:124" ht="27.6" customHeight="1" thickTop="1" thickBot="1" x14ac:dyDescent="0.35">
      <c r="A2" s="471" t="s">
        <v>179</v>
      </c>
      <c r="C2" s="471" t="s">
        <v>831</v>
      </c>
      <c r="E2" s="471" t="s">
        <v>65</v>
      </c>
      <c r="F2" s="419" t="s">
        <v>352</v>
      </c>
      <c r="G2" s="419" t="s">
        <v>34</v>
      </c>
      <c r="H2" s="364" t="s">
        <v>37</v>
      </c>
      <c r="I2" s="364" t="s">
        <v>41</v>
      </c>
      <c r="J2" s="364" t="s">
        <v>44</v>
      </c>
      <c r="K2" s="364" t="s">
        <v>624</v>
      </c>
      <c r="L2" s="364" t="s">
        <v>629</v>
      </c>
      <c r="M2" s="373" t="s">
        <v>340</v>
      </c>
      <c r="N2" s="364" t="s">
        <v>633</v>
      </c>
      <c r="P2" s="419" t="s">
        <v>2796</v>
      </c>
      <c r="Q2" s="491" t="s">
        <v>67</v>
      </c>
      <c r="R2" s="2" t="s">
        <v>704</v>
      </c>
      <c r="S2" s="2" t="s">
        <v>475</v>
      </c>
      <c r="T2" s="2" t="str">
        <f>TEST!ILCE&amp;" Belediyesi"</f>
        <v>Nilüfer Belediyesi</v>
      </c>
      <c r="U2" s="2" t="s">
        <v>729</v>
      </c>
      <c r="V2" s="133" t="s">
        <v>738</v>
      </c>
      <c r="W2" s="133" t="str">
        <f>+Cevir(V2)</f>
        <v xml:space="preserve">  Blok Tüm Bağımsız Bölümler için  </v>
      </c>
      <c r="X2" s="133" t="s">
        <v>510</v>
      </c>
      <c r="Y2" s="133" t="s">
        <v>748</v>
      </c>
      <c r="Z2" s="18" t="s">
        <v>494</v>
      </c>
      <c r="AA2" s="143" t="s">
        <v>517</v>
      </c>
      <c r="AB2" s="144" t="s">
        <v>528</v>
      </c>
      <c r="AC2" s="143" t="s">
        <v>532</v>
      </c>
      <c r="AD2" s="143" t="s">
        <v>533</v>
      </c>
      <c r="AE2" s="17" t="str">
        <f>+VLOOKUP(TEST!F53,AD3:AE8,2,0)</f>
        <v>camlı demir doğramadır.</v>
      </c>
      <c r="AF2" s="173" t="s">
        <v>786</v>
      </c>
      <c r="AG2" s="174" t="s">
        <v>787</v>
      </c>
      <c r="AH2" s="173" t="s">
        <v>788</v>
      </c>
      <c r="AI2" s="29" t="s">
        <v>824</v>
      </c>
      <c r="AJ2" s="366">
        <v>0</v>
      </c>
      <c r="AK2" s="458">
        <v>0</v>
      </c>
      <c r="AP2" s="215">
        <v>0</v>
      </c>
      <c r="AQ2" s="6" t="s">
        <v>576</v>
      </c>
      <c r="AR2" s="419" t="s">
        <v>448</v>
      </c>
      <c r="AU2" s="471" t="s">
        <v>1443</v>
      </c>
      <c r="AV2" s="471" t="s">
        <v>1492</v>
      </c>
      <c r="AW2" s="497" t="s">
        <v>1494</v>
      </c>
      <c r="AX2" s="471" t="s">
        <v>1490</v>
      </c>
      <c r="AZ2" s="456" t="s">
        <v>37</v>
      </c>
      <c r="BA2" s="364" t="s">
        <v>41</v>
      </c>
      <c r="BB2" s="364" t="s">
        <v>44</v>
      </c>
      <c r="BC2" s="364" t="s">
        <v>49</v>
      </c>
      <c r="BD2" s="364" t="s">
        <v>52</v>
      </c>
      <c r="BE2" s="364" t="s">
        <v>55</v>
      </c>
      <c r="BF2" s="364" t="s">
        <v>3044</v>
      </c>
      <c r="BG2" s="364" t="s">
        <v>3059</v>
      </c>
      <c r="BI2" s="25" t="s">
        <v>3335</v>
      </c>
      <c r="BJ2" s="18" t="s">
        <v>3065</v>
      </c>
      <c r="BL2" s="490" t="s">
        <v>252</v>
      </c>
      <c r="BO2" s="927" cm="1">
        <f t="array" ref="BO2">KAT_SAYI(TEST!F75:F79)</f>
        <v>1</v>
      </c>
      <c r="BP2" s="927"/>
      <c r="BQ2" s="927"/>
      <c r="BR2" s="927"/>
      <c r="BS2" s="927"/>
      <c r="BT2" s="927"/>
      <c r="BV2" s="928" t="str">
        <f>+VLOOKUP(TEST!G39,BV3:BW25,2,0)</f>
        <v xml:space="preserve">2 kat, </v>
      </c>
      <c r="BW2" s="928"/>
      <c r="BY2" s="364" t="s">
        <v>203</v>
      </c>
      <c r="BZ2" s="364" t="s">
        <v>211</v>
      </c>
      <c r="CA2" s="364" t="s">
        <v>267</v>
      </c>
      <c r="CB2" s="364"/>
      <c r="CC2" s="364" t="s">
        <v>232</v>
      </c>
      <c r="CD2" s="364" t="s">
        <v>3042</v>
      </c>
      <c r="CE2" s="364" t="s">
        <v>440</v>
      </c>
      <c r="CG2" s="364" t="s">
        <v>467</v>
      </c>
      <c r="CH2" s="935" t="s">
        <v>502</v>
      </c>
      <c r="CI2" s="935"/>
      <c r="CJ2" s="502">
        <v>1.5</v>
      </c>
      <c r="CL2" s="502">
        <v>1</v>
      </c>
      <c r="CN2" s="364" t="s">
        <v>356</v>
      </c>
      <c r="CO2" s="504" t="str">
        <f>+""</f>
        <v/>
      </c>
      <c r="CP2" s="504" t="str">
        <f>+""</f>
        <v/>
      </c>
      <c r="CQ2" s="145" t="str">
        <f>+""</f>
        <v/>
      </c>
      <c r="CR2" s="365" t="s">
        <v>1317</v>
      </c>
      <c r="CT2" s="419" t="s">
        <v>103</v>
      </c>
      <c r="CU2" s="419" t="s">
        <v>578</v>
      </c>
      <c r="CV2" s="419" t="s">
        <v>572</v>
      </c>
      <c r="CX2" s="489" t="s">
        <v>3083</v>
      </c>
      <c r="CY2" s="429" t="str">
        <f>+VLOOKUP(BLOKADEDİ,VERİDOĞRULAMA!CX3:CY35,2,0)</f>
        <v>toplam =toplam_bb adet</v>
      </c>
      <c r="DA2" s="419" t="s">
        <v>294</v>
      </c>
      <c r="DE2" s="471" t="s">
        <v>362</v>
      </c>
      <c r="DF2" s="471" t="s">
        <v>678</v>
      </c>
      <c r="DG2" s="471" t="s">
        <v>3099</v>
      </c>
      <c r="DH2" s="471" t="s">
        <v>3095</v>
      </c>
      <c r="DI2" s="471" t="s">
        <v>3096</v>
      </c>
      <c r="DJ2" s="471" t="s">
        <v>3097</v>
      </c>
      <c r="DK2" s="471" t="s">
        <v>3104</v>
      </c>
      <c r="DL2" s="471" t="s">
        <v>3229</v>
      </c>
      <c r="DM2" s="471" t="s">
        <v>3233</v>
      </c>
      <c r="DN2" s="471" t="s">
        <v>3234</v>
      </c>
      <c r="DO2" s="471" t="s">
        <v>3236</v>
      </c>
      <c r="DP2" s="471"/>
      <c r="DQ2" s="471"/>
      <c r="DR2" s="515" t="s">
        <v>435</v>
      </c>
      <c r="DT2" s="471" t="s">
        <v>3289</v>
      </c>
    </row>
    <row r="3" spans="1:124" ht="27.6" customHeight="1" thickTop="1" thickBot="1" x14ac:dyDescent="0.35">
      <c r="A3" s="471" t="s">
        <v>180</v>
      </c>
      <c r="C3" s="471" t="s">
        <v>832</v>
      </c>
      <c r="E3" s="471">
        <v>2</v>
      </c>
      <c r="F3" s="419" t="str">
        <f>+E3&amp;" bloklu site içerisinde "&amp;TEST!G$12&amp;" blokta konumludur."</f>
        <v>2 bloklu site içerisinde  blokta konumludur.</v>
      </c>
      <c r="G3" s="419" t="s">
        <v>306</v>
      </c>
      <c r="H3" s="364" t="s">
        <v>38</v>
      </c>
      <c r="I3" s="364" t="s">
        <v>42</v>
      </c>
      <c r="J3" s="364" t="s">
        <v>45</v>
      </c>
      <c r="K3" s="364" t="s">
        <v>46</v>
      </c>
      <c r="L3" s="364" t="s">
        <v>630</v>
      </c>
      <c r="M3" s="373" t="s">
        <v>651</v>
      </c>
      <c r="N3" s="364" t="s">
        <v>619</v>
      </c>
      <c r="P3" s="419" t="s">
        <v>2797</v>
      </c>
      <c r="Q3" s="491" t="s">
        <v>69</v>
      </c>
      <c r="R3" s="19" t="s">
        <v>705</v>
      </c>
      <c r="S3" s="2" t="s">
        <v>621</v>
      </c>
      <c r="T3" s="2" t="s">
        <v>621</v>
      </c>
      <c r="U3" s="2" t="s">
        <v>730</v>
      </c>
      <c r="V3" s="133" t="s">
        <v>736</v>
      </c>
      <c r="W3" s="133" t="s">
        <v>736</v>
      </c>
      <c r="X3" s="133" t="s">
        <v>743</v>
      </c>
      <c r="Y3" s="133" t="s">
        <v>751</v>
      </c>
      <c r="Z3" s="18" t="s">
        <v>493</v>
      </c>
      <c r="AA3" s="5" t="s">
        <v>511</v>
      </c>
      <c r="AB3" s="2" t="s">
        <v>512</v>
      </c>
      <c r="AC3" s="5" t="s">
        <v>511</v>
      </c>
      <c r="AD3" s="5" t="s">
        <v>513</v>
      </c>
      <c r="AE3" s="25" t="s">
        <v>538</v>
      </c>
      <c r="AF3" s="15" t="s">
        <v>160</v>
      </c>
      <c r="AG3" s="175">
        <v>2600</v>
      </c>
      <c r="AH3" s="26" t="s">
        <v>789</v>
      </c>
      <c r="AI3" s="29" t="s">
        <v>825</v>
      </c>
      <c r="AJ3" s="366">
        <v>1</v>
      </c>
      <c r="AK3" s="458">
        <v>0</v>
      </c>
      <c r="AP3" s="215">
        <v>0.05</v>
      </c>
      <c r="AQ3" s="216" t="s">
        <v>1299</v>
      </c>
      <c r="AR3" s="419" t="s">
        <v>477</v>
      </c>
      <c r="AU3" s="471" t="s">
        <v>1444</v>
      </c>
      <c r="AV3" s="495" t="s">
        <v>1493</v>
      </c>
      <c r="AW3" s="497" t="s">
        <v>1495</v>
      </c>
      <c r="AX3" s="471" t="s">
        <v>1491</v>
      </c>
      <c r="AZ3" s="364" t="s">
        <v>38</v>
      </c>
      <c r="BA3" s="364" t="s">
        <v>42</v>
      </c>
      <c r="BB3" s="364" t="s">
        <v>45</v>
      </c>
      <c r="BC3" s="364" t="s">
        <v>51</v>
      </c>
      <c r="BD3" s="364" t="s">
        <v>46</v>
      </c>
      <c r="BE3" s="364" t="s">
        <v>56</v>
      </c>
      <c r="BF3" s="483" t="s">
        <v>3047</v>
      </c>
      <c r="BG3" s="483" t="s">
        <v>3049</v>
      </c>
      <c r="BI3" s="25" t="s">
        <v>3336</v>
      </c>
      <c r="BJ3" s="18" t="s">
        <v>3066</v>
      </c>
      <c r="BL3" s="490" t="s">
        <v>148</v>
      </c>
      <c r="BO3" s="471" t="s">
        <v>76</v>
      </c>
      <c r="BP3" s="471" t="s">
        <v>435</v>
      </c>
      <c r="BQ3" s="471" t="s">
        <v>362</v>
      </c>
      <c r="BR3" s="471" t="s">
        <v>361</v>
      </c>
      <c r="BS3" s="471" t="s">
        <v>362</v>
      </c>
      <c r="BT3" s="471">
        <f>YOLKOTUÜSTÜKATADEDİ-0.001</f>
        <v>2.9990000000000001</v>
      </c>
      <c r="BV3" s="366" t="s">
        <v>819</v>
      </c>
      <c r="BW3" s="367" t="str">
        <f>+"Kat adedi "&amp;BV3&amp;", "</f>
        <v xml:space="preserve">Kat adedi Serbest, </v>
      </c>
      <c r="BY3" s="364" t="s">
        <v>204</v>
      </c>
      <c r="BZ3" s="364" t="s">
        <v>212</v>
      </c>
      <c r="CA3" s="364" t="s">
        <v>222</v>
      </c>
      <c r="CB3" s="364" t="s">
        <v>224</v>
      </c>
      <c r="CC3" s="364" t="s">
        <v>807</v>
      </c>
      <c r="CD3" s="364" t="s">
        <v>238</v>
      </c>
      <c r="CE3" s="364" t="s">
        <v>441</v>
      </c>
      <c r="CG3" s="364" t="s">
        <v>466</v>
      </c>
      <c r="CH3" s="935" t="s">
        <v>504</v>
      </c>
      <c r="CI3" s="935"/>
      <c r="CJ3" s="502">
        <v>1.25</v>
      </c>
      <c r="CL3" s="502">
        <v>0.99</v>
      </c>
      <c r="CN3" s="364" t="s">
        <v>454</v>
      </c>
      <c r="CO3" s="505" t="s">
        <v>458</v>
      </c>
      <c r="CP3" s="364" t="s">
        <v>471</v>
      </c>
      <c r="CQ3" s="145"/>
      <c r="CR3" s="366" t="s">
        <v>587</v>
      </c>
      <c r="CT3" s="419" t="s">
        <v>592</v>
      </c>
      <c r="CU3" s="419" t="s">
        <v>579</v>
      </c>
      <c r="CV3" s="419" t="s">
        <v>567</v>
      </c>
      <c r="CX3" s="419" t="s">
        <v>65</v>
      </c>
      <c r="CY3" s="419" t="s">
        <v>499</v>
      </c>
      <c r="DA3" s="419" t="s">
        <v>296</v>
      </c>
      <c r="DE3" s="471" t="s">
        <v>350</v>
      </c>
      <c r="DF3" s="471" t="s">
        <v>3098</v>
      </c>
      <c r="DG3" s="471" t="s">
        <v>3100</v>
      </c>
      <c r="DH3" s="471"/>
      <c r="DI3" s="471"/>
      <c r="DJ3" s="471" t="s">
        <v>3105</v>
      </c>
      <c r="DK3" s="471" t="s">
        <v>3106</v>
      </c>
      <c r="DL3" s="471" t="s">
        <v>3230</v>
      </c>
      <c r="DM3" s="471"/>
      <c r="DN3" s="471"/>
      <c r="DO3" s="471"/>
      <c r="DP3" s="471"/>
      <c r="DQ3" s="471"/>
      <c r="DR3" s="515" t="s">
        <v>436</v>
      </c>
      <c r="DT3" s="471" t="s">
        <v>475</v>
      </c>
    </row>
    <row r="4" spans="1:124" ht="27.6" customHeight="1" thickTop="1" thickBot="1" x14ac:dyDescent="0.35">
      <c r="A4" s="471" t="s">
        <v>181</v>
      </c>
      <c r="C4" s="471" t="s">
        <v>833</v>
      </c>
      <c r="E4" s="471">
        <v>3</v>
      </c>
      <c r="F4" s="419" t="str">
        <f>+E4&amp;" bloklu site içerisinde "&amp;TEST!G$12&amp;" blokta konumludur."</f>
        <v>3 bloklu site içerisinde  blokta konumludur.</v>
      </c>
      <c r="G4" s="471" t="s">
        <v>308</v>
      </c>
      <c r="H4" s="364" t="s">
        <v>39</v>
      </c>
      <c r="I4" s="364" t="s">
        <v>43</v>
      </c>
      <c r="J4" s="364" t="s">
        <v>46</v>
      </c>
      <c r="K4" s="364" t="s">
        <v>625</v>
      </c>
      <c r="L4" s="364" t="s">
        <v>631</v>
      </c>
      <c r="M4" s="373" t="s">
        <v>341</v>
      </c>
      <c r="N4" s="364" t="s">
        <v>634</v>
      </c>
      <c r="P4" s="419" t="s">
        <v>2798</v>
      </c>
      <c r="Q4" s="491" t="s">
        <v>70</v>
      </c>
      <c r="R4" s="2" t="s">
        <v>706</v>
      </c>
      <c r="S4" s="2" t="str">
        <f>+S3&amp;" ve "&amp;S2</f>
        <v>Webtapu Portalı ve Belediye</v>
      </c>
      <c r="T4" s="2" t="str">
        <f>+T3&amp;" ve "&amp;T2</f>
        <v>Webtapu Portalı ve Nilüfer Belediyesi</v>
      </c>
      <c r="U4" s="2" t="s">
        <v>731</v>
      </c>
      <c r="V4" s="133" t="s">
        <v>737</v>
      </c>
      <c r="W4" s="133" t="s">
        <v>737</v>
      </c>
      <c r="X4" s="133" t="s">
        <v>744</v>
      </c>
      <c r="Y4" s="133" t="s">
        <v>752</v>
      </c>
      <c r="Z4" s="18" t="s">
        <v>761</v>
      </c>
      <c r="AA4" s="2" t="s">
        <v>519</v>
      </c>
      <c r="AB4" s="2" t="s">
        <v>518</v>
      </c>
      <c r="AC4" s="5" t="s">
        <v>768</v>
      </c>
      <c r="AD4" s="5" t="s">
        <v>534</v>
      </c>
      <c r="AE4" s="25" t="s">
        <v>539</v>
      </c>
      <c r="AF4" s="15" t="s">
        <v>161</v>
      </c>
      <c r="AG4" s="175">
        <v>3900</v>
      </c>
      <c r="AH4" s="26" t="s">
        <v>790</v>
      </c>
      <c r="AI4" s="29" t="s">
        <v>826</v>
      </c>
      <c r="AJ4" s="366">
        <v>2</v>
      </c>
      <c r="AK4" s="458">
        <v>0</v>
      </c>
      <c r="AP4" s="215">
        <v>0.1</v>
      </c>
      <c r="AQ4" s="216" t="s">
        <v>1300</v>
      </c>
      <c r="AR4" s="419" t="s">
        <v>1354</v>
      </c>
      <c r="AU4" s="471" t="s">
        <v>1445</v>
      </c>
      <c r="AV4" s="471" t="s">
        <v>1482</v>
      </c>
      <c r="AW4" s="497" t="s">
        <v>1485</v>
      </c>
      <c r="AZ4" s="364" t="s">
        <v>39</v>
      </c>
      <c r="BA4" s="364" t="s">
        <v>43</v>
      </c>
      <c r="BB4" s="364" t="s">
        <v>46</v>
      </c>
      <c r="BC4" s="364" t="s">
        <v>50</v>
      </c>
      <c r="BD4" s="364" t="s">
        <v>53</v>
      </c>
      <c r="BE4" s="364" t="s">
        <v>57</v>
      </c>
      <c r="BF4" s="484" t="s">
        <v>3048</v>
      </c>
      <c r="BG4" s="484" t="s">
        <v>3050</v>
      </c>
      <c r="BI4" s="25" t="s">
        <v>3337</v>
      </c>
      <c r="BJ4" s="18" t="s">
        <v>3067</v>
      </c>
      <c r="BL4" s="490" t="s">
        <v>239</v>
      </c>
      <c r="BO4" s="471" t="s">
        <v>77</v>
      </c>
      <c r="BP4" s="471" t="s">
        <v>436</v>
      </c>
      <c r="BQ4" s="471" t="s">
        <v>350</v>
      </c>
      <c r="BR4" s="471" t="s">
        <v>153</v>
      </c>
      <c r="BS4" s="471" t="s">
        <v>350</v>
      </c>
      <c r="BT4" s="471">
        <f>+YOLKOTUÜSTÜKATADEDİ</f>
        <v>3</v>
      </c>
      <c r="BV4" s="366">
        <v>1</v>
      </c>
      <c r="BW4" s="366" t="str">
        <f t="shared" ref="BW4:BW25" si="0">+BV4&amp;" kat, "</f>
        <v xml:space="preserve">1 kat, </v>
      </c>
      <c r="BY4" s="364" t="s">
        <v>205</v>
      </c>
      <c r="BZ4" s="364" t="s">
        <v>213</v>
      </c>
      <c r="CA4" s="364" t="s">
        <v>230</v>
      </c>
      <c r="CB4" s="364" t="s">
        <v>229</v>
      </c>
      <c r="CC4" s="364" t="s">
        <v>808</v>
      </c>
      <c r="CD4" s="364" t="s">
        <v>207</v>
      </c>
      <c r="CE4" s="364" t="s">
        <v>442</v>
      </c>
      <c r="CG4" s="364" t="s">
        <v>46</v>
      </c>
      <c r="CH4" s="935" t="s">
        <v>503</v>
      </c>
      <c r="CI4" s="935"/>
      <c r="CJ4" s="502">
        <v>1</v>
      </c>
      <c r="CL4" s="502">
        <v>0.98</v>
      </c>
      <c r="CN4" s="364" t="s">
        <v>455</v>
      </c>
      <c r="CO4" s="505" t="s">
        <v>459</v>
      </c>
      <c r="CP4" s="364" t="s">
        <v>472</v>
      </c>
      <c r="CQ4" s="145"/>
      <c r="CR4" s="366" t="s">
        <v>590</v>
      </c>
      <c r="CT4" s="419" t="s">
        <v>593</v>
      </c>
      <c r="CU4" s="419" t="s">
        <v>580</v>
      </c>
      <c r="CV4" s="419" t="s">
        <v>568</v>
      </c>
      <c r="CX4" s="419">
        <v>2</v>
      </c>
      <c r="CY4" s="419" t="s">
        <v>500</v>
      </c>
      <c r="DA4" s="419" t="s">
        <v>297</v>
      </c>
      <c r="DE4" s="471" t="s">
        <v>3107</v>
      </c>
      <c r="DF4" s="471" t="s">
        <v>3111</v>
      </c>
      <c r="DG4" s="471" t="s">
        <v>3112</v>
      </c>
      <c r="DH4" s="471" t="s">
        <v>86</v>
      </c>
      <c r="DI4" s="471" t="s">
        <v>3113</v>
      </c>
      <c r="DJ4" s="471" t="s">
        <v>3114</v>
      </c>
      <c r="DK4" s="471"/>
      <c r="DL4" s="471"/>
      <c r="DM4" s="471"/>
      <c r="DN4" s="471"/>
      <c r="DO4" s="471"/>
      <c r="DP4" s="471"/>
      <c r="DQ4" s="471"/>
      <c r="DR4" s="515" t="s">
        <v>403</v>
      </c>
      <c r="DT4" s="471" t="s">
        <v>3286</v>
      </c>
    </row>
    <row r="5" spans="1:124" ht="27.6" customHeight="1" thickTop="1" thickBot="1" x14ac:dyDescent="0.35">
      <c r="A5" s="471" t="s">
        <v>182</v>
      </c>
      <c r="C5" s="471" t="s">
        <v>834</v>
      </c>
      <c r="E5" s="471">
        <v>4</v>
      </c>
      <c r="F5" s="419" t="str">
        <f>+E5&amp;" bloklu site içerisinde "&amp;TEST!G$12&amp;" blokta konumludur."</f>
        <v>4 bloklu site içerisinde  blokta konumludur.</v>
      </c>
      <c r="G5" s="419" t="s">
        <v>309</v>
      </c>
      <c r="H5" s="364" t="s">
        <v>40</v>
      </c>
      <c r="I5" s="364" t="s">
        <v>173</v>
      </c>
      <c r="J5" s="364" t="s">
        <v>47</v>
      </c>
      <c r="M5" s="373" t="s">
        <v>342</v>
      </c>
      <c r="N5" s="364" t="s">
        <v>635</v>
      </c>
      <c r="P5" s="419" t="s">
        <v>1511</v>
      </c>
      <c r="Q5" s="491" t="s">
        <v>680</v>
      </c>
      <c r="R5" s="2" t="s">
        <v>707</v>
      </c>
      <c r="S5" s="3" t="s">
        <v>332</v>
      </c>
      <c r="T5" s="3" t="s">
        <v>332</v>
      </c>
      <c r="U5" s="133" t="s">
        <v>3269</v>
      </c>
      <c r="X5" s="133" t="s">
        <v>745</v>
      </c>
      <c r="Y5" s="133" t="s">
        <v>753</v>
      </c>
      <c r="AA5" s="2" t="s">
        <v>521</v>
      </c>
      <c r="AB5" s="2" t="s">
        <v>767</v>
      </c>
      <c r="AC5" s="5" t="s">
        <v>518</v>
      </c>
      <c r="AD5" s="5" t="s">
        <v>535</v>
      </c>
      <c r="AE5" s="25" t="s">
        <v>540</v>
      </c>
      <c r="AF5" s="15" t="s">
        <v>827</v>
      </c>
      <c r="AG5" s="175">
        <v>4200</v>
      </c>
      <c r="AH5" s="26" t="s">
        <v>791</v>
      </c>
      <c r="AI5" s="28" t="s">
        <v>1340</v>
      </c>
      <c r="AJ5" s="366">
        <v>3</v>
      </c>
      <c r="AK5" s="458">
        <v>0</v>
      </c>
      <c r="AP5" s="215">
        <v>0.15</v>
      </c>
      <c r="AQ5" s="216" t="s">
        <v>1301</v>
      </c>
      <c r="AU5" s="471" t="s">
        <v>1475</v>
      </c>
      <c r="AV5" s="471" t="s">
        <v>1483</v>
      </c>
      <c r="AW5" s="497" t="s">
        <v>1486</v>
      </c>
      <c r="AZ5" s="364" t="s">
        <v>40</v>
      </c>
      <c r="BA5" s="364" t="s">
        <v>173</v>
      </c>
      <c r="BB5" s="364" t="s">
        <v>47</v>
      </c>
      <c r="BC5" s="364" t="s">
        <v>113</v>
      </c>
      <c r="BF5" s="364" t="s">
        <v>3045</v>
      </c>
      <c r="BG5" s="484" t="s">
        <v>3051</v>
      </c>
      <c r="BI5" s="25" t="s">
        <v>3338</v>
      </c>
      <c r="BJ5" s="18" t="s">
        <v>3068</v>
      </c>
      <c r="BL5" s="490" t="s">
        <v>240</v>
      </c>
      <c r="BO5" s="471" t="s">
        <v>114</v>
      </c>
      <c r="BP5" s="471" t="s">
        <v>400</v>
      </c>
      <c r="BQ5" s="471" t="s">
        <v>366</v>
      </c>
      <c r="BR5" s="471" t="s">
        <v>366</v>
      </c>
      <c r="BS5" s="471" t="s">
        <v>366</v>
      </c>
      <c r="BT5" s="471">
        <v>-7</v>
      </c>
      <c r="BV5" s="366">
        <v>2</v>
      </c>
      <c r="BW5" s="366" t="str">
        <f t="shared" si="0"/>
        <v xml:space="preserve">2 kat, </v>
      </c>
      <c r="BY5" s="364" t="s">
        <v>206</v>
      </c>
      <c r="BZ5" s="364" t="s">
        <v>218</v>
      </c>
      <c r="CA5" s="364" t="s">
        <v>223</v>
      </c>
      <c r="CB5" s="364" t="s">
        <v>230</v>
      </c>
      <c r="CC5" s="364" t="s">
        <v>235</v>
      </c>
      <c r="CD5" s="364" t="s">
        <v>809</v>
      </c>
      <c r="CE5" s="364" t="s">
        <v>443</v>
      </c>
      <c r="CG5" s="364" t="s">
        <v>468</v>
      </c>
      <c r="CH5" s="935" t="s">
        <v>1342</v>
      </c>
      <c r="CI5" s="935"/>
      <c r="CJ5" s="502">
        <v>0.7</v>
      </c>
      <c r="CL5" s="502">
        <v>0.97</v>
      </c>
      <c r="CN5" s="364" t="s">
        <v>456</v>
      </c>
      <c r="CO5" s="505" t="s">
        <v>464</v>
      </c>
      <c r="CP5" s="364" t="s">
        <v>473</v>
      </c>
      <c r="CQ5" s="145"/>
      <c r="CR5" s="366" t="s">
        <v>588</v>
      </c>
      <c r="CT5" s="419" t="s">
        <v>105</v>
      </c>
      <c r="CU5" s="419" t="s">
        <v>581</v>
      </c>
      <c r="CV5" s="419" t="s">
        <v>569</v>
      </c>
      <c r="CX5" s="419">
        <v>3</v>
      </c>
      <c r="CY5" s="419" t="s">
        <v>500</v>
      </c>
      <c r="DA5" s="419" t="s">
        <v>298</v>
      </c>
      <c r="DE5" s="471" t="s">
        <v>3108</v>
      </c>
      <c r="DF5" s="471" t="s">
        <v>3115</v>
      </c>
      <c r="DG5" s="471" t="s">
        <v>3116</v>
      </c>
      <c r="DH5" s="471" t="s">
        <v>87</v>
      </c>
      <c r="DI5" s="471" t="s">
        <v>3117</v>
      </c>
      <c r="DJ5" s="471" t="s">
        <v>3118</v>
      </c>
      <c r="DK5" s="471"/>
      <c r="DL5" s="471"/>
      <c r="DM5" s="471"/>
      <c r="DN5" s="471"/>
      <c r="DO5" s="471"/>
      <c r="DP5" s="471"/>
      <c r="DQ5" s="471"/>
      <c r="DR5" s="515" t="s">
        <v>404</v>
      </c>
      <c r="DT5" s="471" t="s">
        <v>3287</v>
      </c>
    </row>
    <row r="6" spans="1:124" ht="27.6" customHeight="1" thickTop="1" thickBot="1" x14ac:dyDescent="0.35">
      <c r="A6" s="471" t="s">
        <v>183</v>
      </c>
      <c r="E6" s="471">
        <v>5</v>
      </c>
      <c r="F6" s="419" t="str">
        <f>+E6&amp;" bloklu site içerisinde "&amp;TEST!G$12&amp;" blokta konumludur."</f>
        <v>5 bloklu site içerisinde  blokta konumludur.</v>
      </c>
      <c r="G6" s="419" t="s">
        <v>310</v>
      </c>
      <c r="H6" s="364" t="s">
        <v>58</v>
      </c>
      <c r="I6" s="364" t="s">
        <v>174</v>
      </c>
      <c r="J6" s="364" t="s">
        <v>48</v>
      </c>
      <c r="M6" s="373" t="s">
        <v>343</v>
      </c>
      <c r="N6" s="364" t="s">
        <v>636</v>
      </c>
      <c r="P6" s="419" t="s">
        <v>2799</v>
      </c>
      <c r="Q6" s="491" t="s">
        <v>617</v>
      </c>
      <c r="S6" s="922" t="str">
        <f>+VLOOKUP(PROJEİNCELENENKURUM,VERİDOĞRULAMA!S2:T5,2,1)</f>
        <v>Nilüfer Belediyesi</v>
      </c>
      <c r="T6" s="923"/>
      <c r="U6" s="133" t="s">
        <v>3270</v>
      </c>
      <c r="X6" s="133" t="s">
        <v>746</v>
      </c>
      <c r="Y6" s="133" t="s">
        <v>754</v>
      </c>
      <c r="AA6" s="5" t="s">
        <v>518</v>
      </c>
      <c r="AB6" s="2" t="s">
        <v>529</v>
      </c>
      <c r="AC6" s="5" t="s">
        <v>531</v>
      </c>
      <c r="AD6" s="5" t="s">
        <v>536</v>
      </c>
      <c r="AE6" s="25" t="s">
        <v>541</v>
      </c>
      <c r="AF6" s="15" t="s">
        <v>828</v>
      </c>
      <c r="AG6" s="175">
        <v>4800</v>
      </c>
      <c r="AH6" s="26" t="s">
        <v>792</v>
      </c>
      <c r="AI6" s="28" t="s">
        <v>1341</v>
      </c>
      <c r="AJ6" s="366">
        <v>4</v>
      </c>
      <c r="AK6" s="459">
        <v>0.06</v>
      </c>
      <c r="AP6" s="215">
        <v>0.2</v>
      </c>
      <c r="AQ6" s="216" t="s">
        <v>1302</v>
      </c>
      <c r="AU6" s="471" t="s">
        <v>1474</v>
      </c>
      <c r="AV6" s="471" t="s">
        <v>1484</v>
      </c>
      <c r="AW6" s="497" t="s">
        <v>1487</v>
      </c>
      <c r="AZ6" s="364" t="s">
        <v>58</v>
      </c>
      <c r="BA6" s="364" t="s">
        <v>174</v>
      </c>
      <c r="BB6" s="364" t="s">
        <v>48</v>
      </c>
      <c r="BF6" s="364" t="s">
        <v>3046</v>
      </c>
      <c r="BG6" s="484" t="s">
        <v>3052</v>
      </c>
      <c r="BI6" s="25" t="s">
        <v>3339</v>
      </c>
      <c r="BJ6" s="18" t="s">
        <v>3069</v>
      </c>
      <c r="BL6" s="490" t="s">
        <v>241</v>
      </c>
      <c r="BO6" s="471" t="s">
        <v>115</v>
      </c>
      <c r="BP6" s="471" t="s">
        <v>401</v>
      </c>
      <c r="BQ6" s="471" t="s">
        <v>367</v>
      </c>
      <c r="BR6" s="471" t="s">
        <v>367</v>
      </c>
      <c r="BS6" s="471" t="s">
        <v>367</v>
      </c>
      <c r="BT6" s="471">
        <v>-6</v>
      </c>
      <c r="BV6" s="366">
        <v>3</v>
      </c>
      <c r="BW6" s="366" t="str">
        <f t="shared" si="0"/>
        <v xml:space="preserve">3 kat, </v>
      </c>
      <c r="BY6" s="364" t="s">
        <v>207</v>
      </c>
      <c r="BZ6" s="364" t="s">
        <v>206</v>
      </c>
      <c r="CA6" s="364" t="s">
        <v>221</v>
      </c>
      <c r="CB6" s="364" t="s">
        <v>225</v>
      </c>
      <c r="CC6" s="364" t="s">
        <v>233</v>
      </c>
      <c r="CD6" s="364" t="s">
        <v>810</v>
      </c>
      <c r="CE6" s="364" t="s">
        <v>154</v>
      </c>
      <c r="CG6" s="364" t="s">
        <v>469</v>
      </c>
      <c r="CH6" s="935" t="s">
        <v>1343</v>
      </c>
      <c r="CI6" s="935"/>
      <c r="CJ6" s="502">
        <v>0.5</v>
      </c>
      <c r="CL6" s="502">
        <v>0.96</v>
      </c>
      <c r="CN6" s="364" t="s">
        <v>457</v>
      </c>
      <c r="CO6" s="505" t="s">
        <v>460</v>
      </c>
      <c r="CP6" s="364" t="s">
        <v>474</v>
      </c>
      <c r="CQ6" s="145"/>
      <c r="CR6" s="366" t="s">
        <v>589</v>
      </c>
      <c r="CT6" s="419" t="s">
        <v>594</v>
      </c>
      <c r="CU6" s="419" t="s">
        <v>582</v>
      </c>
      <c r="CV6" s="419" t="s">
        <v>570</v>
      </c>
      <c r="CX6" s="419">
        <v>4</v>
      </c>
      <c r="CY6" s="419" t="s">
        <v>500</v>
      </c>
      <c r="DA6" s="419" t="s">
        <v>299</v>
      </c>
      <c r="DE6" s="471" t="s">
        <v>3109</v>
      </c>
      <c r="DF6" s="471" t="s">
        <v>3121</v>
      </c>
      <c r="DG6" s="471" t="s">
        <v>3120</v>
      </c>
      <c r="DH6" s="471" t="s">
        <v>88</v>
      </c>
      <c r="DI6" s="471" t="s">
        <v>1390</v>
      </c>
      <c r="DJ6" s="471" t="s">
        <v>3119</v>
      </c>
      <c r="DK6" s="471"/>
      <c r="DL6" s="471"/>
      <c r="DM6" s="471"/>
      <c r="DN6" s="471"/>
      <c r="DO6" s="471"/>
      <c r="DP6" s="471"/>
      <c r="DQ6" s="471"/>
      <c r="DR6" s="515" t="s">
        <v>405</v>
      </c>
      <c r="DT6" s="471" t="s">
        <v>3288</v>
      </c>
    </row>
    <row r="7" spans="1:124" ht="27.6" customHeight="1" thickTop="1" thickBot="1" x14ac:dyDescent="0.35">
      <c r="A7" s="471" t="s">
        <v>184</v>
      </c>
      <c r="E7" s="471">
        <v>6</v>
      </c>
      <c r="F7" s="419" t="str">
        <f>+E7&amp;" bloklu site içerisinde "&amp;TEST!G$12&amp;" blokta konumludur."</f>
        <v>6 bloklu site içerisinde  blokta konumludur.</v>
      </c>
      <c r="G7" s="471" t="s">
        <v>307</v>
      </c>
      <c r="H7" s="364" t="s">
        <v>612</v>
      </c>
      <c r="I7" s="471" t="s">
        <v>351</v>
      </c>
      <c r="M7" s="373" t="s">
        <v>323</v>
      </c>
      <c r="N7" s="364" t="s">
        <v>637</v>
      </c>
      <c r="P7" s="419" t="s">
        <v>2800</v>
      </c>
      <c r="Q7" s="491" t="s">
        <v>681</v>
      </c>
      <c r="X7" s="133" t="s">
        <v>747</v>
      </c>
      <c r="Y7" s="133" t="s">
        <v>755</v>
      </c>
      <c r="AA7" s="5" t="s">
        <v>526</v>
      </c>
      <c r="AB7" s="2" t="s">
        <v>530</v>
      </c>
      <c r="AC7" s="5" t="s">
        <v>215</v>
      </c>
      <c r="AD7" s="5" t="s">
        <v>537</v>
      </c>
      <c r="AE7" s="25" t="s">
        <v>542</v>
      </c>
      <c r="AF7" s="15" t="s">
        <v>162</v>
      </c>
      <c r="AG7" s="175">
        <v>8100</v>
      </c>
      <c r="AH7" s="26" t="s">
        <v>793</v>
      </c>
      <c r="AJ7" s="366">
        <v>5</v>
      </c>
      <c r="AK7" s="459">
        <v>0.06</v>
      </c>
      <c r="AP7" s="215">
        <v>0.25</v>
      </c>
      <c r="AQ7" s="216" t="s">
        <v>1303</v>
      </c>
      <c r="AU7" s="471" t="s">
        <v>1446</v>
      </c>
      <c r="AZ7" s="364" t="s">
        <v>612</v>
      </c>
      <c r="BA7" s="419" t="s">
        <v>351</v>
      </c>
      <c r="BF7" s="364" t="s">
        <v>3053</v>
      </c>
      <c r="BG7" s="484" t="s">
        <v>3056</v>
      </c>
      <c r="BI7" s="25" t="s">
        <v>3340</v>
      </c>
      <c r="BL7" s="490" t="s">
        <v>242</v>
      </c>
      <c r="BO7" s="471" t="s">
        <v>116</v>
      </c>
      <c r="BP7" s="471" t="s">
        <v>402</v>
      </c>
      <c r="BQ7" s="471" t="s">
        <v>368</v>
      </c>
      <c r="BR7" s="471" t="s">
        <v>368</v>
      </c>
      <c r="BS7" s="471" t="s">
        <v>368</v>
      </c>
      <c r="BT7" s="471">
        <v>-5</v>
      </c>
      <c r="BV7" s="366">
        <v>4</v>
      </c>
      <c r="BW7" s="366" t="str">
        <f t="shared" si="0"/>
        <v xml:space="preserve">4 kat, </v>
      </c>
      <c r="BY7" s="364" t="s">
        <v>214</v>
      </c>
      <c r="BZ7" s="364" t="s">
        <v>205</v>
      </c>
      <c r="CA7" s="364" t="s">
        <v>226</v>
      </c>
      <c r="CB7" s="364" t="s">
        <v>339</v>
      </c>
      <c r="CC7" s="364" t="s">
        <v>234</v>
      </c>
      <c r="CD7" s="364" t="s">
        <v>236</v>
      </c>
      <c r="CE7" s="364" t="s">
        <v>444</v>
      </c>
      <c r="CG7" s="934" t="str">
        <f>+IF(TEST!N72=1,VLOOKUP(TEST!T82,VERİDOĞRULAMA!CG2:CI6,2,0),"")</f>
        <v>Taşınmaz bakımlı olup tadilat ihtiyacı bulunmamaktadır.  İç hacimlerde kullanılan malzeme ve işçilik kalitesi orta seviyededir.</v>
      </c>
      <c r="CH7" s="934"/>
      <c r="CI7" s="934"/>
      <c r="CJ7" s="503">
        <f>+VLOOKUP(TEST!T82,VERİDOĞRULAMA!CG2:CJ6,4,0)</f>
        <v>1</v>
      </c>
      <c r="CL7" s="502">
        <v>0.95</v>
      </c>
      <c r="CN7" s="501" t="s">
        <v>3079</v>
      </c>
      <c r="CO7" s="934" t="str">
        <f>+VLOOKUP(MANZARA,CN2:CP6,3,0)</f>
        <v/>
      </c>
      <c r="CP7" s="934"/>
      <c r="CT7" s="419" t="s">
        <v>595</v>
      </c>
      <c r="CU7" s="419" t="s">
        <v>583</v>
      </c>
      <c r="CV7" s="419" t="s">
        <v>573</v>
      </c>
      <c r="CX7" s="419">
        <v>5</v>
      </c>
      <c r="CY7" s="419" t="s">
        <v>500</v>
      </c>
      <c r="DA7" s="419" t="s">
        <v>300</v>
      </c>
      <c r="DE7" s="471" t="s">
        <v>3110</v>
      </c>
      <c r="DF7" s="471" t="s">
        <v>3231</v>
      </c>
      <c r="DG7" s="471" t="s">
        <v>3232</v>
      </c>
      <c r="DH7" s="471" t="s">
        <v>3122</v>
      </c>
      <c r="DI7" s="471" t="s">
        <v>1384</v>
      </c>
      <c r="DJ7" s="471" t="s">
        <v>3123</v>
      </c>
      <c r="DK7" s="471" t="s">
        <v>3124</v>
      </c>
      <c r="DL7" s="471" t="s">
        <v>3128</v>
      </c>
      <c r="DM7" s="471"/>
      <c r="DN7" s="471"/>
      <c r="DO7" s="471"/>
      <c r="DP7" s="471"/>
      <c r="DQ7" s="471"/>
      <c r="DR7" s="515" t="s">
        <v>406</v>
      </c>
      <c r="DT7" s="471" t="s">
        <v>3290</v>
      </c>
    </row>
    <row r="8" spans="1:124" ht="27.6" customHeight="1" thickTop="1" thickBot="1" x14ac:dyDescent="0.35">
      <c r="A8" s="471" t="s">
        <v>185</v>
      </c>
      <c r="E8" s="471">
        <v>7</v>
      </c>
      <c r="F8" s="419" t="str">
        <f>+E8&amp;" bloklu site içerisinde "&amp;TEST!G$12&amp;" blokta konumludur."</f>
        <v>7 bloklu site içerisinde  blokta konumludur.</v>
      </c>
      <c r="G8" s="471" t="s">
        <v>311</v>
      </c>
      <c r="N8" s="364" t="s">
        <v>638</v>
      </c>
      <c r="P8" s="419" t="s">
        <v>2801</v>
      </c>
      <c r="Q8" s="491" t="s">
        <v>682</v>
      </c>
      <c r="AA8" s="2" t="s">
        <v>520</v>
      </c>
      <c r="AB8" s="116"/>
      <c r="AC8" s="5" t="s">
        <v>216</v>
      </c>
      <c r="AD8" s="2" t="s">
        <v>509</v>
      </c>
      <c r="AE8" s="25" t="s">
        <v>509</v>
      </c>
      <c r="AF8" s="15" t="s">
        <v>163</v>
      </c>
      <c r="AG8" s="175">
        <v>12500</v>
      </c>
      <c r="AH8" s="26" t="s">
        <v>794</v>
      </c>
      <c r="AJ8" s="366">
        <v>6</v>
      </c>
      <c r="AK8" s="459">
        <v>0.1</v>
      </c>
      <c r="AP8" s="215">
        <v>0.3</v>
      </c>
      <c r="AQ8" s="216" t="s">
        <v>1304</v>
      </c>
      <c r="AU8" s="471" t="s">
        <v>1447</v>
      </c>
      <c r="BF8" s="456" t="s">
        <v>3054</v>
      </c>
      <c r="BG8" s="484" t="s">
        <v>3057</v>
      </c>
      <c r="BI8" s="25" t="s">
        <v>3061</v>
      </c>
      <c r="BL8" s="490" t="s">
        <v>3072</v>
      </c>
      <c r="BO8" s="471" t="s">
        <v>117</v>
      </c>
      <c r="BP8" s="471" t="s">
        <v>403</v>
      </c>
      <c r="BQ8" s="471" t="s">
        <v>369</v>
      </c>
      <c r="BR8" s="471" t="s">
        <v>369</v>
      </c>
      <c r="BS8" s="471" t="s">
        <v>369</v>
      </c>
      <c r="BT8" s="471">
        <v>-4</v>
      </c>
      <c r="BV8" s="366">
        <v>5</v>
      </c>
      <c r="BW8" s="366" t="str">
        <f t="shared" si="0"/>
        <v xml:space="preserve">5 kat, </v>
      </c>
      <c r="BY8" s="364" t="s">
        <v>208</v>
      </c>
      <c r="BZ8" s="364" t="s">
        <v>207</v>
      </c>
      <c r="CA8" s="364" t="s">
        <v>227</v>
      </c>
      <c r="CB8" s="364"/>
      <c r="CC8" s="364" t="s">
        <v>236</v>
      </c>
      <c r="CE8" s="488" t="s">
        <v>445</v>
      </c>
      <c r="CL8" s="502">
        <v>0.94</v>
      </c>
      <c r="CT8" s="419" t="s">
        <v>575</v>
      </c>
      <c r="CU8" s="419" t="s">
        <v>584</v>
      </c>
      <c r="CV8" s="419" t="s">
        <v>571</v>
      </c>
      <c r="CX8" s="419">
        <v>6</v>
      </c>
      <c r="CY8" s="419" t="s">
        <v>500</v>
      </c>
      <c r="DA8" s="419" t="s">
        <v>301</v>
      </c>
      <c r="DE8" s="471" t="s">
        <v>363</v>
      </c>
      <c r="DF8" s="471" t="s">
        <v>661</v>
      </c>
      <c r="DG8" s="471" t="s">
        <v>3101</v>
      </c>
      <c r="DH8" s="471" t="s">
        <v>90</v>
      </c>
      <c r="DI8" s="471" t="s">
        <v>3127</v>
      </c>
      <c r="DJ8" s="471"/>
      <c r="DK8" s="471"/>
      <c r="DL8" s="471"/>
      <c r="DM8" s="471"/>
      <c r="DN8" s="471"/>
      <c r="DO8" s="471"/>
      <c r="DP8" s="471"/>
      <c r="DQ8" s="471"/>
      <c r="DR8" s="515" t="s">
        <v>432</v>
      </c>
    </row>
    <row r="9" spans="1:124" ht="27.6" customHeight="1" thickTop="1" thickBot="1" x14ac:dyDescent="0.35">
      <c r="A9" s="471" t="s">
        <v>186</v>
      </c>
      <c r="E9" s="471">
        <v>8</v>
      </c>
      <c r="F9" s="419" t="str">
        <f>+E9&amp;" bloklu site içerisinde "&amp;TEST!G$12&amp;" blokta konumludur."</f>
        <v>8 bloklu site içerisinde  blokta konumludur.</v>
      </c>
      <c r="G9" s="471" t="s">
        <v>312</v>
      </c>
      <c r="N9" s="364" t="s">
        <v>639</v>
      </c>
      <c r="P9" s="419" t="s">
        <v>2802</v>
      </c>
      <c r="Q9" s="491" t="s">
        <v>683</v>
      </c>
      <c r="Z9" s="20"/>
      <c r="AA9" s="2" t="s">
        <v>522</v>
      </c>
      <c r="AB9" s="116"/>
      <c r="AC9" s="145"/>
      <c r="AD9" s="5"/>
      <c r="AF9" s="15" t="s">
        <v>164</v>
      </c>
      <c r="AG9" s="175">
        <v>15100</v>
      </c>
      <c r="AH9" s="26" t="s">
        <v>795</v>
      </c>
      <c r="AJ9" s="366">
        <v>7</v>
      </c>
      <c r="AK9" s="459">
        <v>0.1</v>
      </c>
      <c r="AP9" s="215">
        <v>0.35</v>
      </c>
      <c r="AQ9" s="216" t="s">
        <v>1305</v>
      </c>
      <c r="AU9" s="471" t="s">
        <v>1448</v>
      </c>
      <c r="BF9" s="456" t="s">
        <v>3055</v>
      </c>
      <c r="BG9" s="484" t="s">
        <v>3058</v>
      </c>
      <c r="BI9" s="25" t="s">
        <v>3062</v>
      </c>
      <c r="BL9" s="490" t="s">
        <v>293</v>
      </c>
      <c r="BO9" s="471" t="s">
        <v>118</v>
      </c>
      <c r="BP9" s="471" t="s">
        <v>404</v>
      </c>
      <c r="BQ9" s="471" t="s">
        <v>370</v>
      </c>
      <c r="BR9" s="471" t="s">
        <v>370</v>
      </c>
      <c r="BS9" s="471" t="s">
        <v>370</v>
      </c>
      <c r="BT9" s="471">
        <v>-3</v>
      </c>
      <c r="BV9" s="366">
        <v>6</v>
      </c>
      <c r="BW9" s="366" t="str">
        <f t="shared" si="0"/>
        <v xml:space="preserve">6 kat, </v>
      </c>
      <c r="BY9" s="364" t="s">
        <v>209</v>
      </c>
      <c r="BZ9" s="364" t="s">
        <v>214</v>
      </c>
      <c r="CA9" s="364" t="s">
        <v>225</v>
      </c>
      <c r="CE9" s="364" t="s">
        <v>446</v>
      </c>
      <c r="CL9" s="502">
        <v>0.93</v>
      </c>
      <c r="CT9" s="419" t="s">
        <v>596</v>
      </c>
      <c r="CU9" s="492"/>
      <c r="CV9" s="419" t="s">
        <v>493</v>
      </c>
      <c r="CX9" s="419">
        <v>7</v>
      </c>
      <c r="CY9" s="419" t="s">
        <v>500</v>
      </c>
      <c r="DA9" s="419" t="s">
        <v>302</v>
      </c>
      <c r="DE9" s="471" t="s">
        <v>364</v>
      </c>
      <c r="DF9" s="471" t="s">
        <v>662</v>
      </c>
      <c r="DG9" s="471" t="s">
        <v>3102</v>
      </c>
      <c r="DH9" s="471" t="s">
        <v>3125</v>
      </c>
      <c r="DI9" s="471" t="s">
        <v>3126</v>
      </c>
      <c r="DJ9" s="471"/>
      <c r="DK9" s="471"/>
      <c r="DL9" s="471"/>
      <c r="DM9" s="471"/>
      <c r="DN9" s="471"/>
      <c r="DO9" s="471"/>
      <c r="DP9" s="471"/>
      <c r="DQ9" s="471"/>
      <c r="DR9" s="515" t="s">
        <v>433</v>
      </c>
    </row>
    <row r="10" spans="1:124" ht="27.6" customHeight="1" thickTop="1" thickBot="1" x14ac:dyDescent="0.35">
      <c r="A10" s="471" t="s">
        <v>187</v>
      </c>
      <c r="E10" s="471">
        <v>9</v>
      </c>
      <c r="F10" s="419" t="str">
        <f>+E10&amp;" bloklu site içerisinde "&amp;TEST!G$12&amp;" blokta konumludur."</f>
        <v>9 bloklu site içerisinde  blokta konumludur.</v>
      </c>
      <c r="G10" s="471" t="s">
        <v>313</v>
      </c>
      <c r="N10" s="364" t="s">
        <v>46</v>
      </c>
      <c r="P10" s="419" t="s">
        <v>286</v>
      </c>
      <c r="Q10" s="491" t="s">
        <v>684</v>
      </c>
      <c r="Z10" s="7"/>
      <c r="AA10" s="5" t="s">
        <v>523</v>
      </c>
      <c r="AB10" s="116"/>
      <c r="AC10" s="145"/>
      <c r="AD10" s="5"/>
      <c r="AF10" s="15" t="s">
        <v>60</v>
      </c>
      <c r="AG10" s="175">
        <v>19800</v>
      </c>
      <c r="AH10" s="26" t="s">
        <v>796</v>
      </c>
      <c r="AJ10" s="366">
        <v>8</v>
      </c>
      <c r="AK10" s="459">
        <v>0.1</v>
      </c>
      <c r="AP10" s="215">
        <v>0.4</v>
      </c>
      <c r="AQ10" s="216" t="s">
        <v>1306</v>
      </c>
      <c r="AU10" s="471" t="s">
        <v>1449</v>
      </c>
      <c r="BI10" s="25" t="s">
        <v>3063</v>
      </c>
      <c r="BL10" s="490" t="s">
        <v>253</v>
      </c>
      <c r="BO10" s="471" t="s">
        <v>119</v>
      </c>
      <c r="BP10" s="471" t="s">
        <v>405</v>
      </c>
      <c r="BQ10" s="471" t="s">
        <v>371</v>
      </c>
      <c r="BR10" s="471" t="s">
        <v>371</v>
      </c>
      <c r="BS10" s="471" t="s">
        <v>371</v>
      </c>
      <c r="BT10" s="471">
        <v>-2</v>
      </c>
      <c r="BV10" s="366">
        <v>7</v>
      </c>
      <c r="BW10" s="366" t="str">
        <f t="shared" si="0"/>
        <v xml:space="preserve">7 kat, </v>
      </c>
      <c r="BY10" s="364" t="s">
        <v>217</v>
      </c>
      <c r="BZ10" s="364" t="s">
        <v>215</v>
      </c>
      <c r="CA10" s="364" t="s">
        <v>224</v>
      </c>
      <c r="CL10" s="502">
        <v>0.92</v>
      </c>
      <c r="CT10" s="419" t="s">
        <v>597</v>
      </c>
      <c r="CU10" s="492"/>
      <c r="CV10" s="492"/>
      <c r="CX10" s="419">
        <v>8</v>
      </c>
      <c r="CY10" s="419" t="s">
        <v>500</v>
      </c>
      <c r="DA10" s="419" t="s">
        <v>303</v>
      </c>
      <c r="DE10" s="471" t="s">
        <v>365</v>
      </c>
      <c r="DF10" s="471" t="s">
        <v>643</v>
      </c>
      <c r="DG10" s="471" t="s">
        <v>3103</v>
      </c>
      <c r="DH10" s="471"/>
      <c r="DI10" s="471" t="s">
        <v>3129</v>
      </c>
      <c r="DJ10" s="471"/>
      <c r="DK10" s="471"/>
      <c r="DL10" s="471"/>
      <c r="DM10" s="471"/>
      <c r="DN10" s="471"/>
      <c r="DO10" s="471"/>
      <c r="DP10" s="471"/>
      <c r="DQ10" s="471"/>
      <c r="DR10" s="515" t="s">
        <v>434</v>
      </c>
    </row>
    <row r="11" spans="1:124" ht="27.6" customHeight="1" thickTop="1" thickBot="1" x14ac:dyDescent="0.35">
      <c r="A11" s="471" t="s">
        <v>188</v>
      </c>
      <c r="E11" s="471">
        <v>10</v>
      </c>
      <c r="F11" s="419" t="str">
        <f>+E11&amp;" bloklu site içerisinde "&amp;TEST!G$12&amp;" blokta konumludur."</f>
        <v>10 bloklu site içerisinde  blokta konumludur.</v>
      </c>
      <c r="G11" s="419" t="s">
        <v>314</v>
      </c>
      <c r="P11" s="419" t="s">
        <v>287</v>
      </c>
      <c r="Q11" s="491" t="s">
        <v>685</v>
      </c>
      <c r="AA11" s="5" t="s">
        <v>524</v>
      </c>
      <c r="AB11" s="116"/>
      <c r="AC11" s="145"/>
      <c r="AD11" s="145"/>
      <c r="AF11" s="15" t="s">
        <v>61</v>
      </c>
      <c r="AG11" s="175">
        <v>21050</v>
      </c>
      <c r="AH11" s="26" t="s">
        <v>797</v>
      </c>
      <c r="AJ11" s="366">
        <v>9</v>
      </c>
      <c r="AK11" s="459">
        <v>0.1</v>
      </c>
      <c r="AP11" s="215">
        <v>0.45</v>
      </c>
      <c r="AQ11" s="216" t="s">
        <v>1307</v>
      </c>
      <c r="AU11" s="471" t="s">
        <v>1450</v>
      </c>
      <c r="BL11" s="490" t="s">
        <v>254</v>
      </c>
      <c r="BO11" s="471" t="s">
        <v>120</v>
      </c>
      <c r="BP11" s="471" t="s">
        <v>406</v>
      </c>
      <c r="BQ11" s="471" t="s">
        <v>372</v>
      </c>
      <c r="BR11" s="471" t="s">
        <v>372</v>
      </c>
      <c r="BS11" s="471" t="s">
        <v>372</v>
      </c>
      <c r="BT11" s="471">
        <v>-1</v>
      </c>
      <c r="BV11" s="366">
        <v>8</v>
      </c>
      <c r="BW11" s="366" t="str">
        <f t="shared" si="0"/>
        <v xml:space="preserve">8 kat, </v>
      </c>
      <c r="BY11" s="364" t="s">
        <v>210</v>
      </c>
      <c r="BZ11" s="364" t="s">
        <v>216</v>
      </c>
      <c r="CA11" s="364" t="s">
        <v>339</v>
      </c>
      <c r="CL11" s="502">
        <v>0.91</v>
      </c>
      <c r="CT11" s="419" t="s">
        <v>598</v>
      </c>
      <c r="CU11" s="492"/>
      <c r="CV11" s="492"/>
      <c r="CX11" s="419">
        <v>9</v>
      </c>
      <c r="CY11" s="419" t="s">
        <v>500</v>
      </c>
      <c r="DA11" s="419" t="s">
        <v>304</v>
      </c>
      <c r="DE11" s="471">
        <v>1</v>
      </c>
      <c r="DF11" s="471" t="s">
        <v>169</v>
      </c>
      <c r="DG11" s="471" t="s">
        <v>3130</v>
      </c>
      <c r="DH11" s="471" t="s">
        <v>3131</v>
      </c>
      <c r="DI11" s="471" t="s">
        <v>3132</v>
      </c>
      <c r="DJ11" s="471" t="str">
        <f>+DG11&amp;" Kat"</f>
        <v>1. Normal Kat</v>
      </c>
      <c r="DK11" s="471" t="s">
        <v>3133</v>
      </c>
      <c r="DL11" s="471" t="str">
        <f>+DI11&amp;" Kat"</f>
        <v>Birinci Kat</v>
      </c>
      <c r="DM11" s="471" t="str">
        <f>+DG11&amp;"kat"</f>
        <v>1. Normalkat</v>
      </c>
      <c r="DN11" s="471" t="str">
        <f>+DF11&amp;"Kat"</f>
        <v>1.Kat</v>
      </c>
      <c r="DO11" s="471" t="str">
        <f>+DF11&amp;"Normal"</f>
        <v>1.Normal</v>
      </c>
      <c r="DP11" s="471" t="str">
        <f>+DO11&amp;" Kat"</f>
        <v>1.Normal Kat</v>
      </c>
      <c r="DQ11" s="471" t="str">
        <f>+DI11&amp;"kat"</f>
        <v>Birincikat</v>
      </c>
      <c r="DR11" s="515" t="s">
        <v>407</v>
      </c>
    </row>
    <row r="12" spans="1:124" ht="27.6" customHeight="1" thickTop="1" thickBot="1" x14ac:dyDescent="0.35">
      <c r="A12" s="471" t="s">
        <v>189</v>
      </c>
      <c r="E12" s="471">
        <v>11</v>
      </c>
      <c r="F12" s="419" t="str">
        <f>+E12&amp;" bloklu site içerisinde "&amp;TEST!G$12&amp;" blokta konumludur."</f>
        <v>11 bloklu site içerisinde  blokta konumludur.</v>
      </c>
      <c r="G12" s="419" t="s">
        <v>315</v>
      </c>
      <c r="P12" s="419" t="s">
        <v>288</v>
      </c>
      <c r="Q12" s="491" t="s">
        <v>686</v>
      </c>
      <c r="AA12" s="2" t="s">
        <v>525</v>
      </c>
      <c r="AB12" s="116"/>
      <c r="AC12" s="145"/>
      <c r="AD12" s="145"/>
      <c r="AF12" s="15" t="s">
        <v>829</v>
      </c>
      <c r="AG12" s="175">
        <v>23400</v>
      </c>
      <c r="AH12" s="26" t="s">
        <v>798</v>
      </c>
      <c r="AJ12" s="366">
        <v>10</v>
      </c>
      <c r="AK12" s="459">
        <v>0.1</v>
      </c>
      <c r="AP12" s="215">
        <v>0.5</v>
      </c>
      <c r="AQ12" s="216" t="s">
        <v>1308</v>
      </c>
      <c r="AU12" s="471" t="s">
        <v>1476</v>
      </c>
      <c r="BL12" s="490" t="s">
        <v>255</v>
      </c>
      <c r="BO12" s="471" t="s">
        <v>72</v>
      </c>
      <c r="BP12" s="471" t="s">
        <v>432</v>
      </c>
      <c r="BQ12" s="471" t="s">
        <v>363</v>
      </c>
      <c r="BR12" s="471" t="s">
        <v>186</v>
      </c>
      <c r="BS12" s="471" t="s">
        <v>363</v>
      </c>
      <c r="BT12" s="471">
        <v>0</v>
      </c>
      <c r="BV12" s="366">
        <v>9</v>
      </c>
      <c r="BW12" s="366" t="str">
        <f t="shared" si="0"/>
        <v xml:space="preserve">9 kat, </v>
      </c>
      <c r="BY12" s="364" t="s">
        <v>219</v>
      </c>
      <c r="BZ12" s="364" t="s">
        <v>157</v>
      </c>
      <c r="CA12" s="364"/>
      <c r="CL12" s="502">
        <v>0.9</v>
      </c>
      <c r="CT12" s="419" t="s">
        <v>496</v>
      </c>
      <c r="CU12" s="492"/>
      <c r="CV12" s="492"/>
      <c r="CX12" s="419">
        <v>10</v>
      </c>
      <c r="CY12" s="419" t="s">
        <v>500</v>
      </c>
      <c r="DA12" s="419" t="s">
        <v>305</v>
      </c>
      <c r="DE12" s="471">
        <v>2</v>
      </c>
      <c r="DF12" s="471" t="s">
        <v>357</v>
      </c>
      <c r="DG12" s="471" t="s">
        <v>3134</v>
      </c>
      <c r="DH12" s="471" t="s">
        <v>3135</v>
      </c>
      <c r="DI12" s="471" t="s">
        <v>3136</v>
      </c>
      <c r="DJ12" s="471" t="str">
        <f t="shared" ref="DJ12:DJ35" si="1">+DG12&amp;" Kat"</f>
        <v>2. Normal Kat</v>
      </c>
      <c r="DK12" s="471" t="s">
        <v>3137</v>
      </c>
      <c r="DL12" s="471" t="str">
        <f t="shared" ref="DL12:DL35" si="2">+DI12&amp;" Kat"</f>
        <v>İkinci Kat</v>
      </c>
      <c r="DM12" s="471" t="str">
        <f t="shared" ref="DM12:DM35" si="3">+DG12&amp;"kat"</f>
        <v>2. Normalkat</v>
      </c>
      <c r="DN12" s="471" t="str">
        <f t="shared" ref="DN12:DN35" si="4">+DF12&amp;"Kat"</f>
        <v>2.Kat</v>
      </c>
      <c r="DO12" s="471" t="str">
        <f t="shared" ref="DO12:DO35" si="5">+DF12&amp;"Normal"</f>
        <v>2.Normal</v>
      </c>
      <c r="DP12" s="471" t="str">
        <f t="shared" ref="DP12:DP35" si="6">+DO12&amp;" Kat"</f>
        <v>2.Normal Kat</v>
      </c>
      <c r="DQ12" s="471" t="str">
        <f t="shared" ref="DQ12:DQ35" si="7">+DI12&amp;"kat"</f>
        <v>İkincikat</v>
      </c>
      <c r="DR12" s="515" t="s">
        <v>408</v>
      </c>
    </row>
    <row r="13" spans="1:124" ht="27.6" customHeight="1" thickTop="1" thickBot="1" x14ac:dyDescent="0.35">
      <c r="A13" s="471" t="s">
        <v>190</v>
      </c>
      <c r="E13" s="471">
        <v>12</v>
      </c>
      <c r="F13" s="419" t="str">
        <f>+E13&amp;" bloklu site içerisinde "&amp;TEST!G$12&amp;" blokta konumludur."</f>
        <v>12 bloklu site içerisinde  blokta konumludur.</v>
      </c>
      <c r="G13" s="471" t="s">
        <v>316</v>
      </c>
      <c r="P13" s="419" t="s">
        <v>289</v>
      </c>
      <c r="Q13" s="491" t="s">
        <v>687</v>
      </c>
      <c r="AA13" s="2" t="s">
        <v>527</v>
      </c>
      <c r="AB13" s="116"/>
      <c r="AC13" s="145"/>
      <c r="AD13" s="145"/>
      <c r="AF13" s="15" t="s">
        <v>62</v>
      </c>
      <c r="AG13" s="175">
        <v>26450</v>
      </c>
      <c r="AH13" s="26" t="s">
        <v>799</v>
      </c>
      <c r="AJ13" s="366">
        <v>11</v>
      </c>
      <c r="AK13" s="459">
        <v>0.15</v>
      </c>
      <c r="AP13" s="215">
        <v>0.55000000000000004</v>
      </c>
      <c r="AQ13" s="216" t="s">
        <v>1309</v>
      </c>
      <c r="AU13" s="471" t="s">
        <v>1451</v>
      </c>
      <c r="BL13" s="490" t="s">
        <v>256</v>
      </c>
      <c r="BO13" s="471" t="s">
        <v>74</v>
      </c>
      <c r="BP13" s="471" t="s">
        <v>433</v>
      </c>
      <c r="BQ13" s="471" t="s">
        <v>364</v>
      </c>
      <c r="BR13" s="471" t="s">
        <v>187</v>
      </c>
      <c r="BS13" s="471" t="s">
        <v>364</v>
      </c>
      <c r="BT13" s="471">
        <v>0</v>
      </c>
      <c r="BV13" s="366">
        <v>10</v>
      </c>
      <c r="BW13" s="366" t="str">
        <f t="shared" si="0"/>
        <v xml:space="preserve">10 kat, </v>
      </c>
      <c r="BY13" s="364" t="s">
        <v>157</v>
      </c>
      <c r="BZ13" s="364"/>
      <c r="CA13" s="364"/>
      <c r="CL13" s="502">
        <v>0.89</v>
      </c>
      <c r="CT13" s="419" t="s">
        <v>599</v>
      </c>
      <c r="CU13" s="492"/>
      <c r="CV13" s="492"/>
      <c r="CX13" s="419">
        <v>11</v>
      </c>
      <c r="CY13" s="419" t="s">
        <v>500</v>
      </c>
      <c r="DA13" s="419" t="s">
        <v>346</v>
      </c>
      <c r="DE13" s="471">
        <v>3</v>
      </c>
      <c r="DF13" s="471" t="s">
        <v>373</v>
      </c>
      <c r="DG13" s="471" t="s">
        <v>3138</v>
      </c>
      <c r="DH13" s="471" t="s">
        <v>3139</v>
      </c>
      <c r="DI13" s="471" t="s">
        <v>3144</v>
      </c>
      <c r="DJ13" s="471" t="str">
        <f t="shared" si="1"/>
        <v>3. Normal Kat</v>
      </c>
      <c r="DK13" s="471" t="s">
        <v>3140</v>
      </c>
      <c r="DL13" s="471" t="str">
        <f t="shared" si="2"/>
        <v>Üçüncü Kat</v>
      </c>
      <c r="DM13" s="471" t="str">
        <f t="shared" si="3"/>
        <v>3. Normalkat</v>
      </c>
      <c r="DN13" s="471" t="str">
        <f t="shared" si="4"/>
        <v>3.Kat</v>
      </c>
      <c r="DO13" s="471" t="str">
        <f t="shared" si="5"/>
        <v>3.Normal</v>
      </c>
      <c r="DP13" s="471" t="str">
        <f t="shared" si="6"/>
        <v>3.Normal Kat</v>
      </c>
      <c r="DQ13" s="471" t="str">
        <f t="shared" si="7"/>
        <v>Üçüncükat</v>
      </c>
      <c r="DR13" s="515" t="s">
        <v>409</v>
      </c>
    </row>
    <row r="14" spans="1:124" ht="27.6" customHeight="1" thickTop="1" thickBot="1" x14ac:dyDescent="0.35">
      <c r="A14" s="471" t="s">
        <v>191</v>
      </c>
      <c r="E14" s="471">
        <v>13</v>
      </c>
      <c r="F14" s="419" t="str">
        <f>+E14&amp;" bloklu site içerisinde "&amp;TEST!G$12&amp;" blokta konumludur."</f>
        <v>13 bloklu site içerisinde  blokta konumludur.</v>
      </c>
      <c r="G14" s="419" t="s">
        <v>317</v>
      </c>
      <c r="P14" s="471" t="s">
        <v>1506</v>
      </c>
      <c r="Q14" s="491" t="s">
        <v>688</v>
      </c>
      <c r="AA14" s="5" t="s">
        <v>215</v>
      </c>
      <c r="AB14" s="145"/>
      <c r="AC14" s="145"/>
      <c r="AD14" s="145"/>
      <c r="AF14" s="15" t="s">
        <v>63</v>
      </c>
      <c r="AG14" s="175">
        <v>33900</v>
      </c>
      <c r="AH14" s="26" t="s">
        <v>800</v>
      </c>
      <c r="AJ14" s="366">
        <v>12</v>
      </c>
      <c r="AK14" s="459">
        <v>0.15</v>
      </c>
      <c r="AP14" s="215">
        <v>0.6</v>
      </c>
      <c r="AQ14" s="216" t="s">
        <v>1310</v>
      </c>
      <c r="AU14" s="471" t="s">
        <v>1452</v>
      </c>
      <c r="BL14" s="490" t="s">
        <v>257</v>
      </c>
      <c r="BO14" s="471" t="s">
        <v>73</v>
      </c>
      <c r="BP14" s="471" t="s">
        <v>434</v>
      </c>
      <c r="BQ14" s="471" t="s">
        <v>365</v>
      </c>
      <c r="BR14" s="471" t="s">
        <v>188</v>
      </c>
      <c r="BS14" s="471" t="s">
        <v>365</v>
      </c>
      <c r="BT14" s="471">
        <v>0</v>
      </c>
      <c r="BV14" s="366">
        <v>11</v>
      </c>
      <c r="BW14" s="366" t="str">
        <f t="shared" si="0"/>
        <v xml:space="preserve">11 kat, </v>
      </c>
      <c r="CL14" s="502">
        <v>0.88</v>
      </c>
      <c r="CT14" s="419" t="s">
        <v>600</v>
      </c>
      <c r="CU14" s="492"/>
      <c r="CV14" s="492"/>
      <c r="CX14" s="419">
        <v>12</v>
      </c>
      <c r="CY14" s="419" t="s">
        <v>500</v>
      </c>
      <c r="DA14" s="419" t="s">
        <v>147</v>
      </c>
      <c r="DE14" s="471">
        <v>4</v>
      </c>
      <c r="DF14" s="471" t="s">
        <v>374</v>
      </c>
      <c r="DG14" s="471" t="s">
        <v>3141</v>
      </c>
      <c r="DH14" s="471" t="s">
        <v>3142</v>
      </c>
      <c r="DI14" s="471" t="s">
        <v>3145</v>
      </c>
      <c r="DJ14" s="471" t="str">
        <f t="shared" si="1"/>
        <v>4. Normal Kat</v>
      </c>
      <c r="DK14" s="471" t="s">
        <v>3143</v>
      </c>
      <c r="DL14" s="471" t="str">
        <f t="shared" si="2"/>
        <v>Dördüncü Kat</v>
      </c>
      <c r="DM14" s="471" t="str">
        <f t="shared" si="3"/>
        <v>4. Normalkat</v>
      </c>
      <c r="DN14" s="471" t="str">
        <f t="shared" si="4"/>
        <v>4.Kat</v>
      </c>
      <c r="DO14" s="471" t="str">
        <f t="shared" si="5"/>
        <v>4.Normal</v>
      </c>
      <c r="DP14" s="471" t="str">
        <f t="shared" si="6"/>
        <v>4.Normal Kat</v>
      </c>
      <c r="DQ14" s="471" t="str">
        <f t="shared" si="7"/>
        <v>Dördüncükat</v>
      </c>
      <c r="DR14" s="515" t="s">
        <v>410</v>
      </c>
    </row>
    <row r="15" spans="1:124" ht="27.6" customHeight="1" thickTop="1" thickBot="1" x14ac:dyDescent="0.35">
      <c r="A15" s="471" t="s">
        <v>192</v>
      </c>
      <c r="E15" s="471">
        <v>14</v>
      </c>
      <c r="F15" s="419" t="str">
        <f>+E15&amp;" bloklu site içerisinde "&amp;TEST!G$12&amp;" blokta konumludur."</f>
        <v>14 bloklu site içerisinde  blokta konumludur.</v>
      </c>
      <c r="G15" s="471" t="s">
        <v>318</v>
      </c>
      <c r="Q15" s="2" t="s">
        <v>689</v>
      </c>
      <c r="AA15" s="5" t="s">
        <v>216</v>
      </c>
      <c r="AB15" s="145"/>
      <c r="AC15" s="145"/>
      <c r="AD15" s="145"/>
      <c r="AF15" s="15" t="s">
        <v>64</v>
      </c>
      <c r="AG15" s="175">
        <v>40500</v>
      </c>
      <c r="AH15" s="26" t="s">
        <v>801</v>
      </c>
      <c r="AJ15" s="366">
        <v>13</v>
      </c>
      <c r="AK15" s="459">
        <v>0.15</v>
      </c>
      <c r="AP15" s="215">
        <v>0.65</v>
      </c>
      <c r="AQ15" s="216" t="s">
        <v>1311</v>
      </c>
      <c r="AU15" s="471" t="s">
        <v>1453</v>
      </c>
      <c r="BL15" s="490" t="s">
        <v>290</v>
      </c>
      <c r="BO15" s="471" t="s">
        <v>121</v>
      </c>
      <c r="BP15" s="471" t="s">
        <v>407</v>
      </c>
      <c r="BQ15" s="471">
        <v>1</v>
      </c>
      <c r="BR15" s="471" t="s">
        <v>169</v>
      </c>
      <c r="BS15" s="471">
        <v>1</v>
      </c>
      <c r="BT15" s="471">
        <v>1</v>
      </c>
      <c r="BV15" s="366">
        <v>12</v>
      </c>
      <c r="BW15" s="366" t="str">
        <f t="shared" si="0"/>
        <v xml:space="preserve">12 kat, </v>
      </c>
      <c r="CL15" s="502">
        <v>0.87</v>
      </c>
      <c r="CT15" s="419" t="s">
        <v>106</v>
      </c>
      <c r="CU15" s="492"/>
      <c r="CV15" s="492"/>
      <c r="CX15" s="419">
        <v>13</v>
      </c>
      <c r="CY15" s="419" t="s">
        <v>500</v>
      </c>
      <c r="DA15" s="419" t="s">
        <v>148</v>
      </c>
      <c r="DE15" s="471">
        <v>5</v>
      </c>
      <c r="DF15" s="471" t="s">
        <v>375</v>
      </c>
      <c r="DG15" s="471" t="s">
        <v>3146</v>
      </c>
      <c r="DH15" s="471" t="s">
        <v>3147</v>
      </c>
      <c r="DI15" s="471" t="s">
        <v>3209</v>
      </c>
      <c r="DJ15" s="471" t="str">
        <f t="shared" si="1"/>
        <v>5. Normal Kat</v>
      </c>
      <c r="DK15" s="471" t="s">
        <v>3148</v>
      </c>
      <c r="DL15" s="471" t="str">
        <f t="shared" si="2"/>
        <v>Beşinci Kat</v>
      </c>
      <c r="DM15" s="471" t="str">
        <f t="shared" si="3"/>
        <v>5. Normalkat</v>
      </c>
      <c r="DN15" s="471" t="str">
        <f t="shared" si="4"/>
        <v>5.Kat</v>
      </c>
      <c r="DO15" s="471" t="str">
        <f t="shared" si="5"/>
        <v>5.Normal</v>
      </c>
      <c r="DP15" s="471" t="str">
        <f t="shared" si="6"/>
        <v>5.Normal Kat</v>
      </c>
      <c r="DQ15" s="471" t="str">
        <f t="shared" si="7"/>
        <v>Beşincikat</v>
      </c>
      <c r="DR15" s="515" t="s">
        <v>411</v>
      </c>
    </row>
    <row r="16" spans="1:124" ht="27.6" customHeight="1" thickTop="1" thickBot="1" x14ac:dyDescent="0.35">
      <c r="A16" s="471" t="s">
        <v>193</v>
      </c>
      <c r="E16" s="471">
        <v>15</v>
      </c>
      <c r="F16" s="419" t="str">
        <f>+E16&amp;" bloklu site içerisinde "&amp;TEST!G$12&amp;" blokta konumludur."</f>
        <v>15 bloklu site içerisinde  blokta konumludur.</v>
      </c>
      <c r="G16" s="471" t="s">
        <v>319</v>
      </c>
      <c r="Q16" s="2" t="s">
        <v>690</v>
      </c>
      <c r="AF16" s="15" t="s">
        <v>165</v>
      </c>
      <c r="AG16" s="175">
        <v>42350</v>
      </c>
      <c r="AH16" s="26" t="s">
        <v>802</v>
      </c>
      <c r="AJ16" s="366">
        <v>14</v>
      </c>
      <c r="AK16" s="459">
        <v>0.15</v>
      </c>
      <c r="AP16" s="215">
        <v>0.7</v>
      </c>
      <c r="AQ16" s="216" t="s">
        <v>1312</v>
      </c>
      <c r="AU16" s="471" t="s">
        <v>1454</v>
      </c>
      <c r="BL16" s="490" t="s">
        <v>291</v>
      </c>
      <c r="BO16" s="471" t="s">
        <v>122</v>
      </c>
      <c r="BP16" s="471" t="s">
        <v>408</v>
      </c>
      <c r="BQ16" s="471">
        <v>2</v>
      </c>
      <c r="BR16" s="471" t="s">
        <v>357</v>
      </c>
      <c r="BS16" s="471">
        <v>2</v>
      </c>
      <c r="BT16" s="471">
        <v>2</v>
      </c>
      <c r="BV16" s="366">
        <v>13</v>
      </c>
      <c r="BW16" s="366" t="str">
        <f t="shared" si="0"/>
        <v xml:space="preserve">13 kat, </v>
      </c>
      <c r="CL16" s="502">
        <v>0.86</v>
      </c>
      <c r="CX16" s="419">
        <v>14</v>
      </c>
      <c r="CY16" s="419" t="s">
        <v>500</v>
      </c>
      <c r="DA16" s="419" t="s">
        <v>155</v>
      </c>
      <c r="DE16" s="471">
        <v>6</v>
      </c>
      <c r="DF16" s="471" t="s">
        <v>376</v>
      </c>
      <c r="DG16" s="471" t="s">
        <v>3149</v>
      </c>
      <c r="DH16" s="471" t="s">
        <v>3150</v>
      </c>
      <c r="DI16" s="471" t="s">
        <v>3210</v>
      </c>
      <c r="DJ16" s="471" t="str">
        <f t="shared" si="1"/>
        <v>6. Normal Kat</v>
      </c>
      <c r="DK16" s="471" t="s">
        <v>3151</v>
      </c>
      <c r="DL16" s="471" t="str">
        <f t="shared" si="2"/>
        <v>Altıncı Kat</v>
      </c>
      <c r="DM16" s="471" t="str">
        <f t="shared" si="3"/>
        <v>6. Normalkat</v>
      </c>
      <c r="DN16" s="471" t="str">
        <f t="shared" si="4"/>
        <v>6.Kat</v>
      </c>
      <c r="DO16" s="471" t="str">
        <f t="shared" si="5"/>
        <v>6.Normal</v>
      </c>
      <c r="DP16" s="471" t="str">
        <f t="shared" si="6"/>
        <v>6.Normal Kat</v>
      </c>
      <c r="DQ16" s="471" t="str">
        <f t="shared" si="7"/>
        <v>Altıncıkat</v>
      </c>
      <c r="DR16" s="515" t="s">
        <v>412</v>
      </c>
    </row>
    <row r="17" spans="5:122" ht="27.6" customHeight="1" thickTop="1" thickBot="1" x14ac:dyDescent="0.35">
      <c r="E17" s="471">
        <v>16</v>
      </c>
      <c r="F17" s="419" t="str">
        <f>+E17&amp;" bloklu site içerisinde "&amp;TEST!G$12&amp;" blokta konumludur."</f>
        <v>16 bloklu site içerisinde  blokta konumludur.</v>
      </c>
      <c r="G17" s="471" t="s">
        <v>320</v>
      </c>
      <c r="Q17" s="2" t="s">
        <v>691</v>
      </c>
      <c r="AF17" s="15" t="s">
        <v>166</v>
      </c>
      <c r="AG17" s="175">
        <v>43850</v>
      </c>
      <c r="AH17" s="26" t="s">
        <v>803</v>
      </c>
      <c r="AJ17" s="366">
        <v>15</v>
      </c>
      <c r="AK17" s="459">
        <v>0.15</v>
      </c>
      <c r="AP17" s="215">
        <v>0.75</v>
      </c>
      <c r="AQ17" s="216" t="s">
        <v>1313</v>
      </c>
      <c r="AU17" s="471" t="s">
        <v>1455</v>
      </c>
      <c r="BL17" s="490" t="s">
        <v>292</v>
      </c>
      <c r="BO17" s="471" t="s">
        <v>123</v>
      </c>
      <c r="BP17" s="471" t="s">
        <v>409</v>
      </c>
      <c r="BQ17" s="471">
        <v>3</v>
      </c>
      <c r="BR17" s="471" t="s">
        <v>373</v>
      </c>
      <c r="BS17" s="471">
        <v>3</v>
      </c>
      <c r="BT17" s="471">
        <v>3</v>
      </c>
      <c r="BV17" s="366">
        <v>14</v>
      </c>
      <c r="BW17" s="366" t="str">
        <f t="shared" si="0"/>
        <v xml:space="preserve">14 kat, </v>
      </c>
      <c r="CL17" s="502">
        <v>0.85</v>
      </c>
      <c r="CX17" s="419">
        <v>15</v>
      </c>
      <c r="CY17" s="419" t="s">
        <v>500</v>
      </c>
      <c r="DA17" s="419" t="s">
        <v>149</v>
      </c>
      <c r="DE17" s="471">
        <v>7</v>
      </c>
      <c r="DF17" s="471" t="s">
        <v>377</v>
      </c>
      <c r="DG17" s="471" t="s">
        <v>3152</v>
      </c>
      <c r="DH17" s="471" t="s">
        <v>3153</v>
      </c>
      <c r="DI17" s="471" t="s">
        <v>3211</v>
      </c>
      <c r="DJ17" s="471" t="str">
        <f t="shared" si="1"/>
        <v>7. Normal Kat</v>
      </c>
      <c r="DK17" s="471" t="s">
        <v>3154</v>
      </c>
      <c r="DL17" s="471" t="str">
        <f t="shared" si="2"/>
        <v>Yedinci Kat</v>
      </c>
      <c r="DM17" s="471" t="str">
        <f t="shared" si="3"/>
        <v>7. Normalkat</v>
      </c>
      <c r="DN17" s="471" t="str">
        <f t="shared" si="4"/>
        <v>7.Kat</v>
      </c>
      <c r="DO17" s="471" t="str">
        <f t="shared" si="5"/>
        <v>7.Normal</v>
      </c>
      <c r="DP17" s="471" t="str">
        <f t="shared" si="6"/>
        <v>7.Normal Kat</v>
      </c>
      <c r="DQ17" s="471" t="str">
        <f t="shared" si="7"/>
        <v>Yedincikat</v>
      </c>
      <c r="DR17" s="515" t="s">
        <v>413</v>
      </c>
    </row>
    <row r="18" spans="5:122" ht="27.6" customHeight="1" thickTop="1" thickBot="1" x14ac:dyDescent="0.35">
      <c r="E18" s="471">
        <v>17</v>
      </c>
      <c r="F18" s="419" t="str">
        <f>+E18&amp;" bloklu site içerisinde "&amp;TEST!G$12&amp;" blokta konumludur."</f>
        <v>17 bloklu site içerisinde  blokta konumludur.</v>
      </c>
      <c r="G18" s="471" t="s">
        <v>321</v>
      </c>
      <c r="Q18" s="2" t="s">
        <v>692</v>
      </c>
      <c r="AF18" s="15" t="s">
        <v>167</v>
      </c>
      <c r="AG18" s="175">
        <v>48750</v>
      </c>
      <c r="AH18" s="26" t="s">
        <v>804</v>
      </c>
      <c r="AJ18" s="366">
        <v>16</v>
      </c>
      <c r="AK18" s="459">
        <v>0.2</v>
      </c>
      <c r="AP18" s="215">
        <v>0.8</v>
      </c>
      <c r="AU18" s="471" t="s">
        <v>1456</v>
      </c>
      <c r="BL18" s="490" t="s">
        <v>258</v>
      </c>
      <c r="BO18" s="471" t="s">
        <v>124</v>
      </c>
      <c r="BP18" s="471" t="s">
        <v>410</v>
      </c>
      <c r="BQ18" s="471">
        <v>4</v>
      </c>
      <c r="BR18" s="471" t="s">
        <v>374</v>
      </c>
      <c r="BS18" s="471">
        <v>4</v>
      </c>
      <c r="BT18" s="471">
        <v>4</v>
      </c>
      <c r="BV18" s="366">
        <v>15</v>
      </c>
      <c r="BW18" s="366" t="str">
        <f t="shared" si="0"/>
        <v xml:space="preserve">15 kat, </v>
      </c>
      <c r="CL18" s="502">
        <v>0.84</v>
      </c>
      <c r="CX18" s="419">
        <v>16</v>
      </c>
      <c r="CY18" s="419" t="s">
        <v>500</v>
      </c>
      <c r="DA18" s="419" t="s">
        <v>344</v>
      </c>
      <c r="DE18" s="471">
        <v>8</v>
      </c>
      <c r="DF18" s="471" t="s">
        <v>378</v>
      </c>
      <c r="DG18" s="471" t="s">
        <v>3155</v>
      </c>
      <c r="DH18" s="471" t="s">
        <v>3156</v>
      </c>
      <c r="DI18" s="471" t="s">
        <v>3212</v>
      </c>
      <c r="DJ18" s="471" t="str">
        <f t="shared" si="1"/>
        <v>8. Normal Kat</v>
      </c>
      <c r="DK18" s="471" t="s">
        <v>3157</v>
      </c>
      <c r="DL18" s="471" t="str">
        <f t="shared" si="2"/>
        <v>Sekizinci Kat</v>
      </c>
      <c r="DM18" s="471" t="str">
        <f t="shared" si="3"/>
        <v>8. Normalkat</v>
      </c>
      <c r="DN18" s="471" t="str">
        <f t="shared" si="4"/>
        <v>8.Kat</v>
      </c>
      <c r="DO18" s="471" t="str">
        <f t="shared" si="5"/>
        <v>8.Normal</v>
      </c>
      <c r="DP18" s="471" t="str">
        <f t="shared" si="6"/>
        <v>8.Normal Kat</v>
      </c>
      <c r="DQ18" s="471" t="str">
        <f t="shared" si="7"/>
        <v>Sekizincikat</v>
      </c>
      <c r="DR18" s="515" t="s">
        <v>414</v>
      </c>
    </row>
    <row r="19" spans="5:122" ht="27.6" customHeight="1" thickTop="1" thickBot="1" x14ac:dyDescent="0.35">
      <c r="E19" s="471">
        <v>18</v>
      </c>
      <c r="F19" s="419" t="str">
        <f>+E19&amp;" bloklu site içerisinde "&amp;TEST!G$12&amp;" blokta konumludur."</f>
        <v>18 bloklu site içerisinde  blokta konumludur.</v>
      </c>
      <c r="Q19" s="2" t="s">
        <v>693</v>
      </c>
      <c r="AF19" s="15" t="s">
        <v>168</v>
      </c>
      <c r="AG19" s="175">
        <v>53500</v>
      </c>
      <c r="AH19" s="26" t="s">
        <v>805</v>
      </c>
      <c r="AJ19" s="366">
        <v>17</v>
      </c>
      <c r="AK19" s="459">
        <v>0.2</v>
      </c>
      <c r="AP19" s="215">
        <v>0.85</v>
      </c>
      <c r="AU19" s="471" t="s">
        <v>1457</v>
      </c>
      <c r="BL19" s="490" t="s">
        <v>266</v>
      </c>
      <c r="BO19" s="471" t="s">
        <v>125</v>
      </c>
      <c r="BP19" s="471" t="s">
        <v>411</v>
      </c>
      <c r="BQ19" s="471">
        <v>5</v>
      </c>
      <c r="BR19" s="471" t="s">
        <v>375</v>
      </c>
      <c r="BS19" s="471">
        <v>5</v>
      </c>
      <c r="BT19" s="471">
        <v>5</v>
      </c>
      <c r="BV19" s="366">
        <v>16</v>
      </c>
      <c r="BW19" s="366" t="str">
        <f t="shared" si="0"/>
        <v xml:space="preserve">16 kat, </v>
      </c>
      <c r="CL19" s="502">
        <v>0.83</v>
      </c>
      <c r="CX19" s="419">
        <v>17</v>
      </c>
      <c r="CY19" s="419" t="s">
        <v>500</v>
      </c>
      <c r="DA19" s="419" t="s">
        <v>345</v>
      </c>
      <c r="DE19" s="471">
        <v>9</v>
      </c>
      <c r="DF19" s="471" t="s">
        <v>379</v>
      </c>
      <c r="DG19" s="471" t="s">
        <v>3158</v>
      </c>
      <c r="DH19" s="471" t="s">
        <v>3159</v>
      </c>
      <c r="DI19" s="471" t="s">
        <v>3213</v>
      </c>
      <c r="DJ19" s="471" t="str">
        <f t="shared" si="1"/>
        <v>9. Normal Kat</v>
      </c>
      <c r="DK19" s="471" t="s">
        <v>3160</v>
      </c>
      <c r="DL19" s="471" t="str">
        <f t="shared" si="2"/>
        <v>Dokuzuncu Kat</v>
      </c>
      <c r="DM19" s="471" t="str">
        <f t="shared" si="3"/>
        <v>9. Normalkat</v>
      </c>
      <c r="DN19" s="471" t="str">
        <f t="shared" si="4"/>
        <v>9.Kat</v>
      </c>
      <c r="DO19" s="471" t="str">
        <f t="shared" si="5"/>
        <v>9.Normal</v>
      </c>
      <c r="DP19" s="471" t="str">
        <f t="shared" si="6"/>
        <v>9.Normal Kat</v>
      </c>
      <c r="DQ19" s="471" t="str">
        <f t="shared" si="7"/>
        <v>Dokuzuncukat</v>
      </c>
      <c r="DR19" s="515" t="s">
        <v>415</v>
      </c>
    </row>
    <row r="20" spans="5:122" ht="27.6" customHeight="1" thickTop="1" thickBot="1" x14ac:dyDescent="0.35">
      <c r="E20" s="471">
        <v>19</v>
      </c>
      <c r="F20" s="419" t="str">
        <f>+E20&amp;" bloklu site içerisinde "&amp;TEST!G$12&amp;" blokta konumludur."</f>
        <v>19 bloklu site içerisinde  blokta konumludur.</v>
      </c>
      <c r="Q20" s="2" t="s">
        <v>694</v>
      </c>
      <c r="AF20" s="15" t="s">
        <v>830</v>
      </c>
      <c r="AG20" s="175">
        <v>103500</v>
      </c>
      <c r="AH20" s="26" t="s">
        <v>806</v>
      </c>
      <c r="AJ20" s="366">
        <v>18</v>
      </c>
      <c r="AK20" s="459">
        <v>0.2</v>
      </c>
      <c r="AP20" s="215">
        <v>0.9</v>
      </c>
      <c r="AU20" s="471" t="s">
        <v>1458</v>
      </c>
      <c r="BL20" s="490" t="s">
        <v>259</v>
      </c>
      <c r="BO20" s="471" t="s">
        <v>126</v>
      </c>
      <c r="BP20" s="471" t="s">
        <v>412</v>
      </c>
      <c r="BQ20" s="471">
        <v>6</v>
      </c>
      <c r="BR20" s="471" t="s">
        <v>376</v>
      </c>
      <c r="BS20" s="471">
        <v>6</v>
      </c>
      <c r="BT20" s="471">
        <v>6</v>
      </c>
      <c r="BV20" s="366">
        <v>17</v>
      </c>
      <c r="BW20" s="366" t="str">
        <f t="shared" si="0"/>
        <v xml:space="preserve">17 kat, </v>
      </c>
      <c r="CL20" s="502">
        <v>0.82</v>
      </c>
      <c r="CX20" s="419">
        <v>18</v>
      </c>
      <c r="CY20" s="419" t="s">
        <v>500</v>
      </c>
      <c r="DE20" s="471">
        <v>10</v>
      </c>
      <c r="DF20" s="471" t="s">
        <v>380</v>
      </c>
      <c r="DG20" s="471" t="s">
        <v>3161</v>
      </c>
      <c r="DH20" s="471" t="s">
        <v>3162</v>
      </c>
      <c r="DI20" s="471" t="s">
        <v>3214</v>
      </c>
      <c r="DJ20" s="471" t="str">
        <f t="shared" si="1"/>
        <v>10. Normal Kat</v>
      </c>
      <c r="DK20" s="471" t="s">
        <v>3163</v>
      </c>
      <c r="DL20" s="471" t="str">
        <f t="shared" si="2"/>
        <v>Onuncu Kat</v>
      </c>
      <c r="DM20" s="471" t="str">
        <f t="shared" si="3"/>
        <v>10. Normalkat</v>
      </c>
      <c r="DN20" s="471" t="str">
        <f t="shared" si="4"/>
        <v>10.Kat</v>
      </c>
      <c r="DO20" s="471" t="str">
        <f t="shared" si="5"/>
        <v>10.Normal</v>
      </c>
      <c r="DP20" s="471" t="str">
        <f t="shared" si="6"/>
        <v>10.Normal Kat</v>
      </c>
      <c r="DQ20" s="471" t="str">
        <f t="shared" si="7"/>
        <v>Onuncukat</v>
      </c>
      <c r="DR20" s="515" t="s">
        <v>416</v>
      </c>
    </row>
    <row r="21" spans="5:122" ht="27.6" customHeight="1" thickTop="1" thickBot="1" x14ac:dyDescent="0.35">
      <c r="E21" s="471">
        <v>20</v>
      </c>
      <c r="F21" s="419" t="str">
        <f>+E21&amp;" bloklu site içerisinde "&amp;TEST!G$12&amp;" blokta konumludur."</f>
        <v>20 bloklu site içerisinde  blokta konumludur.</v>
      </c>
      <c r="Q21" s="2" t="s">
        <v>695</v>
      </c>
      <c r="AJ21" s="366">
        <v>19</v>
      </c>
      <c r="AK21" s="459">
        <v>0.2</v>
      </c>
      <c r="AP21" s="215">
        <v>0.95</v>
      </c>
      <c r="AU21" s="471" t="s">
        <v>1459</v>
      </c>
      <c r="BL21" s="490" t="s">
        <v>260</v>
      </c>
      <c r="BO21" s="471" t="s">
        <v>127</v>
      </c>
      <c r="BP21" s="471" t="s">
        <v>413</v>
      </c>
      <c r="BQ21" s="471">
        <v>7</v>
      </c>
      <c r="BR21" s="471" t="s">
        <v>377</v>
      </c>
      <c r="BS21" s="471">
        <v>7</v>
      </c>
      <c r="BT21" s="471">
        <v>7</v>
      </c>
      <c r="BV21" s="366">
        <v>18</v>
      </c>
      <c r="BW21" s="366" t="str">
        <f t="shared" si="0"/>
        <v xml:space="preserve">18 kat, </v>
      </c>
      <c r="CL21" s="502">
        <v>0.81</v>
      </c>
      <c r="CX21" s="419">
        <v>19</v>
      </c>
      <c r="CY21" s="419" t="s">
        <v>500</v>
      </c>
      <c r="DE21" s="471">
        <v>11</v>
      </c>
      <c r="DF21" s="471" t="s">
        <v>381</v>
      </c>
      <c r="DG21" s="471" t="s">
        <v>3164</v>
      </c>
      <c r="DH21" s="471" t="s">
        <v>3165</v>
      </c>
      <c r="DI21" s="471" t="s">
        <v>3215</v>
      </c>
      <c r="DJ21" s="471" t="str">
        <f t="shared" si="1"/>
        <v>11. Normal Kat</v>
      </c>
      <c r="DK21" s="471" t="s">
        <v>3166</v>
      </c>
      <c r="DL21" s="471" t="str">
        <f t="shared" si="2"/>
        <v>Onbirinci Kat</v>
      </c>
      <c r="DM21" s="471" t="str">
        <f t="shared" si="3"/>
        <v>11. Normalkat</v>
      </c>
      <c r="DN21" s="471" t="str">
        <f t="shared" si="4"/>
        <v>11.Kat</v>
      </c>
      <c r="DO21" s="471" t="str">
        <f t="shared" si="5"/>
        <v>11.Normal</v>
      </c>
      <c r="DP21" s="471" t="str">
        <f t="shared" si="6"/>
        <v>11.Normal Kat</v>
      </c>
      <c r="DQ21" s="471" t="str">
        <f t="shared" si="7"/>
        <v>Onbirincikat</v>
      </c>
      <c r="DR21" s="515" t="s">
        <v>417</v>
      </c>
    </row>
    <row r="22" spans="5:122" ht="27.6" customHeight="1" thickTop="1" thickBot="1" x14ac:dyDescent="0.35">
      <c r="E22" s="471">
        <v>21</v>
      </c>
      <c r="F22" s="419" t="str">
        <f>+E22&amp;" bloklu site içerisinde "&amp;TEST!G$12&amp;" blokta konumludur."</f>
        <v>21 bloklu site içerisinde  blokta konumludur.</v>
      </c>
      <c r="Q22" s="2" t="s">
        <v>696</v>
      </c>
      <c r="AJ22" s="366">
        <v>20</v>
      </c>
      <c r="AK22" s="459">
        <v>0.2</v>
      </c>
      <c r="AP22" s="215">
        <v>1</v>
      </c>
      <c r="AU22" s="471" t="s">
        <v>1460</v>
      </c>
      <c r="BL22" s="490" t="s">
        <v>261</v>
      </c>
      <c r="BO22" s="471" t="s">
        <v>128</v>
      </c>
      <c r="BP22" s="471" t="s">
        <v>414</v>
      </c>
      <c r="BQ22" s="471">
        <v>8</v>
      </c>
      <c r="BR22" s="471" t="s">
        <v>378</v>
      </c>
      <c r="BS22" s="471">
        <v>8</v>
      </c>
      <c r="BT22" s="471">
        <v>8</v>
      </c>
      <c r="BV22" s="366">
        <v>19</v>
      </c>
      <c r="BW22" s="366" t="str">
        <f t="shared" si="0"/>
        <v xml:space="preserve">19 kat, </v>
      </c>
      <c r="CL22" s="502">
        <v>0.8</v>
      </c>
      <c r="CX22" s="419">
        <v>20</v>
      </c>
      <c r="CY22" s="419" t="s">
        <v>500</v>
      </c>
      <c r="DE22" s="471">
        <v>12</v>
      </c>
      <c r="DF22" s="471" t="s">
        <v>382</v>
      </c>
      <c r="DG22" s="471" t="s">
        <v>3167</v>
      </c>
      <c r="DH22" s="471" t="s">
        <v>3168</v>
      </c>
      <c r="DI22" s="471" t="s">
        <v>3216</v>
      </c>
      <c r="DJ22" s="471" t="str">
        <f t="shared" si="1"/>
        <v>12. Normal Kat</v>
      </c>
      <c r="DK22" s="471" t="s">
        <v>3169</v>
      </c>
      <c r="DL22" s="471" t="str">
        <f t="shared" si="2"/>
        <v>Onikinci Kat</v>
      </c>
      <c r="DM22" s="471" t="str">
        <f t="shared" si="3"/>
        <v>12. Normalkat</v>
      </c>
      <c r="DN22" s="471" t="str">
        <f t="shared" si="4"/>
        <v>12.Kat</v>
      </c>
      <c r="DO22" s="471" t="str">
        <f t="shared" si="5"/>
        <v>12.Normal</v>
      </c>
      <c r="DP22" s="471" t="str">
        <f t="shared" si="6"/>
        <v>12.Normal Kat</v>
      </c>
      <c r="DQ22" s="471" t="str">
        <f t="shared" si="7"/>
        <v>Onikincikat</v>
      </c>
      <c r="DR22" s="515" t="s">
        <v>418</v>
      </c>
    </row>
    <row r="23" spans="5:122" ht="27.6" customHeight="1" thickTop="1" thickBot="1" x14ac:dyDescent="0.35">
      <c r="E23" s="471">
        <v>22</v>
      </c>
      <c r="F23" s="419" t="str">
        <f>+E23&amp;" bloklu site içerisinde "&amp;TEST!G$12&amp;" blokta konumludur."</f>
        <v>22 bloklu site içerisinde  blokta konumludur.</v>
      </c>
      <c r="Q23" s="2" t="s">
        <v>697</v>
      </c>
      <c r="AJ23" s="366">
        <v>21</v>
      </c>
      <c r="AK23" s="459">
        <v>0.25</v>
      </c>
      <c r="AU23" s="471" t="s">
        <v>1461</v>
      </c>
      <c r="BL23" s="490" t="s">
        <v>3070</v>
      </c>
      <c r="BO23" s="471" t="s">
        <v>129</v>
      </c>
      <c r="BP23" s="471" t="s">
        <v>415</v>
      </c>
      <c r="BQ23" s="471">
        <v>9</v>
      </c>
      <c r="BR23" s="471" t="s">
        <v>379</v>
      </c>
      <c r="BS23" s="471">
        <v>9</v>
      </c>
      <c r="BT23" s="471">
        <v>9</v>
      </c>
      <c r="BV23" s="366">
        <v>20</v>
      </c>
      <c r="BW23" s="366" t="str">
        <f t="shared" si="0"/>
        <v xml:space="preserve">20 kat, </v>
      </c>
      <c r="CL23" s="502">
        <v>0.79</v>
      </c>
      <c r="CX23" s="419">
        <v>21</v>
      </c>
      <c r="CY23" s="419" t="s">
        <v>500</v>
      </c>
      <c r="DE23" s="471">
        <v>13</v>
      </c>
      <c r="DF23" s="471" t="s">
        <v>383</v>
      </c>
      <c r="DG23" s="471" t="s">
        <v>3170</v>
      </c>
      <c r="DH23" s="471" t="s">
        <v>3171</v>
      </c>
      <c r="DI23" s="471" t="s">
        <v>3217</v>
      </c>
      <c r="DJ23" s="471" t="str">
        <f t="shared" si="1"/>
        <v>13. Normal Kat</v>
      </c>
      <c r="DK23" s="471" t="s">
        <v>3172</v>
      </c>
      <c r="DL23" s="471" t="str">
        <f t="shared" si="2"/>
        <v>Onüçüncü Kat</v>
      </c>
      <c r="DM23" s="471" t="str">
        <f t="shared" si="3"/>
        <v>13. Normalkat</v>
      </c>
      <c r="DN23" s="471" t="str">
        <f t="shared" si="4"/>
        <v>13.Kat</v>
      </c>
      <c r="DO23" s="471" t="str">
        <f t="shared" si="5"/>
        <v>13.Normal</v>
      </c>
      <c r="DP23" s="471" t="str">
        <f t="shared" si="6"/>
        <v>13.Normal Kat</v>
      </c>
      <c r="DQ23" s="471" t="str">
        <f t="shared" si="7"/>
        <v>Onüçüncükat</v>
      </c>
      <c r="DR23" s="515" t="s">
        <v>419</v>
      </c>
    </row>
    <row r="24" spans="5:122" ht="27.6" customHeight="1" thickTop="1" thickBot="1" x14ac:dyDescent="0.35">
      <c r="E24" s="471">
        <v>23</v>
      </c>
      <c r="F24" s="419" t="str">
        <f>+E24&amp;" bloklu site içerisinde "&amp;TEST!G$12&amp;" blokta konumludur."</f>
        <v>23 bloklu site içerisinde  blokta konumludur.</v>
      </c>
      <c r="Q24" s="2" t="s">
        <v>698</v>
      </c>
      <c r="AJ24" s="366">
        <v>22</v>
      </c>
      <c r="AK24" s="459">
        <v>0.25</v>
      </c>
      <c r="AU24" s="471" t="s">
        <v>1462</v>
      </c>
      <c r="BL24" s="490" t="s">
        <v>3071</v>
      </c>
      <c r="BO24" s="471" t="s">
        <v>130</v>
      </c>
      <c r="BP24" s="471" t="s">
        <v>416</v>
      </c>
      <c r="BQ24" s="471">
        <v>10</v>
      </c>
      <c r="BR24" s="471" t="s">
        <v>380</v>
      </c>
      <c r="BS24" s="471">
        <v>10</v>
      </c>
      <c r="BT24" s="471">
        <v>10</v>
      </c>
      <c r="BV24" s="366">
        <v>21</v>
      </c>
      <c r="BW24" s="366" t="str">
        <f t="shared" si="0"/>
        <v xml:space="preserve">21 kat, </v>
      </c>
      <c r="CL24" s="502">
        <v>0.78</v>
      </c>
      <c r="CX24" s="419">
        <v>22</v>
      </c>
      <c r="CY24" s="419" t="s">
        <v>500</v>
      </c>
      <c r="DE24" s="471">
        <v>14</v>
      </c>
      <c r="DF24" s="471" t="s">
        <v>384</v>
      </c>
      <c r="DG24" s="471" t="s">
        <v>3173</v>
      </c>
      <c r="DH24" s="471" t="s">
        <v>3174</v>
      </c>
      <c r="DI24" s="471" t="s">
        <v>3218</v>
      </c>
      <c r="DJ24" s="471" t="str">
        <f t="shared" si="1"/>
        <v>14. Normal Kat</v>
      </c>
      <c r="DK24" s="471" t="s">
        <v>3175</v>
      </c>
      <c r="DL24" s="471" t="str">
        <f t="shared" si="2"/>
        <v>Ondördüncü Kat</v>
      </c>
      <c r="DM24" s="471" t="str">
        <f t="shared" si="3"/>
        <v>14. Normalkat</v>
      </c>
      <c r="DN24" s="471" t="str">
        <f t="shared" si="4"/>
        <v>14.Kat</v>
      </c>
      <c r="DO24" s="471" t="str">
        <f t="shared" si="5"/>
        <v>14.Normal</v>
      </c>
      <c r="DP24" s="471" t="str">
        <f t="shared" si="6"/>
        <v>14.Normal Kat</v>
      </c>
      <c r="DQ24" s="471" t="str">
        <f t="shared" si="7"/>
        <v>Ondördüncükat</v>
      </c>
      <c r="DR24" s="515" t="s">
        <v>420</v>
      </c>
    </row>
    <row r="25" spans="5:122" ht="27.6" customHeight="1" thickTop="1" thickBot="1" x14ac:dyDescent="0.35">
      <c r="E25" s="471">
        <v>24</v>
      </c>
      <c r="F25" s="419" t="str">
        <f>+E25&amp;" bloklu site içerisinde "&amp;TEST!G$12&amp;" blokta konumludur."</f>
        <v>24 bloklu site içerisinde  blokta konumludur.</v>
      </c>
      <c r="Q25" s="2" t="s">
        <v>699</v>
      </c>
      <c r="AJ25" s="366">
        <v>23</v>
      </c>
      <c r="AK25" s="459">
        <v>0.25</v>
      </c>
      <c r="AU25" s="471" t="s">
        <v>1463</v>
      </c>
      <c r="BL25" s="490" t="s">
        <v>262</v>
      </c>
      <c r="BO25" s="471" t="s">
        <v>131</v>
      </c>
      <c r="BP25" s="471" t="s">
        <v>417</v>
      </c>
      <c r="BQ25" s="471">
        <v>11</v>
      </c>
      <c r="BR25" s="471" t="s">
        <v>381</v>
      </c>
      <c r="BS25" s="471">
        <v>11</v>
      </c>
      <c r="BT25" s="471">
        <v>11</v>
      </c>
      <c r="BV25" s="366">
        <v>22</v>
      </c>
      <c r="BW25" s="366" t="str">
        <f t="shared" si="0"/>
        <v xml:space="preserve">22 kat, </v>
      </c>
      <c r="CL25" s="502">
        <v>0.77</v>
      </c>
      <c r="CX25" s="419">
        <v>23</v>
      </c>
      <c r="CY25" s="419" t="s">
        <v>500</v>
      </c>
      <c r="DE25" s="471">
        <v>15</v>
      </c>
      <c r="DF25" s="471" t="s">
        <v>385</v>
      </c>
      <c r="DG25" s="471" t="s">
        <v>3176</v>
      </c>
      <c r="DH25" s="471" t="s">
        <v>3177</v>
      </c>
      <c r="DI25" s="471" t="s">
        <v>3219</v>
      </c>
      <c r="DJ25" s="471" t="str">
        <f t="shared" si="1"/>
        <v>15. Normal Kat</v>
      </c>
      <c r="DK25" s="471" t="s">
        <v>3178</v>
      </c>
      <c r="DL25" s="471" t="str">
        <f t="shared" si="2"/>
        <v>Onbeşinci Kat</v>
      </c>
      <c r="DM25" s="471" t="str">
        <f t="shared" si="3"/>
        <v>15. Normalkat</v>
      </c>
      <c r="DN25" s="471" t="str">
        <f t="shared" si="4"/>
        <v>15.Kat</v>
      </c>
      <c r="DO25" s="471" t="str">
        <f t="shared" si="5"/>
        <v>15.Normal</v>
      </c>
      <c r="DP25" s="471" t="str">
        <f t="shared" si="6"/>
        <v>15.Normal Kat</v>
      </c>
      <c r="DQ25" s="471" t="str">
        <f t="shared" si="7"/>
        <v>Onbeşincikat</v>
      </c>
      <c r="DR25" s="515" t="s">
        <v>421</v>
      </c>
    </row>
    <row r="26" spans="5:122" ht="27.6" customHeight="1" thickTop="1" thickBot="1" x14ac:dyDescent="0.35">
      <c r="E26" s="471">
        <v>25</v>
      </c>
      <c r="F26" s="419" t="str">
        <f>+E26&amp;" bloklu site içerisinde "&amp;TEST!G$12&amp;" blokta konumludur."</f>
        <v>25 bloklu site içerisinde  blokta konumludur.</v>
      </c>
      <c r="Q26" s="2" t="s">
        <v>700</v>
      </c>
      <c r="AJ26" s="366">
        <v>24</v>
      </c>
      <c r="AK26" s="459">
        <v>0.25</v>
      </c>
      <c r="AU26" s="471" t="s">
        <v>1464</v>
      </c>
      <c r="BL26" s="490" t="s">
        <v>263</v>
      </c>
      <c r="BO26" s="471" t="s">
        <v>132</v>
      </c>
      <c r="BP26" s="471" t="s">
        <v>418</v>
      </c>
      <c r="BQ26" s="471">
        <v>12</v>
      </c>
      <c r="BR26" s="471" t="s">
        <v>382</v>
      </c>
      <c r="BS26" s="471">
        <v>12</v>
      </c>
      <c r="BT26" s="471">
        <v>12</v>
      </c>
      <c r="CL26" s="502">
        <v>0.76</v>
      </c>
      <c r="CX26" s="419">
        <v>24</v>
      </c>
      <c r="CY26" s="419" t="s">
        <v>500</v>
      </c>
      <c r="DE26" s="471">
        <v>16</v>
      </c>
      <c r="DF26" s="471" t="s">
        <v>386</v>
      </c>
      <c r="DG26" s="471" t="s">
        <v>3179</v>
      </c>
      <c r="DH26" s="471" t="s">
        <v>3180</v>
      </c>
      <c r="DI26" s="471" t="s">
        <v>3220</v>
      </c>
      <c r="DJ26" s="471" t="str">
        <f t="shared" si="1"/>
        <v>16. Normal Kat</v>
      </c>
      <c r="DK26" s="471" t="s">
        <v>3181</v>
      </c>
      <c r="DL26" s="471" t="str">
        <f t="shared" si="2"/>
        <v>Onaltıncı Kat</v>
      </c>
      <c r="DM26" s="471" t="str">
        <f t="shared" si="3"/>
        <v>16. Normalkat</v>
      </c>
      <c r="DN26" s="471" t="str">
        <f t="shared" si="4"/>
        <v>16.Kat</v>
      </c>
      <c r="DO26" s="471" t="str">
        <f t="shared" si="5"/>
        <v>16.Normal</v>
      </c>
      <c r="DP26" s="471" t="str">
        <f t="shared" si="6"/>
        <v>16.Normal Kat</v>
      </c>
      <c r="DQ26" s="471" t="str">
        <f t="shared" si="7"/>
        <v>Onaltıncıkat</v>
      </c>
      <c r="DR26" s="515" t="s">
        <v>422</v>
      </c>
    </row>
    <row r="27" spans="5:122" ht="27.6" customHeight="1" thickTop="1" thickBot="1" x14ac:dyDescent="0.35">
      <c r="E27" s="471">
        <v>26</v>
      </c>
      <c r="F27" s="419" t="str">
        <f>+E27&amp;" bloklu site içerisinde "&amp;TEST!G$12&amp;" blokta konumludur."</f>
        <v>26 bloklu site içerisinde  blokta konumludur.</v>
      </c>
      <c r="Q27" s="2" t="s">
        <v>617</v>
      </c>
      <c r="AJ27" s="366">
        <v>25</v>
      </c>
      <c r="AK27" s="459">
        <v>0.25</v>
      </c>
      <c r="AU27" s="471" t="s">
        <v>1465</v>
      </c>
      <c r="BL27" s="490" t="s">
        <v>264</v>
      </c>
      <c r="BO27" s="471" t="s">
        <v>133</v>
      </c>
      <c r="BP27" s="471" t="s">
        <v>419</v>
      </c>
      <c r="BQ27" s="471">
        <v>13</v>
      </c>
      <c r="BR27" s="471" t="s">
        <v>383</v>
      </c>
      <c r="BS27" s="471">
        <v>13</v>
      </c>
      <c r="BT27" s="471">
        <v>13</v>
      </c>
      <c r="CL27" s="502">
        <v>0.75</v>
      </c>
      <c r="CX27" s="419">
        <v>25</v>
      </c>
      <c r="CY27" s="419" t="s">
        <v>500</v>
      </c>
      <c r="DE27" s="471">
        <v>17</v>
      </c>
      <c r="DF27" s="471" t="s">
        <v>387</v>
      </c>
      <c r="DG27" s="471" t="s">
        <v>3182</v>
      </c>
      <c r="DH27" s="471" t="s">
        <v>3183</v>
      </c>
      <c r="DI27" s="471" t="s">
        <v>3221</v>
      </c>
      <c r="DJ27" s="471" t="str">
        <f t="shared" si="1"/>
        <v>17. Normal Kat</v>
      </c>
      <c r="DK27" s="471" t="s">
        <v>3184</v>
      </c>
      <c r="DL27" s="471" t="str">
        <f t="shared" si="2"/>
        <v>Onyedinci Kat</v>
      </c>
      <c r="DM27" s="471" t="str">
        <f t="shared" si="3"/>
        <v>17. Normalkat</v>
      </c>
      <c r="DN27" s="471" t="str">
        <f t="shared" si="4"/>
        <v>17.Kat</v>
      </c>
      <c r="DO27" s="471" t="str">
        <f t="shared" si="5"/>
        <v>17.Normal</v>
      </c>
      <c r="DP27" s="471" t="str">
        <f t="shared" si="6"/>
        <v>17.Normal Kat</v>
      </c>
      <c r="DQ27" s="471" t="str">
        <f t="shared" si="7"/>
        <v>Onyedincikat</v>
      </c>
      <c r="DR27" s="515" t="s">
        <v>423</v>
      </c>
    </row>
    <row r="28" spans="5:122" ht="27.6" customHeight="1" thickTop="1" thickBot="1" x14ac:dyDescent="0.35">
      <c r="E28" s="471">
        <v>27</v>
      </c>
      <c r="F28" s="419" t="str">
        <f>+E28&amp;" bloklu site içerisinde "&amp;TEST!G$12&amp;" blokta konumludur."</f>
        <v>27 bloklu site içerisinde  blokta konumludur.</v>
      </c>
      <c r="Q28" s="2" t="s">
        <v>614</v>
      </c>
      <c r="AJ28" s="366">
        <v>26</v>
      </c>
      <c r="AK28" s="459">
        <v>0.25</v>
      </c>
      <c r="AU28" s="471" t="s">
        <v>1466</v>
      </c>
      <c r="BL28" s="490" t="s">
        <v>265</v>
      </c>
      <c r="BO28" s="471" t="s">
        <v>134</v>
      </c>
      <c r="BP28" s="471" t="s">
        <v>420</v>
      </c>
      <c r="BQ28" s="471">
        <v>14</v>
      </c>
      <c r="BR28" s="471" t="s">
        <v>384</v>
      </c>
      <c r="BS28" s="471">
        <v>14</v>
      </c>
      <c r="BT28" s="471">
        <v>14</v>
      </c>
      <c r="CL28" s="502">
        <v>0.74</v>
      </c>
      <c r="CX28" s="419">
        <v>26</v>
      </c>
      <c r="CY28" s="419" t="s">
        <v>500</v>
      </c>
      <c r="DE28" s="471">
        <v>18</v>
      </c>
      <c r="DF28" s="471" t="s">
        <v>388</v>
      </c>
      <c r="DG28" s="471" t="s">
        <v>3185</v>
      </c>
      <c r="DH28" s="471" t="s">
        <v>3186</v>
      </c>
      <c r="DI28" s="471" t="s">
        <v>3222</v>
      </c>
      <c r="DJ28" s="471" t="str">
        <f t="shared" si="1"/>
        <v>18. Normal Kat</v>
      </c>
      <c r="DK28" s="471" t="s">
        <v>3187</v>
      </c>
      <c r="DL28" s="471" t="str">
        <f t="shared" si="2"/>
        <v>Onsekizinci Kat</v>
      </c>
      <c r="DM28" s="471" t="str">
        <f t="shared" si="3"/>
        <v>18. Normalkat</v>
      </c>
      <c r="DN28" s="471" t="str">
        <f t="shared" si="4"/>
        <v>18.Kat</v>
      </c>
      <c r="DO28" s="471" t="str">
        <f t="shared" si="5"/>
        <v>18.Normal</v>
      </c>
      <c r="DP28" s="471" t="str">
        <f t="shared" si="6"/>
        <v>18.Normal Kat</v>
      </c>
      <c r="DQ28" s="471" t="str">
        <f t="shared" si="7"/>
        <v>Onsekizincikat</v>
      </c>
      <c r="DR28" s="515" t="s">
        <v>424</v>
      </c>
    </row>
    <row r="29" spans="5:122" ht="27.6" customHeight="1" thickTop="1" thickBot="1" x14ac:dyDescent="0.35">
      <c r="E29" s="471">
        <v>28</v>
      </c>
      <c r="F29" s="419" t="str">
        <f>+E29&amp;" bloklu site içerisinde "&amp;TEST!G$12&amp;" blokta konumludur."</f>
        <v>28 bloklu site içerisinde  blokta konumludur.</v>
      </c>
      <c r="AJ29" s="366">
        <v>27</v>
      </c>
      <c r="AK29" s="459">
        <v>0.25</v>
      </c>
      <c r="AU29" s="471" t="s">
        <v>1467</v>
      </c>
      <c r="BO29" s="471" t="s">
        <v>135</v>
      </c>
      <c r="BP29" s="471" t="s">
        <v>421</v>
      </c>
      <c r="BQ29" s="471">
        <v>15</v>
      </c>
      <c r="BR29" s="471" t="s">
        <v>385</v>
      </c>
      <c r="BS29" s="471">
        <v>15</v>
      </c>
      <c r="BT29" s="471">
        <v>15</v>
      </c>
      <c r="CL29" s="502">
        <v>0.73</v>
      </c>
      <c r="CX29" s="419">
        <v>27</v>
      </c>
      <c r="CY29" s="419" t="s">
        <v>500</v>
      </c>
      <c r="DE29" s="471">
        <v>19</v>
      </c>
      <c r="DF29" s="471" t="s">
        <v>389</v>
      </c>
      <c r="DG29" s="471" t="s">
        <v>3188</v>
      </c>
      <c r="DH29" s="471" t="s">
        <v>3189</v>
      </c>
      <c r="DI29" s="471" t="s">
        <v>3223</v>
      </c>
      <c r="DJ29" s="471" t="str">
        <f t="shared" si="1"/>
        <v>19. Normal Kat</v>
      </c>
      <c r="DK29" s="471" t="s">
        <v>3190</v>
      </c>
      <c r="DL29" s="471" t="str">
        <f t="shared" si="2"/>
        <v>Ondokuzuncu Kat</v>
      </c>
      <c r="DM29" s="471" t="str">
        <f t="shared" si="3"/>
        <v>19. Normalkat</v>
      </c>
      <c r="DN29" s="471" t="str">
        <f t="shared" si="4"/>
        <v>19.Kat</v>
      </c>
      <c r="DO29" s="471" t="str">
        <f t="shared" si="5"/>
        <v>19.Normal</v>
      </c>
      <c r="DP29" s="471" t="str">
        <f t="shared" si="6"/>
        <v>19.Normal Kat</v>
      </c>
      <c r="DQ29" s="471" t="str">
        <f t="shared" si="7"/>
        <v>Ondokuzuncukat</v>
      </c>
      <c r="DR29" s="515" t="s">
        <v>425</v>
      </c>
    </row>
    <row r="30" spans="5:122" ht="27.6" customHeight="1" thickTop="1" thickBot="1" x14ac:dyDescent="0.35">
      <c r="E30" s="471">
        <v>29</v>
      </c>
      <c r="F30" s="419" t="str">
        <f>+E30&amp;" bloklu site içerisinde "&amp;TEST!G$12&amp;" blokta konumludur."</f>
        <v>29 bloklu site içerisinde  blokta konumludur.</v>
      </c>
      <c r="AC30" s="538">
        <f>+AD30</f>
        <v>4636800</v>
      </c>
      <c r="AD30" s="538">
        <v>4636800</v>
      </c>
      <c r="AJ30" s="366">
        <v>28</v>
      </c>
      <c r="AK30" s="459">
        <v>0.25</v>
      </c>
      <c r="AU30" s="471" t="s">
        <v>1468</v>
      </c>
      <c r="BO30" s="471" t="s">
        <v>136</v>
      </c>
      <c r="BP30" s="471" t="s">
        <v>422</v>
      </c>
      <c r="BQ30" s="471">
        <v>16</v>
      </c>
      <c r="BR30" s="471" t="s">
        <v>386</v>
      </c>
      <c r="BS30" s="471">
        <v>16</v>
      </c>
      <c r="BT30" s="471">
        <v>16</v>
      </c>
      <c r="CL30" s="502">
        <v>0.72</v>
      </c>
      <c r="CX30" s="419">
        <v>28</v>
      </c>
      <c r="CY30" s="419" t="s">
        <v>500</v>
      </c>
      <c r="DE30" s="471">
        <v>20</v>
      </c>
      <c r="DF30" s="471" t="s">
        <v>390</v>
      </c>
      <c r="DG30" s="471" t="s">
        <v>3191</v>
      </c>
      <c r="DH30" s="471" t="s">
        <v>3192</v>
      </c>
      <c r="DI30" s="471" t="s">
        <v>3224</v>
      </c>
      <c r="DJ30" s="471" t="str">
        <f t="shared" si="1"/>
        <v>20. Normal Kat</v>
      </c>
      <c r="DK30" s="471" t="s">
        <v>3193</v>
      </c>
      <c r="DL30" s="471" t="str">
        <f t="shared" si="2"/>
        <v>Yirminci Kat</v>
      </c>
      <c r="DM30" s="471" t="str">
        <f t="shared" si="3"/>
        <v>20. Normalkat</v>
      </c>
      <c r="DN30" s="471" t="str">
        <f t="shared" si="4"/>
        <v>20.Kat</v>
      </c>
      <c r="DO30" s="471" t="str">
        <f t="shared" si="5"/>
        <v>20.Normal</v>
      </c>
      <c r="DP30" s="471" t="str">
        <f t="shared" si="6"/>
        <v>20.Normal Kat</v>
      </c>
      <c r="DQ30" s="471" t="str">
        <f t="shared" si="7"/>
        <v>Yirmincikat</v>
      </c>
      <c r="DR30" s="515" t="s">
        <v>426</v>
      </c>
    </row>
    <row r="31" spans="5:122" ht="27.6" customHeight="1" thickTop="1" thickBot="1" x14ac:dyDescent="0.35">
      <c r="E31" s="471">
        <v>30</v>
      </c>
      <c r="F31" s="419" t="str">
        <f>+E31&amp;" bloklu site içerisinde "&amp;TEST!G$12&amp;" blokta konumludur."</f>
        <v>30 bloklu site içerisinde  blokta konumludur.</v>
      </c>
      <c r="AA31" s="536">
        <v>23400</v>
      </c>
      <c r="AB31" s="536">
        <v>195</v>
      </c>
      <c r="AC31" s="536">
        <f>+AB31*AA31</f>
        <v>4563000</v>
      </c>
      <c r="AD31" s="538">
        <f>+AC31*0.9</f>
        <v>4106700</v>
      </c>
      <c r="AJ31" s="366">
        <v>29</v>
      </c>
      <c r="AK31" s="459">
        <v>0.25</v>
      </c>
      <c r="AU31" s="471" t="s">
        <v>1469</v>
      </c>
      <c r="BO31" s="471" t="s">
        <v>137</v>
      </c>
      <c r="BP31" s="471" t="s">
        <v>423</v>
      </c>
      <c r="BQ31" s="471">
        <v>17</v>
      </c>
      <c r="BR31" s="471" t="s">
        <v>387</v>
      </c>
      <c r="BS31" s="471">
        <v>17</v>
      </c>
      <c r="BT31" s="471">
        <v>17</v>
      </c>
      <c r="CL31" s="502">
        <v>0.71</v>
      </c>
      <c r="CX31" s="419">
        <v>29</v>
      </c>
      <c r="CY31" s="419" t="s">
        <v>500</v>
      </c>
      <c r="DE31" s="471">
        <v>21</v>
      </c>
      <c r="DF31" s="471" t="s">
        <v>391</v>
      </c>
      <c r="DG31" s="471" t="s">
        <v>3194</v>
      </c>
      <c r="DH31" s="471" t="s">
        <v>3195</v>
      </c>
      <c r="DI31" s="471" t="s">
        <v>3225</v>
      </c>
      <c r="DJ31" s="471" t="str">
        <f t="shared" si="1"/>
        <v>21. Normal Kat</v>
      </c>
      <c r="DK31" s="471" t="s">
        <v>3196</v>
      </c>
      <c r="DL31" s="471" t="str">
        <f t="shared" si="2"/>
        <v>Yirmibirinci Kat</v>
      </c>
      <c r="DM31" s="471" t="str">
        <f t="shared" si="3"/>
        <v>21. Normalkat</v>
      </c>
      <c r="DN31" s="471" t="str">
        <f t="shared" si="4"/>
        <v>21.Kat</v>
      </c>
      <c r="DO31" s="471" t="str">
        <f t="shared" si="5"/>
        <v>21.Normal</v>
      </c>
      <c r="DP31" s="471" t="str">
        <f t="shared" si="6"/>
        <v>21.Normal Kat</v>
      </c>
      <c r="DQ31" s="471" t="str">
        <f t="shared" si="7"/>
        <v>Yirmibirincikat</v>
      </c>
      <c r="DR31" s="515" t="s">
        <v>427</v>
      </c>
    </row>
    <row r="32" spans="5:122" ht="27.6" customHeight="1" thickTop="1" thickBot="1" x14ac:dyDescent="0.35">
      <c r="E32" s="471">
        <v>31</v>
      </c>
      <c r="F32" s="419" t="str">
        <f>+E32&amp;" bloklu site içerisinde "&amp;TEST!G$12&amp;" blokta konumludur."</f>
        <v>31 bloklu site içerisinde  blokta konumludur.</v>
      </c>
      <c r="AA32" s="537"/>
      <c r="AB32" s="537"/>
      <c r="AC32" s="538">
        <f>+AC31*0.1</f>
        <v>456300</v>
      </c>
      <c r="AD32" s="538">
        <f>12000000-AD31-AD30</f>
        <v>3256500</v>
      </c>
      <c r="AJ32" s="366">
        <v>30</v>
      </c>
      <c r="AK32" s="459">
        <v>0.25</v>
      </c>
      <c r="AU32" s="471" t="s">
        <v>1470</v>
      </c>
      <c r="BO32" s="471" t="s">
        <v>138</v>
      </c>
      <c r="BP32" s="471" t="s">
        <v>424</v>
      </c>
      <c r="BQ32" s="471">
        <v>18</v>
      </c>
      <c r="BR32" s="471" t="s">
        <v>388</v>
      </c>
      <c r="BS32" s="471">
        <v>18</v>
      </c>
      <c r="BT32" s="471">
        <v>18</v>
      </c>
      <c r="CL32" s="502">
        <v>0.7</v>
      </c>
      <c r="CX32" s="419">
        <v>30</v>
      </c>
      <c r="CY32" s="419" t="s">
        <v>500</v>
      </c>
      <c r="DE32" s="471">
        <v>22</v>
      </c>
      <c r="DF32" s="471" t="s">
        <v>392</v>
      </c>
      <c r="DG32" s="471" t="s">
        <v>3197</v>
      </c>
      <c r="DH32" s="471" t="s">
        <v>3198</v>
      </c>
      <c r="DI32" s="471" t="s">
        <v>3226</v>
      </c>
      <c r="DJ32" s="471" t="str">
        <f t="shared" si="1"/>
        <v>22. Normal Kat</v>
      </c>
      <c r="DK32" s="471" t="s">
        <v>3199</v>
      </c>
      <c r="DL32" s="471" t="str">
        <f t="shared" si="2"/>
        <v>Yirmiikinci Kat</v>
      </c>
      <c r="DM32" s="471" t="str">
        <f t="shared" si="3"/>
        <v>22. Normalkat</v>
      </c>
      <c r="DN32" s="471" t="str">
        <f t="shared" si="4"/>
        <v>22.Kat</v>
      </c>
      <c r="DO32" s="471" t="str">
        <f t="shared" si="5"/>
        <v>22.Normal</v>
      </c>
      <c r="DP32" s="471" t="str">
        <f t="shared" si="6"/>
        <v>22.Normal Kat</v>
      </c>
      <c r="DQ32" s="471" t="str">
        <f t="shared" si="7"/>
        <v>Yirmiikincikat</v>
      </c>
      <c r="DR32" s="515" t="s">
        <v>428</v>
      </c>
    </row>
    <row r="33" spans="5:122" ht="27.6" customHeight="1" thickTop="1" thickBot="1" x14ac:dyDescent="0.35">
      <c r="E33" s="471">
        <v>32</v>
      </c>
      <c r="F33" s="419" t="str">
        <f>+E33&amp;" bloklu site içerisinde "&amp;TEST!G$12&amp;" blokta konumludur."</f>
        <v>32 bloklu site içerisinde  blokta konumludur.</v>
      </c>
      <c r="AA33" s="537"/>
      <c r="AB33" s="537"/>
      <c r="AC33" s="537"/>
      <c r="AJ33" s="366">
        <v>31</v>
      </c>
      <c r="AK33" s="459">
        <v>0.32</v>
      </c>
      <c r="AU33" s="471" t="s">
        <v>1471</v>
      </c>
      <c r="BO33" s="471" t="s">
        <v>139</v>
      </c>
      <c r="BP33" s="471" t="s">
        <v>425</v>
      </c>
      <c r="BQ33" s="471">
        <v>19</v>
      </c>
      <c r="BR33" s="471" t="s">
        <v>389</v>
      </c>
      <c r="BS33" s="471">
        <v>19</v>
      </c>
      <c r="BT33" s="471">
        <v>19</v>
      </c>
      <c r="CL33" s="502">
        <v>0.69</v>
      </c>
      <c r="CX33" s="419">
        <v>31</v>
      </c>
      <c r="CY33" s="419" t="s">
        <v>500</v>
      </c>
      <c r="DE33" s="471">
        <v>23</v>
      </c>
      <c r="DF33" s="471" t="s">
        <v>393</v>
      </c>
      <c r="DG33" s="471" t="s">
        <v>3200</v>
      </c>
      <c r="DH33" s="471" t="s">
        <v>3201</v>
      </c>
      <c r="DI33" s="471" t="s">
        <v>3227</v>
      </c>
      <c r="DJ33" s="471" t="str">
        <f t="shared" si="1"/>
        <v>23. Normal Kat</v>
      </c>
      <c r="DK33" s="471" t="s">
        <v>3202</v>
      </c>
      <c r="DL33" s="471" t="str">
        <f t="shared" si="2"/>
        <v>Yirmiüçüncü Kat</v>
      </c>
      <c r="DM33" s="471" t="str">
        <f t="shared" si="3"/>
        <v>23. Normalkat</v>
      </c>
      <c r="DN33" s="471" t="str">
        <f t="shared" si="4"/>
        <v>23.Kat</v>
      </c>
      <c r="DO33" s="471" t="str">
        <f t="shared" si="5"/>
        <v>23.Normal</v>
      </c>
      <c r="DP33" s="471" t="str">
        <f t="shared" si="6"/>
        <v>23.Normal Kat</v>
      </c>
      <c r="DQ33" s="471" t="str">
        <f t="shared" si="7"/>
        <v>Yirmiüçüncükat</v>
      </c>
      <c r="DR33" s="515" t="s">
        <v>429</v>
      </c>
    </row>
    <row r="34" spans="5:122" ht="27.6" customHeight="1" thickTop="1" thickBot="1" x14ac:dyDescent="0.35">
      <c r="E34" s="471">
        <v>33</v>
      </c>
      <c r="F34" s="419" t="str">
        <f>+E34&amp;" bloklu site içerisinde "&amp;TEST!G$12&amp;" blokta konumludur."</f>
        <v>33 bloklu site içerisinde  blokta konumludur.</v>
      </c>
      <c r="AA34" s="537"/>
      <c r="AB34" s="537"/>
      <c r="AC34" s="537">
        <f>12750000-AC30-AC31</f>
        <v>3550200</v>
      </c>
      <c r="AJ34" s="366">
        <v>32</v>
      </c>
      <c r="AK34" s="459">
        <v>0.32</v>
      </c>
      <c r="AU34" s="471" t="s">
        <v>1472</v>
      </c>
      <c r="BO34" s="471" t="s">
        <v>140</v>
      </c>
      <c r="BP34" s="471" t="s">
        <v>426</v>
      </c>
      <c r="BQ34" s="471">
        <v>20</v>
      </c>
      <c r="BR34" s="471" t="s">
        <v>390</v>
      </c>
      <c r="BS34" s="471">
        <v>20</v>
      </c>
      <c r="BT34" s="471">
        <v>20</v>
      </c>
      <c r="CL34" s="502">
        <v>0.68</v>
      </c>
      <c r="CX34" s="419">
        <v>32</v>
      </c>
      <c r="CY34" s="419" t="s">
        <v>500</v>
      </c>
      <c r="DE34" s="471">
        <v>24</v>
      </c>
      <c r="DF34" s="471" t="s">
        <v>394</v>
      </c>
      <c r="DG34" s="471" t="s">
        <v>3203</v>
      </c>
      <c r="DH34" s="471" t="s">
        <v>3204</v>
      </c>
      <c r="DI34" s="471" t="s">
        <v>3235</v>
      </c>
      <c r="DJ34" s="471" t="str">
        <f t="shared" si="1"/>
        <v>24. Normal Kat</v>
      </c>
      <c r="DK34" s="471" t="s">
        <v>3205</v>
      </c>
      <c r="DL34" s="471" t="str">
        <f t="shared" si="2"/>
        <v>Yirmidördüncü Kat</v>
      </c>
      <c r="DM34" s="471" t="str">
        <f t="shared" si="3"/>
        <v>24. Normalkat</v>
      </c>
      <c r="DN34" s="471" t="str">
        <f t="shared" si="4"/>
        <v>24.Kat</v>
      </c>
      <c r="DO34" s="471" t="str">
        <f t="shared" si="5"/>
        <v>24.Normal</v>
      </c>
      <c r="DP34" s="471" t="str">
        <f t="shared" si="6"/>
        <v>24.Normal Kat</v>
      </c>
      <c r="DQ34" s="471" t="str">
        <f t="shared" si="7"/>
        <v>Yirmidördüncükat</v>
      </c>
      <c r="DR34" s="515" t="s">
        <v>430</v>
      </c>
    </row>
    <row r="35" spans="5:122" ht="27.6" customHeight="1" thickTop="1" thickBot="1" x14ac:dyDescent="0.35">
      <c r="E35" s="471">
        <v>34</v>
      </c>
      <c r="F35" s="419" t="str">
        <f>+E35&amp;" bloklu site içerisinde "&amp;TEST!G$12&amp;" blokta konumludur."</f>
        <v>34 bloklu site içerisinde  blokta konumludur.</v>
      </c>
      <c r="AJ35" s="366">
        <v>33</v>
      </c>
      <c r="AK35" s="459">
        <v>0.32</v>
      </c>
      <c r="AU35" s="471" t="s">
        <v>1477</v>
      </c>
      <c r="BO35" s="471" t="s">
        <v>141</v>
      </c>
      <c r="BP35" s="471" t="s">
        <v>427</v>
      </c>
      <c r="BQ35" s="471">
        <v>21</v>
      </c>
      <c r="BR35" s="471" t="s">
        <v>391</v>
      </c>
      <c r="BS35" s="471">
        <v>21</v>
      </c>
      <c r="BT35" s="471">
        <v>21</v>
      </c>
      <c r="CL35" s="502">
        <v>0.67</v>
      </c>
      <c r="CX35" s="419">
        <v>33</v>
      </c>
      <c r="CY35" s="419" t="s">
        <v>500</v>
      </c>
      <c r="DE35" s="471">
        <v>25</v>
      </c>
      <c r="DF35" s="471" t="s">
        <v>395</v>
      </c>
      <c r="DG35" s="471" t="s">
        <v>3206</v>
      </c>
      <c r="DH35" s="471" t="s">
        <v>3207</v>
      </c>
      <c r="DI35" s="471" t="s">
        <v>3228</v>
      </c>
      <c r="DJ35" s="471" t="str">
        <f t="shared" si="1"/>
        <v>25. Normal Kat</v>
      </c>
      <c r="DK35" s="471" t="s">
        <v>3208</v>
      </c>
      <c r="DL35" s="471" t="str">
        <f t="shared" si="2"/>
        <v>Yirmibeşinci Kat</v>
      </c>
      <c r="DM35" s="471" t="str">
        <f t="shared" si="3"/>
        <v>25. Normalkat</v>
      </c>
      <c r="DN35" s="471" t="str">
        <f t="shared" si="4"/>
        <v>25.Kat</v>
      </c>
      <c r="DO35" s="471" t="str">
        <f t="shared" si="5"/>
        <v>25.Normal</v>
      </c>
      <c r="DP35" s="471" t="str">
        <f t="shared" si="6"/>
        <v>25.Normal Kat</v>
      </c>
      <c r="DQ35" s="471" t="str">
        <f t="shared" si="7"/>
        <v>Yirmibeşincikat</v>
      </c>
      <c r="DR35" s="515" t="s">
        <v>431</v>
      </c>
    </row>
    <row r="36" spans="5:122" ht="27.6" customHeight="1" thickTop="1" thickBot="1" x14ac:dyDescent="0.35">
      <c r="E36" s="471">
        <v>35</v>
      </c>
      <c r="F36" s="419" t="str">
        <f>+E36&amp;" bloklu site içerisinde "&amp;TEST!G$12&amp;" blokta konumludur."</f>
        <v>35 bloklu site içerisinde  blokta konumludur.</v>
      </c>
      <c r="AJ36" s="366">
        <v>34</v>
      </c>
      <c r="AK36" s="459">
        <v>0.32</v>
      </c>
      <c r="AU36" s="471" t="s">
        <v>1479</v>
      </c>
      <c r="BO36" s="471" t="s">
        <v>142</v>
      </c>
      <c r="BP36" s="471" t="s">
        <v>428</v>
      </c>
      <c r="BQ36" s="471">
        <v>22</v>
      </c>
      <c r="BR36" s="471" t="s">
        <v>392</v>
      </c>
      <c r="BS36" s="471">
        <v>22</v>
      </c>
      <c r="BT36" s="471">
        <v>22</v>
      </c>
      <c r="CL36" s="502">
        <v>0.66</v>
      </c>
    </row>
    <row r="37" spans="5:122" ht="27.6" customHeight="1" thickTop="1" thickBot="1" x14ac:dyDescent="0.35">
      <c r="E37" s="471">
        <v>36</v>
      </c>
      <c r="F37" s="419" t="str">
        <f>+E37&amp;" bloklu site içerisinde "&amp;TEST!G$12&amp;" blokta konumludur."</f>
        <v>36 bloklu site içerisinde  blokta konumludur.</v>
      </c>
      <c r="AJ37" s="366">
        <v>35</v>
      </c>
      <c r="AK37" s="459">
        <v>0.32</v>
      </c>
      <c r="AU37" s="471" t="s">
        <v>1473</v>
      </c>
      <c r="BO37" s="471" t="s">
        <v>143</v>
      </c>
      <c r="BP37" s="471" t="s">
        <v>429</v>
      </c>
      <c r="BQ37" s="471">
        <v>23</v>
      </c>
      <c r="BR37" s="471" t="s">
        <v>393</v>
      </c>
      <c r="BS37" s="471">
        <v>23</v>
      </c>
      <c r="BT37" s="471">
        <v>23</v>
      </c>
      <c r="CL37" s="502">
        <v>0.65</v>
      </c>
    </row>
    <row r="38" spans="5:122" ht="27.6" customHeight="1" thickTop="1" thickBot="1" x14ac:dyDescent="0.35">
      <c r="E38" s="471">
        <v>37</v>
      </c>
      <c r="F38" s="419" t="str">
        <f>+E38&amp;" bloklu site içerisinde "&amp;TEST!G$12&amp;" blokta konumludur."</f>
        <v>37 bloklu site içerisinde  blokta konumludur.</v>
      </c>
      <c r="AJ38" s="366">
        <v>36</v>
      </c>
      <c r="AK38" s="459">
        <v>0.32</v>
      </c>
      <c r="AU38" s="471" t="s">
        <v>1478</v>
      </c>
      <c r="BO38" s="471" t="s">
        <v>144</v>
      </c>
      <c r="BP38" s="471" t="s">
        <v>430</v>
      </c>
      <c r="BQ38" s="471">
        <v>24</v>
      </c>
      <c r="BR38" s="471" t="s">
        <v>394</v>
      </c>
      <c r="BS38" s="471">
        <v>24</v>
      </c>
      <c r="BT38" s="471">
        <v>24</v>
      </c>
      <c r="CL38" s="502">
        <v>0.64</v>
      </c>
    </row>
    <row r="39" spans="5:122" ht="27.6" customHeight="1" thickTop="1" thickBot="1" x14ac:dyDescent="0.35">
      <c r="E39" s="471">
        <v>38</v>
      </c>
      <c r="F39" s="419" t="str">
        <f>+E39&amp;" bloklu site içerisinde "&amp;TEST!G$12&amp;" blokta konumludur."</f>
        <v>38 bloklu site içerisinde  blokta konumludur.</v>
      </c>
      <c r="AJ39" s="366">
        <v>37</v>
      </c>
      <c r="AK39" s="459">
        <v>0.32</v>
      </c>
      <c r="BO39" s="471" t="s">
        <v>145</v>
      </c>
      <c r="BP39" s="471" t="s">
        <v>431</v>
      </c>
      <c r="BQ39" s="471">
        <v>25</v>
      </c>
      <c r="BR39" s="471" t="s">
        <v>395</v>
      </c>
      <c r="BS39" s="471">
        <v>25</v>
      </c>
      <c r="BT39" s="471">
        <v>25</v>
      </c>
      <c r="CL39" s="502">
        <v>0.63</v>
      </c>
    </row>
    <row r="40" spans="5:122" ht="27.6" customHeight="1" thickTop="1" thickBot="1" x14ac:dyDescent="0.35">
      <c r="E40" s="471">
        <v>39</v>
      </c>
      <c r="F40" s="419" t="str">
        <f>+E40&amp;" bloklu site içerisinde "&amp;TEST!G$12&amp;" blokta konumludur."</f>
        <v>39 bloklu site içerisinde  blokta konumludur.</v>
      </c>
      <c r="AJ40" s="366">
        <v>38</v>
      </c>
      <c r="AK40" s="459">
        <v>0.32</v>
      </c>
      <c r="CL40" s="502">
        <v>0.62</v>
      </c>
    </row>
    <row r="41" spans="5:122" ht="27.6" customHeight="1" thickTop="1" thickBot="1" x14ac:dyDescent="0.35">
      <c r="AJ41" s="366">
        <v>39</v>
      </c>
      <c r="AK41" s="459">
        <v>0.32</v>
      </c>
      <c r="CL41" s="502">
        <v>0.61</v>
      </c>
    </row>
    <row r="42" spans="5:122" ht="27.6" customHeight="1" thickTop="1" thickBot="1" x14ac:dyDescent="0.35">
      <c r="N42" s="119"/>
      <c r="O42" s="119"/>
      <c r="P42" s="238"/>
      <c r="Q42" s="119"/>
      <c r="R42" s="119"/>
      <c r="AJ42" s="366">
        <v>40</v>
      </c>
      <c r="AK42" s="459">
        <v>0.32</v>
      </c>
      <c r="CL42" s="502">
        <v>0.6</v>
      </c>
    </row>
    <row r="43" spans="5:122" ht="27.6" customHeight="1" thickTop="1" thickBot="1" x14ac:dyDescent="0.35">
      <c r="N43" s="119"/>
      <c r="O43" s="119"/>
      <c r="P43" s="238"/>
      <c r="Q43" s="119"/>
      <c r="R43" s="119"/>
      <c r="AJ43" s="366">
        <v>41</v>
      </c>
      <c r="AK43" s="459">
        <v>0.4</v>
      </c>
      <c r="CL43" s="502">
        <v>0.59</v>
      </c>
    </row>
    <row r="44" spans="5:122" ht="27.6" customHeight="1" thickTop="1" thickBot="1" x14ac:dyDescent="0.35">
      <c r="N44" s="119"/>
      <c r="O44" s="119"/>
      <c r="P44" s="238"/>
      <c r="Q44" s="120"/>
      <c r="R44" s="120"/>
      <c r="T44" s="121"/>
      <c r="AJ44" s="366">
        <v>42</v>
      </c>
      <c r="AK44" s="459">
        <v>0.4</v>
      </c>
      <c r="CL44" s="502">
        <v>0.57999999999999996</v>
      </c>
    </row>
    <row r="45" spans="5:122" ht="27.6" customHeight="1" thickTop="1" thickBot="1" x14ac:dyDescent="0.35">
      <c r="N45" s="119"/>
      <c r="O45" s="119"/>
      <c r="AJ45" s="366">
        <v>43</v>
      </c>
      <c r="AK45" s="459">
        <v>0.4</v>
      </c>
      <c r="CL45" s="502">
        <v>0.56999999999999995</v>
      </c>
    </row>
    <row r="46" spans="5:122" ht="27.6" customHeight="1" thickTop="1" thickBot="1" x14ac:dyDescent="0.35">
      <c r="AJ46" s="366">
        <v>44</v>
      </c>
      <c r="AK46" s="459">
        <v>0.4</v>
      </c>
      <c r="CL46" s="502">
        <v>0.56000000000000005</v>
      </c>
    </row>
    <row r="47" spans="5:122" ht="27.6" customHeight="1" thickTop="1" thickBot="1" x14ac:dyDescent="0.35">
      <c r="AJ47" s="366">
        <v>45</v>
      </c>
      <c r="AK47" s="459">
        <v>0.4</v>
      </c>
      <c r="CL47" s="502">
        <v>0.55000000000000004</v>
      </c>
    </row>
    <row r="48" spans="5:122" ht="27.6" customHeight="1" thickTop="1" thickBot="1" x14ac:dyDescent="0.35">
      <c r="AJ48" s="366">
        <v>46</v>
      </c>
      <c r="AK48" s="459">
        <v>0.4</v>
      </c>
      <c r="CL48" s="502">
        <v>0.54</v>
      </c>
    </row>
    <row r="49" spans="36:90" ht="27.6" customHeight="1" thickTop="1" thickBot="1" x14ac:dyDescent="0.35">
      <c r="AJ49" s="366">
        <v>47</v>
      </c>
      <c r="AK49" s="459">
        <v>0.4</v>
      </c>
      <c r="CL49" s="502">
        <v>0.53</v>
      </c>
    </row>
    <row r="50" spans="36:90" ht="27.6" customHeight="1" thickTop="1" thickBot="1" x14ac:dyDescent="0.35">
      <c r="AJ50" s="366">
        <v>48</v>
      </c>
      <c r="AK50" s="459">
        <v>0.4</v>
      </c>
      <c r="CL50" s="502">
        <v>0.52</v>
      </c>
    </row>
    <row r="51" spans="36:90" ht="27.6" customHeight="1" thickTop="1" thickBot="1" x14ac:dyDescent="0.35">
      <c r="AJ51" s="366">
        <v>49</v>
      </c>
      <c r="AK51" s="459">
        <v>0.4</v>
      </c>
      <c r="CL51" s="502">
        <v>0.51</v>
      </c>
    </row>
    <row r="52" spans="36:90" ht="27.6" customHeight="1" thickTop="1" thickBot="1" x14ac:dyDescent="0.35">
      <c r="AJ52" s="366">
        <v>50</v>
      </c>
      <c r="AK52" s="459">
        <v>0.4</v>
      </c>
      <c r="CL52" s="502">
        <v>0.5</v>
      </c>
    </row>
    <row r="53" spans="36:90" ht="27.6" customHeight="1" thickTop="1" thickBot="1" x14ac:dyDescent="0.35">
      <c r="AJ53" s="366">
        <v>51</v>
      </c>
      <c r="AK53" s="459">
        <v>0.5</v>
      </c>
      <c r="CL53" s="502">
        <v>0.49</v>
      </c>
    </row>
    <row r="54" spans="36:90" ht="27.6" customHeight="1" thickTop="1" thickBot="1" x14ac:dyDescent="0.35">
      <c r="AJ54" s="366">
        <v>52</v>
      </c>
      <c r="AK54" s="459">
        <v>0.5</v>
      </c>
      <c r="CL54" s="502">
        <v>0.48</v>
      </c>
    </row>
    <row r="55" spans="36:90" ht="27.6" customHeight="1" thickTop="1" thickBot="1" x14ac:dyDescent="0.35">
      <c r="AJ55" s="366">
        <v>53</v>
      </c>
      <c r="AK55" s="459">
        <v>0.5</v>
      </c>
      <c r="CL55" s="502">
        <v>0.47</v>
      </c>
    </row>
    <row r="56" spans="36:90" ht="27.6" customHeight="1" thickTop="1" thickBot="1" x14ac:dyDescent="0.35">
      <c r="AJ56" s="366">
        <v>54</v>
      </c>
      <c r="AK56" s="459">
        <v>0.5</v>
      </c>
      <c r="CL56" s="502">
        <v>0.46</v>
      </c>
    </row>
    <row r="57" spans="36:90" ht="27.6" customHeight="1" thickTop="1" thickBot="1" x14ac:dyDescent="0.35">
      <c r="AJ57" s="366">
        <v>55</v>
      </c>
      <c r="AK57" s="459">
        <v>0.5</v>
      </c>
      <c r="CL57" s="502">
        <v>0.45</v>
      </c>
    </row>
    <row r="58" spans="36:90" ht="27.6" customHeight="1" thickTop="1" thickBot="1" x14ac:dyDescent="0.35">
      <c r="AJ58" s="366">
        <v>56</v>
      </c>
      <c r="AK58" s="459">
        <v>0.5</v>
      </c>
      <c r="CL58" s="502">
        <v>0.44</v>
      </c>
    </row>
    <row r="59" spans="36:90" ht="27.6" customHeight="1" thickTop="1" thickBot="1" x14ac:dyDescent="0.35">
      <c r="AJ59" s="366">
        <v>57</v>
      </c>
      <c r="AK59" s="459">
        <v>0.5</v>
      </c>
      <c r="CL59" s="502">
        <v>0.42999999999999899</v>
      </c>
    </row>
    <row r="60" spans="36:90" ht="27.6" customHeight="1" thickTop="1" thickBot="1" x14ac:dyDescent="0.35">
      <c r="AJ60" s="366">
        <v>58</v>
      </c>
      <c r="AK60" s="459">
        <v>0.5</v>
      </c>
      <c r="CL60" s="502">
        <v>0.41999999999999899</v>
      </c>
    </row>
    <row r="61" spans="36:90" ht="27.6" customHeight="1" thickTop="1" thickBot="1" x14ac:dyDescent="0.35">
      <c r="AJ61" s="366">
        <v>59</v>
      </c>
      <c r="AK61" s="459">
        <v>0.5</v>
      </c>
      <c r="CL61" s="502">
        <v>0.40999999999999898</v>
      </c>
    </row>
    <row r="62" spans="36:90" ht="27.6" customHeight="1" thickTop="1" thickBot="1" x14ac:dyDescent="0.35">
      <c r="AJ62" s="366">
        <v>60</v>
      </c>
      <c r="AK62" s="459">
        <v>0.5</v>
      </c>
      <c r="CL62" s="502">
        <v>0.39999999999999902</v>
      </c>
    </row>
    <row r="63" spans="36:90" ht="27.6" customHeight="1" thickTop="1" thickBot="1" x14ac:dyDescent="0.35">
      <c r="AJ63" s="366">
        <v>61</v>
      </c>
      <c r="AK63" s="459">
        <v>0.5</v>
      </c>
      <c r="CL63" s="502">
        <v>0.38999999999999901</v>
      </c>
    </row>
    <row r="64" spans="36:90" ht="27.6" customHeight="1" thickTop="1" thickBot="1" x14ac:dyDescent="0.35">
      <c r="AJ64" s="366">
        <v>62</v>
      </c>
      <c r="AK64" s="459">
        <v>0.5</v>
      </c>
      <c r="CL64" s="502">
        <v>0.37999999999999901</v>
      </c>
    </row>
    <row r="65" spans="36:90" ht="27.6" customHeight="1" thickTop="1" thickBot="1" x14ac:dyDescent="0.35">
      <c r="AJ65" s="366">
        <v>63</v>
      </c>
      <c r="AK65" s="459">
        <v>0.5</v>
      </c>
      <c r="CL65" s="502">
        <v>0.369999999999999</v>
      </c>
    </row>
    <row r="66" spans="36:90" ht="27.6" customHeight="1" thickTop="1" thickBot="1" x14ac:dyDescent="0.35">
      <c r="AJ66" s="366">
        <v>64</v>
      </c>
      <c r="AK66" s="459">
        <v>0.5</v>
      </c>
      <c r="CL66" s="502">
        <v>0.35999999999999899</v>
      </c>
    </row>
    <row r="67" spans="36:90" thickTop="1" thickBot="1" x14ac:dyDescent="0.35">
      <c r="AJ67" s="366">
        <v>65</v>
      </c>
      <c r="AK67" s="459">
        <v>0.5</v>
      </c>
      <c r="CL67" s="502">
        <v>0.34999999999999898</v>
      </c>
    </row>
    <row r="68" spans="36:90" thickTop="1" thickBot="1" x14ac:dyDescent="0.35">
      <c r="AJ68" s="366">
        <v>66</v>
      </c>
      <c r="AK68" s="459">
        <v>0.5</v>
      </c>
      <c r="CL68" s="502">
        <v>0.33999999999999903</v>
      </c>
    </row>
    <row r="69" spans="36:90" thickTop="1" thickBot="1" x14ac:dyDescent="0.35">
      <c r="AJ69" s="366">
        <v>67</v>
      </c>
      <c r="AK69" s="459">
        <v>0.5</v>
      </c>
      <c r="CL69" s="502">
        <v>0.32999999999999902</v>
      </c>
    </row>
    <row r="70" spans="36:90" thickTop="1" thickBot="1" x14ac:dyDescent="0.35">
      <c r="AJ70" s="366">
        <v>68</v>
      </c>
      <c r="AK70" s="459">
        <v>0.5</v>
      </c>
      <c r="CL70" s="502">
        <v>0.31999999999999901</v>
      </c>
    </row>
    <row r="71" spans="36:90" thickTop="1" thickBot="1" x14ac:dyDescent="0.35">
      <c r="AJ71" s="366">
        <v>69</v>
      </c>
      <c r="AK71" s="459">
        <v>0.5</v>
      </c>
      <c r="CL71" s="502">
        <v>0.309999999999999</v>
      </c>
    </row>
    <row r="72" spans="36:90" thickTop="1" thickBot="1" x14ac:dyDescent="0.35">
      <c r="AJ72" s="366">
        <v>70</v>
      </c>
      <c r="AK72" s="459">
        <v>0.5</v>
      </c>
      <c r="CL72" s="502">
        <v>0.29999999999999899</v>
      </c>
    </row>
    <row r="73" spans="36:90" thickTop="1" thickBot="1" x14ac:dyDescent="0.35">
      <c r="AJ73" s="366">
        <v>71</v>
      </c>
      <c r="AK73" s="459">
        <v>0.5</v>
      </c>
      <c r="CL73" s="502">
        <v>0.28999999999999898</v>
      </c>
    </row>
    <row r="74" spans="36:90" thickTop="1" thickBot="1" x14ac:dyDescent="0.35">
      <c r="AJ74" s="366">
        <v>72</v>
      </c>
      <c r="AK74" s="459">
        <v>0.5</v>
      </c>
      <c r="CL74" s="502">
        <v>0.27999999999999903</v>
      </c>
    </row>
    <row r="75" spans="36:90" thickTop="1" thickBot="1" x14ac:dyDescent="0.35">
      <c r="AJ75" s="366">
        <v>73</v>
      </c>
      <c r="AK75" s="459">
        <v>0.5</v>
      </c>
      <c r="CL75" s="502">
        <v>0.26999999999999902</v>
      </c>
    </row>
    <row r="76" spans="36:90" thickTop="1" thickBot="1" x14ac:dyDescent="0.35">
      <c r="AJ76" s="366">
        <v>74</v>
      </c>
      <c r="AK76" s="459">
        <v>0.5</v>
      </c>
      <c r="CL76" s="502">
        <v>0.25999999999999901</v>
      </c>
    </row>
    <row r="77" spans="36:90" thickTop="1" thickBot="1" x14ac:dyDescent="0.35">
      <c r="AJ77" s="366">
        <v>75</v>
      </c>
      <c r="AK77" s="459">
        <v>0.5</v>
      </c>
      <c r="CL77" s="502">
        <v>0.249999999999999</v>
      </c>
    </row>
    <row r="78" spans="36:90" thickTop="1" thickBot="1" x14ac:dyDescent="0.35">
      <c r="AJ78" s="366">
        <v>76</v>
      </c>
      <c r="AK78" s="459">
        <v>0.6</v>
      </c>
      <c r="CL78" s="502">
        <v>0.23999999999999899</v>
      </c>
    </row>
    <row r="79" spans="36:90" thickTop="1" thickBot="1" x14ac:dyDescent="0.35">
      <c r="AJ79" s="366">
        <v>77</v>
      </c>
      <c r="AK79" s="459">
        <v>0.6</v>
      </c>
      <c r="CL79" s="502">
        <v>0.22999999999999901</v>
      </c>
    </row>
    <row r="80" spans="36:90" thickTop="1" thickBot="1" x14ac:dyDescent="0.35">
      <c r="AJ80" s="366">
        <v>78</v>
      </c>
      <c r="AK80" s="459">
        <v>0.6</v>
      </c>
      <c r="CL80" s="502">
        <v>0.219999999999999</v>
      </c>
    </row>
    <row r="81" spans="36:90" thickTop="1" thickBot="1" x14ac:dyDescent="0.35">
      <c r="AJ81" s="366">
        <v>79</v>
      </c>
      <c r="AK81" s="459">
        <v>0.6</v>
      </c>
      <c r="CL81" s="502">
        <v>0.20999999999999899</v>
      </c>
    </row>
    <row r="82" spans="36:90" thickTop="1" thickBot="1" x14ac:dyDescent="0.35">
      <c r="AJ82" s="366">
        <v>80</v>
      </c>
      <c r="AK82" s="459">
        <v>0.6</v>
      </c>
      <c r="CL82" s="502">
        <v>0.19999999999999901</v>
      </c>
    </row>
    <row r="83" spans="36:90" thickTop="1" thickBot="1" x14ac:dyDescent="0.35">
      <c r="CL83" s="502">
        <v>0.189999999999999</v>
      </c>
    </row>
    <row r="84" spans="36:90" thickTop="1" thickBot="1" x14ac:dyDescent="0.35">
      <c r="CL84" s="502">
        <v>0.17999999999999899</v>
      </c>
    </row>
    <row r="85" spans="36:90" thickTop="1" thickBot="1" x14ac:dyDescent="0.35">
      <c r="CL85" s="502">
        <v>0.16999999999999901</v>
      </c>
    </row>
    <row r="86" spans="36:90" thickTop="1" thickBot="1" x14ac:dyDescent="0.35">
      <c r="CL86" s="502">
        <v>0.159999999999999</v>
      </c>
    </row>
    <row r="87" spans="36:90" thickTop="1" thickBot="1" x14ac:dyDescent="0.35">
      <c r="CL87" s="502">
        <v>0.149999999999999</v>
      </c>
    </row>
    <row r="88" spans="36:90" thickTop="1" thickBot="1" x14ac:dyDescent="0.35">
      <c r="CL88" s="502">
        <v>0.13999999999999899</v>
      </c>
    </row>
    <row r="89" spans="36:90" thickTop="1" thickBot="1" x14ac:dyDescent="0.35">
      <c r="CL89" s="502">
        <v>0.12999999999999901</v>
      </c>
    </row>
    <row r="90" spans="36:90" thickTop="1" thickBot="1" x14ac:dyDescent="0.35">
      <c r="CL90" s="502">
        <v>0.119999999999999</v>
      </c>
    </row>
    <row r="91" spans="36:90" thickTop="1" thickBot="1" x14ac:dyDescent="0.35">
      <c r="CL91" s="502">
        <v>0.109999999999999</v>
      </c>
    </row>
    <row r="92" spans="36:90" thickTop="1" thickBot="1" x14ac:dyDescent="0.35">
      <c r="CL92" s="502">
        <v>9.9999999999999006E-2</v>
      </c>
    </row>
    <row r="93" spans="36:90" thickTop="1" thickBot="1" x14ac:dyDescent="0.35">
      <c r="CL93" s="502">
        <v>8.9999999999998997E-2</v>
      </c>
    </row>
    <row r="94" spans="36:90" thickTop="1" thickBot="1" x14ac:dyDescent="0.35">
      <c r="CL94" s="502">
        <v>7.9999999999999002E-2</v>
      </c>
    </row>
    <row r="95" spans="36:90" thickTop="1" thickBot="1" x14ac:dyDescent="0.35">
      <c r="CL95" s="502">
        <v>6.9999999999998994E-2</v>
      </c>
    </row>
    <row r="96" spans="36:90" thickTop="1" thickBot="1" x14ac:dyDescent="0.35">
      <c r="CL96" s="502">
        <v>5.9999999999999103E-2</v>
      </c>
    </row>
    <row r="97" spans="90:90" thickTop="1" thickBot="1" x14ac:dyDescent="0.35">
      <c r="CL97" s="502">
        <v>4.9999999999998997E-2</v>
      </c>
    </row>
    <row r="98" spans="90:90" thickTop="1" thickBot="1" x14ac:dyDescent="0.35">
      <c r="CL98" s="502">
        <v>3.9999999999999002E-2</v>
      </c>
    </row>
    <row r="99" spans="90:90" thickTop="1" thickBot="1" x14ac:dyDescent="0.35">
      <c r="CL99" s="502">
        <v>2.9999999999999E-2</v>
      </c>
    </row>
    <row r="100" spans="90:90" thickTop="1" thickBot="1" x14ac:dyDescent="0.35">
      <c r="CL100" s="502">
        <v>1.9999999999999001E-2</v>
      </c>
    </row>
    <row r="101" spans="90:90" thickTop="1" thickBot="1" x14ac:dyDescent="0.35">
      <c r="CL101" s="502">
        <v>9.9999999999990097E-3</v>
      </c>
    </row>
    <row r="102" spans="90:90" thickTop="1" thickBot="1" x14ac:dyDescent="0.35">
      <c r="CL102" s="502">
        <v>0</v>
      </c>
    </row>
  </sheetData>
  <mergeCells count="21">
    <mergeCell ref="DE1:DQ1"/>
    <mergeCell ref="CG7:CI7"/>
    <mergeCell ref="CH5:CI5"/>
    <mergeCell ref="CN1:CO1"/>
    <mergeCell ref="CO7:CP7"/>
    <mergeCell ref="CX1:CY1"/>
    <mergeCell ref="CH2:CI2"/>
    <mergeCell ref="CH3:CI3"/>
    <mergeCell ref="CH4:CI4"/>
    <mergeCell ref="CH6:CI6"/>
    <mergeCell ref="CG1:CI1"/>
    <mergeCell ref="BO1:BT1"/>
    <mergeCell ref="BO2:BT2"/>
    <mergeCell ref="BV2:BW2"/>
    <mergeCell ref="BV1:BW1"/>
    <mergeCell ref="AF1:AH1"/>
    <mergeCell ref="AA1:AD1"/>
    <mergeCell ref="S1:T1"/>
    <mergeCell ref="S6:T6"/>
    <mergeCell ref="V1:W1"/>
    <mergeCell ref="X1:Y1"/>
  </mergeCells>
  <phoneticPr fontId="3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Sayfa3"/>
  <dimension ref="A1:BH514"/>
  <sheetViews>
    <sheetView topLeftCell="A107" zoomScale="70" zoomScaleNormal="70" workbookViewId="0">
      <selection activeCell="J107" sqref="J107"/>
    </sheetView>
  </sheetViews>
  <sheetFormatPr defaultRowHeight="14.4" x14ac:dyDescent="0.3"/>
  <cols>
    <col min="1" max="1" width="25.33203125" style="6" customWidth="1"/>
    <col min="2" max="2" width="23.109375" style="6" customWidth="1"/>
    <col min="3" max="3" width="24.33203125" style="6" customWidth="1"/>
    <col min="4" max="5" width="26.33203125" style="6" customWidth="1"/>
    <col min="6" max="6" width="26.88671875" style="6" customWidth="1"/>
    <col min="7" max="8" width="24" style="6" customWidth="1"/>
    <col min="9" max="9" width="25.6640625" style="6" customWidth="1"/>
    <col min="10" max="10" width="24" style="6" customWidth="1"/>
    <col min="11" max="11" width="25.5546875" style="6" customWidth="1"/>
    <col min="12" max="13" width="24" style="6" customWidth="1"/>
    <col min="14" max="14" width="25.6640625" style="6" customWidth="1"/>
    <col min="15" max="15" width="24" style="6" customWidth="1"/>
    <col min="16" max="20" width="24" customWidth="1"/>
    <col min="21" max="21" width="24" style="7" customWidth="1"/>
    <col min="22" max="22" width="14.109375" style="7" customWidth="1"/>
    <col min="23" max="24" width="42.88671875" style="7" customWidth="1"/>
    <col min="25" max="25" width="42.88671875" customWidth="1"/>
    <col min="26" max="26" width="17.33203125" customWidth="1"/>
    <col min="27" max="27" width="35" customWidth="1"/>
    <col min="28" max="28" width="15.109375" customWidth="1"/>
    <col min="29" max="29" width="13.109375" style="34" customWidth="1"/>
    <col min="30" max="30" width="15.6640625" customWidth="1"/>
    <col min="31" max="31" width="17" customWidth="1"/>
    <col min="32" max="32" width="15.44140625" customWidth="1"/>
    <col min="33" max="33" width="19.44140625" customWidth="1"/>
    <col min="34" max="34" width="41.6640625" customWidth="1"/>
    <col min="35" max="35" width="25" customWidth="1"/>
    <col min="36" max="36" width="24.5546875" customWidth="1"/>
    <col min="37" max="37" width="23.88671875" customWidth="1"/>
    <col min="38" max="38" width="6" customWidth="1"/>
    <col min="39" max="39" width="14.5546875" customWidth="1"/>
    <col min="40" max="40" width="15.44140625" bestFit="1" customWidth="1"/>
    <col min="41" max="41" width="36.33203125" bestFit="1" customWidth="1"/>
    <col min="43" max="43" width="12.44140625" bestFit="1" customWidth="1"/>
    <col min="44" max="44" width="10.44140625" bestFit="1" customWidth="1"/>
    <col min="45" max="45" width="14.6640625" bestFit="1" customWidth="1"/>
    <col min="46" max="46" width="32.109375" bestFit="1" customWidth="1"/>
    <col min="47" max="47" width="13.5546875" customWidth="1"/>
    <col min="48" max="48" width="10.5546875" customWidth="1"/>
    <col min="49" max="49" width="11" customWidth="1"/>
    <col min="61" max="61" width="16.6640625" customWidth="1"/>
    <col min="62" max="62" width="13.109375" customWidth="1"/>
    <col min="63" max="63" width="17.88671875" customWidth="1"/>
    <col min="64" max="64" width="8.33203125" customWidth="1"/>
    <col min="67" max="67" width="31.6640625" customWidth="1"/>
    <col min="68" max="68" width="24.88671875" customWidth="1"/>
  </cols>
  <sheetData>
    <row r="1" spans="1:25" ht="63.6" customHeight="1" thickTop="1" thickBot="1" x14ac:dyDescent="0.35">
      <c r="A1" s="423" t="s">
        <v>2890</v>
      </c>
      <c r="B1" s="368" t="s">
        <v>2870</v>
      </c>
      <c r="C1" s="424" t="str">
        <f>+SOKAK&amp;","</f>
        <v>Çiğdem Sokak,</v>
      </c>
      <c r="D1" s="369" t="s">
        <v>2871</v>
      </c>
      <c r="E1" s="370" t="str">
        <f>+IF(APARTMAN.BLOK.ADI="","bina ",APARTMAN.BLOK.ADI&amp;"")</f>
        <v xml:space="preserve">bina </v>
      </c>
      <c r="F1" s="368" t="s">
        <v>2872</v>
      </c>
      <c r="G1" s="425" t="str">
        <f>IF(TEST!G12="","",TEST!G12&amp;" Blok")</f>
        <v/>
      </c>
      <c r="H1" s="368" t="s">
        <v>2873</v>
      </c>
      <c r="I1" s="425" t="str">
        <f>+IF(AND(BLOKADI="",TEST!F5="Dikey kat irtifakı"),"apartmanda","sitede")</f>
        <v>sitede</v>
      </c>
      <c r="J1" s="365" t="s">
        <v>2889</v>
      </c>
      <c r="K1" s="519" t="str">
        <f>+İDARİMAHALLE&amp;" Mahallesi, "&amp;SOKAK.&amp;" "&amp;ADRESAPTSİTE&amp;" No: "&amp;DIŞ.KAPI.NO&amp;", "&amp;BLOKİSMİ&amp;"Kat: "&amp;kat.1&amp;", "&amp;"D: "&amp;BB.NO&amp;" "&amp;ILCE&amp;" / "&amp;TEST!SEHIR</f>
        <v>İhsaniye Mahallesi, Çiğdem Sokak,   No: 13, Kat: 1. kat, D:  Nilüfer / Bursa</v>
      </c>
      <c r="L1" s="366" t="s">
        <v>641</v>
      </c>
      <c r="M1" s="426" t="str">
        <f>+IF(BLOKADEDİ="tek","Ekspertize konu taşınmazın yer aldığı bina, ","Ekspertize konu taşınmazın yer aldığı site, ")</f>
        <v xml:space="preserve">Ekspertize konu taşınmazın yer aldığı bina, </v>
      </c>
      <c r="N1" s="366" t="s">
        <v>642</v>
      </c>
      <c r="O1" s="427" t="str">
        <f>+IF(BLOKADEDİ="tek","",BLOKADI&amp;" blok,")</f>
        <v/>
      </c>
      <c r="P1" s="427" t="str">
        <f>+IF(BLOKADEDİ="tek","",BLOKADI&amp;" blok ")</f>
        <v/>
      </c>
      <c r="Q1" s="366" t="s">
        <v>649</v>
      </c>
      <c r="R1" s="427" t="str">
        <f>+IF(BLOKADEDİ="tek","binada,","sitede,")</f>
        <v>binada,</v>
      </c>
      <c r="S1" s="427" t="str">
        <f>+IF(BLOKADI="","Apartmanı","Sitesi")</f>
        <v>Apartmanı</v>
      </c>
      <c r="T1" s="366" t="s">
        <v>679</v>
      </c>
      <c r="U1" s="427" t="str">
        <f>+IF(BLOKADEDİ="tek","bina ","blok ")</f>
        <v xml:space="preserve">bina </v>
      </c>
      <c r="V1" s="427" t="str">
        <f>+IF(BLOKADI="","apartman","site")</f>
        <v>apartman</v>
      </c>
      <c r="W1" s="366" t="s">
        <v>3242</v>
      </c>
      <c r="X1" s="427" t="str">
        <f>+IF(SİTEAPARTMAN="site","Evet","Hayır")</f>
        <v>Hayır</v>
      </c>
    </row>
    <row r="2" spans="1:25" ht="16.95" customHeight="1" thickTop="1" thickBot="1" x14ac:dyDescent="0.35"/>
    <row r="3" spans="1:25" ht="63.6" customHeight="1" thickTop="1" thickBot="1" x14ac:dyDescent="0.35">
      <c r="A3" s="423" t="s">
        <v>2891</v>
      </c>
      <c r="B3" s="421" t="s">
        <v>2869</v>
      </c>
      <c r="C3" s="365" t="s">
        <v>2868</v>
      </c>
      <c r="D3" s="464" t="str">
        <f>+IF(RANDEVUTÜRÜ="görülmüştür.","Evet","Hayır")</f>
        <v>Evet</v>
      </c>
      <c r="E3" s="421" t="s">
        <v>2973</v>
      </c>
      <c r="F3" s="427" t="str">
        <f>+TEST!K17</f>
        <v>Hayır</v>
      </c>
      <c r="G3" s="421" t="s">
        <v>3009</v>
      </c>
      <c r="H3" s="426" t="str">
        <f>+"("&amp;arsapay&amp;"/"&amp;payda&amp;")"</f>
        <v>(0/0)</v>
      </c>
      <c r="I3" s="422" t="s">
        <v>3080</v>
      </c>
      <c r="J3" s="427" t="str">
        <f>+IF(APARTMAN.BLOK.ADI=""," ",APARTMAN.BLOK.ADI&amp;" "&amp;S1)</f>
        <v xml:space="preserve"> </v>
      </c>
      <c r="Y3" s="6"/>
    </row>
    <row r="4" spans="1:25" ht="18.600000000000001" customHeight="1" thickTop="1" thickBot="1" x14ac:dyDescent="0.35">
      <c r="Y4" s="6"/>
    </row>
    <row r="5" spans="1:25" ht="63.6" customHeight="1" thickTop="1" thickBot="1" x14ac:dyDescent="0.35">
      <c r="A5" s="423" t="s">
        <v>2892</v>
      </c>
      <c r="B5" s="365" t="s">
        <v>2874</v>
      </c>
      <c r="C5" s="426" t="str">
        <f>IF(TEST!G15="normal",TEST!H15,CONCATENATE(TEST!G15," ",TEST!H15))</f>
        <v>daire</v>
      </c>
      <c r="D5" s="365" t="s">
        <v>2875</v>
      </c>
      <c r="E5" s="427" t="str">
        <f>IF(TEST!K15="normal",TEST!L15,CONCATENATE(TEST!K15," ",TEST!L15))</f>
        <v>daire</v>
      </c>
      <c r="F5" s="422" t="s">
        <v>3240</v>
      </c>
      <c r="G5" s="426" t="str">
        <f>+IF(BBTÜRÜ=FİİLİBBTÜRÜ,"Evet","Taşınmaz tapu kayıtlarına göre "&amp;TAPUNİTELİKBB&amp;" nitelikli olup, mevcut durumda "&amp;FİİLİBBTÜRÜ&amp;" olarak kullanılmaktadır.")</f>
        <v>Evet</v>
      </c>
      <c r="H5" s="422" t="s">
        <v>3241</v>
      </c>
      <c r="I5" s="7" t="str">
        <f>+IF(TEST!F5&lt;&gt;"Müstakil Bina","Apartman Dairesi","Müstakil Bina")</f>
        <v>Müstakil Bina</v>
      </c>
      <c r="Q5" s="444" t="s">
        <v>2867</v>
      </c>
      <c r="R5" s="364" t="str">
        <f>+IF(ESKİPARSEL="","","(Projenin taşınmazın geçmişi olan =ESKİADA ada =ESKİPARSEL parsel için hazırlanmış olduğu görülmüştür.)")</f>
        <v/>
      </c>
      <c r="S5" s="446" t="str">
        <f>+Cevir(R5)</f>
        <v/>
      </c>
      <c r="T5" s="422" t="s">
        <v>2813</v>
      </c>
      <c r="U5" s="426" t="str">
        <f>+IF(DAHAÖNCESATIŞ="Evet","Hayır","Evet")</f>
        <v>Hayır</v>
      </c>
      <c r="Y5" s="6"/>
    </row>
    <row r="6" spans="1:25" ht="17.399999999999999" customHeight="1" thickTop="1" thickBot="1" x14ac:dyDescent="0.35">
      <c r="Y6" s="6"/>
    </row>
    <row r="7" spans="1:25" ht="63.6" customHeight="1" thickTop="1" thickBot="1" x14ac:dyDescent="0.35">
      <c r="A7" s="423" t="s">
        <v>2893</v>
      </c>
      <c r="B7" s="365" t="s">
        <v>2876</v>
      </c>
      <c r="C7" s="1013" t="str" cm="1">
        <f t="array" aca="1" ref="C7" ca="1">+TAKYIDATLAR()</f>
        <v xml:space="preserve">19.06.2026 tarihinde Webtapu Sistemi üzerinden alınan Takbis Belgesine göre, konu taşınmaz üzerinde aşağıdaki takyidatlar bulunmaktadır._x000D_
_x000D_
Beyanlar Bölümü:_x000D_
Herhangi bir kayıt bulunmamaktadır._x000D_
_x000D_
Rehinler Bölümü:_x000D_
Herhangi bir kayıt bulunmamaktadır._x000D_
_x000D_
Hak ve Mükellefiyetler Bölümü:_x000D_
Herhangi bir kayıt bulunmamaktadır._x000D_
_x000D_
Şerhler Bölümü:_x000D_
Herhangi bir kayıt bulunmamaktadır._x000D_
_x000D_
_x000D_
Tapu Kaydı Değişikliği:_x000D_
19.06.2026 tarihinde Webtapu Sistemi üzerinden alınan TKGM (Takbis) kaydı ile Tapu senedi arasında herhangi bir farklılık tespit edilmemiştir._x000D_
</v>
      </c>
      <c r="D7" s="1013"/>
      <c r="E7" s="1013"/>
      <c r="F7" s="434" t="s">
        <v>2792</v>
      </c>
      <c r="G7" s="428">
        <f>HACIZTOPLA("İcrai Haciz","TAPUTAKYIDAT","M","O",3)</f>
        <v>0</v>
      </c>
      <c r="H7" s="434" t="s">
        <v>2793</v>
      </c>
      <c r="I7" s="428">
        <f>HACIZTOPLA("Kamu Haczi","TAPUTAKYIDAT","M","O",3)</f>
        <v>0</v>
      </c>
      <c r="J7" s="434" t="s">
        <v>2794</v>
      </c>
      <c r="K7" s="428">
        <f>HACIZTOPLA("İhtiyati Haciz","TAPUTAKYIDAT","M","O",3)</f>
        <v>0</v>
      </c>
      <c r="L7" s="434" t="s">
        <v>2795</v>
      </c>
      <c r="M7" s="428">
        <f>+TOPLAMİHTİYATİHACİZ+TOPLAMKAMUHACZİ+TOPLAMİCRAİHACİZ</f>
        <v>0</v>
      </c>
      <c r="O7" s="365" t="s">
        <v>2876</v>
      </c>
      <c r="P7" s="1013" t="str" cm="1">
        <f t="array" aca="1" ref="P7" ca="1">ISBK_TAPU_KAYDI_METNI()</f>
        <v xml:space="preserve">19.06.2026 tarihinde Webtapu Sistemi üzerinden alınan Takbis Belgesine göre, konu taşınmaz üzerinde aşağıdaki takyidatlar bulunmaktadır._x000D_
_x000D_
Beyanlar Bölümü:_x000D_
Herhangi bir kayıt bulunmamaktadır._x000D_
_x000D_
Rehinler Bölümü:_x000D_
Herhangi bir kayıt bulunmamaktadır._x000D_
_x000D_
Hak ve Mükellefiyetler Bölümü:_x000D_
Herhangi bir kayıt bulunmamaktadır._x000D_
_x000D_
Şerhler Bölümü:_x000D_
Herhangi bir kayıt bulunmamaktadır._x000D_
_x000D_
_x000D_
Tapu Kaydı Değişikliği:_x000D_
19.06.2026 tarihinde Webtapu Sistemi üzerinden alınan TKGM (Takbis) kaydı ile Tapu senedi arasında herhangi bir farklılık tespit edilmemiştir._x000D_
</v>
      </c>
      <c r="Q7" s="1013"/>
      <c r="R7" s="1013"/>
    </row>
    <row r="8" spans="1:25" ht="18.600000000000001" customHeight="1" thickTop="1" thickBot="1" x14ac:dyDescent="0.35">
      <c r="O8" s="7"/>
    </row>
    <row r="9" spans="1:25" ht="63.6" customHeight="1" thickTop="1" thickBot="1" x14ac:dyDescent="0.35">
      <c r="A9" s="1012" t="s">
        <v>2894</v>
      </c>
      <c r="B9" s="430" t="s">
        <v>2884</v>
      </c>
      <c r="C9" s="373" t="str" cm="1">
        <f t="array" ref="C9">ImarDurumuJ2(PLANÖLÇEĞİ,İMARTARİHİ,İMARPLANADI,İMARNİZAM,İMARLEJANT,YOLATERKVARMI,TERKMİKTARI,TERKETKİLEME,HMAX,KATADEDİ,TAKS,KAKS,ÖNBAHÇE,YANBAHÇE,arkabahçe,MİNİMUMCEPHEŞARTI,TEVHİDŞARTI,ONSEKİZUYGULAMASI,KENTSELDÖNÜŞÜM,RUHSATAENGEL,DİĞERNOTLAR,NETPARSELALAN,PLANİPTALİ)</f>
        <v>konu taşınmazın yer aldığı parsel, 14.03.2005 tarihli 1/1.000 ölçekli Fethiye İhsaniye Revizyon Uygulama İmar Planı kapsamında Konut alanında yer almakta olup, bitişik nizam, 2 kat (Hmax: 6,50 metre) yapılaşma koşullarına sahiptir. Taşınmazın yer aldığı parselin yola yaklaşık 2 m2 terki bulunmaktadır._x000D_
_x000D_
Minimum Cephe Şartı:_x000D_
Minimum cephe şartı bulunmamaktadır._x000D_
_x000D_
18. Madde Uygulaması:_x000D_
18. Madde uygulaması yapılmıştır._x000D_
_x000D_
Tevhid Şartı:_x000D_
Tevhid şartı bulunmamaktadır._x000D_
_x000D_
Kentsel Dönüşüm:_x000D_
Kentsel dönüşüm ve yenileme alanında yer almamaktadır._x000D_
_x000D_
Ruhsat Durumu:_x000D_
Ruhsat almaya engel herhangi bir durum bulunmamaktadır._x000D_
_x000D_
Hesaplanan Emsal:_x000D_
227 m2</v>
      </c>
      <c r="D9" s="372" t="s">
        <v>2885</v>
      </c>
      <c r="E9" s="373" t="s">
        <v>749</v>
      </c>
      <c r="F9" s="1013" t="str">
        <f>+Cevir(E9)</f>
        <v xml:space="preserve"> 19.06.2026 tarihinde Nilüfer Belediyesinden alınan sözlü bilgiye göre konu taşınmazın yer aldığı parsel, 14.03.2005 tarihli 1/1.000 ölçekli Fethiye İhsaniye Revizyon Uygulama İmar Planı kapsamında Konut alanında yer almakta olup, bitişik nizam, 2 kat (Hmax: 6,50 metre) yapılaşma koşullarına sahiptir. Taşınmazın yer aldığı parselin yola yaklaşık 2 m2 terki bulunmaktadır._x000D_
_x000D_
Minimum Cephe Şartı:_x000D_
Minimum cephe şartı bulunmamaktadır._x000D_
_x000D_
18. Madde Uygulaması:_x000D_
18. Madde uygulaması yapılmıştır._x000D_
_x000D_
Tevhid Şartı:_x000D_
Tevhid şartı bulunmamaktadır._x000D_
_x000D_
Kentsel Dönüşüm:_x000D_
Kentsel dönüşüm ve yenileme alanında yer almamaktadır._x000D_
_x000D_
Ruhsat Durumu:_x000D_
Ruhsat almaya engel herhangi bir durum bulunmamaktadır._x000D_
_x000D_
Hesaplanan Emsal:_x000D_
227 m2      </v>
      </c>
      <c r="G9" s="1013"/>
      <c r="H9" s="1013"/>
      <c r="I9" s="1013"/>
      <c r="J9" s="420" t="s">
        <v>2887</v>
      </c>
      <c r="K9" s="429">
        <f>ROUND((IF(İMARNİZAM="bitişik",(KATADEDİ*YÜZÖLÇÜMÜ),(YÜZÖLÇÜMÜ*KAKS))),0)</f>
        <v>231</v>
      </c>
      <c r="L9" s="367" t="s">
        <v>1348</v>
      </c>
      <c r="M9" s="427" t="str">
        <f>+IF(ONSEKİZUYGULAMASI="EVET","Hayır","Evet")</f>
        <v>Hayır</v>
      </c>
    </row>
    <row r="10" spans="1:25" ht="63.6" customHeight="1" thickTop="1" thickBot="1" x14ac:dyDescent="0.35">
      <c r="A10" s="1012"/>
      <c r="B10" s="372" t="s">
        <v>2883</v>
      </c>
      <c r="C10" s="374" t="str" cm="1">
        <f t="array" ref="C10">ImarDurumuKisa(
PLANÖLÇEĞİ,
İMARTARİHİ,
İMARPLANADI,
İMARNİZAM,
İMARLEJANT,
YOLATERKVARMI,
TERKMİKTARI,
TERKETKİLEME,
HMAX,
KATADEDİ,
TAKS,
KAKS,
ÖNBAHÇE,
YANBAHÇE,
arkabahçe,
DİĞERNOTLAR,
PLANİPTALİ
)</f>
        <v>Konu taşınmazın yer aldığı parsel, 14.03.2005 tarihli 1/1.000 ölçekli Fethiye İhsaniye Revizyon Uygulama İmar Planı kapsamında Konut alanında yer almakta olup, bitişik nizam, 2 kat (Hmax: 6,50 metre) yapılaşma koşullarına sahiptir. Taşınmazın yer aldığı parselin yola yaklaşık 2 m2 terki bulunmaktadır.</v>
      </c>
      <c r="D10" s="372" t="s">
        <v>2886</v>
      </c>
      <c r="E10" s="375" t="s">
        <v>2789</v>
      </c>
      <c r="F10" s="1013" t="str">
        <f>+Cevir(E10)</f>
        <v xml:space="preserve"> 19.06.2026 tarihinde Nilüfer Belediyesinden alınan sözlü bilgiye göre Konu taşınmazın yer aldığı parsel, 14.03.2005 tarihli 1/1.000 ölçekli Fethiye İhsaniye Revizyon Uygulama İmar Planı kapsamında Konut alanında yer almakta olup, bitişik nizam, 2 kat (Hmax: 6,50 metre) yapılaşma koşullarına sahiptir. Taşınmazın yer aldığı parselin yola yaklaşık 2 m2 terki bulunmaktadır.      </v>
      </c>
      <c r="G10" s="1013"/>
      <c r="H10" s="1013"/>
      <c r="I10" s="1013"/>
      <c r="J10" s="420" t="s">
        <v>2888</v>
      </c>
      <c r="K10" s="429" t="str">
        <f>+IF(RUHSATAENGEL="Hayır","Evet","Hayır")</f>
        <v>Evet</v>
      </c>
      <c r="L10" s="429" t="str">
        <f>+IF(TEKBAŞINAYAPILAŞMAHAKKI="Evet","Yapılaşmaya engel bir durum bulunmamaktadır.",DİĞERNOTLAR)</f>
        <v>Yapılaşmaya engel bir durum bulunmamaktadır.</v>
      </c>
      <c r="M10" s="429" t="str">
        <f>+IF(KENTSELDÖNÜŞÜM="HAYIR","**KENTSEL DÖNÜŞÜM(RİSKLİ ALAN) BÖLGESİNDE KALMAMAKTADIR.","**KENTSEL DÖNÜŞÜM(RİSKLİ ALAN) BÖLGESİNDE KALMAKTADIR.")</f>
        <v>**KENTSEL DÖNÜŞÜM(RİSKLİ ALAN) BÖLGESİNDE KALMAMAKTADIR.</v>
      </c>
    </row>
    <row r="11" spans="1:25" ht="16.2" customHeight="1" thickTop="1" thickBot="1" x14ac:dyDescent="0.35"/>
    <row r="12" spans="1:25" ht="104.4" customHeight="1" thickTop="1" thickBot="1" x14ac:dyDescent="0.35">
      <c r="A12" s="423" t="s">
        <v>2899</v>
      </c>
      <c r="B12" s="372" t="s">
        <v>2900</v>
      </c>
      <c r="C12" s="373" t="e" cm="1">
        <f t="array" ref="C12">+BelgelerMetni()</f>
        <v>#VALUE!</v>
      </c>
      <c r="D12" s="419" t="s">
        <v>823</v>
      </c>
      <c r="E12" s="419" t="str">
        <f>+IF(D12&lt;&gt;"",D12&amp;CHAR(10),"")</f>
        <v xml:space="preserve"> =RANDEVUTARİHİ tarihinde, =TEST!ILCE Belediyesi İmar Arşiv dosyasında yer alan =BELGELER2025 
=YAPIDENETİMAÇIKLAMA
</v>
      </c>
      <c r="F12" s="372" t="s">
        <v>2901</v>
      </c>
      <c r="G12" s="1014" t="str">
        <f>+Cevir(D12)</f>
        <v xml:space="preserve"> 19.06.2026 tarihinde, Nilüfer Belediyesi İmar Arşiv dosyasında yer alan #DEĞER! 
        </v>
      </c>
      <c r="H12" s="1015"/>
      <c r="I12" s="1016"/>
      <c r="K12" s="420" t="s">
        <v>1346</v>
      </c>
      <c r="L12" s="427" t="str">
        <f>+IF(TEST!M41="","Hayır","Evet")</f>
        <v>Evet</v>
      </c>
      <c r="M12" s="420" t="s">
        <v>1821</v>
      </c>
      <c r="N12" s="451">
        <f>+IF(TEST!M41="","Hayır",TEST!O41)</f>
        <v>0</v>
      </c>
      <c r="P12" s="420" t="s">
        <v>2959</v>
      </c>
      <c r="Q12" s="450" t="str">
        <f>+IF(TEST!T44="evet",CEZAİNOTU,"=RANDEVUTARİHİ tarihinde =TEST!ILCE Belediyesi İmar ve Şehircilik Müdürlüğü Arşivinde yapılan incelemede herhangi bir cezai tutanak, zabıt, yıkım kararı vb. evraka rastlanılmamıştır. ")</f>
        <v xml:space="preserve">=RANDEVUTARİHİ tarihinde =TEST!ILCE Belediyesi İmar ve Şehircilik Müdürlüğü Arşivinde yapılan incelemede herhangi bir cezai tutanak, zabıt, yıkım kararı vb. evraka rastlanılmamıştır. </v>
      </c>
      <c r="R12" s="939" t="str">
        <f>+Cevir(CEZAİKARAR)</f>
        <v xml:space="preserve">19.06.2026 tarihinde Nilüfer Belediyesi İmar ve Şehircilik Müdürlüğü Arşivinde yapılan incelemede herhangi bir cezai tutanak, zabıt, yıkım kararı vb. evraka rastlanılmamıştır.     </v>
      </c>
      <c r="S12" s="939"/>
    </row>
    <row r="13" spans="1:25" ht="21.6" customHeight="1" thickTop="1" thickBot="1" x14ac:dyDescent="0.35">
      <c r="A13"/>
    </row>
    <row r="14" spans="1:25" ht="63.6" customHeight="1" thickTop="1" thickBot="1" x14ac:dyDescent="0.35">
      <c r="A14" s="956" t="s">
        <v>2905</v>
      </c>
      <c r="B14" s="435" t="s">
        <v>2904</v>
      </c>
      <c r="C14" s="433" t="s">
        <v>2868</v>
      </c>
      <c r="D14" s="926" t="s">
        <v>2903</v>
      </c>
      <c r="E14" s="926"/>
      <c r="F14" s="926"/>
      <c r="G14" s="926" t="s">
        <v>2902</v>
      </c>
      <c r="H14" s="926"/>
      <c r="I14" s="926"/>
      <c r="K14" s="422" t="s">
        <v>2958</v>
      </c>
      <c r="L14" s="419" t="s">
        <v>1820</v>
      </c>
      <c r="M14" s="939" t="str">
        <f>+Cevir(L14)</f>
        <v xml:space="preserve"> 19.06.2026 tarihinde Nilüfer Belediyesi kurumlarında incelenen mevcut  tarih  sayılı mimari projesi incelenmiştir.            </v>
      </c>
      <c r="N14" s="939"/>
      <c r="O14" s="939"/>
      <c r="P14" s="939"/>
    </row>
    <row r="15" spans="1:25" ht="63.6" customHeight="1" thickTop="1" thickBot="1" x14ac:dyDescent="0.35">
      <c r="A15" s="956"/>
      <c r="B15" s="438" t="s">
        <v>2906</v>
      </c>
      <c r="C15" s="433" t="s">
        <v>2868</v>
      </c>
      <c r="D15" s="1020" t="s">
        <v>2815</v>
      </c>
      <c r="E15" s="1020"/>
      <c r="F15" s="1020"/>
      <c r="G15" s="1022" t="s">
        <v>2814</v>
      </c>
      <c r="H15" s="1022"/>
      <c r="I15" s="1022"/>
      <c r="K15" s="929" t="s">
        <v>1347</v>
      </c>
      <c r="L15" s="929"/>
      <c r="M15" s="943" t="str">
        <f>+IF(MİMARİUYGUNLUK="uygundur.","Yok",UYGAÇIKLAMA)</f>
        <v>Yok</v>
      </c>
      <c r="N15" s="943"/>
      <c r="O15" s="943"/>
      <c r="P15" s="943"/>
    </row>
    <row r="16" spans="1:25" ht="63.6" customHeight="1" thickTop="1" thickBot="1" x14ac:dyDescent="0.35">
      <c r="A16" s="956"/>
      <c r="B16" s="438" t="s">
        <v>2907</v>
      </c>
      <c r="C16" s="433" t="s">
        <v>2868</v>
      </c>
      <c r="D16" s="1021" t="s">
        <v>2809</v>
      </c>
      <c r="E16" s="1021"/>
      <c r="F16" s="1021"/>
      <c r="G16" s="1021" t="s">
        <v>2816</v>
      </c>
      <c r="H16" s="1021"/>
      <c r="I16" s="1021"/>
      <c r="K16" s="953" t="s">
        <v>2944</v>
      </c>
      <c r="L16" s="952" t="s">
        <v>2817</v>
      </c>
      <c r="M16" s="939" t="str">
        <f>+Cevir(Sayfa1!L16)</f>
        <v xml:space="preserve">  Ana gayrimenkulle ilgili olarak ada, parsel bazında yerinin doğruluğu parselasyon planından ve imar planından tespit edilmiştir. 19.06.2026 tarihinde, Nilüfer Tapu Müdürlüğü Webtapu Portalında ve  Nilüfer Belediyesi İmar ve Şehircilik Arşivinde yapılan incelemelerde taşınmaza ait mimari proje bulunamamıştır.        
Bina oturumu; vaziyet planında belirtilen bina girişi referansından tespit edilmiştir. Bina girişi, projesine göre binanın 1. bodrum katından ve yapının güney cephesinden sağlanmaktadır.
Ekspertize konu bağımsız bölüm kat, kattaki konum, alan ve mimari olarak projesine uygundur.                  </v>
      </c>
      <c r="N16" s="939"/>
      <c r="O16" s="939"/>
      <c r="P16" s="939"/>
    </row>
    <row r="17" spans="1:19" ht="15" customHeight="1" thickTop="1" thickBot="1" x14ac:dyDescent="0.35">
      <c r="A17" s="956"/>
      <c r="B17"/>
      <c r="C17"/>
      <c r="D17"/>
      <c r="E17"/>
      <c r="F17"/>
      <c r="G17"/>
      <c r="H17"/>
      <c r="I17"/>
      <c r="K17" s="953"/>
      <c r="L17" s="952"/>
      <c r="M17" s="939"/>
      <c r="N17" s="939"/>
      <c r="O17" s="939"/>
      <c r="P17" s="939"/>
    </row>
    <row r="18" spans="1:19" ht="63.6" customHeight="1" thickTop="1" thickBot="1" x14ac:dyDescent="0.35">
      <c r="A18" s="956"/>
      <c r="B18" s="436" t="str">
        <f>+B20&amp;" ve "&amp;B19</f>
        <v>Webtapu Portalı ve Belediye</v>
      </c>
      <c r="C18" s="433" t="s">
        <v>2868</v>
      </c>
      <c r="D18" s="1007" t="str">
        <f>IF(TAPUBELEDİYEFARKVARMI="HAYIR",D15,D16)</f>
        <v xml:space="preserve">Ana gayrimenkulle ilgili olarak ada, parsel bazında yerinin doğruluğu parselasyon planından ve imar planından, =BLOKBİNA bazında ve bağımsız bölüm bazında yerinin doğruluğu =PROJEKURUM2025 kurumlarında ekspertize konu taşınmaza ait =PROJE_TARİHİ tarih =PROJE_NO sayılı Mimari Projesi incelenmek suretiyle tespit edilmiştir. =ESKIADAPARSEL </v>
      </c>
      <c r="E18" s="1007"/>
      <c r="F18" s="1007"/>
      <c r="G18" s="1007" t="str">
        <f>IF(TAPUBELEDİYEFARKVARMI="HAYIR",G15,G16)</f>
        <v xml:space="preserve"> =RANDEVUTARİHİ tarihinde =PROJEKURUM2025 kurumlarında ekspertize konu taşınmaza ait =PROJE_TARİHİ tarih =PROJE_NO sayılı mimari projesi incelenmiştir. =ESKIADAPARSEL </v>
      </c>
      <c r="H18" s="1007"/>
      <c r="I18" s="1007"/>
      <c r="J18"/>
      <c r="K18" s="953"/>
      <c r="L18" s="952"/>
      <c r="M18" s="939"/>
      <c r="N18" s="939"/>
      <c r="O18" s="939"/>
      <c r="P18" s="939"/>
    </row>
    <row r="19" spans="1:19" ht="88.2" customHeight="1" thickTop="1" thickBot="1" x14ac:dyDescent="0.35">
      <c r="A19" s="956"/>
      <c r="B19" s="437" t="s">
        <v>475</v>
      </c>
      <c r="C19" s="433" t="s">
        <v>2868</v>
      </c>
      <c r="D19" s="942" t="s">
        <v>2895</v>
      </c>
      <c r="E19" s="942"/>
      <c r="F19" s="942"/>
      <c r="G19" s="1007" t="s">
        <v>820</v>
      </c>
      <c r="H19" s="1007"/>
      <c r="I19" s="1007"/>
      <c r="K19" s="953"/>
      <c r="L19" s="952"/>
      <c r="M19" s="939"/>
      <c r="N19" s="939"/>
      <c r="O19" s="939"/>
      <c r="P19" s="939"/>
      <c r="S19" s="278"/>
    </row>
    <row r="20" spans="1:19" ht="75" customHeight="1" thickTop="1" thickBot="1" x14ac:dyDescent="0.35">
      <c r="A20" s="956"/>
      <c r="B20" s="437" t="s">
        <v>621</v>
      </c>
      <c r="C20" s="433" t="s">
        <v>2868</v>
      </c>
      <c r="D20" s="942" t="s">
        <v>2896</v>
      </c>
      <c r="E20" s="942"/>
      <c r="F20" s="942"/>
      <c r="G20" s="1007" t="s">
        <v>2812</v>
      </c>
      <c r="H20" s="1007"/>
      <c r="I20" s="1007"/>
      <c r="O20"/>
    </row>
    <row r="21" spans="1:19" ht="75" customHeight="1" thickTop="1" thickBot="1" x14ac:dyDescent="0.35">
      <c r="A21" s="956"/>
      <c r="B21" s="437" t="s">
        <v>332</v>
      </c>
      <c r="C21" s="433" t="s">
        <v>2868</v>
      </c>
      <c r="D21" s="942" t="s">
        <v>2897</v>
      </c>
      <c r="E21" s="942"/>
      <c r="F21" s="942"/>
      <c r="G21" s="1007" t="s">
        <v>2898</v>
      </c>
      <c r="H21" s="1007"/>
      <c r="I21" s="1007"/>
      <c r="K21" s="953" t="s">
        <v>2946</v>
      </c>
      <c r="L21" s="935" t="s">
        <v>3271</v>
      </c>
      <c r="M21" s="935"/>
      <c r="N21" s="935"/>
      <c r="O21" s="954" t="str">
        <f>+Cevir(Sayfa1!L21)</f>
        <v xml:space="preserve">  Ana gayrimenkulle ilgili olarak ada, parsel bazında yerinin doğruluğu parselasyon planından ve imar planından tespit edilmiştir. 19.06.2026 tarihinde, Nilüfer Tapu Müdürlüğü Webtapu Portalında ve  Nilüfer Belediyesi İmar ve Şehircilik Arşivinde yapılan incelemelerde taşınmaza ait mimari proje bulunamamıştır.        
Ekspertize konu bağımsız bölüm kat, kattaki konum, alan ve mimari olarak projesine uygundur.    
Bina oturumu; vaziyet planında belirtilen bina girişi referansından tespit edilmiştir. Bina girişi, binanın 1. bodrum katından ve yapının güney cephesinden sağlanmaktadır.
              </v>
      </c>
      <c r="P21" s="954"/>
      <c r="Q21" s="954"/>
    </row>
    <row r="22" spans="1:19" ht="96.6" customHeight="1" thickTop="1" thickBot="1" x14ac:dyDescent="0.35">
      <c r="A22" s="956"/>
      <c r="B22" s="440"/>
      <c r="C22" s="441"/>
      <c r="D22" s="1023" t="str">
        <f>+VLOOKUP(PROJEİNCELENENKURUM,B18:F21,3,0)</f>
        <v xml:space="preserve"> Ana gayrimenkulle ilgili olarak ada, parsel bazında yerinin doğruluğu parselasyon planından ve imar planından tespit edilmiştir. =RANDEVUTARİHİ tarihinde, =TEST!ILCE Tapu Müdürlüğü Webtapu Portalında ve  =TEST!ILCE Belediyesi İmar ve Şehircilik Arşivinde yapılan incelemelerde taşınmaza ait mimari proje bulunamamıştır. =uygaçıklama</v>
      </c>
      <c r="E22" s="1023"/>
      <c r="F22" s="1023"/>
      <c r="G22" s="1023" t="str">
        <f>+VLOOKUP(PROJEİNCELENENKURUM,B18:I21,6,0)</f>
        <v xml:space="preserve"> =RANDEVUTARİHİ tarihinde, =TEST!ILCE Tapu Müdürlüğü Webtapu Portalında ve  =TEST!ILCE Belediyesi İmar ve Şehircilik Arşivinde yapılan incelemelerde taşınmaza ait mimari proje bulunamamıştır. =uygaçıklama</v>
      </c>
      <c r="H22" s="1023"/>
      <c r="I22" s="1023"/>
      <c r="K22" s="953"/>
      <c r="L22" s="935"/>
      <c r="M22" s="935"/>
      <c r="N22" s="935"/>
      <c r="O22" s="954"/>
      <c r="P22" s="954"/>
      <c r="Q22" s="954"/>
    </row>
    <row r="23" spans="1:19" ht="124.2" customHeight="1" thickTop="1" thickBot="1" x14ac:dyDescent="0.35">
      <c r="A23" s="956"/>
      <c r="B23" s="365" t="s">
        <v>2908</v>
      </c>
      <c r="C23" s="433" t="s">
        <v>2868</v>
      </c>
      <c r="D23" s="1024" t="str">
        <f>+Cevir(Sayfa1!D22)</f>
        <v xml:space="preserve"> Ana gayrimenkulle ilgili olarak ada, parsel bazında yerinin doğruluğu parselasyon planından ve imar planından tespit edilmiştir. 19.06.2026 tarihinde, Nilüfer Tapu Müdürlüğü Webtapu Portalında ve  Nilüfer Belediyesi İmar ve Şehircilik Arşivinde yapılan incelemelerde taşınmaza ait mimari proje bulunamamıştır.       </v>
      </c>
      <c r="E23" s="1024"/>
      <c r="F23" s="1024"/>
      <c r="G23" s="1024" t="str">
        <f>+Cevir(Sayfa1!G22)</f>
        <v xml:space="preserve"> 19.06.2026 tarihinde, Nilüfer Tapu Müdürlüğü Webtapu Portalında ve  Nilüfer Belediyesi İmar ve Şehircilik Arşivinde yapılan incelemelerde taşınmaza ait mimari proje bulunamamıştır.       </v>
      </c>
      <c r="H23" s="1024"/>
      <c r="I23" s="1024"/>
      <c r="L23" s="181"/>
      <c r="M23"/>
      <c r="N23"/>
      <c r="O23"/>
    </row>
    <row r="24" spans="1:19" ht="27" customHeight="1" thickTop="1" thickBot="1" x14ac:dyDescent="0.35">
      <c r="E24"/>
      <c r="F24"/>
      <c r="G24"/>
      <c r="H24"/>
      <c r="I24"/>
      <c r="J24"/>
      <c r="K24"/>
      <c r="L24" s="37"/>
      <c r="M24"/>
      <c r="N24"/>
      <c r="O24"/>
    </row>
    <row r="25" spans="1:19" ht="112.2" customHeight="1" thickTop="1" thickBot="1" x14ac:dyDescent="0.35">
      <c r="A25" s="1017" t="s">
        <v>2913</v>
      </c>
      <c r="B25" s="422" t="s">
        <v>2914</v>
      </c>
      <c r="C25" s="433" t="s">
        <v>2868</v>
      </c>
      <c r="D25" s="1007" t="s">
        <v>2806</v>
      </c>
      <c r="E25" s="1007"/>
      <c r="F25" s="1007"/>
      <c r="G25"/>
      <c r="H25" s="929" t="s">
        <v>2919</v>
      </c>
      <c r="I25" s="990" t="b">
        <f>+IF(AND(TEST!AW17="EVET",TEST!AX17="HAYIR"),Cevir(Sayfa1!D25),IF(AND(TEST!AW17="HAYIR",TEST!AX17="EVET"),Cevir(Sayfa1!D27),IF(AND(TEST!AW17="EVET",TEST!AX17="EVET"),Cevir(Sayfa1!D26),IF(AND(TEST!AW17="HAYIR",TEST!AX17="HAYIR"),Cevir(Sayfa1!D28),IF(TEST!N4="dışarıdan görülmüştür.",Cevir(Sayfa1!D29))))))</f>
        <v>0</v>
      </c>
      <c r="J25" s="990"/>
      <c r="K25" s="990"/>
      <c r="L25" s="990"/>
      <c r="M25"/>
      <c r="N25"/>
      <c r="O25"/>
    </row>
    <row r="26" spans="1:19" ht="112.2" customHeight="1" thickTop="1" thickBot="1" x14ac:dyDescent="0.35">
      <c r="A26" s="1018"/>
      <c r="B26" s="422" t="s">
        <v>2915</v>
      </c>
      <c r="C26" s="433" t="s">
        <v>2868</v>
      </c>
      <c r="D26" s="1007" t="s">
        <v>2811</v>
      </c>
      <c r="E26" s="1007"/>
      <c r="F26" s="1007"/>
      <c r="H26" s="929"/>
      <c r="I26" s="1035" t="str">
        <f>+IF(TEST!H44="Hayır","",Sayfa1!I25)</f>
        <v/>
      </c>
      <c r="J26" s="1035"/>
      <c r="K26" s="1035"/>
      <c r="L26" s="1035"/>
      <c r="M26"/>
      <c r="N26"/>
      <c r="O26"/>
    </row>
    <row r="27" spans="1:19" ht="112.2" customHeight="1" thickTop="1" thickBot="1" x14ac:dyDescent="0.35">
      <c r="A27" s="1018"/>
      <c r="B27" s="422" t="s">
        <v>2916</v>
      </c>
      <c r="C27" s="433" t="s">
        <v>2868</v>
      </c>
      <c r="D27" s="1007" t="s">
        <v>2909</v>
      </c>
      <c r="E27" s="1007"/>
      <c r="F27" s="1007"/>
      <c r="G27"/>
      <c r="H27" s="929" t="s">
        <v>2925</v>
      </c>
      <c r="I27" s="433" t="s">
        <v>2868</v>
      </c>
      <c r="J27" s="990" t="s">
        <v>2807</v>
      </c>
      <c r="K27" s="990"/>
      <c r="L27" s="990"/>
      <c r="M27"/>
      <c r="N27"/>
      <c r="O27"/>
    </row>
    <row r="28" spans="1:19" ht="112.2" customHeight="1" thickTop="1" thickBot="1" x14ac:dyDescent="0.35">
      <c r="A28" s="1018"/>
      <c r="B28" s="422" t="s">
        <v>2917</v>
      </c>
      <c r="C28" s="433" t="s">
        <v>2868</v>
      </c>
      <c r="D28" s="1007" t="s">
        <v>2810</v>
      </c>
      <c r="E28" s="1007"/>
      <c r="F28" s="1007"/>
      <c r="G28"/>
      <c r="H28" s="929"/>
      <c r="I28" s="433" t="s">
        <v>2868</v>
      </c>
      <c r="J28" s="962" t="str">
        <f>+IF(AND(BELTADPROJE&gt;PROJE_TARİHİ,TEST!H44="Evet"),Cevir(Sayfa1!J27),"")</f>
        <v/>
      </c>
      <c r="K28" s="962"/>
      <c r="L28" s="962"/>
      <c r="M28"/>
    </row>
    <row r="29" spans="1:19" ht="112.2" customHeight="1" thickTop="1" thickBot="1" x14ac:dyDescent="0.35">
      <c r="A29" s="1019"/>
      <c r="B29" s="422" t="s">
        <v>2918</v>
      </c>
      <c r="C29" s="433" t="s">
        <v>2868</v>
      </c>
      <c r="D29" s="1007" t="s">
        <v>479</v>
      </c>
      <c r="E29" s="1007"/>
      <c r="F29" s="1007"/>
      <c r="G29"/>
      <c r="H29" s="365" t="s">
        <v>2928</v>
      </c>
      <c r="I29" s="433" t="s">
        <v>2868</v>
      </c>
      <c r="J29" s="944" t="b">
        <f>+IF(TEST!N4="görülmüştür.",Sayfa1!I25,Sayfa1!D29)</f>
        <v>0</v>
      </c>
      <c r="K29" s="944"/>
      <c r="L29" s="944"/>
      <c r="M29"/>
    </row>
    <row r="30" spans="1:19" ht="29.4" customHeight="1" thickTop="1" thickBot="1" x14ac:dyDescent="0.35">
      <c r="A30" s="439"/>
      <c r="D30"/>
      <c r="E30"/>
      <c r="F30"/>
      <c r="G30"/>
      <c r="L30"/>
    </row>
    <row r="31" spans="1:19" ht="76.95" customHeight="1" thickTop="1" thickBot="1" x14ac:dyDescent="0.35">
      <c r="A31" s="956" t="s">
        <v>107</v>
      </c>
      <c r="B31" s="942" t="str">
        <f>+Cevir(D16)</f>
        <v xml:space="preserve"> Ana gayrimenkulle ilgili olarak ada, parsel bazında yerinin doğruluğu parselasyon planından ve imar planından tespit edilmiştir. 19.06.2026 tarihinde yapılan incelemelerde değerlemeye konu taşınmaza ait Nilüfer Tapu Müdürlüğü Webtapu Portalında  tarih  sayılı mimari projesi, Nilüfer Belediyesi İmar ve Şehircilik Arşivinde  tarih,  sayılı mimari projesi incelenmiştir.                </v>
      </c>
      <c r="C31" s="942"/>
      <c r="D31" s="942"/>
      <c r="E31" s="942"/>
      <c r="F31" s="942"/>
      <c r="G31" s="942"/>
      <c r="I31" s="929" t="s">
        <v>2910</v>
      </c>
      <c r="J31" s="365" t="s">
        <v>448</v>
      </c>
      <c r="K31" s="365" t="s">
        <v>2911</v>
      </c>
      <c r="L31" s="431" t="s">
        <v>616</v>
      </c>
    </row>
    <row r="32" spans="1:19" ht="65.400000000000006" customHeight="1" thickTop="1" thickBot="1" x14ac:dyDescent="0.35">
      <c r="A32" s="956"/>
      <c r="B32" s="432" t="s">
        <v>2930</v>
      </c>
      <c r="C32" s="443"/>
      <c r="D32" s="953" t="s">
        <v>146</v>
      </c>
      <c r="E32" s="953"/>
      <c r="F32" s="953"/>
      <c r="G32" s="953"/>
      <c r="H32"/>
      <c r="I32" s="929"/>
      <c r="J32" s="365" t="s">
        <v>477</v>
      </c>
      <c r="K32" s="365" t="s">
        <v>2911</v>
      </c>
      <c r="L32" s="431" t="str">
        <f>+IF(ANAGAYRUYG="Evet","",ANAGAYRNOTU)</f>
        <v/>
      </c>
    </row>
    <row r="33" spans="1:29" ht="55.95" customHeight="1" thickTop="1" thickBot="1" x14ac:dyDescent="0.35">
      <c r="A33" s="956"/>
      <c r="B33" s="419" t="s">
        <v>108</v>
      </c>
      <c r="C33" s="419" t="str">
        <f>+""</f>
        <v/>
      </c>
      <c r="D33" s="942" t="s">
        <v>719</v>
      </c>
      <c r="E33" s="942"/>
      <c r="F33" s="942"/>
      <c r="G33" s="942"/>
      <c r="I33" s="926" t="s">
        <v>2912</v>
      </c>
      <c r="J33" s="926"/>
      <c r="K33" s="940" t="str">
        <f>+VLOOKUP(TEST!M44,J31:L32,3,0)</f>
        <v xml:space="preserve"> </v>
      </c>
      <c r="L33" s="941"/>
    </row>
    <row r="34" spans="1:29" ht="55.95" customHeight="1" thickTop="1" thickBot="1" x14ac:dyDescent="0.35">
      <c r="A34" s="956"/>
      <c r="B34" s="419" t="s">
        <v>110</v>
      </c>
      <c r="C34" s="419" t="s">
        <v>335</v>
      </c>
      <c r="D34" s="942" t="s">
        <v>720</v>
      </c>
      <c r="E34" s="942"/>
      <c r="F34" s="942"/>
      <c r="G34" s="942"/>
    </row>
    <row r="35" spans="1:29" ht="55.95" customHeight="1" thickTop="1" thickBot="1" x14ac:dyDescent="0.35">
      <c r="A35" s="956"/>
      <c r="B35" s="419" t="s">
        <v>109</v>
      </c>
      <c r="C35" s="419" t="s">
        <v>334</v>
      </c>
      <c r="D35" s="942" t="s">
        <v>721</v>
      </c>
      <c r="E35" s="942"/>
      <c r="F35" s="942"/>
      <c r="G35" s="942"/>
      <c r="I35" s="422" t="s">
        <v>2920</v>
      </c>
      <c r="J35" s="433" t="s">
        <v>2924</v>
      </c>
      <c r="K35" s="942" t="s">
        <v>1351</v>
      </c>
      <c r="L35" s="942"/>
    </row>
    <row r="36" spans="1:29" ht="55.95" customHeight="1" thickTop="1" thickBot="1" x14ac:dyDescent="0.35">
      <c r="A36" s="956"/>
      <c r="B36" s="419" t="s">
        <v>328</v>
      </c>
      <c r="C36" s="419" t="s">
        <v>337</v>
      </c>
      <c r="D36" s="942" t="s">
        <v>722</v>
      </c>
      <c r="E36" s="942"/>
      <c r="F36" s="942"/>
      <c r="G36" s="942"/>
      <c r="I36" s="422" t="s">
        <v>2921</v>
      </c>
      <c r="J36" s="433" t="s">
        <v>2924</v>
      </c>
      <c r="K36" s="942" t="s">
        <v>1355</v>
      </c>
      <c r="L36" s="942"/>
    </row>
    <row r="37" spans="1:29" ht="55.95" customHeight="1" thickTop="1" thickBot="1" x14ac:dyDescent="0.35">
      <c r="A37" s="956"/>
      <c r="B37" s="419" t="s">
        <v>327</v>
      </c>
      <c r="C37" s="419" t="s">
        <v>338</v>
      </c>
      <c r="D37" s="942" t="s">
        <v>723</v>
      </c>
      <c r="E37" s="942"/>
      <c r="F37" s="942"/>
      <c r="G37" s="942"/>
      <c r="I37" s="422" t="s">
        <v>2922</v>
      </c>
      <c r="J37" s="433" t="s">
        <v>2924</v>
      </c>
      <c r="K37" s="942" t="s">
        <v>1356</v>
      </c>
      <c r="L37" s="942"/>
    </row>
    <row r="38" spans="1:29" ht="55.95" customHeight="1" thickTop="1" thickBot="1" x14ac:dyDescent="0.35">
      <c r="A38" s="956"/>
      <c r="B38" s="419" t="s">
        <v>324</v>
      </c>
      <c r="C38" s="419" t="s">
        <v>324</v>
      </c>
      <c r="D38" s="942" t="s">
        <v>724</v>
      </c>
      <c r="E38" s="942"/>
      <c r="F38" s="942"/>
      <c r="G38" s="942"/>
      <c r="I38" s="422" t="s">
        <v>2923</v>
      </c>
      <c r="J38" s="419" t="str">
        <f>IF(STATIKUYGMU="Evet",K35,IF(STATIKUYGMU="Hayır",K36,IF(STATIKUYGMU="Bulunamadı",K37,"")))</f>
        <v>Taşınmazın =ILCE Belediyesi dosyasında bulunan statik proje incelenmiştir. Statik proje, mimari proje ve mahal durum ile birbiriyle uyumludur.</v>
      </c>
      <c r="K38" s="943" t="e">
        <f>+Cevir(J38)</f>
        <v>#VALUE!</v>
      </c>
      <c r="L38" s="943"/>
    </row>
    <row r="39" spans="1:29" ht="55.95" customHeight="1" thickTop="1" thickBot="1" x14ac:dyDescent="0.35">
      <c r="A39" s="956"/>
      <c r="B39" s="419" t="s">
        <v>358</v>
      </c>
      <c r="C39" s="419" t="s">
        <v>396</v>
      </c>
      <c r="D39" s="942" t="s">
        <v>725</v>
      </c>
      <c r="E39" s="942"/>
      <c r="F39" s="942"/>
      <c r="G39" s="942"/>
      <c r="I39" s="422" t="s">
        <v>3263</v>
      </c>
      <c r="J39" s="419" t="s">
        <v>3265</v>
      </c>
      <c r="K39" s="943" t="str">
        <f>+Cevir(J39)</f>
        <v xml:space="preserve">Taşınmazın yer aldığı binanın enerji sınıfının Hayır kategorisinde olması,  </v>
      </c>
      <c r="L39" s="943"/>
      <c r="P39" s="7"/>
    </row>
    <row r="40" spans="1:29" ht="55.95" customHeight="1" thickTop="1" thickBot="1" x14ac:dyDescent="0.35">
      <c r="A40" s="956"/>
      <c r="B40" s="419" t="s">
        <v>450</v>
      </c>
      <c r="C40" s="419" t="s">
        <v>336</v>
      </c>
      <c r="D40" s="942" t="s">
        <v>726</v>
      </c>
      <c r="E40" s="942"/>
      <c r="F40" s="942"/>
      <c r="G40" s="942"/>
      <c r="I40" s="929" t="s">
        <v>3264</v>
      </c>
      <c r="J40" s="419" t="s">
        <v>3266</v>
      </c>
      <c r="K40" s="943" t="str">
        <f>+Cevir(K41)</f>
        <v>Taşınmazın yer aldığı binanın Enerji Kimlik Belgesinin bulunmaması,</v>
      </c>
      <c r="L40" s="943"/>
    </row>
    <row r="41" spans="1:29" ht="55.95" customHeight="1" thickTop="1" thickBot="1" x14ac:dyDescent="0.35">
      <c r="A41" s="956"/>
      <c r="B41" s="419" t="s">
        <v>452</v>
      </c>
      <c r="C41" s="366" t="str">
        <f>+""</f>
        <v/>
      </c>
      <c r="D41" s="942" t="s">
        <v>2808</v>
      </c>
      <c r="E41" s="942"/>
      <c r="F41" s="942"/>
      <c r="G41" s="942"/>
      <c r="I41" s="929"/>
      <c r="J41" s="419" t="s">
        <v>3265</v>
      </c>
      <c r="K41" s="962" t="str">
        <f>+IF(EKBSINIF="Hayır",J42,J41)</f>
        <v>Taşınmazın yer aldığı binanın Enerji Kimlik Belgesinin bulunmaması,</v>
      </c>
      <c r="L41" s="962"/>
      <c r="P41" s="7"/>
    </row>
    <row r="42" spans="1:29" ht="78.599999999999994" customHeight="1" thickTop="1" thickBot="1" x14ac:dyDescent="0.35">
      <c r="A42" s="956"/>
      <c r="B42" s="365" t="s">
        <v>2926</v>
      </c>
      <c r="C42" s="939" t="str">
        <f>+VLOOKUP(TEST!K44,B33:C41,2,0)</f>
        <v/>
      </c>
      <c r="D42" s="939"/>
      <c r="E42" s="939"/>
      <c r="F42" s="939"/>
      <c r="G42" s="939"/>
      <c r="I42" s="929"/>
      <c r="J42" s="419" t="s">
        <v>3267</v>
      </c>
      <c r="K42" s="962"/>
      <c r="L42" s="962"/>
      <c r="P42" s="7"/>
    </row>
    <row r="43" spans="1:29" ht="78.599999999999994" customHeight="1" thickTop="1" thickBot="1" x14ac:dyDescent="0.35">
      <c r="A43" s="956"/>
      <c r="B43" s="365" t="s">
        <v>2927</v>
      </c>
      <c r="C43" s="990" t="str">
        <f>+VLOOKUP(TEST!K44,B33:G41,3,0)</f>
        <v xml:space="preserve">Ekspertize konu bağımsız bölüm kat, kattaki konum, alan ve mimari olarak projesine uygundur. =anagyuygaçıklama </v>
      </c>
      <c r="D43" s="990"/>
      <c r="E43" s="990"/>
      <c r="F43" s="990"/>
      <c r="G43" s="990"/>
    </row>
    <row r="44" spans="1:29" ht="78.599999999999994" customHeight="1" thickTop="1" thickBot="1" x14ac:dyDescent="0.35">
      <c r="A44" s="956"/>
      <c r="B44" s="365" t="s">
        <v>2929</v>
      </c>
      <c r="C44" s="944" t="str">
        <f>+Cevir(uygunluk4)</f>
        <v xml:space="preserve">Ekspertize konu bağımsız bölüm kat, kattaki konum, alan ve mimari olarak projesine uygundur.     </v>
      </c>
      <c r="D44" s="944"/>
      <c r="E44" s="944"/>
      <c r="F44" s="944"/>
      <c r="G44" s="944"/>
      <c r="M44"/>
      <c r="O44"/>
    </row>
    <row r="45" spans="1:29" ht="22.2" customHeight="1" thickTop="1" thickBot="1" x14ac:dyDescent="0.35">
      <c r="M45"/>
      <c r="N45"/>
      <c r="O45"/>
    </row>
    <row r="46" spans="1:29" ht="126" customHeight="1" thickTop="1" thickBot="1" x14ac:dyDescent="0.35">
      <c r="A46" s="992" t="s">
        <v>2931</v>
      </c>
      <c r="B46" s="938" t="s">
        <v>2932</v>
      </c>
      <c r="C46" s="938" t="s">
        <v>2933</v>
      </c>
      <c r="D46" s="985" t="s">
        <v>2938</v>
      </c>
      <c r="E46" s="365" t="s">
        <v>448</v>
      </c>
      <c r="F46" s="957" t="s">
        <v>2818</v>
      </c>
      <c r="G46" s="957"/>
      <c r="H46" s="957"/>
      <c r="I46" s="957"/>
      <c r="J46" s="958" t="str">
        <f t="shared" ref="J46:J51" si="0">+Cevir(F46)</f>
        <v xml:space="preserve"> Ekspertize konu taşınmazın yer aldığı bina,  115,39 m2 alanlı 2035 ada 15 no.lu parsel üzerinde, ikiz nizam, betonarme karkas yapı tarzında ( yapı sınıfı 3/A ) tek blok olarak inşa edilmiştir.  Taşınmazın konumlu olduğu bina  projesine göre; 1 Bodrum + Zemin + 2 Normal kat  olmak üzere, toplam 4 kat olarak inşa edilmiştir. 
Ana taşınmazın Projesi Bulunmamaktadır. Arşivinde incelenen mimari projesinde ve mahallinde yapılan incelemelere göre 1. Bodrum Katta odunluk, Zemin Katta 1 adet daire, 1. Normal Katta 1 adet daire, 2. Normal Katta 1. normal katta yer alan daire ünitesinin devamı olmak üzere binada toplam 2 adet bağımsız bölüm bulunmaktadır. Bina girişi güney yönünden, 1. bodrum kat seviyesinden sağlanmaktadır. Taşınmazın bulunduğu binanın giriş kapısı camlı demir doğramadır. Bina dış cephesi plastik boyalı olup, merdiven basamakları ve sahanlıklar mermer kaplı apartman duvarları plastik boyalı  vaziyettedir. Taşınmazın yer aldığı binada asansör bulunmamaktadır. Açık otopark imkanı bulunan binada, ısınma doğalgaz kombi ile yapılacak şekilde tesisat bulunmaktadır. 
                                                   </v>
      </c>
      <c r="K46" s="958"/>
      <c r="L46" s="958"/>
      <c r="M46" s="958"/>
      <c r="N46" s="929" t="s">
        <v>2935</v>
      </c>
      <c r="O46" s="955" t="str">
        <f>+IF(TEST!M44="Evet",J46,J47)</f>
        <v xml:space="preserve"> Ekspertize konu taşınmazın yer aldığı bina,  115,39 m2 alanlı 2035 ada 15 no.lu parsel üzerinde, ikiz nizam, betonarme karkas yapı tarzında ( yapı sınıfı 3/A ) tek blok olarak inşa edilmiştir.  Taşınmazın konumlu olduğu bina  projesine göre; 1 Bodrum + Zemin + 2 Normal kat  olmak üzere, toplam 4 kat olarak inşa edilmiştir. 
Ana taşınmazın Projesi Bulunmamaktadır. Arşivinde incelenen mimari projesinde ve mahallinde yapılan incelemelere göre 1. Bodrum Katta odunluk, Zemin Katta 1 adet daire, 1. Normal Katta 1 adet daire, 2. Normal Katta 1. normal katta yer alan daire ünitesinin devamı olmak üzere binada toplam 2 adet bağımsız bölüm bulunmaktadır. Bina girişi güney yönünden, 1. bodrum kat seviyesinden sağlanmaktadır. Taşınmazın bulunduğu binanın giriş kapısı camlı demir doğramadır. Bina dış cephesi plastik boyalı olup, merdiven basamakları ve sahanlıklar mermer kaplı apartman duvarları plastik boyalı  vaziyettedir. Taşınmazın yer aldığı binada asansör bulunmamaktadır. Açık otopark imkanı bulunan binada, ısınma doğalgaz kombi ile yapılacak şekilde tesisat bulunmaktadır. 
                                                   </v>
      </c>
      <c r="P46" s="955"/>
      <c r="Q46" s="955"/>
      <c r="R46" s="955"/>
      <c r="S46" s="967" t="str">
        <f>IF(RANDEVUTÜRÜ="görülmüştür.",YK_KONUT_ANATAŞINMAZ,ANAGAYRİMENKULDIŞARDAN)</f>
        <v xml:space="preserve"> Ekspertize konu taşınmazın yer aldığı bina,  115,39 m2 alanlı 2035 ada 15 no.lu parsel üzerinde, ikiz nizam, betonarme karkas yapı tarzında ( yapı sınıfı 3/A ) tek blok olarak inşa edilmiştir.  Taşınmazın konumlu olduğu bina  projesine göre; 1 Bodrum + Zemin + 2 Normal kat  olmak üzere, toplam 4 kat olarak inşa edilmiştir. 
Ana taşınmazın Projesi Bulunmamaktadır. Arşivinde incelenen mimari projesinde ve mahallinde yapılan incelemelere göre 1. Bodrum Katta odunluk, Zemin Katta 1 adet daire, 1. Normal Katta 1 adet daire, 2. Normal Katta 1. normal katta yer alan daire ünitesinin devamı olmak üzere binada toplam 2 adet bağımsız bölüm bulunmaktadır. Bina girişi güney yönünden, 1. bodrum kat seviyesinden sağlanmaktadır. Taşınmazın bulunduğu binanın giriş kapısı camlı demir doğramadır. Bina dış cephesi plastik boyalı olup, merdiven basamakları ve sahanlıklar mermer kaplı apartman duvarları plastik boyalı  vaziyettedir. Taşınmazın yer aldığı binada asansör bulunmamaktadır. Açık otopark imkanı bulunan binada, ısınma doğalgaz kombi ile yapılacak şekilde tesisat bulunmaktadır. 
                                                   </v>
      </c>
      <c r="T46" s="967"/>
      <c r="U46" s="982"/>
      <c r="V46" s="979" t="s">
        <v>2937</v>
      </c>
      <c r="W46" s="970" t="str">
        <f>+IF(TEST!F5="dikey kat irtifakı",Sayfa1!S46,Sayfa1!S50)</f>
        <v xml:space="preserve">Ekspertize konu taşınmaz incelenen mimari projesine ve yerinde yapılan incelemelere göre  115,39 m2 alanlı 2035 ada 15 no.lu parsel üzerinde, ikiz nizam, betonarme karkas yapı tarzında, 3/A yapı sınıfında, yatay kat irtifakı tesis edilmiş, toplam 2 adet bağımsız bölümden oluşan apartman içinde yer almaktadır.   Taşınmazın konumlu olduğu parsel üzerinde yer alan bağımsız bölümler 1 Bodrum + Zemin + 2 Normal kat  olmak üzere toplam 4 kattan oluşmaktadır. 
Taşınmazların girişleri, birbirlerinden bağımsız vaziyette olup, konu taşınmazın girişi 1. bodrum kat üzerinden, güney yönünden sağlanmaktadır. Taşınmazın dış cephesi plastik boyalı vaziyettedir. 
                                </v>
      </c>
      <c r="X46" s="971"/>
      <c r="Y46" s="972"/>
      <c r="AC46"/>
    </row>
    <row r="47" spans="1:29" ht="126" customHeight="1" thickTop="1" thickBot="1" x14ac:dyDescent="0.35">
      <c r="A47" s="993"/>
      <c r="B47" s="938"/>
      <c r="C47" s="938"/>
      <c r="D47" s="985"/>
      <c r="E47" s="365" t="s">
        <v>477</v>
      </c>
      <c r="F47" s="957" t="s">
        <v>2934</v>
      </c>
      <c r="G47" s="957"/>
      <c r="H47" s="957"/>
      <c r="I47" s="957"/>
      <c r="J47" s="958" t="str">
        <f t="shared" si="0"/>
        <v xml:space="preserve"> Ekspertize konu taşınmazın yer aldığı bina,  115,39 m2 alanlı 2035 ada 15 no.lu parsel üzerinde, ikiz nizam, betonarme karkas yapı tarzında ( yapı sınıfı 3/A ) tek blok olarak inşa edilmiştir.  Taşınmazın konumlu olduğu bina  projesine göre; 1 Bodrum + Zemin + 2 Normal kat  olmak üzere, toplam 4 kat olarak inşa edilmiştir. 
Ana taşınmazın Projesi Bulunmamaktadır. Arşivinde incelenen mimari göre 1. Bodrum Katta odunluk, Zemin Katta 1 adet daire, 1. Normal Katta 1 adet daire, 2. Normal Katta 1. normal katta yer alan daire ünitesinin devamı olmak üzere binada toplam 2 adet bağımsız bölüm bulunmaktadır. Bina girişi güney yönünden, 1. bodrum kat seviyesinden sağlanmaktadır. 
Taşınmazın bulunduğu binanın giriş kapısı camlı demir doğramadır. Bina dış cephesi plastik boyalı olup, merdiven basamakları ve sahanlıklar mermer kaplı apartman duvarları plastik boyalı  vaziyettedir. Taşınmazın yer aldığı binada asansör bulunmamaktadır. Açık otopark imkanı bulunan binada, ısınma doğalgaz kombi ile yapılacak şekilde tesisat bulunmaktadır. 
                                                     </v>
      </c>
      <c r="K47" s="958"/>
      <c r="L47" s="958"/>
      <c r="M47" s="958"/>
      <c r="N47" s="929"/>
      <c r="O47" s="955"/>
      <c r="P47" s="955"/>
      <c r="Q47" s="955"/>
      <c r="R47" s="955"/>
      <c r="S47" s="967"/>
      <c r="T47" s="967"/>
      <c r="U47" s="982"/>
      <c r="V47" s="980"/>
      <c r="W47" s="973"/>
      <c r="X47" s="974"/>
      <c r="Y47" s="975"/>
    </row>
    <row r="48" spans="1:29" ht="126" customHeight="1" thickTop="1" thickBot="1" x14ac:dyDescent="0.35">
      <c r="A48" s="993"/>
      <c r="B48" s="938"/>
      <c r="C48" s="938" t="s">
        <v>2918</v>
      </c>
      <c r="D48" s="985" t="s">
        <v>2938</v>
      </c>
      <c r="E48" s="365" t="s">
        <v>448</v>
      </c>
      <c r="F48" s="942" t="s">
        <v>1349</v>
      </c>
      <c r="G48" s="942"/>
      <c r="H48" s="942"/>
      <c r="I48" s="942"/>
      <c r="J48" s="958" t="str">
        <f t="shared" si="0"/>
        <v xml:space="preserve"> Ekspertize konu taşınmazın yer aldığı bina,  115,39 m2 alanlı 2035 no 15 no.lu parsel üzerinde, ikiz nizam, betonarme karkas yapı tarzında ( yapı sınıfı 3/A ) tek blok olarak inşa edilmiştir.  Taşınmazın konumlu olduğu  projesine göre; 1 Bodrum + Zemin + 2 Normal kat  olmak üzere, toplam 4 kat olarak inşa edilmiştir. 
Ana taşınmazın Projesi Bulunmamaktadır. Arşivinde incelenen mimari projesinde ve mahallinde yapılan incelemelere göre 1. Bodrum Katta odunluk, Zemin Katta 1 adet daire, 1. Normal Katta 1 adet daire, 2. Normal Katta 1. normal katta yer alan daire ünitesinin devamı olmak üzere binada toplam 2 adet bağımsız bölüm bulunmaktadır. Bina girişi güney yönünden, 1. bodrum kat seviyesinden sağlanmaktadır. Taşınmazın bulunduğu binanın giriş kapısı camlı demir doğramadır. Bina dış cephesi plastik boyalı olup, merdiven basamakları ve sahanlıklar mermer kaplı apartman duvarları plastik boyalı  vaziyettedir. Taşınmazın yer aldığı binada asansör bulunmamaktadır. Açık otopark imkanı bulunan binada,  ısınma doğalgaz kombi ile yapılacak şekilde tesisat bulunmaktadır. 
                                                   </v>
      </c>
      <c r="K48" s="958"/>
      <c r="L48" s="958"/>
      <c r="M48" s="958"/>
      <c r="N48" s="929" t="s">
        <v>2936</v>
      </c>
      <c r="O48" s="955" t="str">
        <f>+IF(TEST!M44="Evet",J48,J49)</f>
        <v xml:space="preserve"> Ekspertize konu taşınmazın yer aldığı bina,  115,39 m2 alanlı 2035 no 15 no.lu parsel üzerinde, ikiz nizam, betonarme karkas yapı tarzında ( yapı sınıfı 3/A ) tek blok olarak inşa edilmiştir.  Taşınmazın konumlu olduğu  projesine göre; 1 Bodrum + Zemin + 2 Normal kat  olmak üzere, toplam 4 kat olarak inşa edilmiştir. 
Ana taşınmazın Projesi Bulunmamaktadır. Arşivinde incelenen mimari projesinde ve mahallinde yapılan incelemelere göre 1. Bodrum Katta odunluk, Zemin Katta 1 adet daire, 1. Normal Katta 1 adet daire, 2. Normal Katta 1. normal katta yer alan daire ünitesinin devamı olmak üzere binada toplam 2 adet bağımsız bölüm bulunmaktadır. Bina girişi güney yönünden, 1. bodrum kat seviyesinden sağlanmaktadır. Taşınmazın bulunduğu binanın giriş kapısı camlı demir doğramadır. Bina dış cephesi plastik boyalı olup, merdiven basamakları ve sahanlıklar mermer kaplı apartman duvarları plastik boyalı  vaziyettedir. Taşınmazın yer aldığı binada asansör bulunmamaktadır. Açık otopark imkanı bulunan binada,  ısınma doğalgaz kombi ile yapılacak şekilde tesisat bulunmaktadır. 
                                                   </v>
      </c>
      <c r="P48" s="955"/>
      <c r="Q48" s="955"/>
      <c r="R48" s="955"/>
      <c r="S48" s="967"/>
      <c r="T48" s="967"/>
      <c r="U48" s="982"/>
      <c r="V48" s="980"/>
      <c r="W48" s="973"/>
      <c r="X48" s="974"/>
      <c r="Y48" s="975"/>
    </row>
    <row r="49" spans="1:60" ht="126" customHeight="1" thickTop="1" thickBot="1" x14ac:dyDescent="0.35">
      <c r="A49" s="993"/>
      <c r="B49" s="959"/>
      <c r="C49" s="938"/>
      <c r="D49" s="985"/>
      <c r="E49" s="365" t="s">
        <v>477</v>
      </c>
      <c r="F49" s="987" t="s">
        <v>2939</v>
      </c>
      <c r="G49" s="988"/>
      <c r="H49" s="988"/>
      <c r="I49" s="989"/>
      <c r="J49" s="958" t="str">
        <f t="shared" si="0"/>
        <v xml:space="preserve"> Ekspertize konu taşınmazın yer aldığı bina,  115,39 m2 alanlı 2035 no 15 no.lu parsel üzerinde, ikiz nizam, betonarme karkas yapı tarzında ( yapı sınıfı 3/A ) tek blok olarak inşa edilmiştir.  Taşınmazın konumlu olduğu  projesine göre; 1 Bodrum + Zemin + 2 Normal kat  olmak üzere, toplam 4 kat olarak inşa edilmiştir. 
Ana taşınmazın Projesi Bulunmamaktadır. Arşivinde incelenen mimari projesine göre 1. Bodrum Katta odunluk, Zemin Katta 1 adet daire, 1. Normal Katta 1 adet daire, 2. Normal Katta 1. normal katta yer alan daire ünitesinin devamı olmak üzere binada toplam 2 adet bağımsız bölüm bulunmaktadır. Bina girişi güney yönünden, 1. bodrum kat seviyesinden sağlanmaktadır. Taşınmazın bulunduğu binanın giriş kapısı camlı demir doğramadır. Bina dış cephesi plastik boyalı olup, merdiven basamakları ve sahanlıklar mermer kaplı apartman duvarları plastik boyalı  vaziyettedir. Taşınmazın yer aldığı binada asansör bulunmamaktadır. Açık otopark imkanı bulunan binada,  ısınma doğalgaz kombi ile yapılacak şekilde tesisat bulunmaktadır. 
                                                     </v>
      </c>
      <c r="K49" s="958"/>
      <c r="L49" s="958"/>
      <c r="M49" s="958"/>
      <c r="N49" s="929"/>
      <c r="O49" s="955"/>
      <c r="P49" s="955"/>
      <c r="Q49" s="955"/>
      <c r="R49" s="955"/>
      <c r="S49" s="967"/>
      <c r="T49" s="967"/>
      <c r="U49" s="982"/>
      <c r="V49" s="980"/>
      <c r="W49" s="973"/>
      <c r="X49" s="974"/>
      <c r="Y49" s="975"/>
    </row>
    <row r="50" spans="1:60" ht="126" customHeight="1" thickTop="1" thickBot="1" x14ac:dyDescent="0.35">
      <c r="A50" s="993"/>
      <c r="B50" s="938" t="s">
        <v>498</v>
      </c>
      <c r="C50" s="991" t="s">
        <v>2940</v>
      </c>
      <c r="D50" s="985" t="s">
        <v>2938</v>
      </c>
      <c r="E50" s="365" t="s">
        <v>448</v>
      </c>
      <c r="F50" s="990" t="s">
        <v>2947</v>
      </c>
      <c r="G50" s="990"/>
      <c r="H50" s="990"/>
      <c r="I50" s="990"/>
      <c r="J50" s="942" t="str">
        <f t="shared" si="0"/>
        <v xml:space="preserve">Ekspertize konu taşınmaz incelenen mimari projesine ve yerinde yapılan incelemelere göre  115,39 m2 alanlı 2035 ada 15 no.lu parsel üzerinde, ikiz nizam, betonarme karkas yapı tarzında, 3/A yapı sınıfında, yatay kat irtifakı tesis edilmiş, toplam 2 adet bağımsız bölümden oluşan apartman içinde yer almaktadır.   Taşınmazın konumlu olduğu parsel üzerinde yer alan bağımsız bölümler 1 Bodrum + Zemin + 2 Normal kat  olmak üzere toplam 4 kattan oluşmaktadır. 
Taşınmazların girişleri, birbirlerinden bağımsız vaziyette olup, konu taşınmazın girişi 1. bodrum kat üzerinden, güney yönünden sağlanmaktadır. Taşınmazın dış cephesi plastik boyalı vaziyettedir. 
                                </v>
      </c>
      <c r="K50" s="942"/>
      <c r="L50" s="942"/>
      <c r="M50" s="942"/>
      <c r="N50" s="929" t="s">
        <v>2941</v>
      </c>
      <c r="O50" s="962" t="str">
        <f>+IF(TEST!M44="Evet",J50,J51)</f>
        <v xml:space="preserve">Ekspertize konu taşınmaz incelenen mimari projesine ve yerinde yapılan incelemelere göre  115,39 m2 alanlı 2035 ada 15 no.lu parsel üzerinde, ikiz nizam, betonarme karkas yapı tarzında, 3/A yapı sınıfında, yatay kat irtifakı tesis edilmiş, toplam 2 adet bağımsız bölümden oluşan apartman içinde yer almaktadır.   Taşınmazın konumlu olduğu parsel üzerinde yer alan bağımsız bölümler 1 Bodrum + Zemin + 2 Normal kat  olmak üzere toplam 4 kattan oluşmaktadır. 
Taşınmazların girişleri, birbirlerinden bağımsız vaziyette olup, konu taşınmazın girişi 1. bodrum kat üzerinden, güney yönünden sağlanmaktadır. Taşınmazın dış cephesi plastik boyalı vaziyettedir. 
                                </v>
      </c>
      <c r="P50" s="962"/>
      <c r="Q50" s="962"/>
      <c r="R50" s="962"/>
      <c r="S50" s="939" t="str">
        <f>+O50</f>
        <v xml:space="preserve">Ekspertize konu taşınmaz incelenen mimari projesine ve yerinde yapılan incelemelere göre  115,39 m2 alanlı 2035 ada 15 no.lu parsel üzerinde, ikiz nizam, betonarme karkas yapı tarzında, 3/A yapı sınıfında, yatay kat irtifakı tesis edilmiş, toplam 2 adet bağımsız bölümden oluşan apartman içinde yer almaktadır.   Taşınmazın konumlu olduğu parsel üzerinde yer alan bağımsız bölümler 1 Bodrum + Zemin + 2 Normal kat  olmak üzere toplam 4 kattan oluşmaktadır. 
Taşınmazların girişleri, birbirlerinden bağımsız vaziyette olup, konu taşınmazın girişi 1. bodrum kat üzerinden, güney yönünden sağlanmaktadır. Taşınmazın dış cephesi plastik boyalı vaziyettedir. 
                                </v>
      </c>
      <c r="T50" s="939"/>
      <c r="U50" s="939"/>
      <c r="V50" s="980"/>
      <c r="W50" s="973"/>
      <c r="X50" s="974"/>
      <c r="Y50" s="975"/>
    </row>
    <row r="51" spans="1:60" ht="112.2" customHeight="1" thickTop="1" thickBot="1" x14ac:dyDescent="0.35">
      <c r="A51" s="994"/>
      <c r="B51" s="938"/>
      <c r="C51" s="991"/>
      <c r="D51" s="985"/>
      <c r="E51" s="365" t="s">
        <v>477</v>
      </c>
      <c r="F51" s="990" t="s">
        <v>2948</v>
      </c>
      <c r="G51" s="990"/>
      <c r="H51" s="990"/>
      <c r="I51" s="990"/>
      <c r="J51" s="942" t="str">
        <f t="shared" si="0"/>
        <v xml:space="preserve">Ekspertize konu taşınmaz incelenen mimari projesine göre,  115,39 m2 alanlı 2035 15 no.lu parsel üzerinde, ikiz nizam, betonarme karkas yapı tarzında, 3/A yapı sınıfında, yatay kat irtifakı tesis edilmiş, toplam 2 adet bağımsız bölümden oluşan apartman içinde yer almaktadır. 
Taşınmazın konumlu olduğu parsel üzerinde yer alan bağımsız bölümler 1 Bodrum + Zemin + 2 Normal kat  olmak üzere toplam 4 kattan oluşmaktadır. Taşınmazların girişleri, birbirlerinden bağımsız vaziyette olup, konu taşınmazın girişi 1. bodrum kat üzerinden, güney yönünden sağlanmaktadır. Taşınmazın dış cephesi plastik boyalı vaziyettedir. 
                                </v>
      </c>
      <c r="K51" s="942"/>
      <c r="L51" s="942"/>
      <c r="M51" s="942"/>
      <c r="N51" s="929"/>
      <c r="O51" s="962"/>
      <c r="P51" s="962"/>
      <c r="Q51" s="962"/>
      <c r="R51" s="962"/>
      <c r="S51" s="939"/>
      <c r="T51" s="939"/>
      <c r="U51" s="939"/>
      <c r="V51" s="981"/>
      <c r="W51" s="976"/>
      <c r="X51" s="977"/>
      <c r="Y51" s="978"/>
    </row>
    <row r="52" spans="1:60" ht="30" customHeight="1" thickTop="1" thickBot="1" x14ac:dyDescent="0.35">
      <c r="A52"/>
      <c r="B52"/>
      <c r="C52"/>
      <c r="D52"/>
      <c r="E52"/>
      <c r="V52"/>
      <c r="W52"/>
      <c r="X52"/>
    </row>
    <row r="53" spans="1:60" ht="104.4" customHeight="1" thickTop="1" thickBot="1" x14ac:dyDescent="0.35">
      <c r="A53" s="448" t="s">
        <v>2942</v>
      </c>
      <c r="B53" s="951" t="str" cm="1">
        <f t="array" ref="B53">KatOzetFinalSon(TEST!$K$47:$L$69,TEST!$M$47:$P$69,TEST!$Q$47:$Q$69,TEST!$R$47:$R$69,TEST!$S$47:$S$69,TEST!$T$47:$T$69)</f>
        <v>1. Bodrum Katta odunluk, Zemin Katta 1 adet daire, 1. Normal Katta 1 adet daire, 2. Normal Katta 1. normal katta yer alan daire ünitesinin devamı olmak üzere binada toplam 2 adet bağımsız bölüm bulunmaktadır.</v>
      </c>
      <c r="C53" s="951"/>
      <c r="D53" s="448" t="s">
        <v>2943</v>
      </c>
      <c r="E53" s="446" t="str">
        <f>+IF(BLOKADEDİ="tek",""," Ekspertize konu taşınmazın yer aldığı "&amp;BLOKADI&amp;" blok parselin "&amp;BLOKKONUMU&amp;" cephesinde yer almaktadır.")</f>
        <v/>
      </c>
      <c r="F53" s="365" t="s">
        <v>2945</v>
      </c>
      <c r="G53" s="367" t="str">
        <f>+IF(TEST!F55="","","Taşınmazın bulunduğu =BİNASİTE =sosyaltesisler imkanı bulunmaktadır.")</f>
        <v/>
      </c>
      <c r="H53" s="939" t="str">
        <f>+_xlfn.SINGLE(IF(sosyaltesisler="","",SOSYALTESİS))</f>
        <v/>
      </c>
      <c r="I53" s="939"/>
      <c r="J53" s="421" t="s">
        <v>2949</v>
      </c>
      <c r="K53" s="427">
        <f>SUM(TEST!R47:R69)+SUM(TEST!S47:S69)+SUM(TEST!Q47:Q69)+SUM(TEST!T47:T69)</f>
        <v>2</v>
      </c>
      <c r="V53"/>
      <c r="W53"/>
      <c r="X53"/>
    </row>
    <row r="54" spans="1:60" ht="29.4" customHeight="1" thickTop="1" thickBot="1" x14ac:dyDescent="0.35">
      <c r="I54"/>
      <c r="J54"/>
      <c r="K54"/>
    </row>
    <row r="55" spans="1:60" s="7" customFormat="1" ht="29.4" customHeight="1" thickTop="1" thickBot="1" x14ac:dyDescent="0.35">
      <c r="A55" s="1027" t="s">
        <v>92</v>
      </c>
      <c r="B55" s="1027"/>
      <c r="C55" s="1027"/>
      <c r="D55" s="1027"/>
      <c r="E55"/>
      <c r="F55" s="926" t="s">
        <v>2951</v>
      </c>
      <c r="G55" s="939" t="str">
        <f>+CONCATENATE(BODRUM,ZEMİN,ASMA,ARA,NORMALKATLAR,ÇATI,TERAS)</f>
        <v xml:space="preserve">1 Bodrum + Zemin + 2 Normal kat </v>
      </c>
      <c r="H55" s="939"/>
      <c r="I55"/>
      <c r="J55" s="929" t="s">
        <v>2957</v>
      </c>
      <c r="K55" s="366" t="s">
        <v>2956</v>
      </c>
      <c r="L55" s="455">
        <f ca="1">+TODAY()</f>
        <v>46192</v>
      </c>
      <c r="M55" s="455">
        <f ca="1">+TODAY()</f>
        <v>46192</v>
      </c>
      <c r="N55"/>
      <c r="O55"/>
      <c r="P55"/>
      <c r="Q55"/>
      <c r="R55"/>
      <c r="S55"/>
      <c r="T55"/>
      <c r="U55"/>
      <c r="V55"/>
      <c r="W55"/>
      <c r="X55"/>
      <c r="Y55"/>
      <c r="Z55"/>
      <c r="AU55"/>
      <c r="AV55"/>
      <c r="AW55"/>
      <c r="AX55"/>
      <c r="AY55"/>
      <c r="AZ55"/>
      <c r="BA55"/>
      <c r="BB55"/>
      <c r="BC55"/>
      <c r="BD55"/>
      <c r="BE55"/>
      <c r="BF55"/>
      <c r="BG55"/>
      <c r="BH55"/>
    </row>
    <row r="56" spans="1:60" s="7" customFormat="1" ht="29.4" customHeight="1" thickTop="1" thickBot="1" x14ac:dyDescent="0.35">
      <c r="A56" s="452" t="s">
        <v>71</v>
      </c>
      <c r="B56" s="452">
        <f>+COUNTIF(TEST!BK23:BK26,"doğru")</f>
        <v>1</v>
      </c>
      <c r="C56" s="966" t="str">
        <f>+IF(B56&lt;1,"",B56&amp;" Bodrum +" )</f>
        <v>1 Bodrum +</v>
      </c>
      <c r="D56" s="966"/>
      <c r="E56"/>
      <c r="F56" s="926"/>
      <c r="G56" s="939"/>
      <c r="H56" s="939"/>
      <c r="I56"/>
      <c r="J56" s="929"/>
      <c r="K56" s="366" t="s">
        <v>470</v>
      </c>
      <c r="L56" s="455">
        <v>43466</v>
      </c>
      <c r="M56" s="453">
        <f ca="1">+(L55-L56)/365</f>
        <v>7.4684931506849317</v>
      </c>
      <c r="N56"/>
      <c r="O56"/>
      <c r="P56"/>
      <c r="Q56"/>
      <c r="R56"/>
      <c r="Z56"/>
      <c r="AA56"/>
      <c r="AU56"/>
      <c r="AV56"/>
      <c r="AW56"/>
      <c r="AX56"/>
      <c r="AY56"/>
      <c r="AZ56"/>
      <c r="BA56"/>
      <c r="BB56"/>
      <c r="BC56"/>
      <c r="BD56"/>
      <c r="BE56"/>
      <c r="BF56"/>
      <c r="BG56"/>
      <c r="BH56"/>
    </row>
    <row r="57" spans="1:60" s="7" customFormat="1" ht="29.4" customHeight="1" thickTop="1" thickBot="1" x14ac:dyDescent="0.35">
      <c r="A57" s="452" t="s">
        <v>72</v>
      </c>
      <c r="B57" s="452">
        <f>+COUNTIF(TEST!BK27,"doğru")</f>
        <v>1</v>
      </c>
      <c r="C57" s="966" t="str">
        <f>+IF(B57=1," Zemin + ","" )</f>
        <v xml:space="preserve"> Zemin + </v>
      </c>
      <c r="D57" s="966"/>
      <c r="E57"/>
      <c r="F57"/>
      <c r="G57"/>
      <c r="H57"/>
      <c r="I57"/>
      <c r="J57" s="929"/>
      <c r="K57" s="366" t="s">
        <v>294</v>
      </c>
      <c r="L57" s="455">
        <f>+TEST!O34</f>
        <v>0</v>
      </c>
      <c r="M57" s="453">
        <f ca="1">+(M55-L57)/365</f>
        <v>126.55342465753425</v>
      </c>
      <c r="N57"/>
      <c r="O57"/>
      <c r="P57"/>
      <c r="Q57"/>
      <c r="R57"/>
      <c r="Z57"/>
      <c r="AA57"/>
      <c r="AP57" s="965"/>
      <c r="AQ57" s="965"/>
      <c r="AR57" s="965"/>
      <c r="AS57" s="965"/>
      <c r="AU57"/>
      <c r="AV57"/>
      <c r="AW57"/>
      <c r="AX57"/>
      <c r="AY57"/>
      <c r="AZ57"/>
      <c r="BA57"/>
      <c r="BB57"/>
      <c r="BC57"/>
      <c r="BD57"/>
      <c r="BE57"/>
      <c r="BF57"/>
      <c r="BG57"/>
      <c r="BH57"/>
    </row>
    <row r="58" spans="1:60" s="7" customFormat="1" ht="29.4" customHeight="1" thickTop="1" thickBot="1" x14ac:dyDescent="0.35">
      <c r="A58" s="452" t="s">
        <v>74</v>
      </c>
      <c r="B58" s="452">
        <f>+COUNTIF(TEST!BK28,"doğru")</f>
        <v>0</v>
      </c>
      <c r="C58" s="966" t="str">
        <f>+IF(B58=1,"Asma kat +","" )</f>
        <v/>
      </c>
      <c r="D58" s="966"/>
      <c r="E58"/>
      <c r="F58" s="926" t="s">
        <v>2952</v>
      </c>
      <c r="G58" s="939" t="str">
        <f>+VLOOKUP(ELEVATOR,VERİDOĞRULAMA!X2:Y7,2,0)</f>
        <v>Taşınmazın yer aldığı binada asansör bulunmamaktadır.</v>
      </c>
      <c r="H58" s="939"/>
      <c r="I58"/>
      <c r="M58"/>
      <c r="N58"/>
      <c r="O58"/>
      <c r="P58"/>
      <c r="Q58"/>
      <c r="R58"/>
      <c r="Z58"/>
      <c r="AA58"/>
      <c r="AG58"/>
      <c r="AU58"/>
      <c r="AV58"/>
      <c r="AW58"/>
      <c r="AX58"/>
      <c r="AY58"/>
      <c r="AZ58"/>
      <c r="BA58"/>
      <c r="BB58"/>
      <c r="BC58"/>
      <c r="BD58"/>
      <c r="BE58"/>
      <c r="BF58"/>
      <c r="BG58"/>
      <c r="BH58"/>
    </row>
    <row r="59" spans="1:60" s="7" customFormat="1" ht="29.4" customHeight="1" thickTop="1" thickBot="1" x14ac:dyDescent="0.35">
      <c r="A59" s="452" t="s">
        <v>73</v>
      </c>
      <c r="B59" s="452">
        <f>+COUNTIF(TEST!BK29,"doğru")</f>
        <v>0</v>
      </c>
      <c r="C59" s="966" t="str">
        <f>+IF(B59=1,"Ara kat +","" )</f>
        <v/>
      </c>
      <c r="D59" s="966"/>
      <c r="F59" s="926"/>
      <c r="G59" s="939"/>
      <c r="H59" s="939"/>
      <c r="I59"/>
      <c r="J59" s="968" t="s">
        <v>644</v>
      </c>
      <c r="K59" s="968"/>
      <c r="N59"/>
      <c r="O59"/>
      <c r="Q59"/>
      <c r="R59"/>
      <c r="Z59"/>
      <c r="AA59"/>
      <c r="AG59"/>
      <c r="AU59"/>
      <c r="AV59"/>
      <c r="AW59"/>
      <c r="AX59"/>
      <c r="AY59"/>
      <c r="AZ59"/>
      <c r="BA59"/>
      <c r="BB59"/>
      <c r="BC59"/>
      <c r="BD59"/>
      <c r="BE59"/>
      <c r="BF59"/>
      <c r="BG59"/>
      <c r="BH59"/>
    </row>
    <row r="60" spans="1:60" s="7" customFormat="1" ht="29.4" customHeight="1" thickTop="1" thickBot="1" x14ac:dyDescent="0.35">
      <c r="A60" s="452" t="s">
        <v>75</v>
      </c>
      <c r="B60" s="452">
        <f>SUM(TEST!BP20:BP32)+SUM(TEST!BS20:BS32)</f>
        <v>2</v>
      </c>
      <c r="C60" s="966" t="str">
        <f>+IF(B60&lt;1,"",B60&amp;" Normal kat" )</f>
        <v>2 Normal kat</v>
      </c>
      <c r="D60" s="966"/>
      <c r="F60"/>
      <c r="G60"/>
      <c r="H60"/>
      <c r="I60"/>
      <c r="J60" s="472" t="s">
        <v>645</v>
      </c>
      <c r="K60" s="476" t="s">
        <v>821</v>
      </c>
      <c r="N60"/>
      <c r="O60"/>
      <c r="Q60"/>
      <c r="R60"/>
      <c r="Z60"/>
      <c r="AA60"/>
      <c r="AH60"/>
    </row>
    <row r="61" spans="1:60" s="7" customFormat="1" ht="29.4" customHeight="1" thickTop="1" thickBot="1" x14ac:dyDescent="0.35">
      <c r="A61" s="452" t="s">
        <v>76</v>
      </c>
      <c r="B61" s="452">
        <f>+COUNTIF(TEST!BK32,"doğru")</f>
        <v>0</v>
      </c>
      <c r="C61" s="966" t="str">
        <f>+IF(B61=1," + Çatı kat","")</f>
        <v/>
      </c>
      <c r="D61" s="966"/>
      <c r="F61" s="365" t="s">
        <v>2953</v>
      </c>
      <c r="G61" s="1036" t="str" cm="1">
        <f t="array" ref="G61">YapiYasi_esnek(BELGETURU,BELGETARIH)</f>
        <v>Belirsiz</v>
      </c>
      <c r="H61" s="1036"/>
      <c r="I61"/>
      <c r="J61" s="472" t="s">
        <v>646</v>
      </c>
      <c r="K61" s="476" t="str">
        <f>+J61&amp;" imkanı bulunan"</f>
        <v>Açık otopark imkanı bulunan</v>
      </c>
      <c r="N61"/>
      <c r="O61"/>
      <c r="P61"/>
      <c r="Q61"/>
      <c r="R61"/>
      <c r="Z61"/>
      <c r="AA61"/>
      <c r="AG61"/>
      <c r="AH61"/>
    </row>
    <row r="62" spans="1:60" s="7" customFormat="1" ht="29.4" customHeight="1" thickTop="1" thickBot="1" x14ac:dyDescent="0.35">
      <c r="A62" s="452" t="s">
        <v>77</v>
      </c>
      <c r="B62" s="452">
        <f>+COUNTIF(TEST!BK30,"doğru")</f>
        <v>0</v>
      </c>
      <c r="C62" s="966" t="str">
        <f>+IF(B62=1," + Teras kat"," " )</f>
        <v xml:space="preserve"> </v>
      </c>
      <c r="D62" s="966"/>
      <c r="E62"/>
      <c r="F62" s="117"/>
      <c r="H62"/>
      <c r="I62"/>
      <c r="J62" s="472" t="s">
        <v>647</v>
      </c>
      <c r="K62" s="479" t="str">
        <f>+J62&amp;" imkanı bulunan"</f>
        <v>Kapalı ve açık otopark imkanı bulunan</v>
      </c>
      <c r="L62"/>
      <c r="M62"/>
      <c r="N62"/>
      <c r="O62"/>
      <c r="P62"/>
      <c r="Q62"/>
      <c r="R62"/>
      <c r="S62"/>
      <c r="T62"/>
      <c r="U62"/>
      <c r="V62"/>
      <c r="W62"/>
      <c r="X62"/>
      <c r="Z62"/>
      <c r="AA62"/>
      <c r="AG62"/>
      <c r="AH62"/>
    </row>
    <row r="63" spans="1:60" s="7" customFormat="1" ht="29.4" customHeight="1" thickTop="1" thickBot="1" x14ac:dyDescent="0.35">
      <c r="A63" s="452" t="s">
        <v>2950</v>
      </c>
      <c r="B63" s="427">
        <f>+B56+B57+B60+B62</f>
        <v>4</v>
      </c>
      <c r="C63" s="966" t="s">
        <v>97</v>
      </c>
      <c r="D63" s="966"/>
      <c r="E63"/>
      <c r="F63" s="365" t="s">
        <v>2954</v>
      </c>
      <c r="G63" s="927" t="str" cm="1">
        <f t="array" ref="G63">+YapiYili_esnek(BELGETURU,BELGETARIH)</f>
        <v>Belirsiz</v>
      </c>
      <c r="H63" s="927"/>
      <c r="I63"/>
      <c r="J63" s="472" t="s">
        <v>157</v>
      </c>
      <c r="K63" s="476" t="s">
        <v>648</v>
      </c>
      <c r="L63"/>
      <c r="M63"/>
      <c r="N63"/>
      <c r="O63"/>
      <c r="P63"/>
      <c r="Q63"/>
      <c r="R63"/>
      <c r="Z63"/>
      <c r="AA63"/>
      <c r="AG63"/>
      <c r="AH63"/>
    </row>
    <row r="64" spans="1:60" s="7" customFormat="1" ht="29.4" customHeight="1" thickTop="1" thickBot="1" x14ac:dyDescent="0.35">
      <c r="A64" s="447" t="s">
        <v>1344</v>
      </c>
      <c r="B64" s="424">
        <f>+B56</f>
        <v>1</v>
      </c>
      <c r="C64" s="966"/>
      <c r="D64" s="966"/>
      <c r="E64"/>
      <c r="F64" s="454"/>
      <c r="H64"/>
      <c r="I64"/>
      <c r="J64" s="478" t="s">
        <v>3020</v>
      </c>
      <c r="K64" s="477" t="str">
        <f>VLOOKUP(TEST!I49, J60:K63, 2, 0)</f>
        <v>Açık otopark imkanı bulunan</v>
      </c>
      <c r="O64"/>
      <c r="P64"/>
      <c r="Q64"/>
      <c r="R64"/>
      <c r="S64"/>
      <c r="T64"/>
      <c r="U64"/>
      <c r="V64"/>
      <c r="W64"/>
      <c r="X64"/>
      <c r="Z64"/>
      <c r="AA64"/>
      <c r="AG64"/>
      <c r="AH64"/>
    </row>
    <row r="65" spans="1:52" s="7" customFormat="1" ht="28.2" customHeight="1" thickTop="1" thickBot="1" x14ac:dyDescent="0.35">
      <c r="A65" s="447" t="s">
        <v>1345</v>
      </c>
      <c r="B65" s="424">
        <f>+B57+B60+B62</f>
        <v>3</v>
      </c>
      <c r="C65" s="966"/>
      <c r="D65" s="966"/>
      <c r="E65"/>
      <c r="F65" s="365" t="s">
        <v>2955</v>
      </c>
      <c r="G65" s="927" t="str" cm="1">
        <f t="array" ref="G65">+YapiBitisTarihi_esnek(BELGETURU,BELGETARIH)</f>
        <v>Belirsiz</v>
      </c>
      <c r="H65" s="927"/>
      <c r="J65"/>
      <c r="K65"/>
      <c r="O65"/>
      <c r="P65"/>
      <c r="Q65"/>
      <c r="R65"/>
      <c r="S65"/>
      <c r="T65"/>
      <c r="U65"/>
      <c r="V65"/>
      <c r="W65"/>
      <c r="X65"/>
      <c r="Z65"/>
      <c r="AA65"/>
      <c r="AG65"/>
      <c r="AH65"/>
    </row>
    <row r="66" spans="1:52" s="7" customFormat="1" ht="71.400000000000006" customHeight="1" thickTop="1" thickBot="1" x14ac:dyDescent="0.35">
      <c r="D66"/>
      <c r="E66"/>
      <c r="F66"/>
      <c r="O66"/>
      <c r="P66"/>
      <c r="Q66"/>
      <c r="R66"/>
      <c r="W66"/>
      <c r="X66"/>
      <c r="Z66"/>
      <c r="AA66"/>
      <c r="AG66"/>
      <c r="AH66"/>
      <c r="AQ66"/>
      <c r="AR66"/>
      <c r="AS66"/>
    </row>
    <row r="67" spans="1:52" s="7" customFormat="1" ht="71.400000000000006" customHeight="1" thickTop="1" thickBot="1" x14ac:dyDescent="0.35">
      <c r="A67" s="421" t="s">
        <v>3073</v>
      </c>
      <c r="B67" s="939" t="str" cm="1">
        <f t="array" aca="1" ref="B67" ca="1">BB_OZELLIK_PARAGRAF_V13()</f>
        <v>Salon, oda, antre-hol ve mutfak bölümlerinde zeminler laminant parke kaplı, duvarlar alçı sıva üzeri saten boya kaplıdır. Islak hacimlerde zeminler ve duvarlar seramik kaplıdır. Balkon bölümünde zeminler seramik kaplı, duvarlar ise plastik boya kaplıdır. Banyo bölümünde hilton lavabo, klozet ve duşakabin vitrifiye elemanları bulunmaktadır. Taşınmazın dış kapısı çelik kapı, iç kapıları ahşap panel kapı olup, pencereleri PVC doğramadır. Mutfak dolapları akrilik dolap olup, mutfak tezgahı çimstondur. Taşınmazın iç özellikleri standart seviyede olup, tadilat ihtiyacı bulunmamaktadır.</v>
      </c>
      <c r="C67" s="939"/>
      <c r="D67" s="939"/>
      <c r="E67" s="939"/>
      <c r="F67" s="939"/>
      <c r="G67" s="939"/>
      <c r="H67" s="939"/>
      <c r="O67"/>
      <c r="P67"/>
      <c r="Q67"/>
      <c r="R67"/>
      <c r="W67"/>
      <c r="X67"/>
      <c r="Z67"/>
      <c r="AA67"/>
      <c r="AG67"/>
      <c r="AH67"/>
      <c r="AI67"/>
      <c r="AJ67"/>
      <c r="AK67"/>
      <c r="AL67"/>
      <c r="AM67"/>
      <c r="AQ67"/>
      <c r="AR67"/>
      <c r="AS67"/>
    </row>
    <row r="68" spans="1:52" s="7" customFormat="1" ht="71.400000000000006" customHeight="1" thickTop="1" thickBot="1" x14ac:dyDescent="0.35">
      <c r="A68" s="457" t="s">
        <v>495</v>
      </c>
      <c r="B68" s="507"/>
      <c r="C68"/>
      <c r="D68"/>
      <c r="E68"/>
      <c r="O68"/>
      <c r="P68"/>
      <c r="Q68"/>
      <c r="R68"/>
      <c r="W68"/>
      <c r="X68"/>
      <c r="Z68"/>
      <c r="AA68"/>
      <c r="AG68"/>
      <c r="AH68"/>
      <c r="AQ68"/>
      <c r="AR68"/>
      <c r="AS68"/>
    </row>
    <row r="69" spans="1:52" s="7" customFormat="1" ht="71.400000000000006" customHeight="1" thickTop="1" thickBot="1" x14ac:dyDescent="0.35">
      <c r="A69" s="471" t="s">
        <v>494</v>
      </c>
      <c r="B69" s="426" t="str">
        <f ca="1">+dikeybbaçıklama</f>
        <v>Ekspertize konu taşınmaz, incelenen onaylı mimari projesine göre, binanın 1. Normal katında yer alan, (güney cepheli) bağımsız bölüm no.lu dairedir. 
 Taşınmaz projesine ve mevcut duruma göre 85 m2 kullanım alanına sahip olup, salon, 3 oda, mutfak, banyo, wc, 2 balkon ve antre-hol hacimlerinden oluşmaktadır. 
Taşınmazın Salon, oda, antre-hol ve mutfak bölümlerinde zeminler laminant parke kaplı, duvarlar alçı sıva üzeri saten boya kaplıdır. Islak hacimlerde zeminler ve duvarlar seramik kaplıdır. Balkon bölümünde zeminler seramik kaplı, duvarlar ise plastik boya kaplıdır. Banyo bölümünde hilton lavabo, klozet ve duşakabin vitrifiye elemanları bulunmaktadır. Taşınmazın dış kapısı çelik kapı, iç kapıları ahşap panel kapı olup, pencereleri PVC doğramadır. Mutfak dolapları akrilik dolap olup, mutfak tezgahı çimstondur. Taşınmazın iç özellikleri standart seviyede olup, tadilat ihtiyacı bulunmamaktadır. Taşınmazda ısınma ihtiyacı doğalgaz kombi ile sağlanacak şekilde tesisat bulunmaktadır. Halihazırda ısıtma sistemi monte edilmiştir.</v>
      </c>
      <c r="C69" s="365" t="s">
        <v>3006</v>
      </c>
      <c r="D69" s="426" t="str">
        <f ca="1">IF(MİMARİUYGUNLUK="trampa",TRIM(Cevir(TRAMPABBÖZELLİK)),IF(MİMARİUYGUNLUK="ayna simetrisi (konum etkilenmiyor.)",TRIM(Cevir(aynasimetribbözellik)),IF(MİMARİUYGUNLUK="trampa ve ayna simetrisi",TRIM(Cevir(aynasimetribbözellik2)),IF(RANDEVUTÜRÜ="dışarıdan görülmüştür.",TRIM(Cevir(DIŞARIDANBBÖZELLİK)),TRIM(Cevir(BBÖZELLİK))))))</f>
        <v>Ekspertize konu taşınmaz, incelenen onaylı mimari projesine göre, binanın 1. Normal katında yer alan, (güney cepheli) bağımsız bölüm no.lu dairedir. 
 Taşınmaz projesine ve mevcut duruma göre 85 m2 kullanım alanına sahip olup, salon, 3 oda, mutfak, banyo, wc, 2 balkon ve antre-hol hacimlerinden oluşmaktadır. 
Taşınmazın Salon, oda, antre-hol ve mutfak bölümlerinde zeminler laminant parke kaplı, duvarlar alçı sıva üzeri saten boya kaplıdır. Islak hacimlerde zeminler ve duvarlar seramik kaplıdır. Balkon bölümünde zeminler seramik kaplı, duvarlar ise plastik boya kaplıdır. Banyo bölümünde hilton lavabo, klozet ve duşakabin vitrifiye elemanları bulunmaktadır. Taşınmazın dış kapısı çelik kapı, iç kapıları ahşap panel kapı olup, pencereleri PVC doğramadır. Mutfak dolapları akrilik dolap olup, mutfak tezgahı çimstondur. Taşınmazın iç özellikleri standart seviyede olup, tadilat ihtiyacı bulunmamaktadır. Taşınmazda ısınma ihtiyacı doğalgaz kombi ile sağlanacak şekilde tesisat bulunmaktadır. Halihazırda ısıtma sistemi monte edilmiştir.</v>
      </c>
      <c r="F69" s="986" t="s">
        <v>2993</v>
      </c>
      <c r="G69" s="1037" t="str">
        <f>+VLOOKUP(TEST!F5,A69:B71,2,0)</f>
        <v xml:space="preserve">Değerlemeye konu taşınmaz Kargir Ev nitelikli olup bağımsız bölüm içermemektedir.  </v>
      </c>
      <c r="H69" s="1037"/>
      <c r="I69" s="1037"/>
      <c r="J69" s="1037"/>
      <c r="K69" s="1037"/>
      <c r="O69"/>
      <c r="P69"/>
      <c r="Q69"/>
      <c r="R69"/>
      <c r="W69"/>
      <c r="X69"/>
      <c r="Z69"/>
      <c r="AA69"/>
      <c r="AG69"/>
      <c r="AH69"/>
      <c r="AL69" s="23"/>
      <c r="AQ69"/>
      <c r="AR69"/>
      <c r="AS69"/>
    </row>
    <row r="70" spans="1:52" s="7" customFormat="1" ht="71.400000000000006" customHeight="1" thickTop="1" thickBot="1" x14ac:dyDescent="0.35">
      <c r="A70" s="471" t="s">
        <v>493</v>
      </c>
      <c r="B70" s="426" t="str">
        <f ca="1">+yataybbaçıklama</f>
        <v>Ekspertize konu taşınmaz (0/0) #SAYI/0! m2 arsa payına sahiptir. Taşınmaz projesine göre 1 Bodrum + Zemin + 2 Normal kat olmak üzere, toplam 4 kattan oluşmaktadır. Taşınmaz projesine ve mevcut duruma göre 85 m2 kullanım alanına sahip olup, salon, 3 oda, mutfak, banyo, wc, 2 balkon ve antre-hol hacimlerinden oluşmaktadır. Taşınmazın Salon, oda, antre-hol ve mutfak bölümlerinde zeminler laminant parke kaplı, duvarlar alçı sıva üzeri saten boya kaplıdır. Islak hacimlerde zeminler ve duvarlar seramik kaplıdır. Balkon bölümünde zeminler seramik kaplı, duvarlar ise plastik boya kaplıdır. Banyo bölümünde hilton lavabo, klozet ve duşakabin vitrifiye elemanları bulunmaktadır. Taşınmazın dış kapısı çelik kapı, iç kapıları ahşap panel kapı olup, pencereleri PVC doğramadır. Mutfak dolapları akrilik dolap olup, mutfak tezgahı çimstondur. Taşınmazın iç özellikleri standart seviyede olup, tadilat ihtiyacı bulunmamaktadır. Isınma sistemi doğalgaz kombi ile sağlanacak şekilde tesisat bulunmaktadır. Halihazırda ısıtma sistemi monte edilmiştir.</v>
      </c>
      <c r="C70" s="365" t="s">
        <v>3006</v>
      </c>
      <c r="D70" s="426" t="str">
        <f ca="1">IF(MİMARİUYGUNLUK="trampa",TRIM(Cevir(trampabbyatayözellik)),IF(MİMARİUYGUNLUK="ayna simetrisi (konum etkilenmiyor.)",TRIM(Cevir(aynasimetriyatayetkisiz)),IF(MİMARİUYGUNLUK="trampa ve ayna simetrisi",TRIM(Cevir(aynasimetriyatay)),IF(RANDEVUTÜRÜ="dışarıdan görülmüştür.",TRIM(Cevir(dışarıdanyataybbözellik)),TRIM(Cevir(bbözellikyatay))))))</f>
        <v>Ekspertize konu taşınmaz (0/0) #SAYI/0! m2 arsa payına sahiptir. Taşınmaz projesine göre 1 Bodrum + Zemin + 2 Normal kat olmak üzere, toplam 4 kattan oluşmaktadır. Taşınmaz projesine ve mevcut duruma göre 85 m2 kullanım alanına sahip olup, salon, 3 oda, mutfak, banyo, wc, 2 balkon ve antre-hol hacimlerinden oluşmaktadır. Taşınmazın Salon, oda, antre-hol ve mutfak bölümlerinde zeminler laminant parke kaplı, duvarlar alçı sıva üzeri saten boya kaplıdır. Islak hacimlerde zeminler ve duvarlar seramik kaplıdır. Balkon bölümünde zeminler seramik kaplı, duvarlar ise plastik boya kaplıdır. Banyo bölümünde hilton lavabo, klozet ve duşakabin vitrifiye elemanları bulunmaktadır. Taşınmazın dış kapısı çelik kapı, iç kapıları ahşap panel kapı olup, pencereleri PVC doğramadır. Mutfak dolapları akrilik dolap olup, mutfak tezgahı çimstondur. Taşınmazın iç özellikleri standart seviyede olup, tadilat ihtiyacı bulunmamaktadır. Isınma sistemi doğalgaz kombi ile sağlanacak şekilde tesisat bulunmaktadır. Halihazırda ısıtma sistemi monte edilmiştir.</v>
      </c>
      <c r="E70"/>
      <c r="F70" s="986"/>
      <c r="G70" s="1037"/>
      <c r="H70" s="1037"/>
      <c r="I70" s="1037"/>
      <c r="J70" s="1037"/>
      <c r="K70" s="1037"/>
      <c r="O70"/>
      <c r="P70"/>
      <c r="Q70"/>
      <c r="R70"/>
      <c r="W70"/>
      <c r="X70"/>
      <c r="Z70"/>
      <c r="AA70"/>
      <c r="AG70"/>
      <c r="AH70"/>
      <c r="AL70" s="23"/>
    </row>
    <row r="71" spans="1:52" s="7" customFormat="1" ht="71.400000000000006" customHeight="1" thickTop="1" thickBot="1" x14ac:dyDescent="0.35">
      <c r="A71" s="471" t="s">
        <v>761</v>
      </c>
      <c r="B71" s="426" t="str">
        <f>+D71</f>
        <v xml:space="preserve">Değerlemeye konu taşınmaz Kargir Ev nitelikli olup bağımsız bölüm içermemektedir.  </v>
      </c>
      <c r="C71" s="367" t="s">
        <v>508</v>
      </c>
      <c r="D71" s="426" t="str">
        <f>+Cevir(müstakilbinabb)</f>
        <v xml:space="preserve">Değerlemeye konu taşınmaz Kargir Ev nitelikli olup bağımsız bölüm içermemektedir.  </v>
      </c>
      <c r="E71"/>
      <c r="F71" s="986"/>
      <c r="G71" s="1037"/>
      <c r="H71" s="1037"/>
      <c r="I71" s="1037"/>
      <c r="J71" s="1037"/>
      <c r="K71" s="1037"/>
      <c r="O71"/>
      <c r="P71"/>
      <c r="Q71"/>
      <c r="R71"/>
      <c r="W71"/>
      <c r="X71"/>
      <c r="Z71"/>
      <c r="AA71"/>
      <c r="AG71"/>
      <c r="AH71"/>
      <c r="AO71"/>
      <c r="AP71"/>
      <c r="AQ71"/>
      <c r="AR71"/>
      <c r="AS71"/>
      <c r="AT71"/>
      <c r="AU71"/>
      <c r="AV71"/>
      <c r="AW71"/>
      <c r="AX71"/>
      <c r="AY71"/>
      <c r="AZ71"/>
    </row>
    <row r="72" spans="1:52" s="7" customFormat="1" ht="71.400000000000006" customHeight="1" thickTop="1" thickBot="1" x14ac:dyDescent="0.35">
      <c r="F72" s="986"/>
      <c r="G72" s="1037"/>
      <c r="H72" s="1037"/>
      <c r="I72" s="1037"/>
      <c r="J72" s="1037"/>
      <c r="K72" s="1037"/>
      <c r="O72"/>
      <c r="P72"/>
      <c r="Q72"/>
      <c r="R72"/>
      <c r="W72"/>
      <c r="X72"/>
      <c r="Z72"/>
      <c r="AA72"/>
      <c r="AG72"/>
      <c r="AM72" s="21"/>
      <c r="AO72"/>
      <c r="AP72"/>
      <c r="AQ72"/>
      <c r="AR72"/>
      <c r="AS72"/>
      <c r="AT72"/>
      <c r="AU72"/>
      <c r="AV72"/>
      <c r="AW72"/>
      <c r="AX72"/>
      <c r="AY72"/>
      <c r="AZ72"/>
    </row>
    <row r="73" spans="1:52" s="7" customFormat="1" ht="71.400000000000006" customHeight="1" thickTop="1" thickBot="1" x14ac:dyDescent="0.35">
      <c r="A73" s="506" t="s">
        <v>3333</v>
      </c>
      <c r="B73" s="426" t="str">
        <f>+IF(CEPHELER="","","("&amp;CEPHELER&amp;" cepheli"&amp;")")</f>
        <v>(güney cepheli)</v>
      </c>
      <c r="E73"/>
      <c r="F73"/>
      <c r="G73"/>
      <c r="O73"/>
      <c r="P73"/>
      <c r="Q73"/>
      <c r="R73"/>
      <c r="W73"/>
      <c r="X73"/>
      <c r="Z73"/>
      <c r="AA73"/>
      <c r="AG73"/>
      <c r="AL73" s="21"/>
      <c r="AM73" s="21"/>
      <c r="AO73"/>
      <c r="AP73"/>
      <c r="AQ73"/>
      <c r="AR73"/>
      <c r="AS73"/>
      <c r="AT73"/>
      <c r="AU73"/>
      <c r="AV73"/>
      <c r="AW73"/>
      <c r="AX73"/>
      <c r="AY73"/>
      <c r="AZ73"/>
    </row>
    <row r="74" spans="1:52" s="7" customFormat="1" ht="71.400000000000006" customHeight="1" thickTop="1" thickBot="1" x14ac:dyDescent="0.35">
      <c r="C74"/>
      <c r="D74"/>
      <c r="E74"/>
      <c r="F74"/>
      <c r="G74"/>
      <c r="O74" s="1032" t="s">
        <v>101</v>
      </c>
      <c r="P74" s="1033"/>
      <c r="Q74" s="1033"/>
      <c r="R74" s="1034"/>
      <c r="W74"/>
      <c r="X74"/>
      <c r="Z74"/>
      <c r="AA74"/>
      <c r="AG74"/>
      <c r="AH74"/>
      <c r="AI74"/>
      <c r="AJ74"/>
      <c r="AK74"/>
      <c r="AL74"/>
      <c r="AM74"/>
      <c r="AN74"/>
      <c r="AO74"/>
      <c r="AP74"/>
      <c r="AQ74"/>
      <c r="AR74"/>
      <c r="AS74"/>
      <c r="AT74"/>
      <c r="AU74"/>
      <c r="AV74"/>
      <c r="AW74"/>
      <c r="AX74"/>
      <c r="AY74"/>
      <c r="AZ74"/>
    </row>
    <row r="75" spans="1:52" s="7" customFormat="1" ht="228.6" customHeight="1" thickTop="1" thickBot="1" x14ac:dyDescent="0.35">
      <c r="A75" s="473" t="s">
        <v>2994</v>
      </c>
      <c r="B75" s="939" t="s">
        <v>3331</v>
      </c>
      <c r="C75" s="939"/>
      <c r="D75" s="939"/>
      <c r="E75" s="939"/>
      <c r="F75" s="939"/>
      <c r="G75" s="943" t="str">
        <f ca="1">+Cevir(BBÖZELLİK)</f>
        <v xml:space="preserve">Ekspertize konu taşınmaz, incelenen onaylı mimari projesine göre, binanın 1. Normal katında yer alan,  (güney cepheli)  bağımsız bölüm no.lu   dairedir.  
 Taşınmaz projesine ve mevcut duruma göre 85 m2 kullanım alanına sahip olup, salon, 3 oda, mutfak, banyo, wc, 2 balkon ve antre-hol hacimlerinden oluşmaktadır. 
Taşınmazın Salon, oda, antre-hol ve mutfak bölümlerinde zeminler laminant parke kaplı, duvarlar alçı sıva üzeri saten boya kaplıdır. Islak hacimlerde zeminler ve duvarlar seramik kaplıdır. Balkon bölümünde zeminler seramik kaplı, duvarlar ise plastik boya kaplıdır. Banyo bölümünde hilton lavabo, klozet ve duşakabin vitrifiye elemanları bulunmaktadır. Taşınmazın dış kapısı çelik kapı, iç kapıları ahşap panel kapı olup, pencereleri PVC doğramadır. Mutfak dolapları akrilik dolap olup, mutfak tezgahı çimstondur. Taşınmazın iç özellikleri standart seviyede olup, tadilat ihtiyacı bulunmamaktadır.  Taşınmazda ısınma ihtiyacı doğalgaz kombi ile sağlanacak şekilde tesisat bulunmaktadır. Halihazırda ısıtma sistemi monte edilmiştir.                         </v>
      </c>
      <c r="H75" s="943"/>
      <c r="I75" s="943"/>
      <c r="J75" s="943"/>
      <c r="L75" s="995" t="s">
        <v>2988</v>
      </c>
      <c r="M75" s="995"/>
      <c r="N75"/>
      <c r="O75" s="466" t="s">
        <v>2</v>
      </c>
      <c r="P75" s="520" t="str" cm="1">
        <f t="array" ref="P75">KAT_V5(TEST!F75:F79)</f>
        <v>1</v>
      </c>
      <c r="Q75" s="422" t="s">
        <v>3092</v>
      </c>
      <c r="R75" s="466"/>
      <c r="W75"/>
      <c r="X75"/>
      <c r="Z75"/>
      <c r="AA75"/>
      <c r="AG75"/>
      <c r="AH75"/>
      <c r="AI75"/>
      <c r="AJ75"/>
      <c r="AK75"/>
      <c r="AL75"/>
      <c r="AM75"/>
      <c r="AN75"/>
      <c r="AO75"/>
      <c r="AP75"/>
      <c r="AQ75" t="str">
        <f>+Cevir(Sayfa1!F73)&amp;CHAR(10)</f>
        <v xml:space="preserve">
</v>
      </c>
      <c r="AR75"/>
      <c r="AS75"/>
      <c r="AT75"/>
      <c r="AU75"/>
      <c r="AV75"/>
      <c r="AW75"/>
      <c r="AX75"/>
      <c r="AY75"/>
      <c r="AZ75"/>
    </row>
    <row r="76" spans="1:52" s="7" customFormat="1" ht="193.95" customHeight="1" thickTop="1" thickBot="1" x14ac:dyDescent="0.35">
      <c r="A76" s="473" t="s">
        <v>2995</v>
      </c>
      <c r="B76" s="939" t="s">
        <v>3332</v>
      </c>
      <c r="C76" s="939"/>
      <c r="D76" s="939"/>
      <c r="E76" s="939"/>
      <c r="F76" s="939"/>
      <c r="G76" s="943" t="str">
        <f>+Cevir(DIŞARIDANBBÖZELLİK)</f>
        <v xml:space="preserve">Ekspertize konu taşınmaz, incelenen onaylı mimari projesine göre, binanın 1. Normal katında yer alan,  (güney cepheli)  bağımsız bölüm no.lu   dairedir.  
Ekspertize konu taşınmaz projesine göre 85 m2 kullanım alanına sahip olup, salon, 3 oda, mutfak, banyo, wc, 2 balkon ve antre-hol hacimlerinden oluşmaktadır. Yer görme işlemi şube bilgisi dahilinde dışarıdan yapılmış olup mimari uygunluk tespit edilememiş ve iç hacimlerin malzeme ve işçilik kalitesi standart olarak varsayılmıştır.            </v>
      </c>
      <c r="H76" s="943"/>
      <c r="I76" s="943"/>
      <c r="J76" s="943"/>
      <c r="L76" s="468" t="s">
        <v>543</v>
      </c>
      <c r="M76" s="469" t="s">
        <v>550</v>
      </c>
      <c r="N76"/>
      <c r="O76" s="466" t="s">
        <v>2984</v>
      </c>
      <c r="P76" s="467" t="str">
        <f>+KAT&amp;". "</f>
        <v xml:space="preserve">1. </v>
      </c>
      <c r="Q76" s="466" t="s">
        <v>3237</v>
      </c>
      <c r="R76" s="427" t="str" cm="1">
        <f t="array" ref="R76">KAT_V5(TEST!F75:F79)</f>
        <v>1</v>
      </c>
      <c r="S76" s="422" t="s">
        <v>3092</v>
      </c>
      <c r="W76"/>
      <c r="X76"/>
      <c r="Z76"/>
      <c r="AA76"/>
      <c r="AG76"/>
      <c r="AH76"/>
      <c r="AI76"/>
      <c r="AJ76"/>
      <c r="AK76"/>
      <c r="AL76"/>
      <c r="AM76"/>
      <c r="AN76"/>
      <c r="AO76"/>
      <c r="AP76"/>
      <c r="AQ76" t="str">
        <f>+Cevir(Sayfa1!F74)&amp;CHAR(10)</f>
        <v xml:space="preserve">
</v>
      </c>
      <c r="AR76"/>
      <c r="AS76"/>
      <c r="AT76"/>
      <c r="AU76"/>
      <c r="AV76"/>
      <c r="AW76"/>
      <c r="AX76"/>
      <c r="AY76"/>
      <c r="AZ76"/>
    </row>
    <row r="77" spans="1:52" s="7" customFormat="1" ht="159.6" customHeight="1" thickTop="1" thickBot="1" x14ac:dyDescent="0.35">
      <c r="A77" s="473" t="s">
        <v>2996</v>
      </c>
      <c r="B77" s="939" t="s">
        <v>3090</v>
      </c>
      <c r="C77" s="939"/>
      <c r="D77" s="939"/>
      <c r="E77" s="939"/>
      <c r="F77" s="939"/>
      <c r="G77" s="943" t="str">
        <f ca="1">+Cevir(bbözellikyatay)</f>
        <v xml:space="preserve">Ekspertize konu taşınmaz (0/0)  #SAYI/0! m2  arsa payına sahiptir. Taşınmaz projesine göre 1 Bodrum + Zemin + 2 Normal kat  olmak üzere, toplam 4 kattan oluşmaktadır. Taşınmaz projesine ve mevcut duruma göre 85 m2 kullanım alanına sahip olup, salon, 3 oda, mutfak, banyo, wc, 2 balkon ve antre-hol hacimlerinden oluşmaktadır.  Taşınmazın Salon, oda, antre-hol ve mutfak bölümlerinde zeminler laminant parke kaplı, duvarlar alçı sıva üzeri saten boya kaplıdır. Islak hacimlerde zeminler ve duvarlar seramik kaplıdır. Balkon bölümünde zeminler seramik kaplı, duvarlar ise plastik boya kaplıdır. Banyo bölümünde hilton lavabo, klozet ve duşakabin vitrifiye elemanları bulunmaktadır. Taşınmazın dış kapısı çelik kapı, iç kapıları ahşap panel kapı olup, pencereleri PVC doğramadır. Mutfak dolapları akrilik dolap olup, mutfak tezgahı çimstondur. Taşınmazın iç özellikleri standart seviyede olup, tadilat ihtiyacı bulunmamaktadır.  Isınma sistemi doğalgaz kombi ile sağlanacak şekilde tesisat bulunmaktadır. Halihazırda ısıtma sistemi monte edilmiştir.                     </v>
      </c>
      <c r="H77" s="943"/>
      <c r="I77" s="943"/>
      <c r="J77" s="943"/>
      <c r="K77"/>
      <c r="L77" s="468" t="s">
        <v>544</v>
      </c>
      <c r="M77" s="469" t="s">
        <v>551</v>
      </c>
      <c r="N77"/>
      <c r="O77" s="466" t="s">
        <v>2985</v>
      </c>
      <c r="P77" s="467" t="str" cm="1">
        <f t="array" ref="P77">KAT_METNI(TEST!F75:F79,3)</f>
        <v>1. kat</v>
      </c>
      <c r="Q77" s="466" t="s">
        <v>3238</v>
      </c>
      <c r="R77" s="427" t="str">
        <f>+IF(VERİDOĞRULAMA!BO2&lt;=0,katfaktör,IF(VERİDOĞRULAMA!BO2=B60,"en üst ","ara"))</f>
        <v>ara</v>
      </c>
      <c r="T77" s="7" t="str" cm="1">
        <f t="array" ref="T77">KAT_V5(TEST!F75:F79)</f>
        <v>1</v>
      </c>
      <c r="W77"/>
      <c r="X77"/>
      <c r="Z77"/>
      <c r="AA77"/>
      <c r="AG77"/>
      <c r="AH77"/>
      <c r="AI77"/>
      <c r="AJ77"/>
      <c r="AK77"/>
      <c r="AL77"/>
      <c r="AM77"/>
      <c r="AN77"/>
      <c r="AO77"/>
      <c r="AP77"/>
      <c r="AQ77" t="str">
        <f>+Cevir(Sayfa1!F75)</f>
        <v/>
      </c>
      <c r="AR77"/>
      <c r="AS77"/>
      <c r="AT77"/>
      <c r="AU77"/>
      <c r="AV77"/>
      <c r="AW77"/>
      <c r="AX77"/>
      <c r="AY77"/>
      <c r="AZ77"/>
    </row>
    <row r="78" spans="1:52" s="7" customFormat="1" ht="128.4" customHeight="1" thickTop="1" thickBot="1" x14ac:dyDescent="0.35">
      <c r="A78" s="473" t="s">
        <v>2997</v>
      </c>
      <c r="B78" s="939" t="s">
        <v>3091</v>
      </c>
      <c r="C78" s="939"/>
      <c r="D78" s="939"/>
      <c r="E78" s="939"/>
      <c r="F78" s="939"/>
      <c r="G78" s="943" t="str">
        <f>+Cevir(dışarıdanyataybbözellik)</f>
        <v xml:space="preserve">Ekspertize konu taşınmaz (0/0)  #SAYI/0! m2  arsa payına sahiptir. Taşınmaz projesine göre 1 Bodrum + Zemin + 2 Normal kat  olmak üzere, toplam 4 adet kattan oluşmaktadır. Taşımazın Ekspertize konu taşınmaz projesine göre 85 m2 kullanım alanına sahip olup, salon, 3 oda, mutfak, banyo, wc, 2 balkon ve antre-hol hacimlerinden oluşmaktadır. Yer görme işlemi şube bilgisi dahilinde dışarıdan yapılmış olup mimari uygunluk tespit edilememiş ve iç hacimlerin malzeme ve işçilik kalitesi standart olarak varsayılmıştır.          </v>
      </c>
      <c r="H78" s="943"/>
      <c r="I78" s="943"/>
      <c r="J78" s="943"/>
      <c r="K78"/>
      <c r="L78" s="468" t="s">
        <v>545</v>
      </c>
      <c r="M78" s="469" t="s">
        <v>552</v>
      </c>
      <c r="N78"/>
      <c r="O78" s="466" t="s">
        <v>2986</v>
      </c>
      <c r="P78" s="517" t="str" cm="1">
        <f t="array" ref="P78">KAT_METNI(TEST!F75:F79,2)</f>
        <v>1. Normal kat</v>
      </c>
      <c r="Q78" s="422" t="s">
        <v>3092</v>
      </c>
      <c r="R78" s="518"/>
      <c r="W78"/>
      <c r="X78"/>
      <c r="Z78"/>
      <c r="AA78"/>
      <c r="AG78"/>
      <c r="AH78"/>
      <c r="AI78"/>
      <c r="AJ78"/>
      <c r="AK78"/>
      <c r="AL78"/>
      <c r="AM78"/>
      <c r="AN78"/>
      <c r="AO78"/>
      <c r="AP78"/>
      <c r="AQ78" t="str">
        <f>+Cevir(Sayfa1!F76)</f>
        <v/>
      </c>
      <c r="AR78"/>
      <c r="AS78"/>
      <c r="AT78"/>
      <c r="AU78"/>
      <c r="AV78"/>
      <c r="AW78"/>
      <c r="AX78"/>
      <c r="AY78"/>
      <c r="AZ78"/>
    </row>
    <row r="79" spans="1:52" s="7" customFormat="1" ht="71.400000000000006" customHeight="1" thickTop="1" thickBot="1" x14ac:dyDescent="0.35">
      <c r="A79"/>
      <c r="B79"/>
      <c r="C79"/>
      <c r="D79"/>
      <c r="E79"/>
      <c r="F79"/>
      <c r="K79"/>
      <c r="L79" s="468" t="s">
        <v>447</v>
      </c>
      <c r="M79" s="469" t="s">
        <v>553</v>
      </c>
      <c r="N79"/>
      <c r="O79" s="466" t="s">
        <v>2987</v>
      </c>
      <c r="P79" s="517" t="str" cm="1">
        <f t="array" ref="P79">KAT_METNI(TEST!F75:F79)</f>
        <v>1. Normal katında</v>
      </c>
      <c r="Q79" s="422" t="s">
        <v>3092</v>
      </c>
      <c r="R79" s="518"/>
      <c r="W79"/>
      <c r="X79"/>
      <c r="Z79"/>
      <c r="AA79"/>
      <c r="AG79"/>
      <c r="AH79"/>
      <c r="AI79"/>
      <c r="AJ79"/>
      <c r="AK79"/>
      <c r="AL79"/>
      <c r="AM79"/>
      <c r="AN79"/>
      <c r="AO79"/>
      <c r="AP79"/>
      <c r="AQ79"/>
      <c r="AR79"/>
      <c r="AS79"/>
      <c r="AT79"/>
      <c r="AU79"/>
      <c r="AV79"/>
      <c r="AW79"/>
      <c r="AX79"/>
      <c r="AY79"/>
      <c r="AZ79"/>
    </row>
    <row r="80" spans="1:52" s="7" customFormat="1" ht="71.400000000000006" customHeight="1" thickTop="1" thickBot="1" x14ac:dyDescent="0.35">
      <c r="C80"/>
      <c r="D80"/>
      <c r="E80"/>
      <c r="F80"/>
      <c r="G80"/>
      <c r="H80"/>
      <c r="K80"/>
      <c r="L80" s="468" t="s">
        <v>546</v>
      </c>
      <c r="M80" s="469" t="s">
        <v>554</v>
      </c>
      <c r="N80"/>
      <c r="O80" s="983" t="s">
        <v>574</v>
      </c>
      <c r="P80" s="983"/>
      <c r="Q80" s="984"/>
      <c r="R80" s="983"/>
      <c r="S80" s="11"/>
      <c r="W80"/>
      <c r="X80"/>
      <c r="Z80"/>
      <c r="AA80"/>
      <c r="AG80"/>
      <c r="AH80"/>
      <c r="AI80"/>
      <c r="AJ80"/>
      <c r="AK80"/>
      <c r="AL80"/>
      <c r="AM80"/>
      <c r="AN80"/>
      <c r="AO80"/>
      <c r="AP80"/>
      <c r="AQ80"/>
      <c r="AR80"/>
      <c r="AS80"/>
      <c r="AT80"/>
      <c r="AU80"/>
      <c r="AV80"/>
      <c r="AW80"/>
      <c r="AX80"/>
      <c r="AY80"/>
      <c r="AZ80"/>
    </row>
    <row r="81" spans="1:57" s="7" customFormat="1" ht="71.400000000000006" customHeight="1" thickTop="1" thickBot="1" x14ac:dyDescent="0.35">
      <c r="A81" s="510"/>
      <c r="B81" s="14"/>
      <c r="C81"/>
      <c r="D81"/>
      <c r="E81"/>
      <c r="F81"/>
      <c r="G81"/>
      <c r="H81"/>
      <c r="K81"/>
      <c r="L81" s="468" t="s">
        <v>547</v>
      </c>
      <c r="M81" s="469" t="s">
        <v>555</v>
      </c>
      <c r="N81"/>
      <c r="O81" s="366" t="s">
        <v>486</v>
      </c>
      <c r="P81" s="366" t="s">
        <v>103</v>
      </c>
      <c r="Q81" s="366" t="s">
        <v>49</v>
      </c>
      <c r="R81" s="366" t="s">
        <v>616</v>
      </c>
      <c r="S81" s="11"/>
      <c r="U81" s="926" t="s">
        <v>28</v>
      </c>
      <c r="V81" s="926"/>
      <c r="W81" s="926"/>
      <c r="Z81"/>
      <c r="AA81"/>
      <c r="AG81"/>
      <c r="AH81"/>
      <c r="AI81"/>
      <c r="AJ81"/>
      <c r="AK81"/>
      <c r="AL81"/>
      <c r="AM81"/>
      <c r="AN81"/>
      <c r="AO81"/>
      <c r="AP81"/>
      <c r="AQ81"/>
      <c r="AR81"/>
      <c r="AS81"/>
      <c r="AT81"/>
      <c r="AU81"/>
      <c r="AV81"/>
      <c r="AW81"/>
      <c r="AX81"/>
      <c r="AY81"/>
      <c r="AZ81"/>
    </row>
    <row r="82" spans="1:57" s="7" customFormat="1" ht="71.400000000000006" customHeight="1" thickTop="1" thickBot="1" x14ac:dyDescent="0.35">
      <c r="B82" s="511"/>
      <c r="C82"/>
      <c r="D82"/>
      <c r="E82"/>
      <c r="F82"/>
      <c r="G82"/>
      <c r="H82"/>
      <c r="K82"/>
      <c r="L82" s="468" t="s">
        <v>548</v>
      </c>
      <c r="M82" s="469" t="s">
        <v>556</v>
      </c>
      <c r="N82"/>
      <c r="O82" s="366" t="s">
        <v>488</v>
      </c>
      <c r="P82" s="366" t="s">
        <v>104</v>
      </c>
      <c r="Q82" s="366" t="s">
        <v>51</v>
      </c>
      <c r="R82" s="366" t="s">
        <v>488</v>
      </c>
      <c r="S82" s="11"/>
      <c r="V82" s="507" t="s">
        <v>147</v>
      </c>
      <c r="W82" s="507" t="str">
        <f>+V82&amp;", "</f>
        <v xml:space="preserve">salon, </v>
      </c>
      <c r="Z82"/>
      <c r="AA82"/>
      <c r="AG82"/>
      <c r="AH82"/>
      <c r="AI82"/>
      <c r="AJ82"/>
      <c r="AK82"/>
      <c r="AL82"/>
      <c r="AM82"/>
      <c r="AN82"/>
      <c r="AO82"/>
      <c r="AP82"/>
      <c r="AQ82"/>
      <c r="AR82"/>
      <c r="AS82"/>
      <c r="AT82"/>
      <c r="AU82"/>
      <c r="AV82"/>
      <c r="AW82"/>
      <c r="AX82"/>
      <c r="AY82"/>
      <c r="AZ82"/>
      <c r="BA82" s="17"/>
      <c r="BB82" s="17"/>
      <c r="BC82" s="17"/>
      <c r="BD82" s="17"/>
      <c r="BE82" s="17"/>
    </row>
    <row r="83" spans="1:57" s="7" customFormat="1" ht="71.400000000000006" customHeight="1" thickTop="1" thickBot="1" x14ac:dyDescent="0.35">
      <c r="A83" s="512"/>
      <c r="B83" s="513"/>
      <c r="C83"/>
      <c r="D83"/>
      <c r="E83"/>
      <c r="F83"/>
      <c r="G83"/>
      <c r="H83"/>
      <c r="K83"/>
      <c r="L83" s="468" t="s">
        <v>549</v>
      </c>
      <c r="M83" s="469" t="s">
        <v>557</v>
      </c>
      <c r="N83"/>
      <c r="O83" s="366" t="s">
        <v>489</v>
      </c>
      <c r="P83" s="366" t="s">
        <v>105</v>
      </c>
      <c r="Q83" s="366" t="s">
        <v>50</v>
      </c>
      <c r="R83" s="366" t="s">
        <v>489</v>
      </c>
      <c r="S83" s="22"/>
      <c r="V83" s="366" t="s">
        <v>148</v>
      </c>
      <c r="W83" s="366" t="str">
        <f t="shared" ref="W83:W101" si="1">+V83&amp;", "</f>
        <v xml:space="preserve">oda, </v>
      </c>
      <c r="Z83"/>
      <c r="AA83"/>
      <c r="AG83"/>
      <c r="AH83"/>
      <c r="AI83"/>
      <c r="AJ83"/>
      <c r="AK83"/>
      <c r="AL83"/>
      <c r="AM83"/>
      <c r="AN83"/>
      <c r="AO83"/>
      <c r="AP83"/>
      <c r="AQ83"/>
      <c r="AR83"/>
      <c r="AS83"/>
      <c r="AT83"/>
      <c r="AU83"/>
      <c r="AV83"/>
      <c r="AW83"/>
      <c r="AX83"/>
      <c r="AY83"/>
      <c r="AZ83"/>
      <c r="BA83" s="17"/>
      <c r="BB83" s="17"/>
      <c r="BC83" s="17"/>
      <c r="BD83" s="17"/>
      <c r="BE83" s="17"/>
    </row>
    <row r="84" spans="1:57" s="7" customFormat="1" ht="71.400000000000006" customHeight="1" thickTop="1" thickBot="1" x14ac:dyDescent="0.35">
      <c r="A84"/>
      <c r="B84"/>
      <c r="C84"/>
      <c r="D84"/>
      <c r="E84"/>
      <c r="F84"/>
      <c r="G84"/>
      <c r="H84"/>
      <c r="K84"/>
      <c r="L84" s="470" t="str">
        <f>+""</f>
        <v/>
      </c>
      <c r="M84" s="470" t="str">
        <f>+""</f>
        <v/>
      </c>
      <c r="N84"/>
      <c r="O84" s="366" t="s">
        <v>490</v>
      </c>
      <c r="P84" s="366" t="s">
        <v>106</v>
      </c>
      <c r="Q84" s="366" t="s">
        <v>113</v>
      </c>
      <c r="R84" s="366" t="s">
        <v>490</v>
      </c>
      <c r="S84" s="11"/>
      <c r="V84" s="366" t="s">
        <v>239</v>
      </c>
      <c r="W84" s="366" t="str">
        <f t="shared" si="1"/>
        <v xml:space="preserve">2 oda, </v>
      </c>
      <c r="Z84"/>
      <c r="AA84"/>
      <c r="AG84"/>
      <c r="AH84"/>
      <c r="AI84"/>
      <c r="AJ84"/>
      <c r="AK84"/>
      <c r="AL84"/>
      <c r="AM84"/>
      <c r="AN84"/>
      <c r="AO84"/>
      <c r="AP84"/>
      <c r="AQ84"/>
      <c r="AR84"/>
      <c r="AS84"/>
      <c r="AT84"/>
      <c r="AU84"/>
      <c r="AV84"/>
      <c r="AW84"/>
      <c r="AX84"/>
      <c r="AY84"/>
      <c r="AZ84"/>
      <c r="BA84" s="17"/>
      <c r="BB84" s="17"/>
      <c r="BC84" s="17"/>
      <c r="BD84" s="17"/>
      <c r="BE84" s="17"/>
    </row>
    <row r="85" spans="1:57" s="7" customFormat="1" ht="71.400000000000006" customHeight="1" thickTop="1" thickBot="1" x14ac:dyDescent="0.35">
      <c r="A85"/>
      <c r="B85"/>
      <c r="C85"/>
      <c r="D85"/>
      <c r="E85"/>
      <c r="F85"/>
      <c r="G85"/>
      <c r="H85"/>
      <c r="K85"/>
      <c r="L85" s="1003" t="str">
        <f>+VLOOKUP(TEST!G72,Sayfa1!L76:M84,2,0)</f>
        <v/>
      </c>
      <c r="M85" s="1003"/>
      <c r="N85"/>
      <c r="O85" s="366"/>
      <c r="P85" s="366" t="s">
        <v>496</v>
      </c>
      <c r="Q85" s="366" t="s">
        <v>497</v>
      </c>
      <c r="R85" s="366"/>
      <c r="S85" s="11"/>
      <c r="V85" s="366" t="s">
        <v>240</v>
      </c>
      <c r="W85" s="366" t="str">
        <f t="shared" si="1"/>
        <v xml:space="preserve">3 oda, </v>
      </c>
      <c r="Z85"/>
      <c r="AA85"/>
      <c r="AG85"/>
      <c r="AH85"/>
      <c r="AI85"/>
      <c r="AJ85"/>
      <c r="AK85"/>
      <c r="AL85"/>
      <c r="AM85"/>
      <c r="AN85"/>
      <c r="AO85"/>
      <c r="AP85"/>
      <c r="AQ85"/>
      <c r="AR85"/>
      <c r="AS85"/>
      <c r="AT85"/>
      <c r="AU85"/>
      <c r="AV85"/>
      <c r="AW85"/>
      <c r="AX85"/>
      <c r="AY85"/>
      <c r="AZ85"/>
      <c r="BA85" s="17"/>
      <c r="BB85" s="17"/>
      <c r="BC85" s="17"/>
      <c r="BD85" s="17"/>
      <c r="BE85" s="17"/>
    </row>
    <row r="86" spans="1:57" s="7" customFormat="1" ht="71.400000000000006" customHeight="1" thickTop="1" thickBot="1" x14ac:dyDescent="0.35">
      <c r="A86"/>
      <c r="B86"/>
      <c r="C86"/>
      <c r="D86"/>
      <c r="E86"/>
      <c r="F86"/>
      <c r="G86"/>
      <c r="H86"/>
      <c r="I86"/>
      <c r="J86"/>
      <c r="K86"/>
      <c r="L86"/>
      <c r="M86"/>
      <c r="N86"/>
      <c r="O86" s="366" t="str">
        <f>+VLOOKUP(TEST!G15,Sayfa1!O81:R84,4,0)</f>
        <v xml:space="preserve"> </v>
      </c>
      <c r="P86" s="366" t="str">
        <f>+VLOOKUP(TEST!H15,Sayfa1!P81:Q85,2,0)</f>
        <v>dairedir.</v>
      </c>
      <c r="Q86" s="927" t="str">
        <f>+O86&amp;" "&amp;P86</f>
        <v xml:space="preserve">  dairedir.</v>
      </c>
      <c r="R86" s="927"/>
      <c r="S86" s="11"/>
      <c r="V86" s="366" t="s">
        <v>241</v>
      </c>
      <c r="W86" s="366" t="str">
        <f t="shared" si="1"/>
        <v xml:space="preserve">4 oda, </v>
      </c>
      <c r="Z86"/>
      <c r="AA86"/>
      <c r="AG86"/>
      <c r="AH86"/>
      <c r="AI86"/>
      <c r="AJ86"/>
      <c r="AK86"/>
      <c r="AL86"/>
      <c r="AM86"/>
      <c r="AN86"/>
      <c r="AO86"/>
      <c r="AP86"/>
      <c r="AQ86"/>
      <c r="AR86"/>
      <c r="AS86"/>
      <c r="AT86"/>
      <c r="AU86"/>
      <c r="AV86"/>
      <c r="AW86"/>
      <c r="AX86"/>
      <c r="AY86"/>
      <c r="AZ86"/>
      <c r="BA86" s="17"/>
      <c r="BB86" s="17"/>
      <c r="BC86" s="17"/>
      <c r="BD86" s="17"/>
      <c r="BE86" s="17"/>
    </row>
    <row r="87" spans="1:57" s="7" customFormat="1" ht="24.6" customHeight="1" thickTop="1" thickBot="1" x14ac:dyDescent="0.35">
      <c r="A87"/>
      <c r="B87"/>
      <c r="C87"/>
      <c r="D87"/>
      <c r="E87"/>
      <c r="F87"/>
      <c r="G87"/>
      <c r="H87"/>
      <c r="I87"/>
      <c r="J87"/>
      <c r="K87"/>
      <c r="L87"/>
      <c r="M87"/>
      <c r="N87"/>
      <c r="R87" s="182"/>
      <c r="S87" s="11"/>
      <c r="V87" s="366" t="s">
        <v>242</v>
      </c>
      <c r="W87" s="366" t="str">
        <f t="shared" si="1"/>
        <v xml:space="preserve">5 oda, </v>
      </c>
      <c r="Z87"/>
      <c r="AA87"/>
      <c r="AG87"/>
      <c r="AH87"/>
      <c r="AI87"/>
      <c r="AJ87"/>
      <c r="AK87"/>
      <c r="AL87"/>
      <c r="AM87"/>
      <c r="AN87"/>
      <c r="AO87"/>
      <c r="AP87"/>
      <c r="AQ87"/>
      <c r="AR87"/>
      <c r="AS87"/>
      <c r="AT87"/>
      <c r="AU87"/>
      <c r="AV87"/>
      <c r="AW87"/>
      <c r="AX87"/>
      <c r="AY87"/>
      <c r="AZ87"/>
      <c r="BA87" s="17"/>
      <c r="BB87" s="17"/>
      <c r="BC87" s="17"/>
      <c r="BD87" s="17"/>
      <c r="BE87" s="17"/>
    </row>
    <row r="88" spans="1:57" s="7" customFormat="1" ht="78" customHeight="1" thickTop="1" thickBot="1" x14ac:dyDescent="0.35">
      <c r="A88"/>
      <c r="B88"/>
      <c r="C88"/>
      <c r="D88"/>
      <c r="E88"/>
      <c r="F88"/>
      <c r="G88"/>
      <c r="H88"/>
      <c r="I88"/>
      <c r="J88"/>
      <c r="K88"/>
      <c r="M88" s="1004" t="s">
        <v>2989</v>
      </c>
      <c r="N88" s="996" t="str" cm="1">
        <f t="array" ref="N88">+ICHACIMLER_PARAGRAF()</f>
        <v>Taşınmaz projesine ve mevcut duruma göre 85 m2 kullanım alanına sahip olup, salon, 3 oda, mutfak, banyo, wc, 2 balkon ve antre-hol hacimlerinden oluşmaktadır.</v>
      </c>
      <c r="O88" s="997"/>
      <c r="P88" s="997"/>
      <c r="Q88" s="997"/>
      <c r="R88" s="998"/>
      <c r="V88" s="366" t="s">
        <v>155</v>
      </c>
      <c r="W88" s="366" t="str">
        <f t="shared" si="1"/>
        <v xml:space="preserve">antre-hol, </v>
      </c>
      <c r="Z88"/>
      <c r="AA88"/>
      <c r="AG88"/>
      <c r="AH88"/>
      <c r="AI88"/>
      <c r="AJ88"/>
      <c r="AK88"/>
      <c r="AL88"/>
      <c r="AM88"/>
      <c r="AN88"/>
      <c r="AO88"/>
      <c r="AW88" s="17"/>
      <c r="AX88" s="17"/>
      <c r="AY88" s="17"/>
      <c r="AZ88" s="17"/>
      <c r="BA88" s="17"/>
      <c r="BB88" s="17"/>
      <c r="BC88" s="17"/>
      <c r="BD88" s="17"/>
      <c r="BE88" s="17"/>
    </row>
    <row r="89" spans="1:57" s="7" customFormat="1" ht="78" customHeight="1" thickTop="1" thickBot="1" x14ac:dyDescent="0.35">
      <c r="A89"/>
      <c r="B89"/>
      <c r="C89"/>
      <c r="D89"/>
      <c r="E89"/>
      <c r="F89"/>
      <c r="G89"/>
      <c r="H89" s="8"/>
      <c r="I89" s="8"/>
      <c r="J89" s="8"/>
      <c r="K89" s="8"/>
      <c r="M89" s="1004"/>
      <c r="N89" s="996"/>
      <c r="O89" s="997"/>
      <c r="P89" s="997"/>
      <c r="Q89" s="997"/>
      <c r="R89" s="998"/>
      <c r="V89" s="366" t="s">
        <v>149</v>
      </c>
      <c r="W89" s="366" t="str">
        <f t="shared" si="1"/>
        <v xml:space="preserve">mutfak, </v>
      </c>
      <c r="Z89"/>
      <c r="AA89"/>
      <c r="AG89"/>
      <c r="AH89"/>
      <c r="AI89"/>
      <c r="AJ89"/>
      <c r="AK89"/>
      <c r="AL89"/>
      <c r="AM89"/>
      <c r="AN89"/>
      <c r="AO89"/>
    </row>
    <row r="90" spans="1:57" s="7" customFormat="1" ht="78" customHeight="1" thickTop="1" thickBot="1" x14ac:dyDescent="0.35">
      <c r="A90"/>
      <c r="B90"/>
      <c r="C90"/>
      <c r="D90"/>
      <c r="E90"/>
      <c r="F90"/>
      <c r="G90"/>
      <c r="H90" s="8"/>
      <c r="I90" s="8"/>
      <c r="J90" s="8"/>
      <c r="K90" s="8"/>
      <c r="M90" s="1004"/>
      <c r="N90" s="996"/>
      <c r="O90" s="997"/>
      <c r="P90" s="997"/>
      <c r="Q90" s="997"/>
      <c r="R90" s="998"/>
      <c r="V90" s="366" t="s">
        <v>150</v>
      </c>
      <c r="W90" s="366" t="str">
        <f t="shared" si="1"/>
        <v xml:space="preserve">banyo, </v>
      </c>
      <c r="Z90"/>
      <c r="AA90"/>
      <c r="AG90"/>
      <c r="AH90"/>
      <c r="AI90"/>
      <c r="AJ90"/>
      <c r="AK90"/>
      <c r="AL90"/>
      <c r="AM90"/>
      <c r="AN90"/>
      <c r="AO90"/>
    </row>
    <row r="91" spans="1:57" s="7" customFormat="1" ht="78" customHeight="1" thickTop="1" thickBot="1" x14ac:dyDescent="0.35">
      <c r="A91"/>
      <c r="B91"/>
      <c r="C91"/>
      <c r="D91"/>
      <c r="E91"/>
      <c r="F91"/>
      <c r="G91"/>
      <c r="H91" s="8"/>
      <c r="I91" s="8"/>
      <c r="J91" s="8"/>
      <c r="K91" s="8"/>
      <c r="L91"/>
      <c r="M91" s="423" t="s">
        <v>2990</v>
      </c>
      <c r="N91" s="967" t="str" cm="1">
        <f t="array" ref="N91">KatDagilimi_Teras(TEST!F75:F78, TEST!G75:G78, TEST!I75:I78)</f>
        <v>1. normal Kat: 85 m2</v>
      </c>
      <c r="O91" s="967"/>
      <c r="P91" s="967"/>
      <c r="Q91" s="967"/>
      <c r="R91" s="967"/>
      <c r="V91" s="366" t="s">
        <v>151</v>
      </c>
      <c r="W91" s="366" t="str">
        <f t="shared" si="1"/>
        <v xml:space="preserve">wc, </v>
      </c>
      <c r="Z91"/>
      <c r="AA91"/>
      <c r="AG91"/>
      <c r="AH91"/>
      <c r="AI91"/>
      <c r="AJ91"/>
      <c r="AK91"/>
      <c r="AL91"/>
    </row>
    <row r="92" spans="1:57" s="7" customFormat="1" ht="78" customHeight="1" thickTop="1" thickBot="1" x14ac:dyDescent="0.35">
      <c r="A92"/>
      <c r="B92"/>
      <c r="C92"/>
      <c r="D92"/>
      <c r="E92"/>
      <c r="F92"/>
      <c r="G92"/>
      <c r="H92" s="8"/>
      <c r="I92" s="8"/>
      <c r="J92" s="8"/>
      <c r="K92" s="8"/>
      <c r="M92" s="423" t="s">
        <v>2991</v>
      </c>
      <c r="N92" s="969" t="str" cm="1">
        <f t="array" ref="N92">KatDagilimi_Teras(TEST!F75:F78, TEST!H75:H78, TEST!I75:I78)</f>
        <v>1. normal Kat: 85 m2</v>
      </c>
      <c r="O92" s="969"/>
      <c r="P92" s="969"/>
      <c r="Q92" s="969"/>
      <c r="R92" s="969"/>
      <c r="V92" s="366" t="s">
        <v>154</v>
      </c>
      <c r="W92" s="366" t="str">
        <f t="shared" si="1"/>
        <v xml:space="preserve">duş, </v>
      </c>
      <c r="Z92"/>
      <c r="AA92"/>
      <c r="AG92" s="937" t="str">
        <f>+Cevir(AG101)</f>
        <v/>
      </c>
      <c r="AH92" s="937"/>
      <c r="AI92" s="937"/>
      <c r="AJ92" s="937"/>
      <c r="AK92" s="937"/>
      <c r="AL92" s="937"/>
      <c r="AM92" s="937"/>
      <c r="AN92" s="937"/>
      <c r="AO92" s="937"/>
      <c r="AP92" s="937"/>
      <c r="AQ92" s="937"/>
      <c r="AR92" s="937"/>
      <c r="AS92" s="937"/>
      <c r="AT92" s="937"/>
      <c r="AU92" s="937"/>
    </row>
    <row r="93" spans="1:57" s="7" customFormat="1" ht="116.4" customHeight="1" thickTop="1" thickBot="1" x14ac:dyDescent="0.35">
      <c r="A93"/>
      <c r="B93"/>
      <c r="C93"/>
      <c r="D93"/>
      <c r="E93"/>
      <c r="F93"/>
      <c r="G93"/>
      <c r="H93"/>
      <c r="M93" s="423" t="s">
        <v>2992</v>
      </c>
      <c r="N93" s="967" t="str" cm="1">
        <f t="array" ref="N93">ICHACIMLER_KAT_BAZLI()</f>
        <v>salon, 3 oda, mutfak, banyo, wc, 2 balkon ve antre-hol</v>
      </c>
      <c r="O93" s="967"/>
      <c r="P93" s="967"/>
      <c r="Q93" s="967"/>
      <c r="R93" s="967"/>
      <c r="V93" s="366" t="s">
        <v>152</v>
      </c>
      <c r="W93" s="366" t="str">
        <f t="shared" si="1"/>
        <v xml:space="preserve">balkon, </v>
      </c>
      <c r="Z93"/>
      <c r="AA93"/>
      <c r="AG93" s="937"/>
      <c r="AH93" s="937"/>
      <c r="AI93" s="937"/>
      <c r="AJ93" s="937"/>
      <c r="AK93" s="937"/>
      <c r="AL93" s="937"/>
      <c r="AM93" s="937"/>
      <c r="AN93" s="937"/>
      <c r="AO93" s="937"/>
      <c r="AP93" s="937"/>
      <c r="AQ93" s="937"/>
      <c r="AR93" s="937"/>
      <c r="AS93" s="937"/>
      <c r="AT93" s="937"/>
      <c r="AU93" s="937"/>
    </row>
    <row r="94" spans="1:57" s="7" customFormat="1" ht="78" customHeight="1" thickTop="1" thickBot="1" x14ac:dyDescent="0.35">
      <c r="A94"/>
      <c r="B94"/>
      <c r="C94"/>
      <c r="D94"/>
      <c r="E94"/>
      <c r="F94"/>
      <c r="G94"/>
      <c r="H94"/>
      <c r="I94"/>
      <c r="J94"/>
      <c r="Q94"/>
      <c r="R94"/>
      <c r="S94"/>
      <c r="T94"/>
      <c r="V94" s="366" t="s">
        <v>153</v>
      </c>
      <c r="W94" s="366" t="str">
        <f t="shared" si="1"/>
        <v xml:space="preserve">teras, </v>
      </c>
      <c r="Z94"/>
      <c r="AA94"/>
      <c r="AB94"/>
      <c r="AG94" s="937"/>
      <c r="AH94" s="937"/>
      <c r="AI94" s="937"/>
      <c r="AJ94" s="937"/>
      <c r="AK94" s="937"/>
      <c r="AL94" s="937"/>
      <c r="AM94" s="937"/>
      <c r="AN94" s="937"/>
      <c r="AO94" s="937"/>
      <c r="AP94" s="937"/>
      <c r="AQ94" s="937"/>
      <c r="AR94" s="937"/>
      <c r="AS94" s="937"/>
      <c r="AT94" s="937"/>
      <c r="AU94" s="937"/>
    </row>
    <row r="95" spans="1:57" s="7" customFormat="1" ht="78" customHeight="1" thickTop="1" thickBot="1" x14ac:dyDescent="0.35">
      <c r="A95"/>
      <c r="B95"/>
      <c r="C95"/>
      <c r="D95"/>
      <c r="E95"/>
      <c r="F95"/>
      <c r="G95"/>
      <c r="H95"/>
      <c r="I95"/>
      <c r="J95"/>
      <c r="K95"/>
      <c r="L95"/>
      <c r="M95" s="423" t="s">
        <v>2998</v>
      </c>
      <c r="N95" s="944" t="e">
        <f>+CONCATENATE(KATDAĞILIMALAN,#REF!)</f>
        <v>#NAME?</v>
      </c>
      <c r="O95" s="944"/>
      <c r="P95" s="944"/>
      <c r="Q95" s="944"/>
      <c r="R95" s="944"/>
      <c r="V95" s="366" t="s">
        <v>195</v>
      </c>
      <c r="W95" s="366" t="str">
        <f t="shared" si="1"/>
        <v xml:space="preserve">veranda, </v>
      </c>
      <c r="Z95"/>
      <c r="AA95"/>
      <c r="AB95"/>
      <c r="AG95" s="937"/>
      <c r="AH95" s="937"/>
      <c r="AI95" s="937"/>
      <c r="AJ95" s="937"/>
      <c r="AK95" s="937"/>
      <c r="AL95" s="937"/>
      <c r="AM95" s="937"/>
      <c r="AN95" s="937"/>
      <c r="AO95" s="937"/>
      <c r="AP95" s="937"/>
      <c r="AQ95" s="937"/>
      <c r="AR95" s="937"/>
      <c r="AS95" s="937"/>
      <c r="AT95" s="937"/>
      <c r="AU95" s="937"/>
    </row>
    <row r="96" spans="1:57" s="7" customFormat="1" ht="78" customHeight="1" thickTop="1" thickBot="1" x14ac:dyDescent="0.35">
      <c r="A96"/>
      <c r="B96"/>
      <c r="C96"/>
      <c r="D96"/>
      <c r="E96"/>
      <c r="F96"/>
      <c r="G96"/>
      <c r="H96"/>
      <c r="I96"/>
      <c r="J96"/>
      <c r="K96"/>
      <c r="L96"/>
      <c r="M96" s="423" t="s">
        <v>2999</v>
      </c>
      <c r="N96" s="943" t="e">
        <f>CONCATENATE(İÇHACİM,A249)</f>
        <v>#NAME?</v>
      </c>
      <c r="O96" s="943"/>
      <c r="P96" s="943"/>
      <c r="Q96" s="943"/>
      <c r="R96" s="943"/>
      <c r="V96" s="366" t="s">
        <v>196</v>
      </c>
      <c r="W96" s="366" t="str">
        <f t="shared" si="1"/>
        <v xml:space="preserve">kiler, </v>
      </c>
      <c r="Z96"/>
      <c r="AA96"/>
      <c r="AB96"/>
      <c r="AG96" s="937"/>
      <c r="AH96" s="937"/>
      <c r="AI96" s="937"/>
      <c r="AJ96" s="937"/>
      <c r="AK96" s="937"/>
      <c r="AL96" s="937"/>
      <c r="AM96" s="937"/>
      <c r="AN96" s="937"/>
      <c r="AO96" s="937"/>
      <c r="AP96" s="937"/>
      <c r="AQ96" s="937"/>
      <c r="AR96" s="937"/>
      <c r="AS96" s="937"/>
      <c r="AT96" s="937"/>
      <c r="AU96" s="937"/>
    </row>
    <row r="97" spans="1:47" s="7" customFormat="1" ht="78" customHeight="1" thickTop="1" thickBot="1" x14ac:dyDescent="0.35">
      <c r="A97"/>
      <c r="B97"/>
      <c r="C97"/>
      <c r="D97"/>
      <c r="E97"/>
      <c r="F97"/>
      <c r="G97"/>
      <c r="H97"/>
      <c r="I97"/>
      <c r="J97"/>
      <c r="K97"/>
      <c r="L97"/>
      <c r="M97" s="423" t="s">
        <v>3089</v>
      </c>
      <c r="N97" s="943" t="str" cm="1">
        <f t="array" ref="N97">ICHACIMLER_PARAGRAF_DISARIDAN()</f>
        <v>Ekspertize konu taşınmaz projesine göre 85 m2 kullanım alanına sahip olup, salon, 3 oda, mutfak, banyo, wc, 2 balkon ve antre-hol hacimlerinden oluşmaktadır.</v>
      </c>
      <c r="O97" s="943"/>
      <c r="P97" s="943"/>
      <c r="Q97" s="943"/>
      <c r="R97" s="943"/>
      <c r="S97" s="11"/>
      <c r="V97" s="366" t="s">
        <v>106</v>
      </c>
      <c r="W97" s="366" t="str">
        <f t="shared" si="1"/>
        <v xml:space="preserve">depo, </v>
      </c>
      <c r="Z97"/>
      <c r="AA97"/>
      <c r="AB97"/>
      <c r="AG97" s="937"/>
      <c r="AH97" s="937"/>
      <c r="AI97" s="937"/>
      <c r="AJ97" s="937"/>
      <c r="AK97" s="937"/>
      <c r="AL97" s="937"/>
      <c r="AM97" s="937"/>
      <c r="AN97" s="937"/>
      <c r="AO97" s="937"/>
      <c r="AP97" s="937"/>
      <c r="AQ97" s="937"/>
      <c r="AR97" s="937"/>
      <c r="AS97" s="937"/>
      <c r="AT97" s="937"/>
      <c r="AU97" s="937"/>
    </row>
    <row r="98" spans="1:47" s="7" customFormat="1" ht="78" customHeight="1" thickTop="1" thickBot="1" x14ac:dyDescent="0.35">
      <c r="A98"/>
      <c r="B98"/>
      <c r="C98"/>
      <c r="D98"/>
      <c r="E98"/>
      <c r="F98"/>
      <c r="G98"/>
      <c r="H98"/>
      <c r="I98"/>
      <c r="J98"/>
      <c r="L98"/>
      <c r="M98"/>
      <c r="N98"/>
      <c r="O98"/>
      <c r="P98" s="14"/>
      <c r="Q98"/>
      <c r="R98"/>
      <c r="S98"/>
      <c r="V98" s="366" t="s">
        <v>197</v>
      </c>
      <c r="W98" s="366" t="str">
        <f t="shared" si="1"/>
        <v xml:space="preserve">sığınak, </v>
      </c>
      <c r="Z98"/>
      <c r="AA98"/>
      <c r="AB98"/>
      <c r="AG98" s="937"/>
      <c r="AH98" s="937"/>
      <c r="AI98" s="937"/>
      <c r="AJ98" s="937"/>
      <c r="AK98" s="937"/>
      <c r="AL98" s="937"/>
      <c r="AM98" s="937"/>
      <c r="AN98" s="937"/>
      <c r="AO98" s="937"/>
      <c r="AP98" s="937"/>
      <c r="AQ98" s="937"/>
      <c r="AR98" s="937"/>
      <c r="AS98" s="937"/>
      <c r="AT98" s="937"/>
      <c r="AU98" s="937"/>
    </row>
    <row r="99" spans="1:47" s="7" customFormat="1" ht="78" customHeight="1" thickTop="1" thickBot="1" x14ac:dyDescent="0.35">
      <c r="A99"/>
      <c r="B99"/>
      <c r="C99"/>
      <c r="D99"/>
      <c r="E99"/>
      <c r="F99"/>
      <c r="G99" s="937"/>
      <c r="H99" s="937"/>
      <c r="K99" s="365" t="s">
        <v>3084</v>
      </c>
      <c r="L99" s="419" t="s">
        <v>3272</v>
      </c>
      <c r="M99" s="944" t="str">
        <f>+IF(TEST!N72=1,"",Sayfa1!L99)</f>
        <v/>
      </c>
      <c r="N99" s="944"/>
      <c r="O99" s="539">
        <f>+İNŞASEVİYE</f>
        <v>1</v>
      </c>
      <c r="P99" s="366" t="str">
        <f>+IF(seviyedurumu=1,"EVET","HAYIR")</f>
        <v>EVET</v>
      </c>
      <c r="Q99" s="423" t="s">
        <v>3001</v>
      </c>
      <c r="R99" s="423" t="s">
        <v>3002</v>
      </c>
      <c r="S99" s="11"/>
      <c r="V99" s="366" t="s">
        <v>198</v>
      </c>
      <c r="W99" s="366" t="str">
        <f t="shared" si="1"/>
        <v xml:space="preserve">çamaşırlık, </v>
      </c>
      <c r="Z99"/>
      <c r="AA99"/>
      <c r="AB99"/>
      <c r="AG99" s="937"/>
      <c r="AH99" s="937"/>
      <c r="AI99" s="937"/>
      <c r="AJ99" s="937"/>
      <c r="AK99" s="937"/>
      <c r="AL99" s="937"/>
      <c r="AM99" s="937"/>
      <c r="AN99" s="937"/>
      <c r="AO99" s="937"/>
      <c r="AP99" s="937"/>
      <c r="AQ99" s="937"/>
      <c r="AR99" s="937"/>
      <c r="AS99" s="937"/>
      <c r="AT99" s="937"/>
      <c r="AU99" s="937"/>
    </row>
    <row r="100" spans="1:47" s="7" customFormat="1" ht="78" customHeight="1" thickTop="1" thickBot="1" x14ac:dyDescent="0.35">
      <c r="A100"/>
      <c r="B100"/>
      <c r="C100"/>
      <c r="D100"/>
      <c r="E100"/>
      <c r="F100"/>
      <c r="G100" s="937"/>
      <c r="H100" s="937"/>
      <c r="K100" s="365" t="s">
        <v>3088</v>
      </c>
      <c r="L100" s="514" t="str">
        <f>+IF(TEST!T72="Monte","Halihazırda ısıtma sistemi monte edilmiştir.","Halihazırda ısıtma sistemi monte edilmemiştir.")</f>
        <v>Halihazırda ısıtma sistemi monte edilmiştir.</v>
      </c>
      <c r="M100"/>
      <c r="N100"/>
      <c r="O100"/>
      <c r="P100" s="423" t="s">
        <v>3003</v>
      </c>
      <c r="Q100" s="366">
        <f>SUM(TEST!G75:G79)</f>
        <v>85</v>
      </c>
      <c r="R100" s="366">
        <f>+ROUND((YASALKULLANIMALANI/1.15),0)</f>
        <v>74</v>
      </c>
      <c r="V100" s="366" t="s">
        <v>199</v>
      </c>
      <c r="W100" s="366" t="str">
        <f t="shared" si="1"/>
        <v xml:space="preserve">kömürlük, </v>
      </c>
      <c r="Z100"/>
      <c r="AA100"/>
      <c r="AB100"/>
    </row>
    <row r="101" spans="1:47" s="7" customFormat="1" ht="78" customHeight="1" thickTop="1" thickBot="1" x14ac:dyDescent="0.35">
      <c r="A101"/>
      <c r="B101"/>
      <c r="C101"/>
      <c r="D101"/>
      <c r="E101"/>
      <c r="F101"/>
      <c r="G101"/>
      <c r="K101" s="365" t="s">
        <v>3085</v>
      </c>
      <c r="L101" s="429" t="str" cm="1">
        <f t="array" ref="L101">KatDagilimi_Teras(TEST!F75:'TEST'!F79, TEST!G75:'TEST'!G79, TEST!I75:'TEST'!I79)</f>
        <v>1. normal Kat: 85 m2</v>
      </c>
      <c r="M101" s="489" t="s">
        <v>1330</v>
      </c>
      <c r="N101" s="429" t="str">
        <f>+TEST!T82</f>
        <v>orta</v>
      </c>
      <c r="O101"/>
      <c r="P101" s="423" t="s">
        <v>3004</v>
      </c>
      <c r="Q101" s="366">
        <f>SUM(TEST!H75:H79)</f>
        <v>85</v>
      </c>
      <c r="R101" s="366">
        <f>+ROUND((MEVCUTKULLANIMALANI/1.15),0)</f>
        <v>74</v>
      </c>
      <c r="V101" s="366" t="s">
        <v>200</v>
      </c>
      <c r="W101" s="366" t="str">
        <f t="shared" si="1"/>
        <v xml:space="preserve">otopark, </v>
      </c>
      <c r="Z101"/>
      <c r="AA101"/>
      <c r="AB101"/>
      <c r="AG101"/>
      <c r="AH101"/>
      <c r="AI101"/>
      <c r="AJ101"/>
      <c r="AK101"/>
      <c r="AL101"/>
      <c r="AM101"/>
      <c r="AN101"/>
      <c r="AO101"/>
      <c r="AP101"/>
      <c r="AQ101"/>
      <c r="AR101"/>
      <c r="AS101"/>
      <c r="AT101"/>
      <c r="AU101"/>
    </row>
    <row r="102" spans="1:47" s="7" customFormat="1" ht="78" customHeight="1" thickTop="1" thickBot="1" x14ac:dyDescent="0.35">
      <c r="A102"/>
      <c r="B102"/>
      <c r="C102"/>
      <c r="D102"/>
      <c r="E102"/>
      <c r="F102"/>
      <c r="G102"/>
      <c r="I102"/>
      <c r="J102"/>
      <c r="K102" s="365" t="s">
        <v>3086</v>
      </c>
      <c r="L102" s="429" t="str" cm="1">
        <f t="array" ref="L102">KatDagilimi_Teras(TEST!F75:'TEST'!F79, TEST!H75:'TEST'!H79, TEST!I75:'TEST'!I79)</f>
        <v>1. normal Kat: 85 m2</v>
      </c>
      <c r="M102"/>
      <c r="N102"/>
      <c r="O102"/>
      <c r="P102" s="423" t="s">
        <v>3000</v>
      </c>
      <c r="Q102" s="366">
        <f>+SUM(TEST!I75:I79)</f>
        <v>0</v>
      </c>
      <c r="R102" s="366"/>
      <c r="V102"/>
      <c r="Z102"/>
      <c r="AA102"/>
      <c r="AB102"/>
      <c r="AG102"/>
      <c r="AH102"/>
      <c r="AI102"/>
      <c r="AJ102"/>
      <c r="AK102"/>
      <c r="AL102"/>
      <c r="AM102"/>
      <c r="AN102"/>
      <c r="AO102"/>
      <c r="AP102"/>
      <c r="AQ102"/>
      <c r="AR102"/>
      <c r="AS102"/>
      <c r="AT102"/>
      <c r="AU102"/>
    </row>
    <row r="103" spans="1:47" s="7" customFormat="1" ht="78" customHeight="1" thickTop="1" x14ac:dyDescent="0.3">
      <c r="A103"/>
      <c r="B103"/>
      <c r="C103"/>
      <c r="D103"/>
      <c r="E103"/>
      <c r="F103"/>
      <c r="G103"/>
      <c r="H103"/>
      <c r="I103"/>
      <c r="J103"/>
      <c r="K103"/>
      <c r="L103"/>
      <c r="M103"/>
      <c r="N103"/>
      <c r="O103"/>
      <c r="P103"/>
      <c r="Q103"/>
      <c r="R103"/>
      <c r="S103"/>
      <c r="Z103"/>
      <c r="AA103"/>
      <c r="AB103"/>
      <c r="AG103"/>
      <c r="AH103"/>
      <c r="AI103"/>
      <c r="AJ103"/>
      <c r="AK103"/>
      <c r="AL103"/>
      <c r="AM103"/>
      <c r="AN103"/>
      <c r="AO103"/>
      <c r="AP103"/>
      <c r="AQ103"/>
      <c r="AR103"/>
      <c r="AS103"/>
      <c r="AT103"/>
      <c r="AU103"/>
    </row>
    <row r="104" spans="1:47" s="7" customFormat="1" ht="77.25" customHeight="1" x14ac:dyDescent="0.3">
      <c r="A104"/>
      <c r="B104"/>
      <c r="C104"/>
      <c r="D104"/>
      <c r="E104"/>
      <c r="F104"/>
      <c r="G104"/>
      <c r="L104"/>
      <c r="M104"/>
      <c r="N104"/>
      <c r="O104"/>
      <c r="P104"/>
      <c r="Q104"/>
      <c r="R104"/>
      <c r="S104"/>
      <c r="Z104"/>
      <c r="AA104"/>
      <c r="AB104"/>
      <c r="AG104"/>
      <c r="AH104"/>
      <c r="AI104"/>
      <c r="AJ104"/>
      <c r="AK104"/>
      <c r="AL104"/>
      <c r="AM104"/>
      <c r="AN104"/>
      <c r="AO104"/>
      <c r="AP104"/>
      <c r="AQ104"/>
      <c r="AR104"/>
      <c r="AS104"/>
      <c r="AT104"/>
      <c r="AU104"/>
    </row>
    <row r="105" spans="1:47" s="7" customFormat="1" ht="78.599999999999994" customHeight="1" thickBot="1" x14ac:dyDescent="0.35">
      <c r="P105"/>
      <c r="Q105"/>
      <c r="R105"/>
      <c r="S105"/>
      <c r="Z105"/>
      <c r="AA105"/>
      <c r="AB105"/>
      <c r="AG105"/>
      <c r="AH105"/>
      <c r="AI105"/>
      <c r="AJ105"/>
      <c r="AK105"/>
      <c r="AL105"/>
      <c r="AM105"/>
      <c r="AN105"/>
      <c r="AO105"/>
      <c r="AP105"/>
      <c r="AQ105"/>
      <c r="AR105"/>
      <c r="AS105"/>
      <c r="AT105"/>
      <c r="AU105"/>
    </row>
    <row r="106" spans="1:47" s="7" customFormat="1" ht="49.2" customHeight="1" thickTop="1" thickBot="1" x14ac:dyDescent="0.35">
      <c r="A106" s="926" t="s">
        <v>2960</v>
      </c>
      <c r="B106" s="951" t="str" cm="1">
        <f t="array" aca="1" ref="B106" ca="1">DeğerlemeParagraf(STKAÇIKLAMA2025,YASALKIRA,MEVCUTKIRA,değerlememetodu,HİSSE2025,İNŞASEVİYE,RANDEVUTÜRÜ,RANDEVUSEBEP,PROJEİNCELENENKURUM,BBTÜRÜ,KAT)</f>
        <v>Konu gayrimenkulün değerlemesinde Emsal Karşılaştırma ve Gelir İndirgeme yaklaşımı kullanılmıştır. Konumuz taşınmazın değerlendirmesinde civardaki alım satım rayiç değerleri ve günümüz ekonomik koşulları, taşınmazın konumu, yaşı, fiziki özellikleri, emsallerdeki pazarlık payları, arz/talep dengesi gibi dışsal etkenler dikkate alınmıştır._x000D_
_x000D_
Değerlemeye konu taşınmaz yukarıdaki özellikleri sebebiyle tercih edilmektedir. Konumu, yaşı, ulaşım imkânları ve diğer özellikleri dikkate alındığında SATILABİLİR olduğu kanaatine varılmıştır._x000D_
_x000D_
Ekspertize konu taşınmazın kira değerinin 12.000 TL/ay olacağı görüş ve kanaatindeyiz.</v>
      </c>
      <c r="C106" s="951"/>
      <c r="D106" s="951"/>
      <c r="E106" s="951"/>
      <c r="F106" s="951"/>
      <c r="G106" s="951"/>
      <c r="I106" s="365" t="s">
        <v>491</v>
      </c>
      <c r="J106" s="427" t="e">
        <f>ROUND((YÜZÖLÇÜMÜ/TEST!L6*TEST!K6),2)</f>
        <v>#DIV/0!</v>
      </c>
      <c r="L106" s="422" t="s">
        <v>2971</v>
      </c>
      <c r="M106" s="461">
        <f>YASALKULLANIMALANI*birimmaliyet*İNŞASEVİYE</f>
        <v>1683000</v>
      </c>
      <c r="P106" s="422" t="s">
        <v>3276</v>
      </c>
      <c r="Q106" s="422" t="s">
        <v>3278</v>
      </c>
      <c r="R106" s="549" t="str">
        <f>+IF(İSKANVARMI="EVET","YAPI KULLANMA","YAPI RUHSATI")</f>
        <v>YAPI KULLANMA</v>
      </c>
      <c r="S106"/>
      <c r="Z106"/>
      <c r="AA106"/>
      <c r="AB106"/>
    </row>
    <row r="107" spans="1:47" s="7" customFormat="1" ht="49.2" customHeight="1" thickTop="1" thickBot="1" x14ac:dyDescent="0.35">
      <c r="A107" s="926"/>
      <c r="B107" s="951"/>
      <c r="C107" s="951"/>
      <c r="D107" s="951"/>
      <c r="E107" s="951"/>
      <c r="F107" s="951"/>
      <c r="G107" s="951"/>
      <c r="I107" s="365" t="s">
        <v>2961</v>
      </c>
      <c r="J107" s="461" t="e">
        <f>+ARSAPAYI*ARSABİRİMDEĞERİ</f>
        <v>#DIV/0!</v>
      </c>
      <c r="L107" s="422" t="s">
        <v>2972</v>
      </c>
      <c r="M107" s="461">
        <f>+SUM(TEST!H75:H79)*TEST!N72*birimmaliyet</f>
        <v>1683000</v>
      </c>
      <c r="Q107" s="422" t="s">
        <v>3277</v>
      </c>
      <c r="R107" s="548" cm="1">
        <f t="array" ref="R107">MAX(IF(TEST!O34:O41&lt;&gt;"",TEST!O34:O41))</f>
        <v>0</v>
      </c>
      <c r="S107"/>
      <c r="Z107"/>
      <c r="AA107"/>
      <c r="AB107"/>
    </row>
    <row r="108" spans="1:47" s="7" customFormat="1" ht="49.2" customHeight="1" thickTop="1" thickBot="1" x14ac:dyDescent="0.35">
      <c r="A108" s="926"/>
      <c r="B108" s="951"/>
      <c r="C108" s="951"/>
      <c r="D108" s="951"/>
      <c r="E108" s="951"/>
      <c r="F108" s="951"/>
      <c r="G108" s="951"/>
      <c r="P108"/>
      <c r="Q108" s="422" t="s">
        <v>3279</v>
      </c>
      <c r="R108" s="550" t="e">
        <f>INDEX(BELGENO,MATCH(MAX(TEST!O34:O41),TEST!O34:O41,0))</f>
        <v>#N/A</v>
      </c>
      <c r="S108"/>
      <c r="Z108"/>
      <c r="AA108"/>
      <c r="AB108"/>
    </row>
    <row r="109" spans="1:47" s="7" customFormat="1" ht="49.2" customHeight="1" thickTop="1" thickBot="1" x14ac:dyDescent="0.35">
      <c r="A109" s="926"/>
      <c r="B109" s="951"/>
      <c r="C109" s="951"/>
      <c r="D109" s="951"/>
      <c r="E109" s="951"/>
      <c r="F109" s="951"/>
      <c r="G109" s="951"/>
      <c r="I109" s="365" t="s">
        <v>2963</v>
      </c>
      <c r="J109" s="461" t="e">
        <f ca="1">+YASALDURUMDEĞERİ-(YASALKULLANIMALANI*YIPRANMAMALİYET)-ARSADEĞERİ</f>
        <v>#N/A</v>
      </c>
      <c r="K109" s="422" t="s">
        <v>2964</v>
      </c>
      <c r="L109" s="449" t="e">
        <f ca="1">ROUND((ŞEREFİYEYASAL/YASALDURUMDEĞERİ),2)</f>
        <v>#N/A</v>
      </c>
      <c r="M109" s="449" t="e">
        <f ca="1">+"% "&amp;MID(L109,3,2)&amp;N109</f>
        <v>#N/A</v>
      </c>
      <c r="N109" s="449" t="e">
        <f ca="1">+IF(OR(L109=0.1,L109=0.2,L109=0.3,L109=0.4,L109=0.5,L109=0.6,L109=0.7,L109=0.8,L109=0.9),0,"")</f>
        <v>#N/A</v>
      </c>
      <c r="O109"/>
      <c r="P109"/>
      <c r="Q109" s="422" t="s">
        <v>3280</v>
      </c>
      <c r="R109" s="551">
        <f>+YASALDURUMDEĞERİ</f>
        <v>2500000</v>
      </c>
      <c r="S109"/>
      <c r="Z109"/>
      <c r="AA109"/>
      <c r="AB109"/>
      <c r="AO109"/>
      <c r="AP109"/>
      <c r="AQ109"/>
      <c r="AR109"/>
      <c r="AS109"/>
      <c r="AT109" s="18"/>
      <c r="AU109" s="18"/>
    </row>
    <row r="110" spans="1:47" s="7" customFormat="1" ht="49.2" customHeight="1" thickTop="1" thickBot="1" x14ac:dyDescent="0.35">
      <c r="A110" s="926"/>
      <c r="B110" s="951"/>
      <c r="C110" s="951"/>
      <c r="D110" s="951"/>
      <c r="E110" s="951"/>
      <c r="F110" s="951"/>
      <c r="G110" s="951"/>
      <c r="H110" s="442"/>
      <c r="I110" s="365" t="s">
        <v>2965</v>
      </c>
      <c r="J110" s="461" t="e">
        <f ca="1">+MEVCUTDURUMDEĞERİ-(MEVCUTKULLANIMALANI*YIPRANMAMALİYET)-ARSADEĞERİ</f>
        <v>#N/A</v>
      </c>
      <c r="K110" s="422" t="s">
        <v>2966</v>
      </c>
      <c r="L110" s="449" t="e">
        <f ca="1">ROUND((ŞEREFİYEMEVCUT/MEVCUTDURUMDEĞERİ),2)</f>
        <v>#N/A</v>
      </c>
      <c r="M110" s="449" t="e">
        <f ca="1">+"% "&amp;MID(L110,3,2)&amp;N110</f>
        <v>#N/A</v>
      </c>
      <c r="N110" s="449" t="e">
        <f ca="1">+IF(OR(L110=0.1,L110=0.2,L110=0.3,L110=0.4,L110=0.5,L110=0.6,L110=0.7,L110=0.8,L110=0.9),0,"")</f>
        <v>#N/A</v>
      </c>
      <c r="O110"/>
      <c r="P110"/>
      <c r="Q110" s="422" t="s">
        <v>3281</v>
      </c>
      <c r="R110" s="551">
        <f>+YASALDURUMDEĞERİ</f>
        <v>2500000</v>
      </c>
      <c r="S110"/>
      <c r="Z110"/>
      <c r="AA110"/>
      <c r="AB110"/>
      <c r="AO110"/>
      <c r="AP110"/>
      <c r="AQ110"/>
      <c r="AR110"/>
      <c r="AS110"/>
      <c r="AT110" s="18"/>
      <c r="AU110" s="18"/>
    </row>
    <row r="111" spans="1:47" s="7" customFormat="1" ht="24.9" customHeight="1" thickTop="1" thickBot="1" x14ac:dyDescent="0.35">
      <c r="P111"/>
      <c r="Q111"/>
      <c r="R111"/>
      <c r="S111"/>
      <c r="Z111"/>
      <c r="AA111"/>
      <c r="AB111"/>
      <c r="AO111"/>
      <c r="AP111"/>
      <c r="AQ111"/>
      <c r="AR111"/>
      <c r="AS111"/>
    </row>
    <row r="112" spans="1:47" s="7" customFormat="1" ht="79.95" customHeight="1" thickTop="1" thickBot="1" x14ac:dyDescent="0.35">
      <c r="A112" s="929" t="s">
        <v>2962</v>
      </c>
      <c r="B112" s="1013" t="str" cm="1">
        <f t="array" aca="1" ref="B112" ca="1">+RiskKodlari()</f>
        <v>Yapılan incelemeye göre değerleme konusu taşınmaz üzerinde herhangi bir takyidat veya riskli durum bulunmamaktadır. (MS1 Risk Kodu)</v>
      </c>
      <c r="C112" s="1013"/>
      <c r="D112" s="1013"/>
      <c r="E112" s="1013"/>
      <c r="F112" s="1013"/>
      <c r="G112" s="1013"/>
      <c r="I112" s="365" t="s">
        <v>1331</v>
      </c>
      <c r="J112" s="422" t="s">
        <v>2967</v>
      </c>
      <c r="K112" s="422" t="s">
        <v>2968</v>
      </c>
      <c r="L112" s="422" t="s">
        <v>2970</v>
      </c>
      <c r="M112" s="422" t="s">
        <v>2969</v>
      </c>
      <c r="N112" s="422" t="s">
        <v>2982</v>
      </c>
      <c r="O112" s="422" t="s">
        <v>2983</v>
      </c>
      <c r="P112"/>
      <c r="R112"/>
      <c r="S112"/>
      <c r="Z112"/>
      <c r="AA112"/>
      <c r="AB112"/>
      <c r="AO112"/>
      <c r="AP112"/>
      <c r="AQ112"/>
      <c r="AR112"/>
      <c r="AS112"/>
    </row>
    <row r="113" spans="1:56" s="7" customFormat="1" ht="61.2" customHeight="1" thickTop="1" thickBot="1" x14ac:dyDescent="0.35">
      <c r="A113" s="929"/>
      <c r="B113" s="1013"/>
      <c r="C113" s="1013"/>
      <c r="D113" s="1013"/>
      <c r="E113" s="1013"/>
      <c r="F113" s="1013"/>
      <c r="G113" s="1013"/>
      <c r="I113" s="453" t="e">
        <f>+VLOOKUP(YAPIYAŞI,VERİDOĞRULAMA!AJ2:AK82,2,0)</f>
        <v>#N/A</v>
      </c>
      <c r="J113" s="460" cm="1">
        <f t="array" aca="1" ref="J113" ca="1">MROUND((YIUFE_FARK_TR(VERİDOĞRULAMA!AN1,VERİDOĞRULAMA!AO1)), 0.05)</f>
        <v>0</v>
      </c>
      <c r="K113" s="461">
        <f>+VLOOKUP(YAPISINIFI,VERİDOĞRULAMA!AF3:AG20,2,0)</f>
        <v>19800</v>
      </c>
      <c r="L113" s="461">
        <f ca="1">+birimmaliyet*(1+ÜFEORANI)</f>
        <v>19800</v>
      </c>
      <c r="M113" s="461" t="e">
        <f ca="1">IF(TEST!N72&lt;&gt;1,(birimmaliyet*(1+ÜFEORANI)),birimmaliyet*(ABS(1-((1+ÜFEORANI)+(1-YIPRANMAORANI)))))</f>
        <v>#N/A</v>
      </c>
      <c r="N113" s="461" t="e">
        <f ca="1">+YASALKULLANIMALANI*YIPRANMAMALİYET</f>
        <v>#N/A</v>
      </c>
      <c r="O113" s="461" t="e">
        <f ca="1">+MEVCUTKULLANIMALANI*YIPRANMAMALİYET</f>
        <v>#N/A</v>
      </c>
      <c r="P113"/>
      <c r="R113"/>
      <c r="S113"/>
      <c r="W113" s="27"/>
      <c r="Z113"/>
      <c r="AA113"/>
      <c r="AB113"/>
    </row>
    <row r="114" spans="1:56" s="7" customFormat="1" ht="26.4" customHeight="1" thickTop="1" thickBot="1" x14ac:dyDescent="0.35">
      <c r="A114" s="929"/>
      <c r="B114" s="1013"/>
      <c r="C114" s="1013"/>
      <c r="D114" s="1013"/>
      <c r="E114" s="1013"/>
      <c r="F114" s="1013"/>
      <c r="G114" s="1013"/>
      <c r="H114"/>
      <c r="I114"/>
      <c r="J114"/>
      <c r="K114"/>
      <c r="L114"/>
      <c r="M114"/>
      <c r="N114"/>
      <c r="O114"/>
      <c r="P114"/>
      <c r="Q114"/>
      <c r="R114"/>
      <c r="W114" s="27"/>
      <c r="Z114"/>
      <c r="AA114"/>
      <c r="AB114"/>
    </row>
    <row r="115" spans="1:56" s="7" customFormat="1" ht="61.2" customHeight="1" thickTop="1" thickBot="1" x14ac:dyDescent="0.35">
      <c r="A115" s="929"/>
      <c r="B115" s="943" t="str" cm="1">
        <f t="array" ref="B115">+Degerleme_SatisKira(STKAÇIKLAMA2025,YASALKIRA,MEVCUTKIRA)</f>
        <v>Konu taşınmaz satılabilir niteliktedir. Ekspertize konu taşınmazın kira değerinin 12.000 TL/ay olduğu kanaatindeyiz.</v>
      </c>
      <c r="C115" s="943"/>
      <c r="D115" s="943"/>
      <c r="E115" s="943"/>
      <c r="F115" s="943"/>
      <c r="G115" s="943"/>
      <c r="I115" s="365" t="s">
        <v>2974</v>
      </c>
      <c r="J115" s="422" t="s">
        <v>2975</v>
      </c>
      <c r="K115" s="422" t="s">
        <v>2976</v>
      </c>
      <c r="L115" s="422" t="s">
        <v>2977</v>
      </c>
      <c r="M115" s="422" t="s">
        <v>3015</v>
      </c>
      <c r="N115" s="422" t="s">
        <v>3291</v>
      </c>
      <c r="O115" s="422" t="s">
        <v>3292</v>
      </c>
      <c r="P115" s="422" t="s">
        <v>3293</v>
      </c>
      <c r="Q115"/>
      <c r="R115"/>
      <c r="W115" s="27"/>
      <c r="Z115"/>
      <c r="AA115"/>
      <c r="AB115"/>
    </row>
    <row r="116" spans="1:56" s="7" customFormat="1" ht="61.2" customHeight="1" thickTop="1" thickBot="1" x14ac:dyDescent="0.35">
      <c r="I116" s="453">
        <f>ROUND((YASALDURUMDEĞERİ/YASALKULLANIMALANI),2)</f>
        <v>29411.759999999998</v>
      </c>
      <c r="J116" s="474">
        <f>ROUND((MEVCUTDURUMDEĞERİ/MEVCUTKULLANIMALANI),2)</f>
        <v>29411.759999999998</v>
      </c>
      <c r="K116" s="474">
        <f>ROUND((YASALKIRA/YASALKULLANIMALANI),2)</f>
        <v>141.18</v>
      </c>
      <c r="L116" s="426">
        <f>ROUND((MEVCUTKIRA/MEVCUTKULLANIMALANI),2)</f>
        <v>141.18</v>
      </c>
      <c r="M116" s="427" t="str">
        <f>ROUND(((1/kapitilizasyonoranı)*12),0)&amp;" Ay"</f>
        <v>207 Ay</v>
      </c>
      <c r="N116" s="553">
        <f>+YASALKIRA*12</f>
        <v>144000</v>
      </c>
      <c r="O116" s="553">
        <f>+YASALDURUMDEĞERİ*0.9</f>
        <v>2250000</v>
      </c>
      <c r="P116" s="553">
        <f>+MEVCUTDURUMDEĞERİ*0.9</f>
        <v>2250000</v>
      </c>
      <c r="Q116"/>
      <c r="R116"/>
      <c r="W116" s="27"/>
      <c r="Z116"/>
      <c r="AA116"/>
      <c r="AB116"/>
    </row>
    <row r="117" spans="1:56" s="7" customFormat="1" ht="61.2" customHeight="1" thickTop="1" thickBot="1" x14ac:dyDescent="0.35">
      <c r="K117"/>
      <c r="L117"/>
      <c r="P117"/>
      <c r="Q117"/>
      <c r="R117"/>
      <c r="S117"/>
      <c r="T117"/>
      <c r="U117"/>
      <c r="V117"/>
      <c r="W117"/>
      <c r="X117"/>
      <c r="Z117"/>
      <c r="AA117"/>
      <c r="AB117"/>
    </row>
    <row r="118" spans="1:56" s="7" customFormat="1" ht="61.2" customHeight="1" thickTop="1" thickBot="1" x14ac:dyDescent="0.35">
      <c r="I118" s="929" t="s">
        <v>2978</v>
      </c>
      <c r="J118" s="929"/>
      <c r="K118" s="428">
        <f>+IF(İNŞASEVİYE&gt;=0.6,K121,IF(AND(İNŞASEVİYE&lt;=0.6,TEST!N72&gt;=0.4),J121,I121))</f>
        <v>2500000</v>
      </c>
      <c r="L118" s="929" t="s">
        <v>2979</v>
      </c>
      <c r="M118" s="929"/>
      <c r="N118" s="461">
        <f>+IF(İNŞASEVİYE&gt;=0.6,N121,IF(AND(İNŞASEVİYE&lt;=0.6,İNŞASEVİYE&gt;=0.4),M121,L121))</f>
        <v>2500000</v>
      </c>
      <c r="P118"/>
      <c r="Q118"/>
      <c r="R118" s="7" t="str">
        <f>+IF(AND(TEST!H44="var",TEST!K44="Ayna Simetrisi (Konum Etkilenmiyor.)")," =aynasimetriaçıklama2 Yapılan ruhsata aykırı imalat taşınmazın konumunu etkilememektedir. =uygaçıklama ","")</f>
        <v/>
      </c>
      <c r="S118"/>
      <c r="T118"/>
      <c r="U118"/>
      <c r="V118"/>
      <c r="W118"/>
      <c r="X118"/>
      <c r="Z118"/>
      <c r="AA118"/>
      <c r="AB118"/>
      <c r="AO118"/>
      <c r="AP118"/>
      <c r="AQ118"/>
      <c r="AR118"/>
      <c r="AS118"/>
      <c r="AT118"/>
      <c r="AU118"/>
      <c r="AV118"/>
      <c r="AW118"/>
      <c r="AX118"/>
      <c r="AY118"/>
      <c r="AZ118"/>
      <c r="BA118"/>
      <c r="BB118"/>
      <c r="BC118"/>
      <c r="BD118"/>
    </row>
    <row r="119" spans="1:56" s="7" customFormat="1" ht="61.2" customHeight="1" thickTop="1" thickBot="1" x14ac:dyDescent="0.35">
      <c r="I119" s="926" t="s">
        <v>2980</v>
      </c>
      <c r="J119" s="926"/>
      <c r="K119" s="926"/>
      <c r="L119" s="926" t="s">
        <v>2981</v>
      </c>
      <c r="M119" s="926"/>
      <c r="N119" s="926"/>
      <c r="P119"/>
      <c r="S119"/>
      <c r="T119"/>
      <c r="U119"/>
      <c r="V119"/>
      <c r="W119"/>
      <c r="X119"/>
      <c r="Z119"/>
      <c r="AA119"/>
      <c r="AB119"/>
      <c r="AC119" s="34"/>
      <c r="AD119"/>
      <c r="AO119"/>
      <c r="AP119"/>
      <c r="AQ119"/>
      <c r="AR119"/>
      <c r="AS119"/>
      <c r="AT119"/>
      <c r="AU119"/>
      <c r="AV119"/>
      <c r="AW119"/>
      <c r="AX119"/>
      <c r="AY119"/>
      <c r="AZ119"/>
      <c r="BA119"/>
      <c r="BB119"/>
      <c r="BC119"/>
      <c r="BD119"/>
    </row>
    <row r="120" spans="1:56" s="7" customFormat="1" ht="52.5" customHeight="1" thickTop="1" thickBot="1" x14ac:dyDescent="0.35">
      <c r="I120" s="366" t="s">
        <v>355</v>
      </c>
      <c r="J120" s="367" t="s">
        <v>354</v>
      </c>
      <c r="K120" s="366" t="s">
        <v>353</v>
      </c>
      <c r="L120" s="366" t="s">
        <v>355</v>
      </c>
      <c r="M120" s="367" t="s">
        <v>354</v>
      </c>
      <c r="N120" s="366" t="s">
        <v>353</v>
      </c>
      <c r="P120"/>
      <c r="S120"/>
      <c r="T120"/>
      <c r="U120"/>
      <c r="V120"/>
      <c r="W120"/>
      <c r="X120"/>
      <c r="Z120"/>
      <c r="AA120"/>
      <c r="AB120"/>
      <c r="AC120" s="34"/>
      <c r="AD120"/>
      <c r="AO120"/>
      <c r="AP120"/>
      <c r="AQ120"/>
      <c r="AR120"/>
      <c r="AS120"/>
      <c r="AT120"/>
      <c r="BB120"/>
      <c r="BC120"/>
      <c r="BD120"/>
    </row>
    <row r="121" spans="1:56" s="7" customFormat="1" ht="108" customHeight="1" thickTop="1" thickBot="1" x14ac:dyDescent="0.35">
      <c r="I121" s="465">
        <f>ROUND((YASALDURUMDEĞERİ-((1-İNŞASEVİYE)*birimmaliyet*YASALKULLANIMALANI)-(YASALDURUMDEĞERİ*0.25)),-3)</f>
        <v>1875000</v>
      </c>
      <c r="J121" s="465">
        <f>ROUND((YASALDURUMDEĞERİ-((1-İNŞASEVİYE)*birimmaliyet*YASALKULLANIMALANI)-(YASALDURUMDEĞERİ*0.1)),-3)</f>
        <v>2250000</v>
      </c>
      <c r="K121" s="465">
        <f>ROUND((YASALDURUMDEĞERİ-((1-İNŞASEVİYE)*birimmaliyet*YASALKULLANIMALANI)),-3)</f>
        <v>2500000</v>
      </c>
      <c r="L121" s="465">
        <f>ROUND((MEVCUTDURUMDEĞERİ-((1-İNŞASEVİYE)*birimmaliyet*MEVCUTKULLANIMALANI)-(MEVCUTDURUMDEĞERİ*0.25)),-3)</f>
        <v>1875000</v>
      </c>
      <c r="M121" s="465">
        <f>ROUND((MEVCUTDURUMDEĞERİ-((1-İNŞASEVİYE)*birimmaliyet*MEVCUTKULLANIMALANI)-(MEVCUTDURUMDEĞERİ*0.1)),-3)</f>
        <v>2250000</v>
      </c>
      <c r="N121" s="465">
        <f>ROUND((MEVCUTDURUMDEĞERİ-((1-İNŞASEVİYE)*birimmaliyet*MEVCUTKULLANIMALANI)),-3)</f>
        <v>2500000</v>
      </c>
      <c r="S121"/>
      <c r="T121"/>
      <c r="U121"/>
      <c r="V121"/>
      <c r="W121"/>
      <c r="X121"/>
      <c r="Z121"/>
      <c r="AA121"/>
      <c r="AO121"/>
      <c r="AP121"/>
      <c r="AQ121"/>
      <c r="AR121"/>
      <c r="AS121"/>
      <c r="AT121"/>
      <c r="BB121"/>
      <c r="BC121"/>
      <c r="BD121"/>
    </row>
    <row r="122" spans="1:56" s="7" customFormat="1" ht="24.9" customHeight="1" thickTop="1" thickBot="1" x14ac:dyDescent="0.35">
      <c r="I122" s="462" t="str">
        <f>+IF(TEST!N72=1," ",TEST!N72)</f>
        <v xml:space="preserve"> </v>
      </c>
      <c r="J122" s="463">
        <f>100*TEST!N72</f>
        <v>100</v>
      </c>
      <c r="K122" s="458">
        <f>+TEST!N72</f>
        <v>1</v>
      </c>
      <c r="L122" s="366" t="str">
        <f>+M122&amp;ROUND(J122,0)</f>
        <v>%100</v>
      </c>
      <c r="M122" s="366" t="s">
        <v>175</v>
      </c>
      <c r="N122"/>
      <c r="X122"/>
      <c r="Z122"/>
      <c r="AA122"/>
      <c r="AO122"/>
      <c r="AP122"/>
      <c r="AQ122"/>
      <c r="AR122"/>
      <c r="AS122"/>
      <c r="AT122"/>
      <c r="BB122"/>
      <c r="BC122"/>
      <c r="BD122"/>
    </row>
    <row r="123" spans="1:56" s="7" customFormat="1" ht="36" customHeight="1" thickTop="1" x14ac:dyDescent="0.3">
      <c r="X123"/>
      <c r="Z123"/>
      <c r="AA123"/>
      <c r="AO123"/>
      <c r="AP123"/>
      <c r="AQ123"/>
      <c r="AR123"/>
      <c r="AS123"/>
      <c r="AT123"/>
      <c r="BB123"/>
      <c r="BC123"/>
      <c r="BD123"/>
    </row>
    <row r="124" spans="1:56" s="7" customFormat="1" ht="24.9" customHeight="1" thickBot="1" x14ac:dyDescent="0.35">
      <c r="A124"/>
      <c r="B124"/>
      <c r="C124"/>
      <c r="D124"/>
      <c r="E124"/>
      <c r="F124"/>
      <c r="G124"/>
      <c r="H124"/>
      <c r="I124"/>
      <c r="J124"/>
      <c r="K124"/>
      <c r="L124"/>
      <c r="M124"/>
      <c r="N124"/>
      <c r="O124"/>
      <c r="P124"/>
      <c r="X124"/>
      <c r="Z124"/>
      <c r="AA124"/>
      <c r="AO124"/>
      <c r="AP124"/>
      <c r="AQ124"/>
      <c r="AR124"/>
      <c r="AS124"/>
      <c r="AT124"/>
      <c r="BB124"/>
      <c r="BC124"/>
      <c r="BD124"/>
    </row>
    <row r="125" spans="1:56" s="7" customFormat="1" ht="87" customHeight="1" thickTop="1" thickBot="1" x14ac:dyDescent="0.35">
      <c r="A125" s="950" t="s">
        <v>3016</v>
      </c>
      <c r="B125" s="950"/>
      <c r="C125" s="950"/>
      <c r="D125" s="950"/>
      <c r="E125" s="950"/>
      <c r="F125" s="950"/>
      <c r="G125" s="950"/>
      <c r="H125" s="950" t="s">
        <v>3017</v>
      </c>
      <c r="I125" s="950"/>
      <c r="J125" s="950"/>
      <c r="K125" s="950"/>
      <c r="L125" s="950"/>
      <c r="M125" s="950"/>
      <c r="N125" s="950"/>
      <c r="O125"/>
      <c r="P125"/>
      <c r="X125"/>
      <c r="Z125"/>
      <c r="AA125"/>
      <c r="AO125"/>
      <c r="AP125"/>
      <c r="AQ125"/>
      <c r="AR125"/>
      <c r="AS125"/>
      <c r="AT125"/>
      <c r="BB125"/>
      <c r="BC125"/>
      <c r="BD125"/>
    </row>
    <row r="126" spans="1:56" s="7" customFormat="1" ht="87" customHeight="1" thickTop="1" thickBot="1" x14ac:dyDescent="0.35">
      <c r="A126" s="422" t="s">
        <v>607</v>
      </c>
      <c r="B126" s="475" t="str" cm="1">
        <f t="array" ref="B126">EmsalMetni_kisa("TEST","G")</f>
        <v>(İrtibat Kişisi ve Telefon No: Almutova Gayrimenkul – 0 (536) 432 05 03)_x000D_
_x000D_
Konu taşınmaz satılık olup, 170 m2 olarak beyan edilmiş, 145 m2 olduğu bilinmektedir. Taşınmaz için 7.790.000 TL talep edilmektedir. Pazarlık payı vardır. Kira değerinin 40.000 TL/ay olacağı düşünülmektedir.</v>
      </c>
      <c r="C126" s="944" t="str">
        <f>+IF(TEST!G89="","",(Sayfa1!A126&amp;" "&amp;Sayfa1!B126))</f>
        <v>EMSAL 1) (İrtibat Kişisi ve Telefon No: Almutova Gayrimenkul – 0 (536) 432 05 03)_x000D_
_x000D_
Konu taşınmaz satılık olup, 170 m2 olarak beyan edilmiş, 145 m2 olduğu bilinmektedir. Taşınmaz için 7.790.000 TL talep edilmektedir. Pazarlık payı vardır. Kira değerinin 40.000 TL/ay olacağı düşünülmektedir.</v>
      </c>
      <c r="D126" s="944"/>
      <c r="E126" s="944"/>
      <c r="F126" s="944"/>
      <c r="G126" s="944"/>
      <c r="H126" s="365" t="s">
        <v>607</v>
      </c>
      <c r="I126" s="475" t="str" cm="1">
        <f t="array" aca="1" ref="I126" ca="1">EmsalMetni_Uzun("TEST","G")</f>
        <v>(İrtibat Kişisi ve Telefon No: Almutova Gayrimenkul - 0 (536) 432 05 03)_x000D_
_x000D_
Ekspertize konu taşınmaz satılık olup, 170 m2 olarak beyan edilmiş, 145 m2 olduğu bilinmektedir. Taşınmaz için 7.790.000 TL talep edilmektedir. Pazarlık payı vardır. Pazarlık payının yaklaşık %1 olduğu düşünülmektedir.</v>
      </c>
      <c r="J126" s="944" t="str">
        <f ca="1">+IF(TEST!G89="","",(Sayfa1!H126&amp;" "&amp;Sayfa1!I126))</f>
        <v>EMSAL 1) (İrtibat Kişisi ve Telefon No: Almutova Gayrimenkul - 0 (536) 432 05 03)_x000D_
_x000D_
Ekspertize konu taşınmaz satılık olup, 170 m2 olarak beyan edilmiş, 145 m2 olduğu bilinmektedir. Taşınmaz için 7.790.000 TL talep edilmektedir. Pazarlık payı vardır. Pazarlık payının yaklaşık %1 olduğu düşünülmektedir.</v>
      </c>
      <c r="K126" s="944"/>
      <c r="L126" s="944"/>
      <c r="M126" s="944"/>
      <c r="N126" s="944"/>
      <c r="O126"/>
      <c r="P126"/>
      <c r="X126"/>
      <c r="Z126"/>
      <c r="AA126"/>
      <c r="AO126"/>
      <c r="AP126"/>
      <c r="AQ126"/>
      <c r="AR126"/>
      <c r="AS126"/>
      <c r="AT126"/>
      <c r="BB126"/>
      <c r="BC126"/>
      <c r="BD126"/>
    </row>
    <row r="127" spans="1:56" s="7" customFormat="1" ht="87" customHeight="1" thickTop="1" thickBot="1" x14ac:dyDescent="0.35">
      <c r="A127" s="422" t="s">
        <v>608</v>
      </c>
      <c r="B127" s="475" t="str" cm="1">
        <f t="array" ref="B127">EmsalMetni_kisa("TEST","I")</f>
        <v>(İrtibat Kişisi ve Telefon No: Esma Hanım – 0 (553) 620 39 39)_x000D_
_x000D_
Taşınmazla aynı bölgede, 10-15 yıllık bir sitede konumlu, zemin katta yer alan, 160 m2 olarak beyan edilen, 145 m2 olduğu düşünülen, 3+1 planında daire 8.950.000 TL bedelle satılıktır. Pazarlık vardır. Kira değerinin 40.000 TL/ay olacağı düşünülmektedir.</v>
      </c>
      <c r="C127" s="944" t="str">
        <f>+IF(TEST!I89="","",(Sayfa1!A127&amp;" "&amp;Sayfa1!B127))</f>
        <v>EMSAL 2) (İrtibat Kişisi ve Telefon No: Esma Hanım – 0 (553) 620 39 39)_x000D_
_x000D_
Taşınmazla aynı bölgede, 10-15 yıllık bir sitede konumlu, zemin katta yer alan, 160 m2 olarak beyan edilen, 145 m2 olduğu düşünülen, 3+1 planında daire 8.950.000 TL bedelle satılıktır. Pazarlık vardır. Kira değerinin 40.000 TL/ay olacağı düşünülmektedir.</v>
      </c>
      <c r="D127" s="944"/>
      <c r="E127" s="944"/>
      <c r="F127" s="944"/>
      <c r="G127" s="944"/>
      <c r="H127" s="365" t="s">
        <v>608</v>
      </c>
      <c r="I127" s="475" t="str" cm="1">
        <f t="array" aca="1" ref="I127" ca="1">EmsalMetni_Uzun("TEST","I")</f>
        <v>(İrtibat Kişisi ve Telefon No: Esma Hanım / 0 (553) 620 39 39)_x000D_
_x000D_
Ekspertize konu taşınmazla aynı bölgede, 10-15 yıllık bir sitede konumlu, zemin katta yer alan, 160 m2 olarak beyan edilen, 145 m2 olduğu düşünülen, 3+1 planında daire 8.950.000 TL bedelle satılıktır. Emsal, benzer konumda ve konu taşınmaza göre benzer iç özelliklere sahiptir. Pazarlık payı vardır. Pazarlık payının yaklaşık %11, kira değerinin 40.000 TL/ay olacağı düşünülmektedir. (İndirgenmiş m2 Birim Değeri: 8.000.000 TL (Pazarlıklı Değer) × 1,00 (Toplam Şerefiye Katsayısı) / 145 m2 = 55.172,41 TL/m2)</v>
      </c>
      <c r="J127" s="944" t="str">
        <f ca="1">+IF(TEST!I89="","",(Sayfa1!H127&amp;" "&amp;Sayfa1!I127))</f>
        <v>EMSAL 2) (İrtibat Kişisi ve Telefon No: Esma Hanım / 0 (553) 620 39 39)_x000D_
_x000D_
Ekspertize konu taşınmazla aynı bölgede, 10-15 yıllık bir sitede konumlu, zemin katta yer alan, 160 m2 olarak beyan edilen, 145 m2 olduğu düşünülen, 3+1 planında daire 8.950.000 TL bedelle satılıktır. Emsal, benzer konumda ve konu taşınmaza göre benzer iç özelliklere sahiptir. Pazarlık payı vardır. Pazarlık payının yaklaşık %11, kira değerinin 40.000 TL/ay olacağı düşünülmektedir. (İndirgenmiş m2 Birim Değeri: 8.000.000 TL (Pazarlıklı Değer) × 1,00 (Toplam Şerefiye Katsayısı) / 145 m2 = 55.172,41 TL/m2)</v>
      </c>
      <c r="K127" s="944"/>
      <c r="L127" s="944"/>
      <c r="M127" s="944"/>
      <c r="N127" s="944"/>
      <c r="O127"/>
      <c r="P127"/>
      <c r="X127"/>
      <c r="Z127"/>
      <c r="AA127"/>
      <c r="AC127" s="34"/>
      <c r="AO127"/>
      <c r="AP127"/>
      <c r="AQ127"/>
      <c r="AR127"/>
      <c r="AS127"/>
      <c r="AT127"/>
      <c r="BB127"/>
      <c r="BC127"/>
      <c r="BD127"/>
    </row>
    <row r="128" spans="1:56" s="7" customFormat="1" ht="87" customHeight="1" thickTop="1" thickBot="1" x14ac:dyDescent="0.35">
      <c r="A128" s="422" t="s">
        <v>609</v>
      </c>
      <c r="B128" s="475" t="str" cm="1">
        <f t="array" ref="B128">EmsalMetni_kisa("TEST","K")</f>
        <v>(İrtibat Kişisi ve Telefon No: Nuray Hanım – 0 (538) 330 63 26)_x000D_
_x000D_
Taşınmazla aynı bölgede, 8-9 yıllık bir sitede konumlu, zemin katta yer alan, 150 m2 olarak beyan edilen, 140 m2 olduğu düşünülen, 3+1 planında daire 7.950.000 TL bedelle satılıktır. Pazarlık vardır. Kira değerinin 35.000 TL/ay olacağı düşünülmektedir.</v>
      </c>
      <c r="C128" s="944" t="str">
        <f>+IF(TEST!K89="","",(Sayfa1!A128&amp;" "&amp;Sayfa1!B128))</f>
        <v>EMSAL 3) (İrtibat Kişisi ve Telefon No: Nuray Hanım – 0 (538) 330 63 26)_x000D_
_x000D_
Taşınmazla aynı bölgede, 8-9 yıllık bir sitede konumlu, zemin katta yer alan, 150 m2 olarak beyan edilen, 140 m2 olduğu düşünülen, 3+1 planında daire 7.950.000 TL bedelle satılıktır. Pazarlık vardır. Kira değerinin 35.000 TL/ay olacağı düşünülmektedir.</v>
      </c>
      <c r="D128" s="944"/>
      <c r="E128" s="944"/>
      <c r="F128" s="944"/>
      <c r="G128" s="944"/>
      <c r="H128" s="365" t="s">
        <v>609</v>
      </c>
      <c r="I128" s="475" t="str" cm="1">
        <f t="array" aca="1" ref="I128" ca="1">EmsalMetni_Uzun("TEST","K")</f>
        <v>(İrtibat Kişisi ve Telefon No: Nuray Hanım / 0 (538) 330 63 26)_x000D_
_x000D_
Ekspertize konu taşınmazla aynı bölgede, 8-9 yıllık bir sitede konumlu, zemin katta yer alan, 150 m2 olarak beyan edilen, 140 m2 olduğu düşünülen, 3+1 planında daire 7.950.000 TL bedelle satılıktır. Emsal, benzer konumda ve konu taşınmaza göre benzer iç özelliklere sahiptir. Pazarlık payı vardır. Pazarlık payının yaklaşık %6, kira değerinin 35.000 TL/ay olacağı düşünülmektedir. (İndirgenmiş m2 Birim Değeri: 7.500.000 TL (Pazarlıklı Değer) × 1,00 (Toplam Şerefiye Katsayısı) / 140 m2 = 53.571,43 TL/m2)</v>
      </c>
      <c r="J128" s="944" t="str">
        <f ca="1">+IF(TEST!K89="","",(Sayfa1!H128&amp;" "&amp;Sayfa1!I128))</f>
        <v>EMSAL 3) (İrtibat Kişisi ve Telefon No: Nuray Hanım / 0 (538) 330 63 26)_x000D_
_x000D_
Ekspertize konu taşınmazla aynı bölgede, 8-9 yıllık bir sitede konumlu, zemin katta yer alan, 150 m2 olarak beyan edilen, 140 m2 olduğu düşünülen, 3+1 planında daire 7.950.000 TL bedelle satılıktır. Emsal, benzer konumda ve konu taşınmaza göre benzer iç özelliklere sahiptir. Pazarlık payı vardır. Pazarlık payının yaklaşık %6, kira değerinin 35.000 TL/ay olacağı düşünülmektedir. (İndirgenmiş m2 Birim Değeri: 7.500.000 TL (Pazarlıklı Değer) × 1,00 (Toplam Şerefiye Katsayısı) / 140 m2 = 53.571,43 TL/m2)</v>
      </c>
      <c r="K128" s="944"/>
      <c r="L128" s="944"/>
      <c r="M128" s="944"/>
      <c r="N128" s="944"/>
      <c r="O128"/>
      <c r="P128"/>
      <c r="X128"/>
      <c r="Z128"/>
      <c r="AA128"/>
      <c r="AC128" s="34"/>
      <c r="AO128"/>
      <c r="AP128"/>
      <c r="AQ128"/>
      <c r="AR128"/>
      <c r="AS128"/>
      <c r="AT128"/>
      <c r="BB128"/>
      <c r="BC128"/>
      <c r="BD128"/>
    </row>
    <row r="129" spans="1:37" s="7" customFormat="1" ht="87" customHeight="1" thickTop="1" thickBot="1" x14ac:dyDescent="0.35">
      <c r="A129" s="422" t="s">
        <v>610</v>
      </c>
      <c r="B129" s="475" t="str" cm="1">
        <f t="array" ref="B129">EmsalMetni_kisa("TEST","M")</f>
        <v>(İrtibat Kişisi ve Telefon No: Mahmut Bey – 0 (537) 238 74 44)_x000D_
_x000D_
Taşınmazla aynı bölgede, 7-8 yıllık bir sitede konumlu, zemin katta yer alan, 160 m2 olarak beyan edilen, 140 m2 olduğu düşünülen, 3+1 planında daire 8.050.000 TL bedelle satılıktır. Pazarlık vardır. Kira değerinin 35.000 TL/ay olacağı düşünülmektedir.</v>
      </c>
      <c r="C129" s="944" t="str">
        <f>+IF(TEST!M89="","",(Sayfa1!A129&amp;" "&amp;Sayfa1!B129))</f>
        <v>EMSAL 4) (İrtibat Kişisi ve Telefon No: Mahmut Bey – 0 (537) 238 74 44)_x000D_
_x000D_
Taşınmazla aynı bölgede, 7-8 yıllık bir sitede konumlu, zemin katta yer alan, 160 m2 olarak beyan edilen, 140 m2 olduğu düşünülen, 3+1 planında daire 8.050.000 TL bedelle satılıktır. Pazarlık vardır. Kira değerinin 35.000 TL/ay olacağı düşünülmektedir.</v>
      </c>
      <c r="D129" s="944"/>
      <c r="E129" s="944"/>
      <c r="F129" s="944"/>
      <c r="G129" s="944"/>
      <c r="H129" s="365" t="s">
        <v>610</v>
      </c>
      <c r="I129" s="475" t="str" cm="1">
        <f t="array" aca="1" ref="I129" ca="1">EmsalMetni_Uzun("TEST","M")</f>
        <v>(İrtibat Kişisi ve Telefon No: Mahmut Bey / 0 (537) 238 74 44)_x000D_
_x000D_
Ekspertize konu taşınmazla aynı bölgede, 7-8 yıllık bir sitede konumlu, zemin katta yer alan, 160 m2 olarak beyan edilen, 140 m2 olduğu düşünülen, 3+1 planında daire 8.050.000 TL bedelle satılıktır. Emsal, benzer konumda ve konu taşınmaza göre benzer iç özelliklere sahiptir. Pazarlık payı vardır. Pazarlık payının yaklaşık %7, kira değerinin 35.000 TL/ay olacağı düşünülmektedir. (İndirgenmiş m2 Birim Değeri: 7.500.000 TL (Pazarlıklı Değer) × 1,00 (Toplam Şerefiye Katsayısı) / 140 m2 = 53.571,43 TL/m2)</v>
      </c>
      <c r="J129" s="944" t="str">
        <f ca="1">+IF(TEST!M89="","",(Sayfa1!H129&amp;" "&amp;Sayfa1!I129))</f>
        <v>EMSAL 4) (İrtibat Kişisi ve Telefon No: Mahmut Bey / 0 (537) 238 74 44)_x000D_
_x000D_
Ekspertize konu taşınmazla aynı bölgede, 7-8 yıllık bir sitede konumlu, zemin katta yer alan, 160 m2 olarak beyan edilen, 140 m2 olduğu düşünülen, 3+1 planında daire 8.050.000 TL bedelle satılıktır. Emsal, benzer konumda ve konu taşınmaza göre benzer iç özelliklere sahiptir. Pazarlık payı vardır. Pazarlık payının yaklaşık %7, kira değerinin 35.000 TL/ay olacağı düşünülmektedir. (İndirgenmiş m2 Birim Değeri: 7.500.000 TL (Pazarlıklı Değer) × 1,00 (Toplam Şerefiye Katsayısı) / 140 m2 = 53.571,43 TL/m2)</v>
      </c>
      <c r="K129" s="944"/>
      <c r="L129" s="944"/>
      <c r="M129" s="944"/>
      <c r="N129" s="944"/>
      <c r="O129"/>
      <c r="P129"/>
      <c r="X129"/>
      <c r="Z129"/>
      <c r="AA129"/>
      <c r="AC129" s="34"/>
    </row>
    <row r="130" spans="1:37" s="7" customFormat="1" ht="87" customHeight="1" thickTop="1" thickBot="1" x14ac:dyDescent="0.35">
      <c r="A130" s="422" t="s">
        <v>1327</v>
      </c>
      <c r="B130" s="475" t="str" cm="1">
        <f t="array" ref="B130">EmsalMetni_kisa("TEST","O")</f>
        <v>(İrtibat Kişisi ve Telefon No:  – )_x000D_
_x000D_
Taşınmazla aynı bölgede, yeni bir binada konumlu,  katta yer alan,  m2 olarak beyan edilen,  m2 olduğu düşünülen,  planında  durumu belirtilmemiştir. Pazarlık yoktur. Kira değerinin 0 TL/ay olacağı düşünülmektedir.</v>
      </c>
      <c r="C130" s="944" t="str">
        <f>+IF(TEST!O89="","",(Sayfa1!A130&amp;" "&amp;Sayfa1!B130))</f>
        <v/>
      </c>
      <c r="D130" s="944"/>
      <c r="E130" s="944"/>
      <c r="F130" s="944"/>
      <c r="G130" s="944"/>
      <c r="H130" s="365" t="s">
        <v>1327</v>
      </c>
      <c r="I130" s="475" t="str" cm="1">
        <f t="array" aca="1" ref="I130" ca="1">EmsalMetni_Uzun("TEST","O")</f>
        <v>(İrtibat Kişisi ve Telefon No:  / )_x000D_
_x000D_
Ekspertize konu taşınmazla aynı bölgede, yeni bir binada konumlu,  katta yer alan,  m2 olarak beyan edilen,  m2 olduğu düşünülen,  planında  durumu belirtilmemiştir. Emsal, benzer konumda ve konu taşınmaza göre benzer iç özelliklere sahiptir. Pazarlık payı yoktur. Kira değerinin 0 TL/ay olacağı düşünülmektedir.</v>
      </c>
      <c r="J130" s="944" t="str">
        <f>+IF(TEST!O89="","",(Sayfa1!H130&amp;" "&amp;Sayfa1!I130))</f>
        <v/>
      </c>
      <c r="K130" s="944"/>
      <c r="L130" s="944"/>
      <c r="M130" s="944"/>
      <c r="N130" s="944"/>
      <c r="O130"/>
      <c r="P130"/>
      <c r="X130"/>
      <c r="Z130"/>
      <c r="AA130"/>
      <c r="AC130" s="34"/>
    </row>
    <row r="131" spans="1:37" s="7" customFormat="1" ht="87" customHeight="1" thickTop="1" thickBot="1" x14ac:dyDescent="0.35">
      <c r="A131" s="422" t="s">
        <v>1328</v>
      </c>
      <c r="B131" s="475" t="str" cm="1">
        <f t="array" ref="B131">EmsalMetni_kisa("TEST","Q")</f>
        <v>(İrtibat Kişisi ve Telefon No:  – )_x000D_
_x000D_
Taşınmazla aynı bölgede, yeni bir binada konumlu,  katta yer alan,  m2 olarak beyan edilen,  m2 olduğu düşünülen,  planında  durumu belirtilmemiştir. Pazarlık yoktur. Kira değerinin 0 TL/ay olacağı düşünülmektedir.</v>
      </c>
      <c r="C131" s="944" t="str">
        <f>+IF(TEST!Q89="","",(Sayfa1!A131&amp;" "&amp;Sayfa1!B131))</f>
        <v/>
      </c>
      <c r="D131" s="944"/>
      <c r="E131" s="944"/>
      <c r="F131" s="944"/>
      <c r="G131" s="944"/>
      <c r="H131" s="365" t="s">
        <v>1328</v>
      </c>
      <c r="I131" s="475" t="str" cm="1">
        <f t="array" aca="1" ref="I131" ca="1">EmsalMetni_Uzun("TEST","Q")</f>
        <v>(İrtibat Kişisi ve Telefon No:  / )_x000D_
_x000D_
Ekspertize konu taşınmazla aynı bölgede, yeni bir binada konumlu,  katta yer alan,  m2 olarak beyan edilen,  m2 olduğu düşünülen,  planında  durumu belirtilmemiştir. Emsal, benzer konumda ve konu taşınmaza göre benzer iç özelliklere sahiptir. Pazarlık payı yoktur. Kira değerinin 0 TL/ay olacağı düşünülmektedir.</v>
      </c>
      <c r="J131" s="944" t="str">
        <f>+IF(TEST!Q89="","",(Sayfa1!H131&amp;" "&amp;Sayfa1!I131))</f>
        <v/>
      </c>
      <c r="K131" s="944"/>
      <c r="L131" s="944"/>
      <c r="M131" s="944"/>
      <c r="N131" s="944"/>
      <c r="X131"/>
      <c r="Z131"/>
      <c r="AA131"/>
      <c r="AJ131"/>
      <c r="AK131"/>
    </row>
    <row r="132" spans="1:37" s="7" customFormat="1" ht="87" customHeight="1" thickTop="1" thickBot="1" x14ac:dyDescent="0.35">
      <c r="A132" s="422" t="s">
        <v>1329</v>
      </c>
      <c r="B132" s="475" t="str" cm="1">
        <f t="array" ref="B132">EmsalMetni_kisa("TEST","S")</f>
        <v>(İrtibat Kişisi ve Telefon No:  – )_x000D_
_x000D_
Taşınmazla aynı bölgede, yeni bir binada konumlu,  katta yer alan,  m2 olarak beyan edilen,  m2 olduğu düşünülen,  planında  durumu belirtilmemiştir. Pazarlık yoktur. Kira değerinin 0 TL/ay olacağı düşünülmektedir.</v>
      </c>
      <c r="C132" s="944" t="str">
        <f>+IF(TEST!S89="","",(Sayfa1!A132&amp;" "&amp;Sayfa1!B132))</f>
        <v/>
      </c>
      <c r="D132" s="944"/>
      <c r="E132" s="944"/>
      <c r="F132" s="944"/>
      <c r="G132" s="944"/>
      <c r="H132" s="365" t="s">
        <v>1329</v>
      </c>
      <c r="I132" s="475" t="str" cm="1">
        <f t="array" aca="1" ref="I132" ca="1">EmsalMetni_Uzun("TEST","S")</f>
        <v>(İrtibat Kişisi ve Telefon No:  / )_x000D_
_x000D_
Ekspertize konu taşınmazla aynı bölgede, yeni bir binada konumlu,  katta yer alan,  m2 olarak beyan edilen,  m2 olduğu düşünülen,  planında  durumu belirtilmemiştir. Emsal, benzer konumda ve konu taşınmaza göre benzer iç özelliklere sahiptir. Pazarlık payı yoktur. Kira değerinin 0 TL/ay olacağı düşünülmektedir.</v>
      </c>
      <c r="J132" s="944" t="str">
        <f>+IF(TEST!S89="","",(Sayfa1!H132&amp;" "&amp;Sayfa1!I132))</f>
        <v/>
      </c>
      <c r="K132" s="944"/>
      <c r="L132" s="944"/>
      <c r="M132" s="944"/>
      <c r="N132" s="944"/>
      <c r="X132"/>
      <c r="Z132"/>
      <c r="AA132"/>
      <c r="AI132"/>
      <c r="AJ132"/>
      <c r="AK132"/>
    </row>
    <row r="133" spans="1:37" s="7" customFormat="1" ht="24.9" customHeight="1" thickTop="1" x14ac:dyDescent="0.3">
      <c r="A133"/>
      <c r="B133"/>
      <c r="C133"/>
      <c r="D133"/>
      <c r="E133"/>
      <c r="F133"/>
      <c r="G133"/>
      <c r="H133"/>
      <c r="I133"/>
      <c r="J133"/>
      <c r="K133"/>
      <c r="L133"/>
      <c r="M133"/>
      <c r="N133"/>
      <c r="O133"/>
      <c r="P133"/>
      <c r="Q133"/>
      <c r="R133"/>
      <c r="X133"/>
      <c r="Z133"/>
      <c r="AA133"/>
      <c r="AI133"/>
      <c r="AJ133"/>
      <c r="AK133"/>
    </row>
    <row r="134" spans="1:37" s="7" customFormat="1" ht="59.4" customHeight="1" x14ac:dyDescent="0.3">
      <c r="A134"/>
      <c r="B134"/>
      <c r="C134"/>
      <c r="D134"/>
      <c r="E134"/>
      <c r="F134"/>
      <c r="G134"/>
      <c r="H134"/>
      <c r="I134"/>
      <c r="J134"/>
      <c r="K134"/>
      <c r="L134"/>
      <c r="M134"/>
      <c r="N134"/>
      <c r="O134"/>
      <c r="P134"/>
      <c r="Q134"/>
      <c r="R134"/>
      <c r="X134"/>
      <c r="Z134"/>
      <c r="AA134"/>
      <c r="AI134"/>
      <c r="AJ134"/>
      <c r="AK134"/>
    </row>
    <row r="135" spans="1:37" s="7" customFormat="1" ht="59.4" customHeight="1" x14ac:dyDescent="0.3">
      <c r="A135"/>
      <c r="B135"/>
      <c r="C135"/>
      <c r="D135"/>
      <c r="E135"/>
      <c r="F135"/>
      <c r="G135"/>
      <c r="H135"/>
      <c r="I135"/>
      <c r="J135"/>
      <c r="K135"/>
      <c r="L135"/>
      <c r="M135"/>
      <c r="N135"/>
      <c r="O135"/>
      <c r="R135"/>
      <c r="X135"/>
      <c r="Z135"/>
      <c r="AA135"/>
      <c r="AI135"/>
      <c r="AJ135"/>
      <c r="AK135"/>
    </row>
    <row r="136" spans="1:37" s="7" customFormat="1" ht="24.9" customHeight="1" x14ac:dyDescent="0.3">
      <c r="A136"/>
      <c r="B136"/>
      <c r="C136"/>
      <c r="D136"/>
      <c r="E136"/>
      <c r="F136"/>
      <c r="G136"/>
      <c r="H136"/>
      <c r="I136"/>
      <c r="J136"/>
      <c r="K136"/>
      <c r="L136"/>
      <c r="M136"/>
      <c r="N136"/>
      <c r="O136"/>
      <c r="R136"/>
      <c r="X136"/>
      <c r="Z136"/>
      <c r="AA136"/>
      <c r="AI136"/>
      <c r="AJ136"/>
      <c r="AK136"/>
    </row>
    <row r="137" spans="1:37" s="7" customFormat="1" ht="24.9" customHeight="1" thickBot="1" x14ac:dyDescent="0.35">
      <c r="A137"/>
      <c r="B137"/>
      <c r="C137"/>
      <c r="D137"/>
      <c r="E137"/>
      <c r="F137"/>
      <c r="G137"/>
      <c r="H137"/>
      <c r="I137"/>
      <c r="J137"/>
      <c r="K137"/>
      <c r="L137"/>
      <c r="M137"/>
      <c r="N137"/>
      <c r="O137"/>
      <c r="R137"/>
      <c r="S137"/>
      <c r="T137"/>
      <c r="U137"/>
      <c r="V137"/>
      <c r="W137"/>
      <c r="X137"/>
      <c r="Y137"/>
      <c r="Z137"/>
      <c r="AA137"/>
      <c r="AI137"/>
      <c r="AJ137"/>
      <c r="AK137"/>
    </row>
    <row r="138" spans="1:37" s="7" customFormat="1" ht="39.6" customHeight="1" thickTop="1" thickBot="1" x14ac:dyDescent="0.35">
      <c r="A138" s="926" t="s">
        <v>461</v>
      </c>
      <c r="B138" s="926"/>
      <c r="C138" s="926"/>
      <c r="D138" s="926"/>
      <c r="E138" s="926"/>
      <c r="F138" s="926"/>
      <c r="G138" s="926"/>
      <c r="H138" s="926"/>
      <c r="I138" s="926" t="s">
        <v>462</v>
      </c>
      <c r="J138" s="926"/>
      <c r="K138" s="926"/>
      <c r="L138" s="926"/>
      <c r="M138" s="926"/>
      <c r="N138" s="926"/>
      <c r="O138" s="926"/>
      <c r="P138"/>
      <c r="Q138"/>
      <c r="R138"/>
      <c r="S138"/>
      <c r="T138"/>
      <c r="U138"/>
      <c r="V138"/>
      <c r="W138"/>
      <c r="X138"/>
      <c r="Y138"/>
      <c r="Z138"/>
      <c r="AA138"/>
      <c r="AI138"/>
      <c r="AJ138"/>
      <c r="AK138"/>
    </row>
    <row r="139" spans="1:37" s="7" customFormat="1" ht="39" customHeight="1" thickTop="1" thickBot="1" x14ac:dyDescent="0.35">
      <c r="A139" s="1028" t="s">
        <v>3018</v>
      </c>
      <c r="B139" s="1029"/>
      <c r="C139" s="1028" t="s">
        <v>3019</v>
      </c>
      <c r="D139" s="1028"/>
      <c r="E139" s="961" t="s">
        <v>3021</v>
      </c>
      <c r="F139" s="961"/>
      <c r="G139" s="961" t="s">
        <v>3022</v>
      </c>
      <c r="H139" s="961"/>
      <c r="I139" s="961" t="s">
        <v>3031</v>
      </c>
      <c r="J139" s="961"/>
      <c r="K139" s="926" t="s">
        <v>3033</v>
      </c>
      <c r="L139" s="926"/>
      <c r="M139" s="931" t="s">
        <v>3036</v>
      </c>
      <c r="N139" s="933"/>
      <c r="O139" s="481" t="s">
        <v>3032</v>
      </c>
      <c r="P139"/>
      <c r="Q139"/>
      <c r="R139"/>
      <c r="S139"/>
      <c r="T139"/>
      <c r="U139"/>
      <c r="V139"/>
      <c r="W139"/>
      <c r="X139"/>
      <c r="Y139"/>
      <c r="Z139"/>
      <c r="AA139"/>
      <c r="AI139"/>
      <c r="AJ139"/>
      <c r="AK139"/>
    </row>
    <row r="140" spans="1:37" s="7" customFormat="1" ht="39" customHeight="1" thickTop="1" thickBot="1" x14ac:dyDescent="0.35">
      <c r="A140" s="1030" t="str">
        <f>+IF(İLKRUHSAT&gt;SONDEPYÖN,"Taşınmazın yer aldığı yapının 01.01.2019 tarihli son Deprem Yönetmeliğinden sonra inşa edilmiş olması,","")</f>
        <v/>
      </c>
      <c r="B140" s="1031"/>
      <c r="C140" s="990" t="str">
        <f>+IF(YAPIYAŞI&lt;10,"Yeni bir yapıda yer alıyor olması, ","")</f>
        <v/>
      </c>
      <c r="D140" s="990"/>
      <c r="E140" s="1007" t="str">
        <f>+IF(AND(OR(ELEVATOR="var",ELEVATOR="Montajı henüz yapılmamıştır.",ELEVATOR="1 adet asansör",ELEVATOR="2 adet asansör",ELEVATOR="3 adet asansör ",ELEVATOR="4 adet asansör"),VERİDOĞRULAMA!BO2&gt;=1,YOLKOTUÜSTÜKATADEDİ&gt;=2),"Asansörlü bir binada "&amp;katfaktör2&amp;" katta yer alıyor olması,",IF(AND(VERİDOĞRULAMA!BO2&lt;NORMALKATSAYISI,VERİDOĞRULAMA!BO2&gt;1),katfaktör2&amp;" katta yer alıyor olması,",""))</f>
        <v/>
      </c>
      <c r="F140" s="1007"/>
      <c r="G140" s="942" t="str">
        <f>+IF(TEST!K8="Arsa","","Kat mülkiyetli olması,")</f>
        <v>Kat mülkiyetli olması,</v>
      </c>
      <c r="H140" s="942"/>
      <c r="I140" s="942" t="str">
        <f>+IF(RANDEVUTÜRÜ="dışarıdan görülmüştür.","Taşınmazın iç hacimlerinin görülememiş olması ve mimari uygunluğun tespit edilememiş olması,","")</f>
        <v/>
      </c>
      <c r="J140" s="942"/>
      <c r="K140" s="942" t="str">
        <f>+IF(TEST!N72=1,"","Taşınmazın bazı inşaat işlerinin henüz tamamlanmamış olması,")</f>
        <v/>
      </c>
      <c r="L140" s="942"/>
      <c r="M140" s="942" t="str">
        <f>+IF(ALTYAPI="vasat","Taşınmazın bulunduğu bölgede altyapıdan kaynaklanan olumsuzlukların bulunması,","")</f>
        <v/>
      </c>
      <c r="N140" s="942"/>
      <c r="O140" s="419" t="str">
        <f>+IF(DEPREMDERECE="1. Derece",DEPREMDERECE&amp;" deprem bölgesinde yer alıyor olması,")</f>
        <v>1. Derece deprem bölgesinde yer alıyor olması,</v>
      </c>
      <c r="P140"/>
      <c r="Q140"/>
      <c r="R140"/>
      <c r="S140"/>
      <c r="T140"/>
      <c r="U140"/>
      <c r="V140"/>
      <c r="W140"/>
      <c r="X140"/>
      <c r="Y140"/>
      <c r="Z140"/>
      <c r="AA140"/>
      <c r="AI140"/>
      <c r="AJ140"/>
      <c r="AK140"/>
    </row>
    <row r="141" spans="1:37" s="7" customFormat="1" ht="39" customHeight="1" thickTop="1" thickBot="1" x14ac:dyDescent="0.35">
      <c r="A141" s="929" t="s">
        <v>3023</v>
      </c>
      <c r="B141" s="929"/>
      <c r="C141" s="929" t="s">
        <v>3024</v>
      </c>
      <c r="D141" s="929"/>
      <c r="E141" s="929" t="s">
        <v>3025</v>
      </c>
      <c r="F141" s="929"/>
      <c r="G141" s="929" t="s">
        <v>3026</v>
      </c>
      <c r="H141" s="929"/>
      <c r="I141" s="961" t="s">
        <v>3034</v>
      </c>
      <c r="J141" s="1010"/>
      <c r="K141" s="926" t="s">
        <v>3035</v>
      </c>
      <c r="L141" s="926"/>
      <c r="M141" s="926" t="s">
        <v>3040</v>
      </c>
      <c r="N141" s="926"/>
      <c r="O141" s="365" t="s">
        <v>3037</v>
      </c>
      <c r="P141"/>
      <c r="Q141"/>
      <c r="R141"/>
      <c r="S141"/>
      <c r="T141"/>
      <c r="U141"/>
      <c r="V141"/>
      <c r="W141"/>
      <c r="X141"/>
      <c r="Y141"/>
      <c r="Z141"/>
      <c r="AA141"/>
      <c r="AI141"/>
      <c r="AJ141"/>
      <c r="AK141"/>
    </row>
    <row r="142" spans="1:37" s="7" customFormat="1" ht="39" customHeight="1" thickTop="1" thickBot="1" x14ac:dyDescent="0.35">
      <c r="A142" s="1011" t="str">
        <f>+IF(MANZARA="manzara yok","",manzarafaktör)</f>
        <v/>
      </c>
      <c r="B142" s="1011"/>
      <c r="C142" s="990" t="str">
        <f>+IF(OR(TEST!T82="lüks",TEST!T82="kaliteli"),"Kullanılan malzeme ve işçilik kalitesinin "&amp;TEST!T82&amp;" seviyede olması,","")</f>
        <v/>
      </c>
      <c r="D142" s="990"/>
      <c r="E142" s="942" t="str">
        <f>+IF(AND(BLOKADI&lt;&gt;"",MEVCUT_YAPI_NİZAMI&lt;&gt;"bitişik",sosyaltesisler&lt;&gt;""),"Taşınmazın bulunduğu sitenin "&amp;Cevir(sosyaltesisler)&amp;" gibi olanaklara sahip olması,",IF(AND(BLOKADI&lt;&gt;"",MEVCUT_YAPI_NİZAMI&lt;&gt;"bitişik",sosyaltesisler=""),"Site içinde yer alıyor olması, ",""))</f>
        <v/>
      </c>
      <c r="F142" s="942"/>
      <c r="G142" s="942" t="str">
        <f>+IF(TEST!O40="","","Taşınmazın bulunduğu yapının yapı kullanım izin belgesinin bulunuyor olması, ")</f>
        <v/>
      </c>
      <c r="H142" s="942"/>
      <c r="I142" s="942" t="str">
        <f>+IF(TEST!K44="uygundur.","","Ruhsata aykırı imalatların mevcudiyeti,")</f>
        <v/>
      </c>
      <c r="J142" s="942"/>
      <c r="K142" s="942" t="str">
        <f>+IF(TEST!K17="EVET","Taşınmazın hisseli olması,","")</f>
        <v/>
      </c>
      <c r="L142" s="942"/>
      <c r="M142" s="1005" t="str">
        <f>+IF(CARPARK="yok","Taşınmazın otopark imkanının bulunmaması,","")</f>
        <v/>
      </c>
      <c r="N142" s="1005"/>
      <c r="O142" s="419" t="str">
        <f>+IF(OR(TEST!T82="vasat (kısmi tadilat ihtiyacı)",TEST!T82="kötü (kapsamlı tadilat ihtiyacı)"),"Taşınmazda kullanılan malzeme ve işçilik kalitesinin "&amp;TEST!T82&amp;" seviyede olması,","")</f>
        <v/>
      </c>
      <c r="P142"/>
      <c r="Q142"/>
      <c r="R142"/>
      <c r="S142"/>
      <c r="T142"/>
      <c r="U142"/>
      <c r="V142"/>
      <c r="W142"/>
      <c r="X142"/>
      <c r="Y142"/>
      <c r="Z142"/>
      <c r="AA142"/>
      <c r="AI142"/>
      <c r="AJ142"/>
      <c r="AK142"/>
    </row>
    <row r="143" spans="1:37" s="7" customFormat="1" ht="39" customHeight="1" thickTop="1" thickBot="1" x14ac:dyDescent="0.35">
      <c r="A143" s="929" t="s">
        <v>3027</v>
      </c>
      <c r="B143" s="929"/>
      <c r="C143" s="929" t="s">
        <v>3028</v>
      </c>
      <c r="D143" s="929"/>
      <c r="E143" s="926" t="s">
        <v>3029</v>
      </c>
      <c r="F143" s="926"/>
      <c r="G143" s="926" t="s">
        <v>3030</v>
      </c>
      <c r="H143" s="926"/>
      <c r="I143" s="931" t="s">
        <v>3039</v>
      </c>
      <c r="J143" s="933"/>
      <c r="K143" s="929" t="s">
        <v>3041</v>
      </c>
      <c r="L143" s="929"/>
      <c r="M143" s="926" t="s">
        <v>603</v>
      </c>
      <c r="N143" s="926"/>
      <c r="O143" s="422" t="s">
        <v>3038</v>
      </c>
      <c r="P143"/>
      <c r="Q143"/>
      <c r="R143"/>
      <c r="S143"/>
      <c r="T143"/>
      <c r="U143"/>
      <c r="V143"/>
      <c r="W143"/>
      <c r="X143"/>
      <c r="Y143"/>
      <c r="Z143"/>
      <c r="AA143"/>
      <c r="AI143"/>
      <c r="AJ143"/>
      <c r="AK143"/>
    </row>
    <row r="144" spans="1:37" s="7" customFormat="1" ht="42" customHeight="1" thickTop="1" thickBot="1" x14ac:dyDescent="0.35">
      <c r="A144" s="999" t="str">
        <f>+IF(SOSYALİHTİYAÇ="kısa","Merkezi konum ve ulaşım kolaylığı,")</f>
        <v>Merkezi konum ve ulaşım kolaylığı,</v>
      </c>
      <c r="B144" s="1000"/>
      <c r="C144" s="1001" t="str">
        <f>+IF(BÖLGE.GELİR.SEVİYESİ="Üst","Üst seviye gelir grubuna hitap eden bir bölgede yer alıyor olması,","")</f>
        <v/>
      </c>
      <c r="D144" s="1002"/>
      <c r="E144" s="945" t="str">
        <f>+IF(CARPARK="yok","",CARPARK&amp;" imkanının bulunması,")</f>
        <v>Açık otopark imkanının bulunması,</v>
      </c>
      <c r="F144" s="946"/>
      <c r="G144" s="1001" t="str">
        <f>+IF(TEST!T44="Hayır","Olumsuz herhangi bir evrağın bulunmaması,","")</f>
        <v>Olumsuz herhangi bir evrağın bulunmaması,</v>
      </c>
      <c r="H144" s="1002"/>
      <c r="I144" s="987" t="str">
        <f>+IF(YAPIYAŞI&gt;15,"Taşınmazın eski bir yapıda yer alıyor olması,","")</f>
        <v>Taşınmazın eski bir yapıda yer alıyor olması,</v>
      </c>
      <c r="J144" s="989"/>
      <c r="K144" s="987" t="str">
        <f>+IF(TEST!Q13="Alt","Alt gelir grubuna hitap eden bir bölgede yer alıyor olması,","")</f>
        <v/>
      </c>
      <c r="L144" s="989"/>
      <c r="M144" s="987" t="str">
        <f>+IF(AND(AND(OR(ELEVATOR="1 Adet Asansör",ELEVATOR="2 Adet Asansör",ELEVATOR="3 Adet Asansör",ELEVATOR="4 Adet Asansör",ELEVATOR="Montajı henüz yapılmamıştır.")),VERİDOĞRULAMA!BO2&lt;1,YOLKOTUÜSTÜKATADEDİ&gt;=2),"Asansörlü bir binada "&amp;katfaktör2&amp;" katta yer alıyor olması,",IF(AND(ELEVATOR="yok",VERİDOĞRULAMA!BO2=B60,NORMALKATLAR&gt;=3),"Asansörsüz bir binada en üst katta yer alıyor olması,",""))</f>
        <v/>
      </c>
      <c r="N144" s="989"/>
      <c r="O144" s="366" t="str">
        <f>+IF(TEST!K8="Arsa","Kat mülkiyetine geçilmemiş olması,","")</f>
        <v/>
      </c>
      <c r="P144"/>
      <c r="Q144"/>
      <c r="R144"/>
      <c r="S144"/>
      <c r="T144"/>
      <c r="U144"/>
      <c r="V144"/>
      <c r="W144"/>
      <c r="X144"/>
      <c r="Y144"/>
      <c r="Z144"/>
      <c r="AA144"/>
      <c r="AI144"/>
      <c r="AJ144"/>
      <c r="AK144"/>
    </row>
    <row r="145" spans="1:37" s="7" customFormat="1" ht="42" customHeight="1" thickTop="1" thickBot="1" x14ac:dyDescent="0.35">
      <c r="A145" s="929" t="s">
        <v>3259</v>
      </c>
      <c r="B145" s="929"/>
      <c r="C145" s="1008"/>
      <c r="D145" s="1009"/>
      <c r="G145" s="18"/>
      <c r="H145" s="18"/>
      <c r="I145" s="929" t="s">
        <v>3259</v>
      </c>
      <c r="J145" s="929"/>
      <c r="K145" s="929" t="s">
        <v>3334</v>
      </c>
      <c r="L145" s="929"/>
      <c r="M145" s="25"/>
      <c r="N145" s="25"/>
      <c r="P145"/>
      <c r="Q145"/>
      <c r="R145"/>
      <c r="S145"/>
      <c r="T145"/>
      <c r="U145"/>
      <c r="V145"/>
      <c r="W145"/>
      <c r="X145"/>
      <c r="Y145"/>
      <c r="Z145"/>
      <c r="AA145"/>
      <c r="AI145"/>
      <c r="AJ145"/>
      <c r="AK145"/>
    </row>
    <row r="146" spans="1:37" s="7" customFormat="1" ht="42" customHeight="1" thickTop="1" thickBot="1" x14ac:dyDescent="0.35">
      <c r="A146" s="999" t="str">
        <f>IF(EKBSINIF="A",EKBFAKTÖR,IF(EKBSINIF="B",EKBFAKTÖR,IF(EKBSINIF="C",EKBFAKTÖR,"")))</f>
        <v/>
      </c>
      <c r="B146" s="1000"/>
      <c r="F146" s="18"/>
      <c r="G146" s="18"/>
      <c r="H146" s="18"/>
      <c r="I146" s="999" t="str">
        <f>IF(EKBSINIF="HAYIR",EKBOLUMSUZ,IF(EKBSINIF="D",EKBFAKTÖR,IF(EKBSINIF="E",EKBFAKTÖR,IF(EKBSINIF="F",EKBFAKTÖR,""))))</f>
        <v>Taşınmazın yer aldığı binanın Enerji Kimlik Belgesinin bulunmaması,</v>
      </c>
      <c r="J146" s="1000"/>
      <c r="K146" s="999" t="str">
        <f>IF(AND(CEPHESAYISI&lt;2,CEPHESAYISI&gt;0),"Taşınmazın tek yöne cepheli olması,","")</f>
        <v>Taşınmazın tek yöne cepheli olması,</v>
      </c>
      <c r="L146" s="1000"/>
      <c r="M146" s="25"/>
      <c r="N146" s="25"/>
      <c r="P146"/>
      <c r="Q146"/>
      <c r="R146"/>
      <c r="S146"/>
      <c r="T146"/>
      <c r="U146"/>
      <c r="V146"/>
      <c r="W146"/>
      <c r="X146"/>
      <c r="Y146"/>
      <c r="Z146"/>
      <c r="AA146"/>
      <c r="AI146"/>
      <c r="AJ146"/>
      <c r="AK146"/>
    </row>
    <row r="147" spans="1:37" s="7" customFormat="1" ht="42" customHeight="1" thickTop="1" x14ac:dyDescent="0.3">
      <c r="A147" s="530"/>
      <c r="B147" s="530"/>
      <c r="C147" s="18"/>
      <c r="D147" s="18"/>
      <c r="G147" s="18"/>
      <c r="H147" s="18"/>
      <c r="I147" s="25"/>
      <c r="J147" s="25"/>
      <c r="K147" s="25"/>
      <c r="L147" s="25"/>
      <c r="M147" s="25"/>
      <c r="N147" s="25"/>
      <c r="P147"/>
      <c r="Q147"/>
      <c r="R147"/>
      <c r="S147"/>
      <c r="T147"/>
      <c r="U147"/>
      <c r="V147"/>
      <c r="W147"/>
      <c r="X147"/>
      <c r="Y147"/>
      <c r="Z147"/>
      <c r="AA147"/>
      <c r="AI147"/>
      <c r="AJ147"/>
      <c r="AK147"/>
    </row>
    <row r="148" spans="1:37" s="7" customFormat="1" ht="42" customHeight="1" x14ac:dyDescent="0.3">
      <c r="A148" s="530"/>
      <c r="B148" s="530"/>
      <c r="C148" s="18"/>
      <c r="D148" s="18"/>
      <c r="G148" s="18"/>
      <c r="H148" s="18"/>
      <c r="I148" s="25"/>
      <c r="J148" s="25"/>
      <c r="K148" s="25"/>
      <c r="L148" s="25"/>
      <c r="M148" s="25"/>
      <c r="N148" s="25"/>
      <c r="P148"/>
      <c r="Q148"/>
      <c r="R148"/>
      <c r="S148"/>
      <c r="T148"/>
      <c r="U148"/>
      <c r="V148"/>
      <c r="W148"/>
      <c r="X148"/>
      <c r="Y148"/>
      <c r="Z148"/>
      <c r="AA148"/>
      <c r="AI148"/>
      <c r="AJ148"/>
      <c r="AK148"/>
    </row>
    <row r="149" spans="1:37" s="7" customFormat="1" ht="24.9" customHeight="1" thickBot="1" x14ac:dyDescent="0.35">
      <c r="P149"/>
      <c r="Q149"/>
      <c r="R149"/>
      <c r="S149"/>
      <c r="T149"/>
      <c r="U149"/>
      <c r="V149"/>
      <c r="W149"/>
      <c r="X149"/>
      <c r="Y149"/>
      <c r="Z149"/>
      <c r="AA149"/>
      <c r="AI149"/>
      <c r="AJ149"/>
      <c r="AK149"/>
    </row>
    <row r="150" spans="1:37" s="7" customFormat="1" ht="43.95" customHeight="1" thickTop="1" thickBot="1" x14ac:dyDescent="0.35">
      <c r="A150" s="947" t="str">
        <f>+IF(A140&lt;&gt;"",A140&amp;CHAR(10),"")</f>
        <v/>
      </c>
      <c r="B150" s="947"/>
      <c r="C150" s="947" t="str">
        <f>+IF(C140&lt;&gt;"",C140&amp;CHAR(10),"")</f>
        <v/>
      </c>
      <c r="D150" s="947"/>
      <c r="E150" s="947" t="str">
        <f>+IF(E140&lt;&gt;"",E140&amp;CHAR(10),"")</f>
        <v/>
      </c>
      <c r="F150" s="947"/>
      <c r="G150" s="947" t="str">
        <f>+IF(G140&lt;&gt;"",G140&amp;CHAR(10),"")</f>
        <v xml:space="preserve">Kat mülkiyetli olması,
</v>
      </c>
      <c r="H150" s="947"/>
      <c r="I150" s="947" t="str">
        <f>+IF(I140&lt;&gt;"",I140&amp;CHAR(10),"")</f>
        <v/>
      </c>
      <c r="J150" s="947"/>
      <c r="K150" s="947" t="str">
        <f>+IF(K140&lt;&gt;"",K140&amp;CHAR(10),"")</f>
        <v/>
      </c>
      <c r="L150" s="947"/>
      <c r="M150" s="947" t="str">
        <f>+IF(M140&lt;&gt;"",M140&amp;CHAR(10),"")</f>
        <v/>
      </c>
      <c r="N150" s="947"/>
      <c r="O150" s="480" t="str">
        <f>+IF(O140&lt;&gt;"",O140&amp;CHAR(10),"")</f>
        <v xml:space="preserve">1. Derece deprem bölgesinde yer alıyor olması,
</v>
      </c>
      <c r="P150"/>
      <c r="Q150"/>
      <c r="R150"/>
      <c r="S150"/>
      <c r="T150"/>
      <c r="U150"/>
      <c r="V150"/>
      <c r="W150"/>
      <c r="X150"/>
      <c r="Y150"/>
      <c r="Z150"/>
      <c r="AA150"/>
      <c r="AI150"/>
      <c r="AJ150"/>
      <c r="AK150"/>
    </row>
    <row r="151" spans="1:37" s="7" customFormat="1" ht="43.95" customHeight="1" thickTop="1" thickBot="1" x14ac:dyDescent="0.35">
      <c r="A151" s="947" t="str">
        <f>+IF(A142&lt;&gt;"",A142&amp;CHAR(10),"")</f>
        <v/>
      </c>
      <c r="B151" s="947"/>
      <c r="C151" s="947" t="str">
        <f>+IF(C142&lt;&gt;"",C142&amp;CHAR(10),"")</f>
        <v/>
      </c>
      <c r="D151" s="947"/>
      <c r="E151" s="947" t="str">
        <f>+IF(E142&lt;&gt;"",E142&amp;CHAR(10),"")</f>
        <v/>
      </c>
      <c r="F151" s="947"/>
      <c r="G151" s="947" t="str">
        <f>+IF(G142&lt;&gt;"",G142&amp;CHAR(10),"")</f>
        <v/>
      </c>
      <c r="H151" s="947"/>
      <c r="I151" s="947" t="str">
        <f>+IF(I142&lt;&gt;"",I142&amp;CHAR(10),"")</f>
        <v/>
      </c>
      <c r="J151" s="947"/>
      <c r="K151" s="947" t="str">
        <f>+IF(K142&lt;&gt;"",K142&amp;CHAR(10),"")</f>
        <v/>
      </c>
      <c r="L151" s="947"/>
      <c r="M151" s="947" t="str">
        <f>+IF(M142&lt;&gt;"",M142&amp;CHAR(10),"")</f>
        <v/>
      </c>
      <c r="N151" s="947"/>
      <c r="O151" s="480" t="str">
        <f>+IF(O142&lt;&gt;"",O142&amp;CHAR(10),"")</f>
        <v/>
      </c>
      <c r="P151"/>
      <c r="Q151"/>
      <c r="R151"/>
      <c r="S151"/>
      <c r="T151"/>
      <c r="U151"/>
      <c r="V151"/>
      <c r="W151"/>
      <c r="X151"/>
      <c r="Y151"/>
      <c r="Z151"/>
      <c r="AA151"/>
      <c r="AI151"/>
      <c r="AJ151"/>
      <c r="AK151"/>
    </row>
    <row r="152" spans="1:37" s="7" customFormat="1" ht="43.95" customHeight="1" thickTop="1" thickBot="1" x14ac:dyDescent="0.35">
      <c r="A152" s="947" t="str">
        <f>+IF(A144&lt;&gt;"",A144&amp;CHAR(10),"")</f>
        <v xml:space="preserve">Merkezi konum ve ulaşım kolaylığı,
</v>
      </c>
      <c r="B152" s="947"/>
      <c r="C152" s="947" t="str">
        <f>+IF(C144&lt;&gt;"",C144&amp;CHAR(10),"")</f>
        <v/>
      </c>
      <c r="D152" s="947"/>
      <c r="E152" s="947" t="str">
        <f>+IF(E144&lt;&gt;"",E144&amp;CHAR(10),"")</f>
        <v xml:space="preserve">Açık otopark imkanının bulunması,
</v>
      </c>
      <c r="F152" s="947"/>
      <c r="G152" s="947" t="str">
        <f>+IF(G144&lt;&gt;"",G144&amp;CHAR(10),"")</f>
        <v xml:space="preserve">Olumsuz herhangi bir evrağın bulunmaması,
</v>
      </c>
      <c r="H152" s="947"/>
      <c r="I152" s="947" t="str">
        <f>+IF(I144&lt;&gt;"",I144&amp;CHAR(10),"")</f>
        <v xml:space="preserve">Taşınmazın eski bir yapıda yer alıyor olması,
</v>
      </c>
      <c r="J152" s="947"/>
      <c r="K152" s="947" t="str">
        <f>+IF(K144&lt;&gt;"",K144&amp;CHAR(10),"")</f>
        <v/>
      </c>
      <c r="L152" s="947"/>
      <c r="M152" s="947" t="str">
        <f>+IF(M144&lt;&gt;"",M144&amp;CHAR(10),"")</f>
        <v/>
      </c>
      <c r="N152" s="947"/>
      <c r="O152" s="480" t="str">
        <f>+IF(O144&lt;&gt;"",O144&amp;CHAR(10),"")</f>
        <v/>
      </c>
      <c r="P152"/>
      <c r="Q152"/>
      <c r="R152"/>
      <c r="S152"/>
      <c r="T152"/>
      <c r="U152"/>
      <c r="V152"/>
      <c r="W152"/>
      <c r="X152"/>
      <c r="Y152"/>
      <c r="Z152"/>
      <c r="AA152"/>
      <c r="AI152"/>
      <c r="AJ152"/>
      <c r="AK152"/>
    </row>
    <row r="153" spans="1:37" s="7" customFormat="1" ht="50.4" customHeight="1" thickTop="1" thickBot="1" x14ac:dyDescent="0.35">
      <c r="A153" s="947" t="str">
        <f>+IF(A146&lt;&gt;"",A146&amp;CHAR(10),"")</f>
        <v/>
      </c>
      <c r="B153" s="947"/>
      <c r="I153" s="947" t="str">
        <f>+IF(I146&lt;&gt;"",I146&amp;CHAR(10),"")</f>
        <v xml:space="preserve">Taşınmazın yer aldığı binanın Enerji Kimlik Belgesinin bulunmaması,
</v>
      </c>
      <c r="J153" s="947"/>
      <c r="K153" s="947" t="str">
        <f>+IF(K146&lt;&gt;"",K146&amp;CHAR(10),"")</f>
        <v xml:space="preserve">Taşınmazın tek yöne cepheli olması,
</v>
      </c>
      <c r="L153" s="947"/>
      <c r="P153"/>
      <c r="Q153"/>
      <c r="R153"/>
      <c r="S153"/>
      <c r="T153"/>
      <c r="U153"/>
      <c r="V153"/>
      <c r="W153"/>
      <c r="X153"/>
      <c r="Y153"/>
      <c r="Z153"/>
      <c r="AA153"/>
      <c r="AI153"/>
      <c r="AJ153"/>
      <c r="AK153"/>
    </row>
    <row r="154" spans="1:37" s="7" customFormat="1" ht="24.9" customHeight="1" thickTop="1" x14ac:dyDescent="0.3">
      <c r="K154"/>
      <c r="L154"/>
      <c r="P154"/>
      <c r="Q154"/>
      <c r="R154"/>
      <c r="S154"/>
      <c r="T154"/>
      <c r="U154"/>
      <c r="V154"/>
      <c r="W154"/>
      <c r="X154"/>
      <c r="Y154"/>
      <c r="Z154"/>
      <c r="AA154"/>
      <c r="AI154"/>
      <c r="AJ154"/>
      <c r="AK154"/>
    </row>
    <row r="155" spans="1:37" s="7" customFormat="1" ht="24.9" customHeight="1" x14ac:dyDescent="0.3">
      <c r="K155"/>
      <c r="L155"/>
      <c r="P155"/>
      <c r="Q155"/>
      <c r="R155"/>
      <c r="S155"/>
      <c r="T155"/>
      <c r="U155"/>
      <c r="V155"/>
      <c r="W155"/>
      <c r="X155"/>
      <c r="Y155"/>
      <c r="Z155"/>
      <c r="AA155"/>
      <c r="AI155"/>
      <c r="AJ155"/>
      <c r="AK155"/>
    </row>
    <row r="156" spans="1:37" s="7" customFormat="1" ht="24.9" customHeight="1" thickBot="1" x14ac:dyDescent="0.35">
      <c r="K156"/>
      <c r="L156"/>
      <c r="P156"/>
      <c r="Q156"/>
      <c r="R156"/>
      <c r="S156"/>
      <c r="T156"/>
      <c r="U156"/>
      <c r="V156"/>
      <c r="W156"/>
      <c r="X156"/>
      <c r="Y156"/>
      <c r="Z156"/>
      <c r="AA156"/>
      <c r="AI156"/>
      <c r="AJ156"/>
      <c r="AK156"/>
    </row>
    <row r="157" spans="1:37" s="7" customFormat="1" ht="24.9" customHeight="1" thickTop="1" thickBot="1" x14ac:dyDescent="0.35">
      <c r="A157" s="948" t="str">
        <f>+CONCATENATE(A152,A150,C150,E150,G150,A151,C151,E151,G151,C152,E152,G152,A153)</f>
        <v xml:space="preserve">Merkezi konum ve ulaşım kolaylığı,
Kat mülkiyetli olması,
Açık otopark imkanının bulunması,
Olumsuz herhangi bir evrağın bulunmaması,
</v>
      </c>
      <c r="B157" s="948"/>
      <c r="C157" s="948"/>
      <c r="D157" s="948"/>
      <c r="E157" s="948"/>
      <c r="F157" s="948"/>
      <c r="G157" s="948"/>
      <c r="H157" s="949"/>
      <c r="I157" s="963" t="str">
        <f>+CONCATENATE(I150,K150,M150,O150,I151,K151,M152,O151,I152,M151,O152,K152,I153,K153)</f>
        <v xml:space="preserve">1. Derece deprem bölgesinde yer alıyor olması,
Taşınmazın eski bir yapıda yer alıyor olması,
Taşınmazın yer aldığı binanın Enerji Kimlik Belgesinin bulunmaması,
Taşınmazın tek yöne cepheli olması,
</v>
      </c>
      <c r="J157" s="963"/>
      <c r="K157" s="963"/>
      <c r="L157" s="963"/>
      <c r="M157" s="963"/>
      <c r="N157" s="963"/>
      <c r="O157" s="963"/>
      <c r="P157"/>
      <c r="Q157"/>
      <c r="R157"/>
      <c r="S157"/>
      <c r="T157"/>
      <c r="U157"/>
      <c r="V157"/>
      <c r="W157"/>
      <c r="X157"/>
      <c r="Y157"/>
      <c r="Z157"/>
      <c r="AA157"/>
      <c r="AI157"/>
      <c r="AJ157"/>
      <c r="AK157"/>
    </row>
    <row r="158" spans="1:37" s="7" customFormat="1" ht="24.9" customHeight="1" thickTop="1" thickBot="1" x14ac:dyDescent="0.35">
      <c r="A158" s="948"/>
      <c r="B158" s="948"/>
      <c r="C158" s="948"/>
      <c r="D158" s="948"/>
      <c r="E158" s="948"/>
      <c r="F158" s="948"/>
      <c r="G158" s="948"/>
      <c r="H158" s="949"/>
      <c r="I158" s="963"/>
      <c r="J158" s="963"/>
      <c r="K158" s="963"/>
      <c r="L158" s="963"/>
      <c r="M158" s="963"/>
      <c r="N158" s="963"/>
      <c r="O158" s="963"/>
      <c r="P158"/>
      <c r="Q158"/>
      <c r="R158"/>
      <c r="S158"/>
      <c r="T158"/>
      <c r="U158"/>
      <c r="V158"/>
      <c r="W158"/>
      <c r="X158"/>
      <c r="Y158"/>
      <c r="Z158"/>
      <c r="AA158"/>
      <c r="AI158"/>
      <c r="AJ158"/>
      <c r="AK158"/>
    </row>
    <row r="159" spans="1:37" s="7" customFormat="1" ht="24.9" customHeight="1" thickTop="1" thickBot="1" x14ac:dyDescent="0.35">
      <c r="A159" s="948"/>
      <c r="B159" s="948"/>
      <c r="C159" s="948"/>
      <c r="D159" s="948"/>
      <c r="E159" s="948"/>
      <c r="F159" s="948"/>
      <c r="G159" s="948"/>
      <c r="H159" s="949"/>
      <c r="I159" s="963"/>
      <c r="J159" s="963"/>
      <c r="K159" s="963"/>
      <c r="L159" s="963"/>
      <c r="M159" s="963"/>
      <c r="N159" s="963"/>
      <c r="O159" s="963"/>
      <c r="P159"/>
      <c r="Q159"/>
      <c r="R159"/>
      <c r="S159"/>
      <c r="T159"/>
      <c r="U159"/>
      <c r="V159"/>
      <c r="W159"/>
      <c r="X159"/>
      <c r="Y159"/>
      <c r="Z159"/>
      <c r="AA159"/>
      <c r="AI159"/>
      <c r="AJ159"/>
      <c r="AK159"/>
    </row>
    <row r="160" spans="1:37" s="7" customFormat="1" ht="24.9" customHeight="1" thickTop="1" thickBot="1" x14ac:dyDescent="0.35">
      <c r="A160" s="948"/>
      <c r="B160" s="948"/>
      <c r="C160" s="948"/>
      <c r="D160" s="948"/>
      <c r="E160" s="948"/>
      <c r="F160" s="948"/>
      <c r="G160" s="948"/>
      <c r="H160" s="949"/>
      <c r="I160" s="963"/>
      <c r="J160" s="963"/>
      <c r="K160" s="963"/>
      <c r="L160" s="963"/>
      <c r="M160" s="963"/>
      <c r="N160" s="963"/>
      <c r="O160" s="963"/>
      <c r="R160"/>
      <c r="S160"/>
      <c r="T160"/>
      <c r="U160"/>
      <c r="V160"/>
      <c r="W160"/>
      <c r="X160"/>
      <c r="Y160"/>
      <c r="Z160"/>
      <c r="AA160"/>
      <c r="AI160"/>
      <c r="AJ160"/>
      <c r="AK160"/>
    </row>
    <row r="161" spans="1:37" s="7" customFormat="1" ht="24.9" customHeight="1" thickTop="1" thickBot="1" x14ac:dyDescent="0.35">
      <c r="A161" s="948"/>
      <c r="B161" s="948"/>
      <c r="C161" s="948"/>
      <c r="D161" s="948"/>
      <c r="E161" s="948"/>
      <c r="F161" s="948"/>
      <c r="G161" s="948"/>
      <c r="H161" s="949"/>
      <c r="I161" s="963"/>
      <c r="J161" s="963"/>
      <c r="K161" s="963"/>
      <c r="L161" s="963"/>
      <c r="M161" s="963"/>
      <c r="N161" s="963"/>
      <c r="O161" s="963"/>
      <c r="P161"/>
      <c r="Q161"/>
      <c r="R161"/>
      <c r="S161"/>
      <c r="T161"/>
      <c r="U161"/>
      <c r="V161"/>
      <c r="W161"/>
      <c r="X161"/>
      <c r="Y161"/>
      <c r="Z161"/>
      <c r="AA161"/>
      <c r="AI161"/>
      <c r="AJ161"/>
      <c r="AK161"/>
    </row>
    <row r="162" spans="1:37" s="7" customFormat="1" ht="24.9" customHeight="1" thickTop="1" thickBot="1" x14ac:dyDescent="0.35">
      <c r="A162" s="948"/>
      <c r="B162" s="948"/>
      <c r="C162" s="948"/>
      <c r="D162" s="948"/>
      <c r="E162" s="948"/>
      <c r="F162" s="948"/>
      <c r="G162" s="948"/>
      <c r="H162" s="949"/>
      <c r="I162" s="963"/>
      <c r="J162" s="963"/>
      <c r="K162" s="963"/>
      <c r="L162" s="963"/>
      <c r="M162" s="963"/>
      <c r="N162" s="963"/>
      <c r="O162" s="963"/>
      <c r="P162"/>
      <c r="Q162"/>
      <c r="R162"/>
      <c r="S162"/>
      <c r="T162"/>
      <c r="U162"/>
      <c r="V162"/>
      <c r="W162"/>
      <c r="X162"/>
      <c r="Y162"/>
      <c r="Z162"/>
      <c r="AA162"/>
      <c r="AI162"/>
      <c r="AJ162"/>
      <c r="AK162"/>
    </row>
    <row r="163" spans="1:37" s="7" customFormat="1" ht="24.9" customHeight="1" thickTop="1" x14ac:dyDescent="0.3">
      <c r="P163"/>
      <c r="Q163"/>
      <c r="R163"/>
      <c r="S163"/>
      <c r="T163"/>
      <c r="U163"/>
      <c r="V163"/>
      <c r="W163"/>
      <c r="X163"/>
      <c r="Y163"/>
      <c r="Z163"/>
      <c r="AA163"/>
      <c r="AI163"/>
      <c r="AJ163"/>
      <c r="AK163"/>
    </row>
    <row r="164" spans="1:37" s="7" customFormat="1" ht="24.9" customHeight="1" x14ac:dyDescent="0.3">
      <c r="K164"/>
      <c r="L164"/>
      <c r="P164"/>
      <c r="Q164"/>
      <c r="R164"/>
      <c r="S164"/>
      <c r="T164"/>
      <c r="U164"/>
      <c r="V164"/>
      <c r="W164"/>
      <c r="X164"/>
      <c r="Y164"/>
      <c r="Z164"/>
      <c r="AA164"/>
      <c r="AI164"/>
      <c r="AJ164"/>
      <c r="AK164"/>
    </row>
    <row r="165" spans="1:37" s="7" customFormat="1" ht="24.9" customHeight="1" x14ac:dyDescent="0.3">
      <c r="K165"/>
      <c r="L165"/>
      <c r="M165"/>
      <c r="N165"/>
      <c r="O165"/>
      <c r="P165"/>
      <c r="Q165"/>
      <c r="R165"/>
      <c r="S165"/>
      <c r="T165"/>
      <c r="U165"/>
      <c r="V165"/>
      <c r="W165"/>
      <c r="X165"/>
      <c r="Y165"/>
      <c r="Z165"/>
      <c r="AA165"/>
      <c r="AI165"/>
      <c r="AJ165"/>
      <c r="AK165"/>
    </row>
    <row r="166" spans="1:37" s="7" customFormat="1" ht="24.9" customHeight="1" x14ac:dyDescent="0.3">
      <c r="A166"/>
      <c r="B166"/>
      <c r="C166"/>
      <c r="D166"/>
      <c r="E166"/>
      <c r="F166"/>
      <c r="G166"/>
      <c r="H166"/>
      <c r="I166"/>
      <c r="J166"/>
      <c r="K166"/>
      <c r="L166"/>
      <c r="M166"/>
      <c r="N166"/>
      <c r="O166"/>
      <c r="P166"/>
      <c r="Q166"/>
      <c r="R166"/>
      <c r="S166"/>
      <c r="T166"/>
      <c r="U166"/>
      <c r="V166"/>
      <c r="W166"/>
      <c r="X166"/>
      <c r="Y166"/>
      <c r="Z166"/>
      <c r="AA166"/>
      <c r="AI166"/>
      <c r="AJ166"/>
      <c r="AK166"/>
    </row>
    <row r="167" spans="1:37" s="7" customFormat="1" ht="24.9" customHeight="1" x14ac:dyDescent="0.3">
      <c r="P167"/>
      <c r="Q167"/>
      <c r="R167"/>
      <c r="S167"/>
      <c r="T167"/>
      <c r="U167"/>
      <c r="V167"/>
      <c r="W167"/>
      <c r="X167"/>
      <c r="Y167"/>
      <c r="Z167"/>
      <c r="AA167"/>
      <c r="AI167"/>
      <c r="AJ167"/>
      <c r="AK167"/>
    </row>
    <row r="168" spans="1:37" s="7" customFormat="1" ht="24.9" customHeight="1" x14ac:dyDescent="0.3">
      <c r="P168"/>
      <c r="R168"/>
      <c r="S168"/>
      <c r="T168"/>
      <c r="U168"/>
      <c r="V168"/>
      <c r="W168"/>
      <c r="X168"/>
      <c r="Y168"/>
      <c r="Z168"/>
      <c r="AA168"/>
      <c r="AI168"/>
      <c r="AJ168"/>
      <c r="AK168"/>
    </row>
    <row r="169" spans="1:37" s="7" customFormat="1" ht="24.9" customHeight="1" x14ac:dyDescent="0.3">
      <c r="P169"/>
      <c r="R169"/>
      <c r="S169"/>
      <c r="T169"/>
      <c r="U169"/>
      <c r="V169"/>
      <c r="W169"/>
      <c r="X169"/>
      <c r="Y169"/>
      <c r="Z169"/>
      <c r="AA169"/>
    </row>
    <row r="170" spans="1:37" s="7" customFormat="1" ht="24.9" customHeight="1" x14ac:dyDescent="0.3">
      <c r="P170"/>
      <c r="R170"/>
      <c r="S170"/>
      <c r="T170"/>
      <c r="U170"/>
      <c r="V170"/>
      <c r="W170"/>
      <c r="X170"/>
      <c r="Y170"/>
      <c r="Z170"/>
      <c r="AA170"/>
    </row>
    <row r="171" spans="1:37" s="7" customFormat="1" ht="24.9" customHeight="1" x14ac:dyDescent="0.3">
      <c r="P171"/>
      <c r="Q171"/>
      <c r="R171"/>
    </row>
    <row r="172" spans="1:37" s="7" customFormat="1" ht="24.9" customHeight="1" x14ac:dyDescent="0.3">
      <c r="P172"/>
      <c r="Q172"/>
      <c r="R172"/>
    </row>
    <row r="173" spans="1:37" s="7" customFormat="1" ht="24.9" customHeight="1" x14ac:dyDescent="0.3">
      <c r="A173"/>
      <c r="B173"/>
      <c r="C173"/>
      <c r="D173"/>
      <c r="E173"/>
      <c r="F173"/>
      <c r="G173"/>
      <c r="H173"/>
      <c r="I173"/>
      <c r="J173"/>
      <c r="K173"/>
      <c r="L173"/>
      <c r="M173"/>
      <c r="N173"/>
      <c r="O173"/>
      <c r="P173"/>
      <c r="Q173"/>
      <c r="R173"/>
    </row>
    <row r="174" spans="1:37" s="7" customFormat="1" ht="24.9" customHeight="1" x14ac:dyDescent="0.3">
      <c r="A174"/>
      <c r="B174"/>
      <c r="C174"/>
      <c r="D174"/>
      <c r="E174"/>
      <c r="F174"/>
      <c r="G174"/>
      <c r="H174"/>
      <c r="I174"/>
      <c r="J174"/>
      <c r="K174"/>
      <c r="L174"/>
      <c r="M174"/>
      <c r="N174"/>
      <c r="O174"/>
      <c r="P174"/>
      <c r="Q174"/>
      <c r="R174"/>
    </row>
    <row r="175" spans="1:37" s="7" customFormat="1" ht="24.9" customHeight="1" x14ac:dyDescent="0.3">
      <c r="A175"/>
      <c r="B175"/>
      <c r="C175"/>
      <c r="D175"/>
      <c r="E175"/>
      <c r="F175"/>
      <c r="G175"/>
      <c r="H175"/>
      <c r="I175"/>
      <c r="J175"/>
      <c r="K175"/>
      <c r="L175"/>
      <c r="M175"/>
      <c r="N175"/>
      <c r="O175"/>
      <c r="P175"/>
      <c r="Q175"/>
      <c r="R175"/>
    </row>
    <row r="176" spans="1:37" s="7" customFormat="1" ht="24.9" customHeight="1" x14ac:dyDescent="0.3">
      <c r="A176"/>
      <c r="B176"/>
      <c r="C176"/>
      <c r="D176"/>
      <c r="E176"/>
      <c r="F176"/>
      <c r="G176"/>
      <c r="H176"/>
      <c r="I176"/>
      <c r="J176"/>
      <c r="K176"/>
      <c r="L176"/>
      <c r="M176"/>
      <c r="N176"/>
      <c r="O176"/>
      <c r="P176"/>
      <c r="Q176"/>
      <c r="R176"/>
      <c r="AB176"/>
      <c r="AC176"/>
      <c r="AD176"/>
    </row>
    <row r="177" spans="1:32" s="7" customFormat="1" ht="24.9" customHeight="1" x14ac:dyDescent="0.3">
      <c r="A177"/>
      <c r="B177"/>
      <c r="C177"/>
      <c r="D177"/>
      <c r="E177"/>
      <c r="F177"/>
      <c r="G177"/>
      <c r="H177"/>
      <c r="I177"/>
      <c r="J177"/>
      <c r="K177"/>
      <c r="L177"/>
      <c r="M177"/>
      <c r="N177"/>
      <c r="O177"/>
      <c r="P177"/>
      <c r="Q177"/>
      <c r="R177"/>
      <c r="S177"/>
      <c r="AB177"/>
      <c r="AC177"/>
      <c r="AD177"/>
    </row>
    <row r="178" spans="1:32" s="7" customFormat="1" ht="24.9" customHeight="1" x14ac:dyDescent="0.3">
      <c r="A178"/>
      <c r="B178"/>
      <c r="C178"/>
      <c r="D178"/>
      <c r="E178"/>
      <c r="F178"/>
      <c r="G178"/>
      <c r="H178"/>
      <c r="I178"/>
      <c r="J178"/>
      <c r="K178"/>
      <c r="L178"/>
      <c r="M178"/>
      <c r="N178"/>
      <c r="O178"/>
      <c r="P178"/>
      <c r="Q178"/>
      <c r="R178"/>
      <c r="S178"/>
      <c r="AB178"/>
      <c r="AC178"/>
      <c r="AD178"/>
    </row>
    <row r="179" spans="1:32" s="7" customFormat="1" ht="24.9" customHeight="1" x14ac:dyDescent="0.3">
      <c r="A179"/>
      <c r="B179"/>
      <c r="C179"/>
      <c r="D179"/>
      <c r="E179"/>
      <c r="F179"/>
      <c r="G179"/>
      <c r="H179"/>
      <c r="I179"/>
      <c r="J179"/>
      <c r="K179"/>
      <c r="L179"/>
      <c r="M179"/>
      <c r="N179"/>
      <c r="O179"/>
      <c r="P179"/>
      <c r="Q179"/>
      <c r="R179"/>
      <c r="S179"/>
      <c r="AB179"/>
      <c r="AC179"/>
      <c r="AD179"/>
    </row>
    <row r="180" spans="1:32" s="7" customFormat="1" ht="24.9" customHeight="1" x14ac:dyDescent="0.3">
      <c r="A180"/>
      <c r="B180"/>
      <c r="C180"/>
      <c r="D180"/>
      <c r="E180"/>
      <c r="F180"/>
      <c r="G180"/>
      <c r="I180"/>
      <c r="J180"/>
      <c r="K180"/>
      <c r="L180"/>
      <c r="M180"/>
      <c r="N180"/>
      <c r="O180"/>
      <c r="P180"/>
      <c r="Q180"/>
      <c r="R180"/>
      <c r="S180"/>
      <c r="AB180"/>
      <c r="AC180"/>
      <c r="AD180"/>
    </row>
    <row r="181" spans="1:32" s="7" customFormat="1" ht="24.9" customHeight="1" x14ac:dyDescent="0.3">
      <c r="A181"/>
      <c r="B181"/>
      <c r="C181"/>
      <c r="D181"/>
      <c r="E181"/>
      <c r="F181"/>
      <c r="G181"/>
      <c r="I181"/>
      <c r="J181"/>
      <c r="K181"/>
      <c r="L181"/>
      <c r="M181"/>
      <c r="N181"/>
      <c r="O181"/>
      <c r="P181"/>
      <c r="Q181"/>
      <c r="R181"/>
      <c r="S181"/>
      <c r="AB181"/>
      <c r="AC181"/>
      <c r="AD181"/>
    </row>
    <row r="182" spans="1:32" s="7" customFormat="1" ht="24.9" customHeight="1" x14ac:dyDescent="0.3">
      <c r="A182"/>
      <c r="B182"/>
      <c r="C182"/>
      <c r="D182"/>
      <c r="E182"/>
      <c r="F182"/>
      <c r="G182"/>
      <c r="I182"/>
      <c r="J182"/>
      <c r="K182"/>
      <c r="L182"/>
      <c r="M182"/>
      <c r="N182"/>
      <c r="O182"/>
      <c r="P182"/>
      <c r="Q182"/>
      <c r="R182"/>
      <c r="S182"/>
      <c r="AB182"/>
      <c r="AC182"/>
      <c r="AD182"/>
    </row>
    <row r="183" spans="1:32" s="7" customFormat="1" ht="24.9" customHeight="1" x14ac:dyDescent="0.3">
      <c r="A183"/>
      <c r="B183"/>
      <c r="C183"/>
      <c r="D183"/>
      <c r="E183"/>
      <c r="F183"/>
      <c r="G183"/>
      <c r="I183"/>
      <c r="J183"/>
      <c r="K183"/>
      <c r="L183"/>
      <c r="M183"/>
      <c r="N183"/>
      <c r="O183"/>
      <c r="P183"/>
      <c r="Q183"/>
      <c r="R183"/>
      <c r="S183"/>
      <c r="AB183"/>
      <c r="AC183"/>
      <c r="AD183"/>
    </row>
    <row r="184" spans="1:32" s="7" customFormat="1" ht="24.9" customHeight="1" x14ac:dyDescent="0.3">
      <c r="A184"/>
      <c r="B184"/>
      <c r="C184"/>
      <c r="D184"/>
      <c r="E184"/>
      <c r="F184"/>
      <c r="G184"/>
      <c r="I184"/>
      <c r="J184"/>
      <c r="K184"/>
      <c r="L184"/>
      <c r="M184"/>
      <c r="N184"/>
      <c r="O184"/>
      <c r="P184"/>
      <c r="Q184"/>
      <c r="R184"/>
      <c r="S184"/>
      <c r="AB184"/>
      <c r="AC184"/>
      <c r="AD184"/>
    </row>
    <row r="185" spans="1:32" s="7" customFormat="1" ht="24.9" customHeight="1" x14ac:dyDescent="0.3">
      <c r="A185"/>
      <c r="B185"/>
      <c r="C185"/>
      <c r="D185"/>
      <c r="E185"/>
      <c r="F185"/>
      <c r="G185"/>
      <c r="I185"/>
      <c r="J185"/>
      <c r="K185"/>
      <c r="L185"/>
      <c r="M185"/>
      <c r="N185"/>
      <c r="O185"/>
      <c r="P185"/>
      <c r="Q185"/>
      <c r="R185"/>
      <c r="S185"/>
      <c r="AB185"/>
      <c r="AC185"/>
      <c r="AD185"/>
    </row>
    <row r="186" spans="1:32" s="7" customFormat="1" ht="24.9" customHeight="1" x14ac:dyDescent="0.3">
      <c r="A186"/>
      <c r="B186"/>
      <c r="C186"/>
      <c r="D186"/>
      <c r="E186"/>
      <c r="F186"/>
      <c r="G186"/>
      <c r="I186"/>
      <c r="J186"/>
      <c r="K186"/>
      <c r="L186"/>
      <c r="M186"/>
      <c r="N186"/>
      <c r="O186"/>
      <c r="P186"/>
      <c r="Q186"/>
      <c r="R186"/>
      <c r="S186"/>
      <c r="T186"/>
      <c r="U186"/>
      <c r="V186"/>
      <c r="W186"/>
      <c r="X186"/>
      <c r="Y186"/>
      <c r="Z186"/>
      <c r="AA186"/>
      <c r="AB186"/>
      <c r="AC186"/>
      <c r="AD186"/>
      <c r="AE186"/>
      <c r="AF186"/>
    </row>
    <row r="187" spans="1:32" s="7" customFormat="1" ht="24.9" customHeight="1" x14ac:dyDescent="0.3">
      <c r="A187"/>
      <c r="B187"/>
      <c r="C187"/>
      <c r="D187"/>
      <c r="E187"/>
      <c r="F187"/>
      <c r="G187"/>
      <c r="I187"/>
      <c r="J187"/>
      <c r="K187"/>
      <c r="L187"/>
      <c r="M187"/>
      <c r="N187"/>
      <c r="O187"/>
      <c r="P187"/>
      <c r="Q187"/>
      <c r="R187"/>
      <c r="S187"/>
      <c r="T187"/>
      <c r="U187"/>
      <c r="V187"/>
      <c r="W187"/>
      <c r="X187"/>
      <c r="Y187"/>
      <c r="Z187"/>
      <c r="AA187"/>
      <c r="AB187"/>
      <c r="AC187"/>
      <c r="AD187"/>
      <c r="AE187"/>
      <c r="AF187"/>
    </row>
    <row r="188" spans="1:32" s="7" customFormat="1" ht="24.9" customHeight="1" x14ac:dyDescent="0.3">
      <c r="A188"/>
      <c r="B188"/>
      <c r="C188"/>
      <c r="D188"/>
      <c r="E188"/>
      <c r="F188"/>
      <c r="G188"/>
      <c r="I188"/>
      <c r="J188"/>
      <c r="K188"/>
      <c r="L188"/>
      <c r="M188"/>
      <c r="N188"/>
      <c r="O188"/>
      <c r="P188"/>
      <c r="Q188"/>
      <c r="R188"/>
      <c r="S188"/>
      <c r="T188"/>
      <c r="U188"/>
      <c r="V188"/>
      <c r="W188"/>
      <c r="X188"/>
      <c r="Y188"/>
      <c r="Z188"/>
      <c r="AA188"/>
      <c r="AB188"/>
      <c r="AC188"/>
      <c r="AD188"/>
      <c r="AE188"/>
      <c r="AF188"/>
    </row>
    <row r="189" spans="1:32" s="7" customFormat="1" ht="24.9" customHeight="1" x14ac:dyDescent="0.3">
      <c r="A189"/>
      <c r="B189"/>
      <c r="C189"/>
      <c r="D189"/>
      <c r="E189"/>
      <c r="F189"/>
      <c r="G189"/>
      <c r="I189"/>
      <c r="J189"/>
      <c r="K189"/>
      <c r="L189"/>
      <c r="M189"/>
      <c r="N189"/>
      <c r="O189"/>
      <c r="P189"/>
      <c r="Q189"/>
      <c r="R189"/>
      <c r="S189"/>
      <c r="T189"/>
      <c r="U189"/>
      <c r="V189"/>
      <c r="W189"/>
      <c r="X189"/>
      <c r="Y189"/>
      <c r="Z189"/>
      <c r="AA189"/>
      <c r="AB189"/>
      <c r="AC189"/>
      <c r="AD189"/>
      <c r="AE189"/>
      <c r="AF189"/>
    </row>
    <row r="190" spans="1:32" s="7" customFormat="1" ht="24.9" customHeight="1" x14ac:dyDescent="0.3">
      <c r="A190"/>
      <c r="B190"/>
      <c r="C190"/>
      <c r="D190"/>
      <c r="E190"/>
      <c r="F190"/>
      <c r="G190"/>
      <c r="I190"/>
      <c r="J190"/>
      <c r="K190"/>
      <c r="L190"/>
      <c r="M190"/>
      <c r="N190"/>
      <c r="O190"/>
      <c r="P190"/>
      <c r="Q190"/>
      <c r="R190"/>
      <c r="S190"/>
      <c r="T190"/>
      <c r="U190"/>
      <c r="V190"/>
      <c r="W190"/>
      <c r="X190"/>
      <c r="Y190"/>
      <c r="Z190"/>
      <c r="AA190"/>
      <c r="AB190"/>
      <c r="AC190"/>
      <c r="AD190"/>
      <c r="AE190"/>
      <c r="AF190"/>
    </row>
    <row r="191" spans="1:32" s="7" customFormat="1" ht="24.9" customHeight="1" x14ac:dyDescent="0.3">
      <c r="A191"/>
      <c r="B191"/>
      <c r="C191"/>
      <c r="D191"/>
      <c r="E191"/>
      <c r="F191"/>
      <c r="G191"/>
      <c r="I191"/>
      <c r="J191"/>
      <c r="K191"/>
      <c r="L191"/>
      <c r="M191"/>
      <c r="N191"/>
      <c r="O191"/>
      <c r="P191"/>
      <c r="Q191"/>
      <c r="R191"/>
      <c r="S191"/>
      <c r="T191"/>
      <c r="U191"/>
      <c r="V191"/>
      <c r="W191"/>
      <c r="X191"/>
      <c r="Y191"/>
      <c r="Z191"/>
      <c r="AA191"/>
      <c r="AB191"/>
      <c r="AC191"/>
      <c r="AD191"/>
      <c r="AE191"/>
      <c r="AF191"/>
    </row>
    <row r="192" spans="1:32" s="7" customFormat="1" ht="24.9" customHeight="1" x14ac:dyDescent="0.3">
      <c r="A192"/>
      <c r="B192"/>
      <c r="C192"/>
      <c r="D192"/>
      <c r="E192"/>
      <c r="F192"/>
      <c r="G192"/>
      <c r="I192"/>
      <c r="J192"/>
      <c r="K192"/>
      <c r="L192"/>
      <c r="M192"/>
      <c r="N192"/>
      <c r="O192"/>
      <c r="P192"/>
      <c r="Q192"/>
      <c r="R192"/>
      <c r="S192"/>
      <c r="T192"/>
      <c r="U192"/>
      <c r="V192"/>
      <c r="W192"/>
      <c r="X192"/>
      <c r="Y192"/>
      <c r="Z192"/>
      <c r="AA192"/>
      <c r="AB192"/>
      <c r="AC192"/>
      <c r="AD192"/>
      <c r="AE192"/>
      <c r="AF192"/>
    </row>
    <row r="193" spans="1:35" s="7" customFormat="1" ht="24.9" customHeight="1" x14ac:dyDescent="0.3">
      <c r="A193"/>
      <c r="B193"/>
      <c r="C193"/>
      <c r="D193"/>
      <c r="E193"/>
      <c r="F193"/>
      <c r="G193"/>
      <c r="I193"/>
      <c r="J193"/>
      <c r="K193"/>
      <c r="L193"/>
      <c r="M193"/>
      <c r="N193"/>
      <c r="O193"/>
      <c r="P193"/>
      <c r="Q193"/>
      <c r="R193"/>
      <c r="S193"/>
      <c r="T193"/>
      <c r="U193"/>
      <c r="V193"/>
      <c r="W193"/>
      <c r="X193"/>
      <c r="Y193"/>
      <c r="Z193"/>
      <c r="AA193"/>
      <c r="AB193"/>
      <c r="AC193"/>
      <c r="AD193"/>
      <c r="AE193"/>
      <c r="AF193"/>
    </row>
    <row r="194" spans="1:35" s="7" customFormat="1" ht="24.9" customHeight="1" x14ac:dyDescent="0.3">
      <c r="A194"/>
      <c r="B194"/>
      <c r="C194"/>
      <c r="D194"/>
      <c r="E194"/>
      <c r="F194"/>
      <c r="G194"/>
      <c r="I194"/>
      <c r="J194"/>
      <c r="K194"/>
      <c r="L194"/>
      <c r="M194"/>
      <c r="N194"/>
      <c r="O194"/>
      <c r="P194"/>
      <c r="Q194"/>
      <c r="R194"/>
      <c r="S194"/>
      <c r="T194"/>
      <c r="U194"/>
      <c r="V194"/>
      <c r="W194"/>
      <c r="X194"/>
      <c r="Y194"/>
      <c r="Z194"/>
      <c r="AA194"/>
      <c r="AB194"/>
      <c r="AC194"/>
      <c r="AD194"/>
      <c r="AE194"/>
      <c r="AF194"/>
    </row>
    <row r="195" spans="1:35" s="7" customFormat="1" ht="24.9" customHeight="1" x14ac:dyDescent="0.3">
      <c r="A195"/>
      <c r="B195"/>
      <c r="C195"/>
      <c r="D195"/>
      <c r="E195"/>
      <c r="F195"/>
      <c r="G195"/>
      <c r="I195"/>
      <c r="J195"/>
      <c r="K195"/>
      <c r="L195"/>
      <c r="M195"/>
      <c r="N195"/>
      <c r="O195"/>
      <c r="P195"/>
      <c r="Q195"/>
      <c r="R195"/>
      <c r="S195"/>
      <c r="T195"/>
      <c r="U195"/>
      <c r="V195"/>
      <c r="W195"/>
      <c r="X195"/>
      <c r="Y195"/>
      <c r="Z195"/>
      <c r="AA195"/>
      <c r="AB195"/>
      <c r="AC195"/>
      <c r="AD195"/>
      <c r="AE195"/>
      <c r="AF195"/>
    </row>
    <row r="196" spans="1:35" s="7" customFormat="1" ht="51.75" customHeight="1" x14ac:dyDescent="0.3">
      <c r="A196"/>
      <c r="B196"/>
      <c r="C196"/>
      <c r="D196"/>
      <c r="E196"/>
      <c r="F196"/>
      <c r="G196"/>
      <c r="I196"/>
      <c r="J196"/>
      <c r="K196"/>
      <c r="L196"/>
      <c r="M196"/>
      <c r="N196"/>
      <c r="O196"/>
      <c r="P196"/>
      <c r="Q196"/>
      <c r="R196"/>
      <c r="S196"/>
      <c r="T196"/>
      <c r="U196"/>
      <c r="V196"/>
      <c r="W196"/>
      <c r="X196"/>
      <c r="Y196"/>
      <c r="Z196"/>
      <c r="AA196"/>
      <c r="AB196"/>
      <c r="AC196"/>
      <c r="AD196"/>
      <c r="AE196"/>
      <c r="AF196"/>
    </row>
    <row r="197" spans="1:35" s="7" customFormat="1" ht="24.9" customHeight="1" x14ac:dyDescent="0.3">
      <c r="A197"/>
      <c r="B197"/>
      <c r="C197"/>
      <c r="D197"/>
      <c r="E197"/>
      <c r="F197"/>
      <c r="G197"/>
      <c r="I197"/>
      <c r="J197"/>
      <c r="K197"/>
      <c r="L197"/>
      <c r="M197"/>
      <c r="N197"/>
      <c r="O197"/>
      <c r="P197"/>
      <c r="Q197"/>
      <c r="R197"/>
      <c r="S197"/>
      <c r="T197"/>
      <c r="U197"/>
      <c r="V197"/>
      <c r="W197"/>
      <c r="X197"/>
      <c r="Y197"/>
      <c r="Z197"/>
      <c r="AA197"/>
      <c r="AB197"/>
      <c r="AC197"/>
      <c r="AD197"/>
      <c r="AE197"/>
      <c r="AF197"/>
    </row>
    <row r="198" spans="1:35" s="7" customFormat="1" ht="36" customHeight="1" x14ac:dyDescent="0.3">
      <c r="A198"/>
      <c r="B198"/>
      <c r="C198"/>
      <c r="D198"/>
      <c r="E198"/>
      <c r="F198"/>
      <c r="G198"/>
      <c r="I198"/>
      <c r="J198"/>
      <c r="K198"/>
      <c r="L198"/>
      <c r="M198"/>
      <c r="N198"/>
      <c r="O198"/>
      <c r="P198"/>
      <c r="Q198"/>
      <c r="R198"/>
      <c r="S198"/>
      <c r="T198"/>
      <c r="U198"/>
      <c r="V198"/>
      <c r="W198"/>
      <c r="X198"/>
      <c r="Y198"/>
      <c r="Z198"/>
      <c r="AA198"/>
      <c r="AB198"/>
      <c r="AC198"/>
      <c r="AD198"/>
      <c r="AE198"/>
      <c r="AF198"/>
    </row>
    <row r="199" spans="1:35" s="7" customFormat="1" ht="24" customHeight="1" x14ac:dyDescent="0.3">
      <c r="A199"/>
      <c r="B199"/>
      <c r="C199"/>
      <c r="D199"/>
      <c r="E199"/>
      <c r="F199"/>
      <c r="G199"/>
      <c r="I199"/>
      <c r="J199"/>
      <c r="K199"/>
      <c r="L199"/>
      <c r="M199"/>
      <c r="N199"/>
      <c r="O199"/>
      <c r="P199"/>
      <c r="Q199"/>
      <c r="R199"/>
      <c r="S199"/>
      <c r="T199"/>
      <c r="U199"/>
      <c r="V199"/>
      <c r="W199"/>
      <c r="X199"/>
      <c r="Y199"/>
      <c r="Z199"/>
      <c r="AA199"/>
      <c r="AB199"/>
      <c r="AC199"/>
      <c r="AD199"/>
      <c r="AE199"/>
      <c r="AF199"/>
    </row>
    <row r="200" spans="1:35" s="7" customFormat="1" ht="24.9" customHeight="1" x14ac:dyDescent="0.3">
      <c r="A200"/>
      <c r="B200"/>
      <c r="C200"/>
      <c r="D200"/>
      <c r="E200"/>
      <c r="F200"/>
      <c r="G200"/>
      <c r="I200"/>
      <c r="J200"/>
      <c r="K200"/>
      <c r="L200"/>
      <c r="M200"/>
      <c r="N200"/>
      <c r="O200"/>
      <c r="P200"/>
      <c r="Q200"/>
      <c r="R200"/>
      <c r="S200"/>
      <c r="T200"/>
      <c r="U200"/>
      <c r="V200"/>
      <c r="W200"/>
      <c r="X200"/>
      <c r="Y200"/>
      <c r="Z200"/>
      <c r="AA200"/>
      <c r="AB200"/>
      <c r="AC200"/>
      <c r="AD200"/>
      <c r="AE200"/>
      <c r="AF200"/>
    </row>
    <row r="201" spans="1:35" s="7" customFormat="1" ht="24.9" customHeight="1" x14ac:dyDescent="0.3">
      <c r="A201"/>
      <c r="B201"/>
      <c r="C201"/>
      <c r="D201"/>
      <c r="E201"/>
      <c r="F201"/>
      <c r="G201"/>
      <c r="I201"/>
      <c r="J201"/>
      <c r="K201"/>
      <c r="L201"/>
      <c r="M201"/>
      <c r="N201"/>
      <c r="O201"/>
      <c r="P201"/>
      <c r="Q201"/>
      <c r="R201"/>
      <c r="S201"/>
      <c r="T201"/>
      <c r="U201"/>
      <c r="V201"/>
      <c r="W201"/>
      <c r="X201"/>
      <c r="Y201"/>
      <c r="Z201"/>
      <c r="AA201"/>
      <c r="AB201"/>
      <c r="AC201"/>
      <c r="AD201"/>
      <c r="AE201"/>
      <c r="AF201"/>
    </row>
    <row r="202" spans="1:35" s="7" customFormat="1" ht="24.9" customHeight="1" x14ac:dyDescent="0.3">
      <c r="A202"/>
      <c r="B202"/>
      <c r="C202"/>
      <c r="D202"/>
      <c r="E202"/>
      <c r="F202"/>
      <c r="G202"/>
      <c r="I202"/>
      <c r="J202"/>
      <c r="K202"/>
      <c r="L202"/>
      <c r="M202"/>
      <c r="N202"/>
      <c r="O202"/>
      <c r="P202"/>
      <c r="Q202"/>
      <c r="R202"/>
      <c r="S202"/>
      <c r="T202"/>
      <c r="U202"/>
      <c r="V202"/>
      <c r="W202"/>
      <c r="X202"/>
      <c r="Y202"/>
      <c r="Z202"/>
      <c r="AA202"/>
      <c r="AB202"/>
      <c r="AC202"/>
      <c r="AD202"/>
      <c r="AE202"/>
      <c r="AF202"/>
    </row>
    <row r="203" spans="1:35" s="7" customFormat="1" ht="24.9" customHeight="1" x14ac:dyDescent="0.3">
      <c r="A203"/>
      <c r="B203"/>
      <c r="C203"/>
      <c r="D203"/>
      <c r="E203"/>
      <c r="F203"/>
      <c r="G203"/>
      <c r="H203"/>
      <c r="I203"/>
      <c r="J203"/>
      <c r="K203"/>
      <c r="L203"/>
      <c r="M203"/>
      <c r="N203"/>
      <c r="O203"/>
      <c r="P203"/>
      <c r="Q203"/>
      <c r="R203"/>
      <c r="S203"/>
      <c r="T203"/>
      <c r="U203"/>
      <c r="V203"/>
      <c r="W203"/>
      <c r="X203"/>
      <c r="Y203"/>
      <c r="Z203"/>
      <c r="AA203"/>
      <c r="AB203"/>
      <c r="AC203"/>
      <c r="AD203"/>
      <c r="AE203"/>
      <c r="AF203"/>
    </row>
    <row r="204" spans="1:35" s="7" customFormat="1" ht="24.9" customHeight="1" x14ac:dyDescent="0.3">
      <c r="A204"/>
      <c r="B204"/>
      <c r="C204"/>
      <c r="D204"/>
      <c r="E204"/>
      <c r="F204"/>
      <c r="G204"/>
      <c r="H204"/>
      <c r="I204"/>
      <c r="J204"/>
      <c r="K204"/>
      <c r="L204"/>
      <c r="M204"/>
      <c r="N204"/>
      <c r="O204"/>
      <c r="P204"/>
      <c r="Q204"/>
      <c r="R204"/>
      <c r="S204"/>
      <c r="T204"/>
      <c r="U204"/>
      <c r="V204"/>
      <c r="W204"/>
      <c r="X204"/>
      <c r="Y204"/>
      <c r="Z204"/>
      <c r="AA204"/>
      <c r="AB204"/>
      <c r="AC204"/>
      <c r="AD204"/>
      <c r="AE204"/>
      <c r="AF204"/>
    </row>
    <row r="205" spans="1:35" s="7" customFormat="1" ht="40.5" customHeight="1" x14ac:dyDescent="0.3">
      <c r="A205"/>
      <c r="B205"/>
      <c r="C205"/>
      <c r="D205"/>
      <c r="E205"/>
      <c r="F205"/>
      <c r="G205"/>
      <c r="H205"/>
      <c r="I205"/>
      <c r="J205"/>
      <c r="K205"/>
      <c r="L205"/>
      <c r="M205"/>
      <c r="N205"/>
      <c r="O205"/>
      <c r="P205"/>
      <c r="Q205"/>
      <c r="R205"/>
      <c r="S205"/>
      <c r="T205"/>
      <c r="U205"/>
      <c r="V205"/>
      <c r="W205"/>
      <c r="X205"/>
      <c r="Y205"/>
      <c r="Z205"/>
      <c r="AA205"/>
      <c r="AB205"/>
      <c r="AC205"/>
      <c r="AD205"/>
      <c r="AE205"/>
      <c r="AF205"/>
    </row>
    <row r="206" spans="1:35" s="7" customFormat="1" ht="45" customHeight="1" x14ac:dyDescent="0.3">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row>
    <row r="207" spans="1:35" s="7" customFormat="1" ht="59.25" customHeight="1" x14ac:dyDescent="0.3">
      <c r="A207"/>
      <c r="B207"/>
      <c r="C207"/>
      <c r="F207"/>
      <c r="G207"/>
      <c r="H207"/>
      <c r="I207"/>
      <c r="J207"/>
      <c r="K207"/>
      <c r="L207"/>
      <c r="M207"/>
      <c r="N207"/>
      <c r="O207"/>
      <c r="P207"/>
      <c r="Q207"/>
      <c r="R207"/>
      <c r="S207"/>
      <c r="T207"/>
      <c r="U207"/>
      <c r="V207"/>
      <c r="W207"/>
      <c r="X207"/>
      <c r="Y207"/>
      <c r="Z207"/>
      <c r="AA207"/>
      <c r="AB207"/>
      <c r="AC207"/>
      <c r="AD207"/>
      <c r="AE207"/>
      <c r="AF207"/>
      <c r="AG207"/>
      <c r="AH207"/>
      <c r="AI207"/>
    </row>
    <row r="208" spans="1:35" s="7" customFormat="1" ht="53.25" customHeight="1" x14ac:dyDescent="0.3">
      <c r="A208"/>
      <c r="B208"/>
      <c r="C208"/>
      <c r="F208"/>
      <c r="G208"/>
      <c r="H208"/>
      <c r="I208"/>
      <c r="J208"/>
      <c r="K208"/>
      <c r="L208"/>
      <c r="M208"/>
      <c r="N208"/>
      <c r="O208"/>
      <c r="P208"/>
      <c r="Q208"/>
      <c r="R208"/>
      <c r="S208"/>
      <c r="T208"/>
      <c r="U208"/>
      <c r="V208"/>
      <c r="W208"/>
      <c r="X208"/>
      <c r="Y208"/>
      <c r="Z208"/>
      <c r="AA208"/>
      <c r="AB208"/>
      <c r="AC208"/>
      <c r="AD208"/>
      <c r="AE208"/>
      <c r="AF208"/>
      <c r="AG208"/>
      <c r="AH208"/>
      <c r="AI208"/>
    </row>
    <row r="209" spans="1:35" s="7" customFormat="1" ht="71.25" customHeight="1" x14ac:dyDescent="0.3">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row>
    <row r="210" spans="1:35" s="7" customFormat="1" ht="237" customHeight="1" x14ac:dyDescent="0.3">
      <c r="A210"/>
      <c r="B210"/>
      <c r="C210"/>
      <c r="D210"/>
      <c r="E210"/>
      <c r="F210"/>
      <c r="J210"/>
      <c r="K210"/>
      <c r="L210"/>
      <c r="M210"/>
      <c r="N210"/>
      <c r="O210"/>
      <c r="P210"/>
      <c r="Q210"/>
      <c r="R210"/>
      <c r="S210"/>
      <c r="T210"/>
      <c r="U210"/>
      <c r="V210"/>
      <c r="W210"/>
      <c r="X210"/>
      <c r="Y210"/>
      <c r="Z210"/>
      <c r="AA210"/>
      <c r="AB210"/>
      <c r="AC210"/>
      <c r="AD210"/>
      <c r="AE210"/>
      <c r="AF210"/>
    </row>
    <row r="211" spans="1:35" s="7" customFormat="1" ht="24.9" customHeight="1" thickBot="1" x14ac:dyDescent="0.35">
      <c r="A211"/>
      <c r="B211"/>
      <c r="C211"/>
      <c r="D211"/>
      <c r="E211"/>
      <c r="F211"/>
      <c r="G211"/>
      <c r="H211"/>
      <c r="I211"/>
      <c r="J211"/>
      <c r="K211"/>
      <c r="L211"/>
      <c r="M211"/>
      <c r="N211"/>
      <c r="O211"/>
      <c r="P211"/>
      <c r="Q211"/>
      <c r="R211"/>
      <c r="S211"/>
      <c r="T211"/>
      <c r="U211"/>
      <c r="V211"/>
      <c r="W211"/>
      <c r="X211"/>
      <c r="Y211"/>
      <c r="Z211"/>
      <c r="AA211"/>
      <c r="AB211"/>
      <c r="AC211"/>
      <c r="AD211"/>
      <c r="AE211"/>
      <c r="AF211"/>
    </row>
    <row r="212" spans="1:35" s="7" customFormat="1" ht="38.25" customHeight="1" thickTop="1" thickBot="1" x14ac:dyDescent="0.35">
      <c r="A212" s="432" t="s">
        <v>3007</v>
      </c>
      <c r="B212" s="962" t="s">
        <v>558</v>
      </c>
      <c r="C212" s="962"/>
      <c r="D212" s="962"/>
      <c r="E212" s="962"/>
      <c r="F212" s="962" t="e">
        <f>+Cevir(TRAMPABBÖZELLİK)</f>
        <v>#VALUE!</v>
      </c>
      <c r="G212" s="962"/>
      <c r="H212" s="962"/>
      <c r="I212" s="962"/>
      <c r="J212" s="1006" t="s">
        <v>3081</v>
      </c>
      <c r="K212" s="1006"/>
      <c r="L212" s="1006"/>
      <c r="M212" s="1006"/>
      <c r="N212" s="1006"/>
      <c r="O212" s="1006"/>
      <c r="P212" s="1006"/>
      <c r="Q212"/>
      <c r="R212"/>
      <c r="S212"/>
      <c r="T212"/>
      <c r="U212"/>
      <c r="V212"/>
      <c r="W212"/>
      <c r="X212"/>
      <c r="Y212"/>
      <c r="Z212"/>
      <c r="AA212"/>
      <c r="AB212"/>
      <c r="AC212"/>
      <c r="AD212"/>
      <c r="AE212"/>
      <c r="AF212"/>
    </row>
    <row r="213" spans="1:35" s="7" customFormat="1" ht="93" customHeight="1" thickTop="1" thickBot="1" x14ac:dyDescent="0.35">
      <c r="A213" s="432" t="s">
        <v>3008</v>
      </c>
      <c r="B213" s="962" t="s">
        <v>3010</v>
      </c>
      <c r="C213" s="962"/>
      <c r="D213" s="962"/>
      <c r="E213" s="962"/>
      <c r="F213" s="962" t="e">
        <f>+Cevir(trampabbyatayözellik)</f>
        <v>#VALUE!</v>
      </c>
      <c r="G213" s="962"/>
      <c r="H213" s="962"/>
      <c r="I213" s="962"/>
      <c r="J213" s="493"/>
      <c r="K213" s="373" t="s">
        <v>453</v>
      </c>
      <c r="L213" s="935" t="s">
        <v>451</v>
      </c>
      <c r="M213" s="935"/>
      <c r="N213" s="935"/>
      <c r="O213" s="935"/>
      <c r="P213" s="935"/>
      <c r="Q213"/>
      <c r="R213"/>
      <c r="S213"/>
      <c r="T213"/>
      <c r="U213"/>
      <c r="V213"/>
      <c r="W213"/>
      <c r="X213"/>
      <c r="Y213"/>
      <c r="Z213"/>
      <c r="AA213"/>
      <c r="AB213"/>
      <c r="AC213"/>
      <c r="AD213"/>
      <c r="AE213"/>
      <c r="AF213"/>
    </row>
    <row r="214" spans="1:35" s="7" customFormat="1" ht="57" customHeight="1" thickTop="1" thickBot="1" x14ac:dyDescent="0.35">
      <c r="A214" s="432" t="s">
        <v>3011</v>
      </c>
      <c r="B214" s="962" t="s">
        <v>813</v>
      </c>
      <c r="C214" s="962"/>
      <c r="D214" s="962"/>
      <c r="E214" s="962"/>
      <c r="F214" s="962" t="e">
        <f>+Cevir(aynasimetribbözellik)</f>
        <v>#VALUE!</v>
      </c>
      <c r="G214" s="962"/>
      <c r="H214" s="962"/>
      <c r="I214" s="962"/>
      <c r="J214" s="493"/>
      <c r="K214" s="494" t="s">
        <v>451</v>
      </c>
      <c r="L214" s="964" t="s">
        <v>484</v>
      </c>
      <c r="M214" s="964"/>
      <c r="N214" s="964"/>
      <c r="O214" s="964"/>
      <c r="P214" s="964"/>
      <c r="Q214"/>
      <c r="R214"/>
      <c r="S214"/>
      <c r="T214"/>
      <c r="U214"/>
      <c r="V214"/>
      <c r="W214"/>
      <c r="X214"/>
      <c r="Y214"/>
      <c r="Z214"/>
      <c r="AA214"/>
      <c r="AB214"/>
      <c r="AC214"/>
      <c r="AD214"/>
      <c r="AE214"/>
      <c r="AF214"/>
    </row>
    <row r="215" spans="1:35" s="7" customFormat="1" ht="65.25" customHeight="1" thickTop="1" thickBot="1" x14ac:dyDescent="0.35">
      <c r="A215" s="432" t="s">
        <v>3012</v>
      </c>
      <c r="B215" s="962" t="s">
        <v>814</v>
      </c>
      <c r="C215" s="962"/>
      <c r="D215" s="962"/>
      <c r="E215" s="962"/>
      <c r="F215" s="962" t="e">
        <f>+Cevir(aynasimetribbözellik2)</f>
        <v>#VALUE!</v>
      </c>
      <c r="G215" s="962"/>
      <c r="H215" s="962"/>
      <c r="I215" s="962"/>
      <c r="J215" s="366"/>
      <c r="K215" s="419" t="str">
        <f>+IF(TEST!O39&lt;&gt;"trampa ve ayna simetrisi","",IF(AND(TEST!AW17="EVET",TEST!AX17="HAYIR",TEST!H44="var"),Cevir(Sayfa1!L214),IF(AND(TEST!AW17="HAYIR",TEST!AX17="EVET",TEST!H44="var"),Cevir(Sayfa1!L215),IF(AND(TEST!AW17="EVET",TEST!AX17="EVET",TEST!H44="var"),Cevir(Sayfa1!L213),IF(AND(TEST!AW17="HAYIR",TEST!AX17="HAYIR",TEST!H44="var"),Cevir(Sayfa1!L213),IF(TEST!N4="dışarıdan görülmüştür.",Cevir(Sayfa1!D29),""))))))</f>
        <v/>
      </c>
      <c r="L215" s="964" t="s">
        <v>485</v>
      </c>
      <c r="M215" s="964"/>
      <c r="N215" s="964"/>
      <c r="O215" s="964"/>
      <c r="P215" s="964"/>
      <c r="Q215"/>
      <c r="R215"/>
      <c r="S215"/>
      <c r="T215"/>
      <c r="U215"/>
      <c r="V215"/>
      <c r="W215"/>
      <c r="X215"/>
      <c r="Y215"/>
      <c r="Z215"/>
      <c r="AA215"/>
      <c r="AB215"/>
      <c r="AC215"/>
      <c r="AD215"/>
      <c r="AE215"/>
      <c r="AF215"/>
    </row>
    <row r="216" spans="1:35" s="7" customFormat="1" ht="66" customHeight="1" thickTop="1" thickBot="1" x14ac:dyDescent="0.35">
      <c r="A216" s="432" t="s">
        <v>3013</v>
      </c>
      <c r="B216" s="1025" t="s">
        <v>506</v>
      </c>
      <c r="C216" s="1026"/>
      <c r="D216" s="1026"/>
      <c r="E216" s="1026"/>
      <c r="F216" s="962" t="e">
        <f>+Cevir(aynasimetriyatayetkisiz)</f>
        <v>#VALUE!</v>
      </c>
      <c r="G216" s="962"/>
      <c r="H216" s="962"/>
      <c r="I216" s="962"/>
      <c r="J216" s="366"/>
      <c r="K216" s="494"/>
      <c r="L216" s="494"/>
      <c r="M216" s="494"/>
      <c r="N216" s="494"/>
      <c r="O216" s="494"/>
      <c r="P216" s="494"/>
      <c r="Q216"/>
      <c r="R216"/>
      <c r="S216"/>
      <c r="T216"/>
      <c r="U216"/>
      <c r="V216"/>
      <c r="W216"/>
      <c r="X216"/>
      <c r="Y216"/>
      <c r="Z216"/>
      <c r="AA216"/>
      <c r="AB216"/>
      <c r="AC216"/>
      <c r="AD216"/>
      <c r="AE216"/>
      <c r="AF216"/>
    </row>
    <row r="217" spans="1:35" s="7" customFormat="1" ht="74.25" customHeight="1" thickTop="1" thickBot="1" x14ac:dyDescent="0.35">
      <c r="A217" s="432" t="s">
        <v>3014</v>
      </c>
      <c r="B217" s="955" t="s">
        <v>507</v>
      </c>
      <c r="C217" s="955"/>
      <c r="D217" s="955"/>
      <c r="E217" s="955"/>
      <c r="F217" s="962" t="e">
        <f>+Cevir(aynasimetriyatay)</f>
        <v>#VALUE!</v>
      </c>
      <c r="G217" s="962"/>
      <c r="H217" s="962"/>
      <c r="I217" s="962"/>
      <c r="J217" s="366"/>
      <c r="K217" s="419" t="s">
        <v>449</v>
      </c>
      <c r="L217" s="942" t="s">
        <v>480</v>
      </c>
      <c r="M217" s="942"/>
      <c r="N217" s="942"/>
      <c r="O217" s="942"/>
      <c r="P217" s="366" t="s">
        <v>482</v>
      </c>
      <c r="Q217"/>
      <c r="R217"/>
      <c r="S217"/>
      <c r="T217"/>
      <c r="U217"/>
      <c r="V217"/>
      <c r="W217"/>
      <c r="X217"/>
      <c r="Y217"/>
      <c r="Z217"/>
      <c r="AA217"/>
      <c r="AB217"/>
      <c r="AC217"/>
      <c r="AD217"/>
      <c r="AE217"/>
      <c r="AF217"/>
    </row>
    <row r="218" spans="1:35" s="7" customFormat="1" ht="51.75" customHeight="1" thickTop="1" thickBot="1" x14ac:dyDescent="0.35">
      <c r="A218" s="962" t="str">
        <f ca="1">IF(OR(MİMARİUYGUNLUK="trampa",MİMARİUYGUNLUK="trampa ve ayna simetrisi"),TRIM(Cevir(TRAMPABBÖZELLİK)),TRIM(Cevir(BBÖZELLİK)))</f>
        <v>Ekspertize konu taşınmaz, incelenen onaylı mimari projesine göre, binanın 1. Normal katında yer alan, (güney cepheli) bağımsız bölüm no.lu dairedir. 
 Taşınmaz projesine ve mevcut duruma göre 85 m2 kullanım alanına sahip olup, salon, 3 oda, mutfak, banyo, wc, 2 balkon ve antre-hol hacimlerinden oluşmaktadır. 
Taşınmazın Salon, oda, antre-hol ve mutfak bölümlerinde zeminler laminant parke kaplı, duvarlar alçı sıva üzeri saten boya kaplıdır. Islak hacimlerde zeminler ve duvarlar seramik kaplıdır. Balkon bölümünde zeminler seramik kaplı, duvarlar ise plastik boya kaplıdır. Banyo bölümünde hilton lavabo, klozet ve duşakabin vitrifiye elemanları bulunmaktadır. Taşınmazın dış kapısı çelik kapı, iç kapıları ahşap panel kapı olup, pencereleri PVC doğramadır. Mutfak dolapları akrilik dolap olup, mutfak tezgahı çimstondur. Taşınmazın iç özellikleri standart seviyede olup, tadilat ihtiyacı bulunmamaktadır. Taşınmazda ısınma ihtiyacı doğalgaz kombi ile sağlanacak şekilde tesisat bulunmaktadır. Halihazırda ısıtma sistemi monte edilmiştir.</v>
      </c>
      <c r="B218" s="962"/>
      <c r="C218" s="962"/>
      <c r="D218" s="962"/>
      <c r="E218" s="962"/>
      <c r="F218" s="962"/>
      <c r="G218" s="962"/>
      <c r="H218" s="962"/>
      <c r="I218" s="962"/>
      <c r="J218" s="493"/>
      <c r="K218" s="366"/>
      <c r="L218" s="942" t="s">
        <v>481</v>
      </c>
      <c r="M218" s="942"/>
      <c r="N218" s="942"/>
      <c r="O218" s="942"/>
      <c r="P218" s="366" t="s">
        <v>483</v>
      </c>
      <c r="Q218"/>
      <c r="R218"/>
      <c r="S218"/>
      <c r="T218"/>
      <c r="U218"/>
      <c r="V218"/>
      <c r="W218"/>
      <c r="X218"/>
      <c r="Y218"/>
      <c r="Z218"/>
      <c r="AA218"/>
      <c r="AB218"/>
      <c r="AC218"/>
      <c r="AD218"/>
      <c r="AE218"/>
      <c r="AF218"/>
    </row>
    <row r="219" spans="1:35" s="7" customFormat="1" ht="39" customHeight="1" thickTop="1" thickBot="1" x14ac:dyDescent="0.35">
      <c r="A219"/>
      <c r="B219"/>
      <c r="C219"/>
      <c r="D219"/>
      <c r="E219"/>
      <c r="F219"/>
      <c r="G219"/>
      <c r="H219"/>
      <c r="I219"/>
      <c r="J219" s="493"/>
      <c r="K219" s="367" t="s">
        <v>505</v>
      </c>
      <c r="L219" s="497" t="str">
        <f>+IF(TEST!K44="Trampa",Sayfa1!K217,"")</f>
        <v/>
      </c>
      <c r="M219" s="497"/>
      <c r="N219" s="497"/>
      <c r="O219" s="497"/>
      <c r="P219" s="366"/>
      <c r="Q219"/>
      <c r="R219"/>
      <c r="S219"/>
      <c r="T219"/>
      <c r="U219"/>
      <c r="V219"/>
      <c r="W219"/>
      <c r="X219"/>
      <c r="Y219"/>
      <c r="Z219"/>
      <c r="AA219"/>
      <c r="AB219"/>
      <c r="AC219"/>
      <c r="AD219"/>
      <c r="AE219"/>
      <c r="AF219"/>
    </row>
    <row r="220" spans="1:35" s="7" customFormat="1" ht="55.5" customHeight="1" thickTop="1" thickBot="1" x14ac:dyDescent="0.35">
      <c r="A220"/>
      <c r="B220"/>
      <c r="C220"/>
      <c r="D220"/>
      <c r="E220"/>
      <c r="G220"/>
      <c r="H220"/>
      <c r="I220"/>
      <c r="J220" s="493"/>
      <c r="K220" s="367" t="b">
        <f>+IF(AND(TEST!AW17="EVET",TEST!AX17="HAYIR",TEST!H44="var"),Cevir(Sayfa1!L218),IF(AND(TEST!AW17="HAYIR",TEST!AX17="EVET",TEST!H44="var"),Cevir(Sayfa1!L217),IF(AND(TEST!AW17="EVET",TEST!AX17="EVET",TEST!H44="var"),Cevir(Sayfa1!D26),IF(AND(TEST!AW17="HAYIR",TEST!AX17="HAYIR",TEST!H44="var"),Cevir(Sayfa1!D28),IF(TEST!N4="dışarıdan görülmüştür.",Cevir(Sayfa1!D29))))))</f>
        <v>0</v>
      </c>
      <c r="L220" s="497"/>
      <c r="M220" s="497"/>
      <c r="N220" s="497"/>
      <c r="O220" s="497"/>
      <c r="P220" s="366"/>
      <c r="R220" s="8"/>
      <c r="S220" s="8"/>
      <c r="T220" s="8"/>
      <c r="U220" s="8"/>
      <c r="V220" s="8"/>
      <c r="W220" s="8"/>
      <c r="X220" s="8"/>
      <c r="Y220" s="8"/>
      <c r="Z220" s="8"/>
      <c r="AA220" s="8"/>
      <c r="AB220" s="8"/>
      <c r="AC220" s="17"/>
      <c r="AD220" s="8"/>
    </row>
    <row r="221" spans="1:35" s="7" customFormat="1" ht="52.5" customHeight="1" thickTop="1" thickBot="1" x14ac:dyDescent="0.35">
      <c r="A221"/>
      <c r="B221"/>
      <c r="C221"/>
      <c r="D221"/>
      <c r="E221"/>
      <c r="F221"/>
      <c r="G221"/>
      <c r="H221"/>
      <c r="I221"/>
      <c r="L221" s="181"/>
      <c r="M221" s="181"/>
      <c r="N221" s="181"/>
      <c r="O221" s="181"/>
      <c r="Q221"/>
      <c r="R221" s="8"/>
      <c r="S221" s="8"/>
      <c r="T221" s="8"/>
      <c r="U221" s="8"/>
      <c r="V221" s="8"/>
      <c r="W221" s="8"/>
      <c r="X221" s="8"/>
      <c r="Y221" s="8"/>
      <c r="Z221" s="8"/>
      <c r="AA221" s="8"/>
      <c r="AB221" s="8"/>
      <c r="AC221" s="17"/>
      <c r="AD221" s="8"/>
    </row>
    <row r="222" spans="1:35" s="7" customFormat="1" ht="37.5" customHeight="1" thickTop="1" thickBot="1" x14ac:dyDescent="0.35">
      <c r="A222"/>
      <c r="B222"/>
      <c r="C222"/>
      <c r="D222"/>
      <c r="E222"/>
      <c r="F222"/>
      <c r="G222"/>
      <c r="I222"/>
      <c r="L222" s="431" t="s">
        <v>397</v>
      </c>
      <c r="M222" s="431" t="e">
        <f>+SUM(TEST!#REF!)</f>
        <v>#REF!</v>
      </c>
      <c r="N222" s="935" t="b">
        <f>+IF(TEST!K44&lt;&gt;"Trampa",Sayfa1!K220,"")</f>
        <v>0</v>
      </c>
      <c r="O222" s="935"/>
      <c r="P222" s="935"/>
      <c r="Q222"/>
      <c r="R222" s="181"/>
      <c r="S222" s="8"/>
      <c r="T222" s="8"/>
      <c r="U222" s="8"/>
      <c r="V222" s="8"/>
      <c r="W222" s="8"/>
      <c r="X222" s="8"/>
      <c r="Y222" s="8"/>
      <c r="Z222" s="8"/>
      <c r="AA222" s="8"/>
      <c r="AB222" s="8"/>
      <c r="AC222" s="17"/>
      <c r="AD222" s="8"/>
    </row>
    <row r="223" spans="1:35" s="7" customFormat="1" ht="85.95" customHeight="1" thickTop="1" thickBot="1" x14ac:dyDescent="0.35">
      <c r="A223"/>
      <c r="B223"/>
      <c r="C223"/>
      <c r="D223"/>
      <c r="E223"/>
      <c r="F223" s="365" t="s">
        <v>3239</v>
      </c>
      <c r="G223" s="366" t="e">
        <f>+VLOOKUP(trampakat,VERİDOĞRULAMA!BQ3:BR39,2,0)</f>
        <v>#N/A</v>
      </c>
      <c r="H223"/>
      <c r="I223"/>
      <c r="J223" s="942" t="s">
        <v>3245</v>
      </c>
      <c r="K223" s="942"/>
      <c r="L223" s="431" t="s">
        <v>398</v>
      </c>
      <c r="M223" s="431" t="e">
        <f>+SUM(TEST!#REF!)</f>
        <v>#REF!</v>
      </c>
      <c r="N223" s="935"/>
      <c r="O223" s="935"/>
      <c r="P223" s="935"/>
      <c r="Q223"/>
      <c r="R223"/>
      <c r="S223"/>
      <c r="T223"/>
      <c r="U223" s="8"/>
      <c r="V223" s="8"/>
      <c r="W223" s="8"/>
      <c r="X223" s="8"/>
      <c r="Y223" s="8"/>
      <c r="Z223" s="8"/>
      <c r="AA223" s="8"/>
      <c r="AB223" s="8"/>
      <c r="AC223" s="17"/>
      <c r="AD223" s="8"/>
    </row>
    <row r="224" spans="1:35" s="7" customFormat="1" ht="75.599999999999994" customHeight="1" thickTop="1" thickBot="1" x14ac:dyDescent="0.35">
      <c r="A224"/>
      <c r="B224"/>
      <c r="C224"/>
      <c r="D224"/>
      <c r="E224"/>
      <c r="F224"/>
      <c r="G224"/>
      <c r="H224"/>
      <c r="I224"/>
      <c r="J224" s="942" t="str">
        <f>+Cevir(J223)</f>
        <v xml:space="preserve"> Ekspertize konu taşınmazın yer aldığı bina,  115,39 m2 alanlı 2035 ada 15 no.lu parsel üzerinde tek blok olarak inşa edilmiştir.  
Ana taşınmazın Projesi Bulunmamaktadır. Arşivinde incelenen mimari projesinde ve mahallinde yapılan incelemelere göre 1. Bodrum Katta odunluk, Zemin Katta 1 adet daire, 1. Normal Katta 1 adet daire, 2. Normal Katta 1. normal katta yer alan daire ünitesinin devamı olmak üzere binada toplam 2 adet bağımsız bölüm bulunmaktadır. Bina girişi güney yönünden, 1. bodrum kat seviyesinden sağlanmaktadır. Taşınmazın bulunduğu binanın giriş kapısı camlı demir doğramadır. Bina dış cephesi plastik boyalı olup, merdiven basamakları ve sahanlıklar mermer kaplı apartman duvarları plastik boyalı  vaziyettedir. Taşınmazın yer aldığı binada asansör bulunmamaktadır. Açık otopark imkanı bulunan binada, ısınma doğalgaz kombi ile yapılacak şekilde tesisat bulunmaktadır. 
                                       </v>
      </c>
      <c r="K224" s="942"/>
      <c r="L224" s="431" t="s">
        <v>399</v>
      </c>
      <c r="M224" s="431" t="e">
        <f>+SUM(TEST!#REF!)</f>
        <v>#REF!</v>
      </c>
      <c r="N224" s="935"/>
      <c r="O224" s="935"/>
      <c r="P224" s="935"/>
      <c r="R224"/>
      <c r="S224"/>
      <c r="T224"/>
      <c r="U224" s="8"/>
      <c r="V224" s="8"/>
      <c r="W224" s="8"/>
      <c r="X224" s="8"/>
      <c r="Y224" s="8"/>
      <c r="Z224" s="8"/>
      <c r="AA224" s="8"/>
      <c r="AB224" s="8"/>
      <c r="AC224" s="17"/>
      <c r="AD224" s="8"/>
    </row>
    <row r="225" spans="1:32" s="7" customFormat="1" ht="68.400000000000006" customHeight="1" thickTop="1" x14ac:dyDescent="0.3">
      <c r="A225"/>
      <c r="B225"/>
      <c r="C225"/>
      <c r="D225"/>
      <c r="E225"/>
      <c r="F225"/>
      <c r="G225"/>
      <c r="H225"/>
      <c r="I225"/>
      <c r="J225"/>
      <c r="K225"/>
      <c r="L225"/>
      <c r="M225"/>
      <c r="N225"/>
      <c r="O225"/>
      <c r="P225"/>
      <c r="Q225" s="181"/>
      <c r="R225"/>
      <c r="Z225" s="8"/>
      <c r="AA225" s="8"/>
      <c r="AB225"/>
      <c r="AC225"/>
      <c r="AD225"/>
      <c r="AE225"/>
      <c r="AF225" s="85"/>
    </row>
    <row r="226" spans="1:32" s="7" customFormat="1" ht="68.400000000000006" customHeight="1" x14ac:dyDescent="0.3">
      <c r="A226"/>
      <c r="B226"/>
      <c r="C226"/>
      <c r="D226"/>
      <c r="E226"/>
      <c r="F226"/>
      <c r="G226"/>
      <c r="H226"/>
      <c r="I226"/>
      <c r="J226" s="524" t="s">
        <v>3243</v>
      </c>
      <c r="K226" s="17" t="s">
        <v>3244</v>
      </c>
      <c r="L226" s="937" t="str">
        <f>+Cevir(K226)</f>
        <v xml:space="preserve">Ekspertize konu taşınmazın konumlu olduğu bina  ikiz nizam, betonarme karkas yapı tarzında projesine göre; 1 Bodrum + Zemin + 2 Normal kat  olmak üzere, toplam 4 kat olarak inşa edilmiştir.           </v>
      </c>
      <c r="M226" s="937"/>
      <c r="N226"/>
      <c r="O226"/>
      <c r="P226"/>
      <c r="Q226" s="116"/>
      <c r="R226" s="116"/>
      <c r="Z226"/>
      <c r="AA226"/>
      <c r="AB226"/>
      <c r="AC226"/>
      <c r="AD226"/>
      <c r="AE226"/>
      <c r="AF226" s="84"/>
    </row>
    <row r="227" spans="1:32" s="7" customFormat="1" ht="169.2" customHeight="1" x14ac:dyDescent="0.3">
      <c r="L227"/>
      <c r="M227"/>
      <c r="N227"/>
      <c r="O227"/>
      <c r="P227"/>
      <c r="R227" s="116"/>
      <c r="Z227"/>
      <c r="AA227"/>
      <c r="AB227"/>
      <c r="AC227"/>
      <c r="AD227"/>
      <c r="AE227"/>
      <c r="AF227" s="84"/>
    </row>
    <row r="228" spans="1:32" s="7" customFormat="1" ht="159.6" customHeight="1" x14ac:dyDescent="0.3">
      <c r="J228" s="17"/>
      <c r="K228" s="17"/>
      <c r="L228"/>
      <c r="M228"/>
      <c r="N228"/>
      <c r="O228"/>
      <c r="P228"/>
      <c r="R228"/>
      <c r="Z228"/>
      <c r="AA228"/>
      <c r="AB228"/>
      <c r="AC228"/>
      <c r="AD228"/>
      <c r="AE228"/>
      <c r="AF228" s="84"/>
    </row>
    <row r="229" spans="1:32" s="7" customFormat="1" ht="168.6" customHeight="1" x14ac:dyDescent="0.3">
      <c r="G229"/>
      <c r="H229"/>
      <c r="I229"/>
      <c r="J229"/>
      <c r="K229"/>
      <c r="L229"/>
      <c r="M229"/>
      <c r="N229"/>
      <c r="O229"/>
      <c r="P229"/>
      <c r="Q229"/>
      <c r="R229"/>
      <c r="S229"/>
      <c r="T229"/>
      <c r="U229"/>
      <c r="V229"/>
      <c r="W229"/>
      <c r="X229"/>
      <c r="Y229"/>
      <c r="Z229"/>
      <c r="AA229"/>
      <c r="AB229"/>
      <c r="AC229"/>
      <c r="AD229"/>
      <c r="AE229"/>
      <c r="AF229" s="84"/>
    </row>
    <row r="230" spans="1:32" s="7" customFormat="1" ht="246" customHeight="1" x14ac:dyDescent="0.3">
      <c r="G230"/>
      <c r="H230"/>
      <c r="I230"/>
      <c r="J230"/>
      <c r="K230"/>
      <c r="L230"/>
      <c r="M230"/>
      <c r="N230"/>
      <c r="O230"/>
      <c r="P230"/>
      <c r="Q230"/>
      <c r="R230"/>
      <c r="S230"/>
      <c r="T230"/>
      <c r="U230"/>
      <c r="V230"/>
      <c r="W230"/>
      <c r="X230"/>
      <c r="Y230"/>
      <c r="Z230"/>
      <c r="AA230"/>
      <c r="AB230"/>
      <c r="AC230"/>
      <c r="AD230"/>
      <c r="AE230"/>
      <c r="AF230" s="84"/>
    </row>
    <row r="231" spans="1:32" s="7" customFormat="1" ht="211.95" customHeight="1" x14ac:dyDescent="0.3">
      <c r="G231"/>
      <c r="H231"/>
      <c r="I231"/>
      <c r="J231"/>
      <c r="K231"/>
      <c r="L231"/>
      <c r="M231"/>
      <c r="N231"/>
      <c r="O231"/>
      <c r="P231"/>
      <c r="Q231"/>
      <c r="R231"/>
      <c r="S231"/>
      <c r="T231"/>
      <c r="U231"/>
      <c r="V231"/>
      <c r="W231"/>
      <c r="X231"/>
      <c r="Y231"/>
      <c r="Z231"/>
      <c r="AA231"/>
      <c r="AB231"/>
      <c r="AC231"/>
      <c r="AD231"/>
      <c r="AE231"/>
      <c r="AF231" s="84"/>
    </row>
    <row r="232" spans="1:32" s="7" customFormat="1" ht="166.95" customHeight="1" x14ac:dyDescent="0.3">
      <c r="G232"/>
      <c r="H232"/>
      <c r="I232"/>
      <c r="J232"/>
      <c r="K232"/>
      <c r="L232"/>
      <c r="M232"/>
      <c r="N232"/>
      <c r="O232"/>
      <c r="P232"/>
      <c r="Q232"/>
      <c r="R232"/>
      <c r="S232"/>
      <c r="T232"/>
      <c r="U232"/>
      <c r="V232"/>
      <c r="W232"/>
      <c r="X232"/>
      <c r="Y232"/>
      <c r="Z232"/>
      <c r="AA232"/>
      <c r="AB232"/>
      <c r="AC232"/>
      <c r="AD232"/>
      <c r="AE232"/>
      <c r="AF232" s="84"/>
    </row>
    <row r="233" spans="1:32" s="7" customFormat="1" ht="114" customHeight="1" x14ac:dyDescent="0.3">
      <c r="G233"/>
      <c r="H233"/>
      <c r="I233"/>
      <c r="J233"/>
      <c r="K233"/>
      <c r="L233"/>
      <c r="M233"/>
      <c r="N233"/>
      <c r="O233"/>
      <c r="P233"/>
      <c r="Q233"/>
      <c r="R233"/>
      <c r="S233"/>
      <c r="T233"/>
      <c r="U233"/>
      <c r="V233"/>
      <c r="W233"/>
      <c r="X233"/>
      <c r="Y233"/>
      <c r="Z233"/>
      <c r="AA233"/>
      <c r="AB233"/>
      <c r="AC233"/>
      <c r="AD233"/>
      <c r="AE233"/>
      <c r="AF233" s="84"/>
    </row>
    <row r="234" spans="1:32" s="7" customFormat="1" ht="24.9" customHeight="1" x14ac:dyDescent="0.3">
      <c r="A234"/>
      <c r="B234"/>
      <c r="C234"/>
      <c r="D234"/>
      <c r="E234"/>
      <c r="F234"/>
      <c r="G234"/>
      <c r="H234"/>
      <c r="I234"/>
      <c r="J234"/>
      <c r="K234"/>
      <c r="L234"/>
      <c r="M234"/>
      <c r="N234"/>
      <c r="O234"/>
      <c r="P234"/>
      <c r="Q234"/>
      <c r="R234"/>
      <c r="S234"/>
      <c r="T234"/>
      <c r="U234"/>
      <c r="V234"/>
      <c r="W234"/>
      <c r="X234"/>
      <c r="Y234"/>
      <c r="Z234"/>
      <c r="AA234"/>
      <c r="AB234"/>
      <c r="AC234"/>
      <c r="AD234"/>
      <c r="AE234"/>
      <c r="AF234" s="84"/>
    </row>
    <row r="235" spans="1:32" s="7" customFormat="1" ht="24.9" customHeight="1" x14ac:dyDescent="0.3">
      <c r="A235"/>
      <c r="G235"/>
      <c r="H235"/>
      <c r="I235"/>
      <c r="J235"/>
      <c r="K235"/>
      <c r="L235"/>
      <c r="M235"/>
      <c r="N235"/>
      <c r="O235"/>
      <c r="P235"/>
      <c r="Q235"/>
      <c r="R235"/>
      <c r="S235"/>
      <c r="T235"/>
      <c r="U235"/>
      <c r="V235"/>
      <c r="W235"/>
      <c r="X235"/>
      <c r="Y235"/>
      <c r="Z235"/>
      <c r="AA235"/>
      <c r="AB235"/>
      <c r="AC235"/>
      <c r="AD235"/>
      <c r="AE235"/>
      <c r="AF235" s="84"/>
    </row>
    <row r="236" spans="1:32" s="7" customFormat="1" ht="24.9" customHeight="1" x14ac:dyDescent="0.3">
      <c r="A236"/>
      <c r="B236"/>
      <c r="C236"/>
      <c r="D236"/>
      <c r="E236"/>
      <c r="F236"/>
      <c r="G236"/>
      <c r="H236"/>
      <c r="I236"/>
      <c r="J236"/>
      <c r="K236"/>
      <c r="L236"/>
      <c r="M236"/>
      <c r="N236"/>
      <c r="O236"/>
      <c r="P236"/>
      <c r="Q236"/>
      <c r="R236"/>
      <c r="S236"/>
      <c r="T236"/>
      <c r="U236"/>
      <c r="V236"/>
      <c r="W236"/>
      <c r="X236"/>
      <c r="Y236"/>
      <c r="Z236"/>
      <c r="AA236"/>
      <c r="AB236"/>
      <c r="AC236"/>
      <c r="AD236"/>
      <c r="AE236"/>
      <c r="AF236" s="84"/>
    </row>
    <row r="237" spans="1:32" s="7" customFormat="1" ht="113.4" customHeight="1" x14ac:dyDescent="0.3">
      <c r="A237"/>
      <c r="B237"/>
      <c r="C237"/>
      <c r="D237"/>
      <c r="E237"/>
      <c r="F237"/>
      <c r="G237"/>
      <c r="H237"/>
      <c r="I237"/>
      <c r="J237"/>
      <c r="K237"/>
      <c r="L237"/>
      <c r="M237"/>
      <c r="N237"/>
      <c r="O237"/>
      <c r="P237"/>
      <c r="Q237"/>
      <c r="R237"/>
      <c r="S237"/>
      <c r="T237"/>
      <c r="U237"/>
      <c r="V237"/>
      <c r="W237"/>
      <c r="X237"/>
      <c r="Y237"/>
      <c r="Z237"/>
      <c r="AA237"/>
      <c r="AB237"/>
      <c r="AC237"/>
      <c r="AD237"/>
      <c r="AE237"/>
      <c r="AF237" s="84"/>
    </row>
    <row r="238" spans="1:32" s="7" customFormat="1" ht="149.4" customHeight="1" x14ac:dyDescent="0.3">
      <c r="A238"/>
      <c r="B238"/>
      <c r="C238"/>
      <c r="D238"/>
      <c r="E238"/>
      <c r="F238"/>
      <c r="G238"/>
      <c r="H238"/>
      <c r="I238"/>
      <c r="J238"/>
      <c r="K238"/>
      <c r="L238"/>
      <c r="M238"/>
      <c r="N238"/>
      <c r="O238"/>
      <c r="P238"/>
      <c r="Q238"/>
      <c r="R238"/>
      <c r="S238"/>
      <c r="T238"/>
      <c r="U238"/>
      <c r="V238"/>
      <c r="W238"/>
      <c r="X238"/>
      <c r="Y238"/>
      <c r="Z238"/>
      <c r="AA238"/>
      <c r="AB238"/>
      <c r="AC238"/>
      <c r="AD238"/>
      <c r="AE238"/>
      <c r="AF238" s="84"/>
    </row>
    <row r="239" spans="1:32" s="7" customFormat="1" ht="120" customHeight="1" x14ac:dyDescent="0.3">
      <c r="H239"/>
      <c r="I239"/>
      <c r="J239"/>
      <c r="K239"/>
      <c r="L239"/>
      <c r="M239"/>
      <c r="N239"/>
      <c r="O239"/>
      <c r="P239"/>
      <c r="Q239"/>
      <c r="R239"/>
      <c r="S239"/>
      <c r="T239"/>
      <c r="AB239"/>
      <c r="AC239"/>
      <c r="AD239"/>
      <c r="AE239"/>
      <c r="AF239" s="84"/>
    </row>
    <row r="240" spans="1:32" s="7" customFormat="1" ht="24.9" customHeight="1" x14ac:dyDescent="0.3">
      <c r="F240" s="8"/>
      <c r="G240" s="8"/>
      <c r="H240"/>
      <c r="I240"/>
      <c r="J240"/>
      <c r="K240"/>
      <c r="L240"/>
      <c r="M240"/>
      <c r="N240"/>
      <c r="O240"/>
      <c r="P240"/>
      <c r="Q240"/>
      <c r="R240"/>
      <c r="S240"/>
      <c r="T240"/>
      <c r="AB240"/>
      <c r="AC240"/>
      <c r="AD240"/>
      <c r="AE240"/>
      <c r="AF240" s="84"/>
    </row>
    <row r="241" spans="1:32" s="7" customFormat="1" ht="24.9" customHeight="1" x14ac:dyDescent="0.3">
      <c r="H241"/>
      <c r="I241"/>
      <c r="J241"/>
      <c r="K241"/>
      <c r="L241"/>
      <c r="M241"/>
      <c r="N241"/>
      <c r="O241"/>
      <c r="P241"/>
      <c r="Q241"/>
      <c r="R241"/>
      <c r="S241"/>
      <c r="T241"/>
      <c r="AB241"/>
      <c r="AC241"/>
      <c r="AD241"/>
      <c r="AE241"/>
      <c r="AF241" s="84"/>
    </row>
    <row r="242" spans="1:32" s="7" customFormat="1" ht="24.9" customHeight="1" x14ac:dyDescent="0.3">
      <c r="A242" s="36"/>
      <c r="B242" s="8"/>
      <c r="C242" s="8"/>
      <c r="D242" s="8"/>
      <c r="E242" s="8"/>
      <c r="F242" s="8"/>
      <c r="G242" s="8"/>
      <c r="H242"/>
      <c r="I242"/>
      <c r="J242"/>
      <c r="K242"/>
      <c r="L242"/>
      <c r="M242"/>
      <c r="N242"/>
      <c r="O242"/>
      <c r="P242"/>
      <c r="Q242"/>
      <c r="R242"/>
      <c r="S242"/>
      <c r="T242"/>
      <c r="AB242"/>
      <c r="AC242"/>
      <c r="AD242"/>
      <c r="AE242"/>
      <c r="AF242" s="84"/>
    </row>
    <row r="243" spans="1:32" s="7" customFormat="1" ht="24.9" customHeight="1" x14ac:dyDescent="0.3">
      <c r="A243"/>
      <c r="B243"/>
      <c r="C243"/>
      <c r="D243"/>
      <c r="E243"/>
      <c r="F243"/>
      <c r="G243"/>
      <c r="H243"/>
      <c r="I243"/>
      <c r="J243"/>
      <c r="K243"/>
      <c r="L243"/>
      <c r="M243"/>
      <c r="N243"/>
      <c r="O243"/>
      <c r="P243"/>
      <c r="Q243"/>
      <c r="R243"/>
      <c r="S243"/>
      <c r="T243"/>
      <c r="AB243"/>
      <c r="AC243"/>
      <c r="AD243"/>
      <c r="AE243"/>
      <c r="AF243" s="84"/>
    </row>
    <row r="244" spans="1:32" s="7" customFormat="1" ht="24.9" customHeight="1" x14ac:dyDescent="0.3">
      <c r="A244"/>
      <c r="B244"/>
      <c r="C244"/>
      <c r="D244"/>
      <c r="E244"/>
      <c r="F244"/>
      <c r="G244"/>
      <c r="H244"/>
      <c r="I244"/>
      <c r="J244"/>
      <c r="K244"/>
      <c r="L244"/>
      <c r="M244"/>
      <c r="N244"/>
      <c r="O244"/>
      <c r="P244"/>
      <c r="Q244"/>
      <c r="R244"/>
      <c r="S244"/>
      <c r="T244"/>
      <c r="AB244"/>
      <c r="AC244"/>
      <c r="AD244"/>
      <c r="AE244"/>
      <c r="AF244" s="84"/>
    </row>
    <row r="245" spans="1:32" s="7" customFormat="1" ht="35.1" customHeight="1" x14ac:dyDescent="0.3">
      <c r="A245"/>
      <c r="B245"/>
      <c r="C245"/>
      <c r="D245"/>
      <c r="E245"/>
      <c r="F245"/>
      <c r="G245"/>
      <c r="H245"/>
      <c r="I245"/>
      <c r="J245"/>
      <c r="K245"/>
      <c r="L245"/>
      <c r="M245"/>
      <c r="N245"/>
      <c r="O245"/>
      <c r="P245"/>
      <c r="Q245"/>
      <c r="R245"/>
      <c r="S245"/>
      <c r="T245"/>
      <c r="AB245"/>
      <c r="AC245"/>
      <c r="AD245"/>
      <c r="AE245"/>
      <c r="AF245" s="84"/>
    </row>
    <row r="246" spans="1:32" s="7" customFormat="1" ht="35.1" customHeight="1" x14ac:dyDescent="0.3">
      <c r="A246"/>
      <c r="B246"/>
      <c r="C246"/>
      <c r="D246"/>
      <c r="E246"/>
      <c r="F246"/>
      <c r="G246"/>
      <c r="H246"/>
      <c r="I246"/>
      <c r="J246"/>
      <c r="K246"/>
      <c r="L246"/>
      <c r="M246"/>
      <c r="N246"/>
      <c r="O246"/>
      <c r="P246"/>
      <c r="Q246"/>
      <c r="R246"/>
      <c r="S246"/>
      <c r="T246"/>
      <c r="AB246"/>
      <c r="AC246"/>
      <c r="AD246"/>
      <c r="AE246"/>
      <c r="AF246" s="84"/>
    </row>
    <row r="247" spans="1:32" s="7" customFormat="1" ht="35.1" customHeight="1" x14ac:dyDescent="0.3">
      <c r="A247"/>
      <c r="B247"/>
      <c r="C247"/>
      <c r="D247"/>
      <c r="E247"/>
      <c r="F247"/>
      <c r="G247"/>
      <c r="H247"/>
      <c r="I247"/>
      <c r="J247"/>
      <c r="K247"/>
      <c r="L247"/>
      <c r="M247"/>
      <c r="N247"/>
      <c r="O247"/>
      <c r="P247"/>
      <c r="Q247"/>
      <c r="R247"/>
      <c r="S247"/>
      <c r="T247"/>
      <c r="AB247"/>
      <c r="AC247"/>
      <c r="AD247"/>
      <c r="AE247"/>
      <c r="AF247" s="84"/>
    </row>
    <row r="248" spans="1:32" s="7" customFormat="1" ht="35.1" customHeight="1" x14ac:dyDescent="0.3">
      <c r="A248"/>
      <c r="B248"/>
      <c r="C248"/>
      <c r="D248"/>
      <c r="E248"/>
      <c r="F248"/>
      <c r="G248"/>
      <c r="H248"/>
      <c r="I248"/>
      <c r="J248"/>
      <c r="K248"/>
      <c r="L248"/>
      <c r="M248"/>
      <c r="N248"/>
      <c r="O248"/>
      <c r="P248"/>
      <c r="Q248"/>
      <c r="R248"/>
      <c r="S248"/>
      <c r="T248"/>
      <c r="AB248"/>
      <c r="AC248"/>
      <c r="AD248"/>
      <c r="AE248"/>
      <c r="AF248" s="84"/>
    </row>
    <row r="249" spans="1:32" s="7" customFormat="1" ht="35.1" customHeight="1" x14ac:dyDescent="0.3">
      <c r="A249"/>
      <c r="B249"/>
      <c r="C249"/>
      <c r="D249"/>
      <c r="E249"/>
      <c r="F249"/>
      <c r="G249"/>
      <c r="H249"/>
      <c r="I249"/>
      <c r="J249"/>
      <c r="K249"/>
      <c r="L249"/>
      <c r="M249"/>
      <c r="N249"/>
      <c r="O249"/>
      <c r="P249"/>
      <c r="Q249"/>
      <c r="R249"/>
      <c r="AB249"/>
      <c r="AC249"/>
      <c r="AD249"/>
      <c r="AE249"/>
      <c r="AF249" s="84"/>
    </row>
    <row r="250" spans="1:32" s="7" customFormat="1" ht="35.1" customHeight="1" x14ac:dyDescent="0.3">
      <c r="A250"/>
      <c r="B250"/>
      <c r="C250"/>
      <c r="D250"/>
      <c r="E250"/>
      <c r="F250"/>
      <c r="G250"/>
      <c r="H250"/>
      <c r="I250"/>
      <c r="J250"/>
      <c r="K250"/>
      <c r="L250"/>
      <c r="M250"/>
      <c r="N250"/>
      <c r="O250"/>
      <c r="P250"/>
      <c r="Q250"/>
      <c r="R250"/>
      <c r="AB250"/>
      <c r="AC250"/>
      <c r="AD250"/>
      <c r="AE250"/>
      <c r="AF250" s="84"/>
    </row>
    <row r="251" spans="1:32" s="7" customFormat="1" ht="35.1" customHeight="1" x14ac:dyDescent="0.3">
      <c r="A251"/>
      <c r="B251"/>
      <c r="C251"/>
      <c r="D251"/>
      <c r="E251"/>
      <c r="F251"/>
      <c r="G251"/>
      <c r="H251"/>
      <c r="I251"/>
      <c r="J251"/>
      <c r="K251"/>
      <c r="L251"/>
      <c r="M251"/>
      <c r="N251"/>
      <c r="O251"/>
      <c r="P251"/>
      <c r="Q251"/>
      <c r="R251"/>
      <c r="AB251"/>
      <c r="AC251"/>
      <c r="AD251"/>
      <c r="AE251"/>
      <c r="AF251" s="84"/>
    </row>
    <row r="252" spans="1:32" s="7" customFormat="1" ht="35.1" customHeight="1" x14ac:dyDescent="0.3">
      <c r="A252"/>
      <c r="B252"/>
      <c r="C252"/>
      <c r="D252"/>
      <c r="E252"/>
      <c r="F252"/>
      <c r="G252"/>
      <c r="H252"/>
      <c r="I252"/>
      <c r="J252"/>
      <c r="K252"/>
      <c r="L252"/>
      <c r="M252"/>
      <c r="N252"/>
      <c r="O252"/>
      <c r="AB252"/>
      <c r="AC252"/>
      <c r="AD252"/>
      <c r="AE252"/>
      <c r="AF252" s="84"/>
    </row>
    <row r="253" spans="1:32" s="7" customFormat="1" ht="35.1" customHeight="1" x14ac:dyDescent="0.3">
      <c r="A253"/>
      <c r="B253"/>
      <c r="C253"/>
      <c r="D253"/>
      <c r="E253"/>
      <c r="F253"/>
      <c r="G253"/>
      <c r="H253"/>
      <c r="I253"/>
      <c r="J253"/>
      <c r="K253"/>
      <c r="L253"/>
      <c r="M253"/>
      <c r="N253"/>
      <c r="O253"/>
      <c r="AB253"/>
      <c r="AC253"/>
      <c r="AD253"/>
      <c r="AE253"/>
      <c r="AF253" s="84"/>
    </row>
    <row r="254" spans="1:32" s="7" customFormat="1" ht="24.9" customHeight="1" x14ac:dyDescent="0.3">
      <c r="A254"/>
      <c r="B254"/>
      <c r="C254"/>
      <c r="D254"/>
      <c r="E254"/>
      <c r="F254"/>
      <c r="G254"/>
      <c r="H254"/>
      <c r="I254"/>
      <c r="J254"/>
      <c r="K254"/>
      <c r="L254"/>
      <c r="M254"/>
      <c r="N254"/>
      <c r="O254"/>
      <c r="AB254"/>
      <c r="AC254"/>
      <c r="AD254"/>
      <c r="AE254"/>
      <c r="AF254" s="84"/>
    </row>
    <row r="255" spans="1:32" s="7" customFormat="1" ht="35.1" customHeight="1" x14ac:dyDescent="0.3">
      <c r="A255"/>
      <c r="B255"/>
      <c r="C255"/>
      <c r="D255"/>
      <c r="E255"/>
      <c r="F255"/>
      <c r="G255"/>
      <c r="H255"/>
      <c r="I255"/>
      <c r="J255"/>
      <c r="K255"/>
      <c r="L255"/>
      <c r="M255"/>
      <c r="N255"/>
      <c r="O255"/>
      <c r="AB255"/>
      <c r="AC255"/>
      <c r="AD255"/>
      <c r="AE255"/>
      <c r="AF255" s="84"/>
    </row>
    <row r="256" spans="1:32" s="7" customFormat="1" ht="35.1" customHeight="1" x14ac:dyDescent="0.3">
      <c r="A256"/>
      <c r="B256"/>
      <c r="C256"/>
      <c r="D256"/>
      <c r="E256"/>
      <c r="F256"/>
      <c r="G256"/>
      <c r="H256"/>
      <c r="I256"/>
      <c r="J256"/>
      <c r="K256"/>
      <c r="L256"/>
      <c r="M256"/>
      <c r="N256"/>
      <c r="O256"/>
      <c r="R256"/>
      <c r="S256"/>
      <c r="T256"/>
      <c r="AB256"/>
      <c r="AC256"/>
      <c r="AD256"/>
      <c r="AE256"/>
      <c r="AF256" s="84"/>
    </row>
    <row r="257" spans="1:32" s="7" customFormat="1" ht="35.1" customHeight="1" x14ac:dyDescent="0.3">
      <c r="A257"/>
      <c r="B257"/>
      <c r="C257"/>
      <c r="D257"/>
      <c r="E257"/>
      <c r="F257"/>
      <c r="G257"/>
      <c r="H257"/>
      <c r="I257"/>
      <c r="J257"/>
      <c r="K257"/>
      <c r="L257"/>
      <c r="M257"/>
      <c r="N257"/>
      <c r="O257"/>
      <c r="P257"/>
      <c r="R257"/>
      <c r="S257"/>
      <c r="T257"/>
      <c r="AB257"/>
      <c r="AC257"/>
      <c r="AD257"/>
      <c r="AE257"/>
      <c r="AF257" s="84"/>
    </row>
    <row r="258" spans="1:32" s="7" customFormat="1" ht="35.1" customHeight="1" x14ac:dyDescent="0.3">
      <c r="A258"/>
      <c r="B258"/>
      <c r="C258"/>
      <c r="D258"/>
      <c r="E258"/>
      <c r="F258"/>
      <c r="G258"/>
      <c r="H258"/>
      <c r="I258"/>
      <c r="J258"/>
      <c r="K258"/>
      <c r="L258"/>
      <c r="M258"/>
      <c r="N258"/>
      <c r="O258"/>
      <c r="P258"/>
      <c r="R258"/>
      <c r="S258"/>
      <c r="T258"/>
      <c r="AB258"/>
      <c r="AC258"/>
      <c r="AD258"/>
      <c r="AE258"/>
      <c r="AF258" s="84"/>
    </row>
    <row r="259" spans="1:32" s="7" customFormat="1" ht="35.1" customHeight="1" x14ac:dyDescent="0.3">
      <c r="A259"/>
      <c r="B259"/>
      <c r="C259"/>
      <c r="D259"/>
      <c r="E259"/>
      <c r="F259"/>
      <c r="G259"/>
      <c r="H259"/>
      <c r="I259"/>
      <c r="J259"/>
      <c r="K259"/>
      <c r="L259"/>
      <c r="M259"/>
      <c r="N259"/>
      <c r="O259"/>
      <c r="P259"/>
      <c r="R259"/>
      <c r="S259"/>
      <c r="T259"/>
      <c r="AB259"/>
      <c r="AC259"/>
      <c r="AD259"/>
      <c r="AE259"/>
      <c r="AF259" s="84"/>
    </row>
    <row r="260" spans="1:32" s="7" customFormat="1" ht="35.1" customHeight="1" x14ac:dyDescent="0.3">
      <c r="A260"/>
      <c r="B260"/>
      <c r="C260"/>
      <c r="D260"/>
      <c r="E260"/>
      <c r="F260"/>
      <c r="G260"/>
      <c r="H260"/>
      <c r="I260"/>
      <c r="J260"/>
      <c r="K260"/>
      <c r="L260"/>
      <c r="M260"/>
      <c r="N260"/>
      <c r="O260"/>
      <c r="P260"/>
      <c r="R260"/>
      <c r="S260"/>
      <c r="T260"/>
      <c r="AB260"/>
      <c r="AC260"/>
      <c r="AD260"/>
      <c r="AE260"/>
      <c r="AF260" s="84"/>
    </row>
    <row r="261" spans="1:32" s="7" customFormat="1" ht="35.1" customHeight="1" x14ac:dyDescent="0.3">
      <c r="A261"/>
      <c r="B261"/>
      <c r="C261"/>
      <c r="D261"/>
      <c r="E261"/>
      <c r="F261"/>
      <c r="G261"/>
      <c r="H261"/>
      <c r="I261"/>
      <c r="J261"/>
      <c r="K261"/>
      <c r="L261"/>
      <c r="M261"/>
      <c r="N261"/>
      <c r="O261"/>
      <c r="P261"/>
      <c r="R261"/>
      <c r="S261"/>
      <c r="T261"/>
      <c r="AB261"/>
      <c r="AC261"/>
      <c r="AD261"/>
      <c r="AE261"/>
      <c r="AF261" s="84"/>
    </row>
    <row r="262" spans="1:32" s="7" customFormat="1" ht="35.1" customHeight="1" x14ac:dyDescent="0.3">
      <c r="A262"/>
      <c r="B262"/>
      <c r="C262"/>
      <c r="D262"/>
      <c r="E262"/>
      <c r="F262"/>
      <c r="G262"/>
      <c r="H262"/>
      <c r="I262"/>
      <c r="J262"/>
      <c r="K262"/>
      <c r="L262"/>
      <c r="M262"/>
      <c r="N262"/>
      <c r="O262"/>
      <c r="P262"/>
      <c r="AB262"/>
      <c r="AC262"/>
      <c r="AD262"/>
      <c r="AE262"/>
      <c r="AF262" s="84"/>
    </row>
    <row r="263" spans="1:32" ht="21" customHeight="1" x14ac:dyDescent="0.3">
      <c r="A263"/>
      <c r="B263"/>
      <c r="C263"/>
      <c r="D263"/>
      <c r="E263"/>
      <c r="F263"/>
      <c r="G263"/>
      <c r="H263"/>
      <c r="I263"/>
      <c r="J263"/>
      <c r="K263"/>
      <c r="L263"/>
      <c r="M263"/>
      <c r="N263"/>
      <c r="O263"/>
      <c r="AC263"/>
      <c r="AF263" s="84"/>
    </row>
    <row r="264" spans="1:32" ht="38.25" customHeight="1" x14ac:dyDescent="0.3">
      <c r="A264"/>
      <c r="B264"/>
      <c r="C264"/>
      <c r="D264"/>
      <c r="E264"/>
      <c r="F264"/>
      <c r="G264"/>
      <c r="H264"/>
      <c r="I264"/>
      <c r="J264"/>
      <c r="K264"/>
      <c r="L264"/>
      <c r="M264"/>
      <c r="N264"/>
      <c r="O264"/>
      <c r="AC264"/>
      <c r="AF264" s="84"/>
    </row>
    <row r="265" spans="1:32" ht="20.100000000000001" customHeight="1" x14ac:dyDescent="0.3">
      <c r="A265"/>
      <c r="B265"/>
      <c r="C265"/>
      <c r="D265"/>
      <c r="E265"/>
      <c r="F265"/>
      <c r="G265"/>
      <c r="H265"/>
      <c r="I265"/>
      <c r="J265"/>
      <c r="K265"/>
      <c r="L265"/>
      <c r="M265"/>
      <c r="N265"/>
      <c r="O265"/>
      <c r="AC265"/>
      <c r="AF265" s="84"/>
    </row>
    <row r="266" spans="1:32" ht="20.100000000000001" customHeight="1" x14ac:dyDescent="0.3">
      <c r="A266"/>
      <c r="B266"/>
      <c r="C266"/>
      <c r="D266"/>
      <c r="E266"/>
      <c r="F266"/>
      <c r="G266"/>
      <c r="H266"/>
      <c r="I266"/>
      <c r="J266"/>
      <c r="K266"/>
      <c r="L266"/>
      <c r="M266"/>
      <c r="N266"/>
      <c r="O266"/>
      <c r="AC266"/>
      <c r="AF266" s="84"/>
    </row>
    <row r="267" spans="1:32" ht="24.9" customHeight="1" x14ac:dyDescent="0.3">
      <c r="A267"/>
      <c r="B267"/>
      <c r="C267"/>
      <c r="D267"/>
      <c r="E267"/>
      <c r="F267"/>
      <c r="G267"/>
      <c r="H267"/>
      <c r="I267"/>
      <c r="J267"/>
      <c r="K267"/>
      <c r="L267"/>
      <c r="M267"/>
      <c r="N267"/>
      <c r="O267"/>
      <c r="AC267"/>
      <c r="AF267" s="84"/>
    </row>
    <row r="268" spans="1:32" ht="24.9" customHeight="1" x14ac:dyDescent="0.3">
      <c r="A268"/>
      <c r="B268"/>
      <c r="C268"/>
      <c r="D268"/>
      <c r="E268"/>
      <c r="F268"/>
      <c r="G268"/>
      <c r="H268"/>
      <c r="I268"/>
      <c r="J268"/>
      <c r="K268"/>
      <c r="L268"/>
      <c r="M268"/>
      <c r="N268"/>
      <c r="O268"/>
      <c r="AC268"/>
      <c r="AF268" s="84"/>
    </row>
    <row r="269" spans="1:32" ht="24.9" customHeight="1" x14ac:dyDescent="0.3">
      <c r="A269"/>
      <c r="B269"/>
      <c r="C269"/>
      <c r="D269"/>
      <c r="E269"/>
      <c r="F269"/>
      <c r="G269"/>
      <c r="H269"/>
      <c r="I269"/>
      <c r="J269"/>
      <c r="K269"/>
      <c r="L269"/>
      <c r="M269"/>
      <c r="N269"/>
      <c r="O269"/>
      <c r="AC269"/>
      <c r="AF269" s="84"/>
    </row>
    <row r="270" spans="1:32" ht="24.9" customHeight="1" x14ac:dyDescent="0.3">
      <c r="A270"/>
      <c r="B270"/>
      <c r="C270"/>
      <c r="D270"/>
      <c r="E270"/>
      <c r="F270"/>
      <c r="G270"/>
      <c r="H270"/>
      <c r="I270"/>
      <c r="J270"/>
      <c r="K270"/>
      <c r="L270"/>
      <c r="M270"/>
      <c r="N270"/>
      <c r="O270"/>
      <c r="AC270"/>
      <c r="AF270" s="84"/>
    </row>
    <row r="271" spans="1:32" ht="24.9" customHeight="1" x14ac:dyDescent="0.3">
      <c r="A271"/>
      <c r="B271"/>
      <c r="C271"/>
      <c r="D271"/>
      <c r="E271"/>
      <c r="F271"/>
      <c r="G271"/>
      <c r="H271"/>
      <c r="I271"/>
      <c r="J271"/>
      <c r="K271"/>
      <c r="L271"/>
      <c r="M271"/>
      <c r="N271"/>
      <c r="O271"/>
      <c r="AC271"/>
      <c r="AF271" s="84"/>
    </row>
    <row r="272" spans="1:32" ht="20.100000000000001" customHeight="1" x14ac:dyDescent="0.3">
      <c r="A272"/>
      <c r="B272"/>
      <c r="C272"/>
      <c r="E272"/>
      <c r="F272"/>
      <c r="G272"/>
      <c r="H272"/>
      <c r="I272"/>
      <c r="J272"/>
      <c r="K272"/>
      <c r="L272"/>
      <c r="M272"/>
      <c r="N272"/>
      <c r="O272"/>
      <c r="AC272"/>
      <c r="AF272" s="84"/>
    </row>
    <row r="273" spans="1:32" ht="20.100000000000001" customHeight="1" x14ac:dyDescent="0.3">
      <c r="A273"/>
      <c r="B273"/>
      <c r="C273"/>
      <c r="D273"/>
      <c r="E273"/>
      <c r="F273"/>
      <c r="G273"/>
      <c r="H273"/>
      <c r="I273"/>
      <c r="J273"/>
      <c r="K273"/>
      <c r="L273"/>
      <c r="M273"/>
      <c r="N273"/>
      <c r="O273"/>
      <c r="AC273"/>
      <c r="AF273" s="84"/>
    </row>
    <row r="274" spans="1:32" ht="20.100000000000001" customHeight="1" x14ac:dyDescent="0.3">
      <c r="A274"/>
      <c r="B274"/>
      <c r="C274"/>
      <c r="D274"/>
      <c r="E274"/>
      <c r="F274"/>
      <c r="G274"/>
      <c r="H274"/>
      <c r="I274"/>
      <c r="J274"/>
      <c r="K274"/>
      <c r="L274"/>
      <c r="M274"/>
      <c r="N274"/>
      <c r="O274"/>
      <c r="AC274"/>
      <c r="AF274" s="84"/>
    </row>
    <row r="275" spans="1:32" ht="20.100000000000001" customHeight="1" x14ac:dyDescent="0.3">
      <c r="A275"/>
      <c r="B275"/>
      <c r="C275"/>
      <c r="D275"/>
      <c r="E275"/>
      <c r="F275"/>
      <c r="G275"/>
      <c r="H275"/>
      <c r="I275"/>
      <c r="J275"/>
      <c r="K275"/>
      <c r="L275"/>
      <c r="M275"/>
      <c r="N275"/>
      <c r="O275"/>
      <c r="S275" s="960"/>
      <c r="T275" s="960"/>
    </row>
    <row r="276" spans="1:32" ht="20.100000000000001" customHeight="1" x14ac:dyDescent="0.3">
      <c r="A276"/>
      <c r="B276"/>
      <c r="C276"/>
      <c r="D276"/>
      <c r="E276"/>
      <c r="F276"/>
      <c r="G276"/>
      <c r="H276"/>
      <c r="I276"/>
      <c r="J276"/>
      <c r="K276"/>
      <c r="L276"/>
      <c r="M276"/>
      <c r="N276"/>
      <c r="O276"/>
      <c r="S276" s="960"/>
      <c r="T276" s="960"/>
    </row>
    <row r="277" spans="1:32" ht="20.100000000000001" customHeight="1" x14ac:dyDescent="0.3">
      <c r="A277"/>
      <c r="B277"/>
      <c r="C277"/>
      <c r="D277"/>
      <c r="E277"/>
      <c r="F277"/>
      <c r="G277"/>
      <c r="H277"/>
      <c r="I277"/>
      <c r="J277"/>
      <c r="K277"/>
      <c r="L277"/>
      <c r="M277"/>
      <c r="N277"/>
      <c r="O277"/>
      <c r="S277" s="960"/>
      <c r="T277" s="960"/>
    </row>
    <row r="278" spans="1:32" ht="20.100000000000001" customHeight="1" x14ac:dyDescent="0.3">
      <c r="A278"/>
      <c r="B278"/>
      <c r="C278"/>
      <c r="D278"/>
      <c r="E278"/>
      <c r="F278"/>
      <c r="G278"/>
      <c r="H278"/>
      <c r="I278"/>
      <c r="J278"/>
      <c r="K278"/>
      <c r="L278"/>
      <c r="M278"/>
      <c r="N278"/>
      <c r="O278"/>
    </row>
    <row r="279" spans="1:32" ht="20.100000000000001" customHeight="1" x14ac:dyDescent="0.3">
      <c r="A279"/>
      <c r="B279"/>
      <c r="C279"/>
      <c r="D279"/>
      <c r="E279"/>
      <c r="F279"/>
      <c r="G279"/>
      <c r="H279"/>
      <c r="I279"/>
      <c r="J279"/>
      <c r="K279"/>
      <c r="L279"/>
      <c r="M279"/>
      <c r="N279"/>
      <c r="O279"/>
    </row>
    <row r="280" spans="1:32" ht="20.100000000000001" customHeight="1" x14ac:dyDescent="0.3">
      <c r="A280"/>
      <c r="B280"/>
      <c r="C280"/>
      <c r="D280"/>
      <c r="E280"/>
      <c r="F280"/>
      <c r="G280"/>
      <c r="H280"/>
      <c r="I280"/>
      <c r="J280"/>
      <c r="K280"/>
      <c r="L280"/>
      <c r="M280"/>
      <c r="N280"/>
      <c r="O280"/>
    </row>
    <row r="281" spans="1:32" ht="20.100000000000001" customHeight="1" x14ac:dyDescent="0.3">
      <c r="A281"/>
      <c r="B281"/>
      <c r="C281"/>
      <c r="D281"/>
      <c r="E281"/>
      <c r="F281"/>
      <c r="G281"/>
      <c r="H281"/>
      <c r="I281"/>
      <c r="J281"/>
      <c r="K281"/>
      <c r="L281"/>
      <c r="M281"/>
      <c r="N281"/>
      <c r="O281"/>
    </row>
    <row r="282" spans="1:32" ht="20.100000000000001" customHeight="1" x14ac:dyDescent="0.3">
      <c r="A282"/>
      <c r="B282"/>
      <c r="C282"/>
      <c r="D282"/>
      <c r="E282"/>
      <c r="F282"/>
      <c r="G282"/>
      <c r="H282"/>
      <c r="I282"/>
      <c r="J282"/>
      <c r="K282"/>
      <c r="L282"/>
      <c r="M282"/>
      <c r="N282"/>
      <c r="O282"/>
    </row>
    <row r="283" spans="1:32" ht="20.100000000000001" customHeight="1" x14ac:dyDescent="0.3">
      <c r="A283"/>
      <c r="B283"/>
      <c r="C283"/>
      <c r="D283"/>
      <c r="E283"/>
      <c r="F283"/>
      <c r="G283"/>
      <c r="H283"/>
      <c r="I283"/>
      <c r="J283"/>
      <c r="K283"/>
      <c r="L283"/>
      <c r="M283"/>
      <c r="N283"/>
      <c r="O283"/>
    </row>
    <row r="284" spans="1:32" ht="20.100000000000001" customHeight="1" x14ac:dyDescent="0.3">
      <c r="A284"/>
      <c r="B284"/>
      <c r="C284"/>
      <c r="D284"/>
      <c r="E284"/>
      <c r="F284"/>
      <c r="G284"/>
      <c r="H284"/>
      <c r="I284"/>
      <c r="J284"/>
      <c r="K284"/>
      <c r="L284"/>
      <c r="M284"/>
      <c r="N284"/>
      <c r="O284"/>
    </row>
    <row r="285" spans="1:32" ht="20.100000000000001" customHeight="1" x14ac:dyDescent="0.3">
      <c r="A285"/>
      <c r="B285"/>
      <c r="C285"/>
      <c r="D285"/>
      <c r="E285"/>
      <c r="F285"/>
      <c r="G285"/>
      <c r="H285"/>
      <c r="I285"/>
      <c r="J285"/>
      <c r="K285"/>
      <c r="L285"/>
      <c r="M285"/>
      <c r="N285"/>
      <c r="O285"/>
      <c r="U285"/>
      <c r="V285"/>
      <c r="W285"/>
      <c r="X285"/>
      <c r="AC285"/>
    </row>
    <row r="286" spans="1:32" ht="20.100000000000001" customHeight="1" x14ac:dyDescent="0.3">
      <c r="A286"/>
      <c r="B286"/>
      <c r="C286"/>
      <c r="D286"/>
      <c r="E286"/>
      <c r="F286"/>
      <c r="G286"/>
      <c r="H286"/>
      <c r="I286"/>
      <c r="J286"/>
      <c r="K286"/>
      <c r="L286"/>
      <c r="M286"/>
      <c r="N286"/>
      <c r="O286"/>
      <c r="U286"/>
      <c r="V286"/>
      <c r="W286"/>
      <c r="X286"/>
      <c r="AC286"/>
    </row>
    <row r="287" spans="1:32" x14ac:dyDescent="0.3">
      <c r="A287"/>
      <c r="B287"/>
      <c r="C287"/>
      <c r="D287"/>
      <c r="E287"/>
      <c r="F287"/>
      <c r="G287"/>
      <c r="H287"/>
      <c r="I287"/>
      <c r="J287"/>
      <c r="K287"/>
      <c r="L287"/>
      <c r="M287"/>
      <c r="N287"/>
      <c r="O287"/>
      <c r="U287"/>
      <c r="V287"/>
      <c r="W287"/>
      <c r="X287"/>
      <c r="AC287"/>
    </row>
    <row r="288" spans="1:32" ht="15" customHeight="1" x14ac:dyDescent="0.3">
      <c r="A288"/>
      <c r="B288"/>
      <c r="C288"/>
      <c r="D288"/>
      <c r="E288"/>
      <c r="F288"/>
      <c r="G288"/>
      <c r="H288"/>
      <c r="I288"/>
      <c r="J288"/>
      <c r="K288"/>
      <c r="L288"/>
      <c r="M288"/>
      <c r="N288"/>
      <c r="O288"/>
      <c r="U288"/>
      <c r="V288"/>
      <c r="W288"/>
      <c r="X288"/>
      <c r="AC288"/>
    </row>
    <row r="289" spans="8:17" customFormat="1" x14ac:dyDescent="0.3"/>
    <row r="290" spans="8:17" customFormat="1" x14ac:dyDescent="0.3"/>
    <row r="291" spans="8:17" customFormat="1" x14ac:dyDescent="0.3"/>
    <row r="292" spans="8:17" customFormat="1" x14ac:dyDescent="0.3"/>
    <row r="293" spans="8:17" customFormat="1" x14ac:dyDescent="0.3"/>
    <row r="294" spans="8:17" customFormat="1" ht="27" customHeight="1" x14ac:dyDescent="0.3"/>
    <row r="295" spans="8:17" customFormat="1" ht="18" customHeight="1" x14ac:dyDescent="0.3"/>
    <row r="296" spans="8:17" customFormat="1" x14ac:dyDescent="0.3"/>
    <row r="297" spans="8:17" customFormat="1" x14ac:dyDescent="0.3"/>
    <row r="298" spans="8:17" customFormat="1" x14ac:dyDescent="0.3"/>
    <row r="299" spans="8:17" customFormat="1" x14ac:dyDescent="0.3"/>
    <row r="300" spans="8:17" customFormat="1" x14ac:dyDescent="0.3"/>
    <row r="301" spans="8:17" customFormat="1" ht="30" customHeight="1" x14ac:dyDescent="0.3"/>
    <row r="302" spans="8:17" customFormat="1" ht="30" customHeight="1" x14ac:dyDescent="0.3"/>
    <row r="303" spans="8:17" customFormat="1" ht="30" customHeight="1" x14ac:dyDescent="0.3">
      <c r="H303" s="6"/>
      <c r="P303" s="82"/>
      <c r="Q303" s="81"/>
    </row>
    <row r="304" spans="8:17" customFormat="1" ht="30" customHeight="1" x14ac:dyDescent="0.3">
      <c r="H304" s="6"/>
      <c r="P304" s="82"/>
      <c r="Q304" s="81"/>
    </row>
    <row r="305" spans="8:17" customFormat="1" ht="30" customHeight="1" x14ac:dyDescent="0.3">
      <c r="H305" s="6"/>
      <c r="P305" s="83"/>
      <c r="Q305" s="81"/>
    </row>
    <row r="306" spans="8:17" customFormat="1" ht="30" customHeight="1" x14ac:dyDescent="0.3">
      <c r="H306" s="6"/>
      <c r="P306" s="7"/>
      <c r="Q306" s="81"/>
    </row>
    <row r="307" spans="8:17" customFormat="1" ht="27.75" customHeight="1" x14ac:dyDescent="0.3">
      <c r="H307" s="6"/>
      <c r="P307" s="7"/>
      <c r="Q307" s="81"/>
    </row>
    <row r="308" spans="8:17" customFormat="1" x14ac:dyDescent="0.3">
      <c r="H308" s="6"/>
    </row>
    <row r="309" spans="8:17" customFormat="1" ht="30" customHeight="1" x14ac:dyDescent="0.3">
      <c r="H309" s="6"/>
    </row>
    <row r="310" spans="8:17" customFormat="1" ht="30" customHeight="1" x14ac:dyDescent="0.3"/>
    <row r="311" spans="8:17" customFormat="1" ht="30" customHeight="1" x14ac:dyDescent="0.3"/>
    <row r="312" spans="8:17" customFormat="1" ht="30" customHeight="1" x14ac:dyDescent="0.3"/>
    <row r="313" spans="8:17" customFormat="1" ht="30" customHeight="1" x14ac:dyDescent="0.3"/>
    <row r="314" spans="8:17" customFormat="1" ht="30" customHeight="1" x14ac:dyDescent="0.3">
      <c r="H314" s="6"/>
    </row>
    <row r="315" spans="8:17" customFormat="1" ht="30" customHeight="1" x14ac:dyDescent="0.3">
      <c r="H315" s="6"/>
    </row>
    <row r="316" spans="8:17" customFormat="1" ht="30" customHeight="1" x14ac:dyDescent="0.3">
      <c r="H316" s="6"/>
    </row>
    <row r="317" spans="8:17" customFormat="1" x14ac:dyDescent="0.3">
      <c r="H317" s="6"/>
    </row>
    <row r="318" spans="8:17" customFormat="1" x14ac:dyDescent="0.3">
      <c r="H318" s="6"/>
    </row>
    <row r="319" spans="8:17" customFormat="1" ht="15" customHeight="1" x14ac:dyDescent="0.3">
      <c r="H319" s="6"/>
    </row>
    <row r="320" spans="8:17" customFormat="1" ht="25.95" customHeight="1" x14ac:dyDescent="0.3">
      <c r="H320" s="6"/>
    </row>
    <row r="321" spans="1:29" x14ac:dyDescent="0.3">
      <c r="A321"/>
      <c r="B321"/>
      <c r="C321"/>
      <c r="D321"/>
      <c r="E321"/>
      <c r="F321"/>
      <c r="G321"/>
      <c r="I321"/>
      <c r="J321"/>
      <c r="K321"/>
      <c r="L321"/>
      <c r="M321"/>
      <c r="N321"/>
      <c r="O321"/>
      <c r="U321"/>
      <c r="V321"/>
      <c r="W321"/>
      <c r="X321"/>
      <c r="AC321"/>
    </row>
    <row r="322" spans="1:29" ht="15" customHeight="1" x14ac:dyDescent="0.3">
      <c r="A322"/>
      <c r="B322"/>
      <c r="C322"/>
      <c r="D322"/>
      <c r="E322"/>
      <c r="F322"/>
      <c r="G322"/>
      <c r="H322"/>
      <c r="I322"/>
      <c r="J322"/>
      <c r="K322"/>
      <c r="L322"/>
      <c r="M322"/>
      <c r="N322"/>
      <c r="O322"/>
      <c r="U322"/>
      <c r="V322"/>
      <c r="W322"/>
      <c r="X322"/>
      <c r="AC322"/>
    </row>
    <row r="323" spans="1:29" ht="15" customHeight="1" x14ac:dyDescent="0.3">
      <c r="A323"/>
      <c r="B323"/>
      <c r="C323"/>
      <c r="D323"/>
      <c r="E323"/>
      <c r="F323"/>
      <c r="G323"/>
      <c r="H323"/>
      <c r="I323"/>
      <c r="J323"/>
      <c r="K323"/>
      <c r="L323"/>
      <c r="M323"/>
      <c r="N323"/>
      <c r="O323"/>
      <c r="U323"/>
      <c r="V323"/>
      <c r="W323"/>
      <c r="X323"/>
      <c r="AC323"/>
    </row>
    <row r="324" spans="1:29" x14ac:dyDescent="0.3">
      <c r="A324"/>
      <c r="B324"/>
      <c r="C324"/>
      <c r="D324"/>
      <c r="E324"/>
      <c r="F324"/>
      <c r="G324"/>
      <c r="H324"/>
      <c r="I324"/>
      <c r="J324"/>
      <c r="K324"/>
      <c r="L324"/>
      <c r="M324"/>
      <c r="N324"/>
      <c r="O324"/>
      <c r="U324"/>
      <c r="V324"/>
      <c r="W324"/>
      <c r="X324"/>
      <c r="AC324"/>
    </row>
    <row r="325" spans="1:29" x14ac:dyDescent="0.3">
      <c r="A325"/>
      <c r="B325"/>
      <c r="C325"/>
      <c r="D325"/>
      <c r="E325"/>
      <c r="F325"/>
      <c r="G325"/>
      <c r="H325"/>
      <c r="I325"/>
      <c r="J325"/>
      <c r="K325"/>
      <c r="L325"/>
      <c r="M325"/>
      <c r="N325"/>
      <c r="O325"/>
      <c r="U325"/>
      <c r="V325"/>
      <c r="W325"/>
      <c r="X325"/>
      <c r="AC325"/>
    </row>
    <row r="326" spans="1:29" x14ac:dyDescent="0.3">
      <c r="A326"/>
      <c r="B326"/>
      <c r="C326"/>
      <c r="D326"/>
      <c r="E326"/>
      <c r="F326"/>
      <c r="G326"/>
      <c r="H326"/>
      <c r="I326"/>
      <c r="J326"/>
      <c r="K326"/>
      <c r="L326"/>
      <c r="M326"/>
      <c r="N326"/>
      <c r="O326"/>
      <c r="U326"/>
      <c r="V326"/>
      <c r="W326"/>
      <c r="X326"/>
      <c r="AC326"/>
    </row>
    <row r="327" spans="1:29" x14ac:dyDescent="0.3">
      <c r="A327"/>
      <c r="B327"/>
      <c r="C327"/>
      <c r="D327"/>
      <c r="E327"/>
      <c r="F327"/>
      <c r="G327"/>
      <c r="H327"/>
      <c r="I327"/>
      <c r="J327"/>
      <c r="K327"/>
      <c r="L327"/>
      <c r="M327"/>
      <c r="N327"/>
      <c r="O327"/>
      <c r="U327"/>
      <c r="V327"/>
      <c r="W327"/>
      <c r="X327"/>
      <c r="AC327"/>
    </row>
    <row r="328" spans="1:29" x14ac:dyDescent="0.3">
      <c r="A328"/>
      <c r="B328"/>
      <c r="C328"/>
      <c r="D328"/>
      <c r="E328"/>
      <c r="F328"/>
      <c r="G328"/>
      <c r="H328"/>
      <c r="I328"/>
      <c r="J328"/>
      <c r="K328"/>
      <c r="L328"/>
      <c r="M328"/>
      <c r="N328"/>
      <c r="O328"/>
      <c r="U328"/>
      <c r="V328"/>
      <c r="W328"/>
      <c r="X328"/>
      <c r="AC328"/>
    </row>
    <row r="329" spans="1:29" x14ac:dyDescent="0.3">
      <c r="A329"/>
      <c r="B329"/>
      <c r="C329"/>
      <c r="D329"/>
      <c r="E329"/>
      <c r="F329"/>
      <c r="G329"/>
      <c r="H329"/>
      <c r="I329"/>
      <c r="J329"/>
      <c r="K329"/>
      <c r="L329"/>
      <c r="M329"/>
      <c r="N329"/>
      <c r="O329"/>
      <c r="U329"/>
      <c r="V329"/>
      <c r="W329"/>
      <c r="X329"/>
      <c r="AC329"/>
    </row>
    <row r="330" spans="1:29" x14ac:dyDescent="0.3">
      <c r="A330"/>
      <c r="B330"/>
      <c r="C330"/>
      <c r="D330"/>
      <c r="E330"/>
      <c r="F330"/>
      <c r="G330"/>
      <c r="H330"/>
      <c r="I330"/>
      <c r="J330"/>
      <c r="K330"/>
      <c r="L330"/>
      <c r="M330"/>
      <c r="N330"/>
      <c r="O330"/>
      <c r="U330"/>
      <c r="V330"/>
      <c r="W330"/>
      <c r="X330"/>
      <c r="AC330"/>
    </row>
    <row r="331" spans="1:29" ht="30" customHeight="1" x14ac:dyDescent="0.3">
      <c r="A331"/>
      <c r="B331"/>
      <c r="C331"/>
      <c r="D331"/>
      <c r="E331"/>
      <c r="F331"/>
      <c r="G331"/>
      <c r="H331"/>
      <c r="I331"/>
      <c r="J331"/>
      <c r="K331"/>
      <c r="L331"/>
      <c r="M331"/>
      <c r="N331"/>
      <c r="O331"/>
      <c r="U331"/>
      <c r="V331"/>
      <c r="W331"/>
      <c r="X331"/>
      <c r="AC331"/>
    </row>
    <row r="332" spans="1:29" ht="24.9" customHeight="1" x14ac:dyDescent="0.3">
      <c r="A332"/>
      <c r="B332"/>
      <c r="C332"/>
      <c r="D332"/>
      <c r="E332"/>
      <c r="F332"/>
      <c r="G332"/>
      <c r="H332"/>
      <c r="I332"/>
      <c r="J332"/>
      <c r="K332"/>
      <c r="L332"/>
      <c r="M332"/>
      <c r="N332"/>
      <c r="O332"/>
      <c r="U332"/>
      <c r="V332"/>
      <c r="W332"/>
      <c r="X332"/>
      <c r="AC332"/>
    </row>
    <row r="333" spans="1:29" ht="45" customHeight="1" x14ac:dyDescent="0.3">
      <c r="A333"/>
      <c r="B333"/>
      <c r="C333"/>
      <c r="D333"/>
      <c r="E333"/>
      <c r="F333"/>
      <c r="G333"/>
      <c r="H333"/>
      <c r="I333"/>
      <c r="J333"/>
      <c r="K333"/>
      <c r="L333"/>
      <c r="M333"/>
      <c r="N333"/>
      <c r="O333"/>
      <c r="U333"/>
      <c r="V333"/>
      <c r="W333"/>
      <c r="X333"/>
      <c r="AC333"/>
    </row>
    <row r="334" spans="1:29" ht="45.75" customHeight="1" x14ac:dyDescent="0.3">
      <c r="H334"/>
      <c r="I334"/>
      <c r="J334"/>
      <c r="K334"/>
      <c r="L334"/>
      <c r="M334"/>
      <c r="N334"/>
      <c r="O334"/>
      <c r="U334"/>
      <c r="V334"/>
      <c r="W334"/>
      <c r="X334"/>
      <c r="AC334"/>
    </row>
    <row r="335" spans="1:29" ht="44.25" customHeight="1" x14ac:dyDescent="0.3">
      <c r="C335"/>
      <c r="D335"/>
      <c r="E335"/>
      <c r="F335"/>
      <c r="G335"/>
      <c r="H335"/>
      <c r="I335"/>
      <c r="J335"/>
      <c r="K335"/>
      <c r="L335"/>
      <c r="M335"/>
      <c r="N335"/>
      <c r="O335"/>
      <c r="U335"/>
      <c r="V335"/>
      <c r="W335"/>
      <c r="X335"/>
      <c r="AC335"/>
    </row>
    <row r="336" spans="1:29" ht="39.75" customHeight="1" x14ac:dyDescent="0.3">
      <c r="H336"/>
      <c r="I336"/>
      <c r="J336"/>
      <c r="K336"/>
      <c r="L336"/>
      <c r="M336"/>
      <c r="N336"/>
      <c r="O336"/>
      <c r="U336"/>
      <c r="V336"/>
      <c r="W336"/>
      <c r="X336"/>
      <c r="AC336"/>
    </row>
    <row r="337" spans="1:29" ht="35.25" customHeight="1" x14ac:dyDescent="0.3">
      <c r="A337"/>
      <c r="B337"/>
      <c r="C337"/>
      <c r="D337"/>
      <c r="E337"/>
      <c r="F337"/>
      <c r="G337"/>
      <c r="H337"/>
      <c r="I337"/>
      <c r="J337"/>
      <c r="K337"/>
      <c r="L337"/>
      <c r="M337"/>
      <c r="N337"/>
      <c r="O337"/>
      <c r="U337"/>
      <c r="V337"/>
      <c r="W337"/>
      <c r="X337"/>
      <c r="AC337"/>
    </row>
    <row r="338" spans="1:29" ht="35.25" customHeight="1" x14ac:dyDescent="0.3">
      <c r="A338"/>
      <c r="B338"/>
      <c r="C338"/>
      <c r="D338"/>
      <c r="E338"/>
      <c r="F338"/>
      <c r="G338"/>
      <c r="H338"/>
      <c r="I338"/>
      <c r="J338"/>
      <c r="K338"/>
      <c r="L338"/>
      <c r="M338"/>
      <c r="N338"/>
      <c r="O338"/>
      <c r="U338"/>
      <c r="V338"/>
      <c r="W338"/>
      <c r="X338"/>
      <c r="AC338"/>
    </row>
    <row r="339" spans="1:29" ht="24.9" customHeight="1" x14ac:dyDescent="0.3">
      <c r="A339"/>
      <c r="B339"/>
      <c r="C339"/>
      <c r="D339"/>
      <c r="E339"/>
      <c r="F339"/>
      <c r="G339"/>
      <c r="H339"/>
      <c r="I339"/>
      <c r="J339"/>
      <c r="K339"/>
      <c r="L339"/>
      <c r="M339"/>
      <c r="N339"/>
      <c r="O339"/>
      <c r="U339"/>
      <c r="V339"/>
      <c r="W339"/>
      <c r="X339"/>
      <c r="AC339"/>
    </row>
    <row r="340" spans="1:29" ht="24.9" customHeight="1" x14ac:dyDescent="0.3">
      <c r="B340"/>
      <c r="C340"/>
      <c r="D340"/>
      <c r="E340"/>
      <c r="F340"/>
      <c r="G340"/>
      <c r="H340"/>
      <c r="I340"/>
      <c r="J340"/>
      <c r="K340"/>
      <c r="L340"/>
      <c r="M340"/>
      <c r="N340"/>
      <c r="O340"/>
      <c r="U340"/>
      <c r="V340"/>
      <c r="W340"/>
      <c r="X340"/>
      <c r="AC340"/>
    </row>
    <row r="341" spans="1:29" ht="24.9" customHeight="1" x14ac:dyDescent="0.3">
      <c r="B341"/>
      <c r="C341"/>
      <c r="D341"/>
      <c r="E341"/>
      <c r="F341"/>
      <c r="I341"/>
      <c r="J341"/>
      <c r="K341"/>
      <c r="L341"/>
      <c r="M341"/>
      <c r="N341"/>
      <c r="O341"/>
      <c r="U341"/>
      <c r="V341"/>
      <c r="W341"/>
      <c r="X341"/>
      <c r="AC341"/>
    </row>
    <row r="342" spans="1:29" ht="24.9" customHeight="1" x14ac:dyDescent="0.3">
      <c r="B342"/>
      <c r="D342"/>
      <c r="E342"/>
      <c r="F342"/>
      <c r="G342"/>
      <c r="I342"/>
      <c r="J342"/>
      <c r="K342"/>
      <c r="L342"/>
      <c r="M342"/>
      <c r="N342"/>
      <c r="O342"/>
      <c r="U342"/>
      <c r="V342"/>
      <c r="W342"/>
      <c r="X342"/>
      <c r="AC342"/>
    </row>
    <row r="343" spans="1:29" ht="24.9" customHeight="1" x14ac:dyDescent="0.3">
      <c r="B343"/>
      <c r="C343"/>
      <c r="D343"/>
      <c r="E343"/>
      <c r="G343"/>
      <c r="H343"/>
      <c r="I343"/>
      <c r="J343"/>
      <c r="K343"/>
      <c r="L343"/>
      <c r="M343"/>
      <c r="N343"/>
      <c r="O343"/>
      <c r="U343"/>
      <c r="V343"/>
      <c r="W343"/>
      <c r="X343"/>
      <c r="AC343"/>
    </row>
    <row r="344" spans="1:29" ht="24.9" customHeight="1" x14ac:dyDescent="0.3">
      <c r="B344"/>
      <c r="C344"/>
      <c r="D344"/>
      <c r="E344"/>
      <c r="F344"/>
      <c r="G344"/>
      <c r="H344"/>
      <c r="I344"/>
      <c r="J344"/>
      <c r="K344"/>
      <c r="L344"/>
      <c r="M344"/>
      <c r="N344"/>
      <c r="O344"/>
      <c r="U344"/>
      <c r="V344"/>
      <c r="W344"/>
      <c r="X344"/>
      <c r="AC344"/>
    </row>
    <row r="345" spans="1:29" ht="24.9" customHeight="1" x14ac:dyDescent="0.3">
      <c r="A345"/>
      <c r="B345"/>
      <c r="C345"/>
      <c r="D345"/>
      <c r="E345"/>
      <c r="F345"/>
      <c r="G345"/>
      <c r="H345"/>
      <c r="I345"/>
      <c r="J345"/>
      <c r="K345"/>
      <c r="L345"/>
      <c r="M345"/>
      <c r="N345"/>
      <c r="O345"/>
      <c r="U345"/>
      <c r="V345"/>
      <c r="W345"/>
      <c r="X345"/>
      <c r="AC345"/>
    </row>
    <row r="346" spans="1:29" ht="24.9" customHeight="1" x14ac:dyDescent="0.3">
      <c r="A346"/>
      <c r="B346"/>
      <c r="C346"/>
      <c r="D346"/>
      <c r="E346"/>
      <c r="F346"/>
      <c r="G346"/>
      <c r="H346"/>
      <c r="I346"/>
      <c r="J346"/>
      <c r="K346"/>
      <c r="L346"/>
      <c r="M346"/>
      <c r="N346"/>
      <c r="O346"/>
      <c r="U346"/>
      <c r="V346"/>
      <c r="W346"/>
      <c r="X346"/>
      <c r="AC346"/>
    </row>
    <row r="347" spans="1:29" ht="48" customHeight="1" x14ac:dyDescent="0.3">
      <c r="A347"/>
      <c r="B347"/>
      <c r="C347"/>
      <c r="D347"/>
      <c r="E347"/>
      <c r="F347"/>
      <c r="G347"/>
      <c r="H347"/>
      <c r="I347"/>
      <c r="J347"/>
      <c r="K347"/>
      <c r="L347"/>
      <c r="M347"/>
      <c r="N347"/>
      <c r="O347"/>
      <c r="U347"/>
      <c r="V347"/>
      <c r="W347"/>
      <c r="X347"/>
      <c r="AC347"/>
    </row>
    <row r="348" spans="1:29" ht="28.5" customHeight="1" x14ac:dyDescent="0.3">
      <c r="Q348" s="30"/>
      <c r="R348" s="30"/>
      <c r="U348"/>
      <c r="V348"/>
      <c r="W348"/>
      <c r="X348"/>
      <c r="AC348"/>
    </row>
    <row r="349" spans="1:29" ht="24.9" customHeight="1" x14ac:dyDescent="0.3"/>
    <row r="350" spans="1:29" ht="51" customHeight="1" x14ac:dyDescent="0.3">
      <c r="U350"/>
      <c r="V350"/>
      <c r="W350"/>
      <c r="X350"/>
    </row>
    <row r="351" spans="1:29" ht="69.75" customHeight="1" x14ac:dyDescent="0.3">
      <c r="U351"/>
      <c r="V351"/>
      <c r="W351"/>
      <c r="X351"/>
    </row>
    <row r="352" spans="1:29" ht="72" customHeight="1" x14ac:dyDescent="0.3">
      <c r="U352"/>
      <c r="V352"/>
      <c r="W352"/>
      <c r="X352"/>
    </row>
    <row r="353" spans="1:46" ht="81.75" customHeight="1" x14ac:dyDescent="0.3">
      <c r="U353"/>
      <c r="V353"/>
      <c r="W353"/>
      <c r="X353"/>
      <c r="AT353" s="6"/>
    </row>
    <row r="354" spans="1:46" ht="45" customHeight="1" x14ac:dyDescent="0.3">
      <c r="U354"/>
      <c r="V354"/>
      <c r="W354"/>
      <c r="X354"/>
      <c r="AT354" s="6"/>
    </row>
    <row r="355" spans="1:46" ht="45" customHeight="1" x14ac:dyDescent="0.3">
      <c r="U355"/>
      <c r="V355"/>
      <c r="W355"/>
      <c r="X355"/>
      <c r="AT355" s="6"/>
    </row>
    <row r="356" spans="1:46" ht="45" customHeight="1" x14ac:dyDescent="0.3">
      <c r="U356"/>
      <c r="V356"/>
      <c r="W356"/>
      <c r="X356"/>
      <c r="AT356" s="6"/>
    </row>
    <row r="357" spans="1:46" ht="39" customHeight="1" x14ac:dyDescent="0.3">
      <c r="U357"/>
      <c r="V357"/>
      <c r="W357"/>
      <c r="X357"/>
      <c r="AT357" s="6"/>
    </row>
    <row r="358" spans="1:46" ht="46.5" customHeight="1" x14ac:dyDescent="0.3">
      <c r="U358"/>
      <c r="V358"/>
      <c r="W358"/>
      <c r="X358"/>
      <c r="AT358" s="6"/>
    </row>
    <row r="359" spans="1:46" ht="51" customHeight="1" x14ac:dyDescent="0.3">
      <c r="U359"/>
      <c r="V359"/>
      <c r="W359"/>
      <c r="X359"/>
      <c r="AT359" s="6"/>
    </row>
    <row r="360" spans="1:46" ht="45" customHeight="1" x14ac:dyDescent="0.3">
      <c r="U360"/>
      <c r="V360"/>
      <c r="W360"/>
      <c r="X360"/>
      <c r="AT360" s="6"/>
    </row>
    <row r="361" spans="1:46" ht="45" customHeight="1" x14ac:dyDescent="0.3">
      <c r="A361"/>
      <c r="B361"/>
      <c r="C361"/>
      <c r="D361"/>
      <c r="E361"/>
      <c r="F361"/>
      <c r="G361"/>
      <c r="H361"/>
      <c r="I361"/>
      <c r="J361"/>
      <c r="K361"/>
      <c r="U361"/>
      <c r="V361"/>
      <c r="W361"/>
      <c r="X361"/>
    </row>
    <row r="362" spans="1:46" ht="45" customHeight="1" x14ac:dyDescent="0.3">
      <c r="A362"/>
      <c r="B362"/>
      <c r="C362"/>
      <c r="D362"/>
      <c r="E362"/>
      <c r="F362"/>
      <c r="G362"/>
      <c r="H362"/>
      <c r="I362"/>
      <c r="J362"/>
      <c r="K362"/>
      <c r="N362"/>
      <c r="U362"/>
      <c r="V362"/>
      <c r="W362"/>
      <c r="X362"/>
    </row>
    <row r="363" spans="1:46" ht="45" customHeight="1" x14ac:dyDescent="0.3">
      <c r="A363"/>
      <c r="B363"/>
      <c r="C363"/>
      <c r="D363"/>
      <c r="E363"/>
      <c r="F363"/>
      <c r="G363"/>
      <c r="H363"/>
      <c r="I363"/>
      <c r="J363"/>
      <c r="K363"/>
      <c r="U363"/>
      <c r="V363"/>
      <c r="W363"/>
      <c r="X363"/>
    </row>
    <row r="364" spans="1:46" ht="45" customHeight="1" x14ac:dyDescent="0.3">
      <c r="A364"/>
      <c r="B364"/>
      <c r="C364"/>
      <c r="D364"/>
      <c r="E364"/>
      <c r="F364"/>
      <c r="G364"/>
      <c r="H364"/>
      <c r="I364"/>
      <c r="J364"/>
      <c r="K364"/>
      <c r="L364"/>
      <c r="M364"/>
      <c r="U364"/>
      <c r="V364"/>
      <c r="W364"/>
      <c r="X364"/>
    </row>
    <row r="365" spans="1:46" ht="48.75" customHeight="1" x14ac:dyDescent="0.3">
      <c r="A365"/>
      <c r="B365"/>
      <c r="C365"/>
      <c r="D365"/>
      <c r="E365"/>
      <c r="F365"/>
      <c r="G365"/>
      <c r="H365"/>
      <c r="I365"/>
      <c r="J365"/>
      <c r="K365"/>
      <c r="L365" s="30"/>
      <c r="M365" s="30"/>
      <c r="N365"/>
      <c r="O365"/>
      <c r="U365"/>
      <c r="V365"/>
      <c r="W365"/>
      <c r="X365"/>
    </row>
    <row r="366" spans="1:46" ht="24.9" customHeight="1" x14ac:dyDescent="0.3">
      <c r="A366"/>
      <c r="B366"/>
      <c r="C366"/>
      <c r="D366"/>
      <c r="E366"/>
      <c r="F366"/>
      <c r="G366"/>
      <c r="H366"/>
      <c r="I366"/>
      <c r="J366"/>
      <c r="K366"/>
      <c r="N366"/>
      <c r="O366"/>
      <c r="U366"/>
      <c r="V366"/>
      <c r="W366"/>
      <c r="X366"/>
    </row>
    <row r="367" spans="1:46" ht="24.9" customHeight="1" x14ac:dyDescent="0.3">
      <c r="A367"/>
      <c r="B367"/>
      <c r="C367"/>
      <c r="D367"/>
      <c r="E367"/>
      <c r="F367"/>
      <c r="G367"/>
      <c r="H367"/>
      <c r="I367"/>
      <c r="J367"/>
      <c r="K367"/>
      <c r="N367"/>
      <c r="O367"/>
      <c r="U367"/>
      <c r="V367"/>
      <c r="W367"/>
      <c r="X367"/>
    </row>
    <row r="368" spans="1:46" ht="24.9" customHeight="1" x14ac:dyDescent="0.3">
      <c r="A368"/>
      <c r="B368"/>
      <c r="C368"/>
      <c r="D368"/>
      <c r="E368"/>
      <c r="F368"/>
      <c r="G368"/>
      <c r="H368"/>
      <c r="I368"/>
      <c r="J368"/>
      <c r="K368"/>
      <c r="N368"/>
      <c r="O368"/>
      <c r="U368"/>
      <c r="V368"/>
      <c r="W368"/>
      <c r="X368"/>
    </row>
    <row r="369" spans="1:29" ht="24.9" customHeight="1" x14ac:dyDescent="0.3">
      <c r="A369"/>
      <c r="B369"/>
      <c r="C369"/>
      <c r="D369"/>
      <c r="E369"/>
      <c r="F369"/>
      <c r="G369"/>
      <c r="H369"/>
      <c r="I369"/>
      <c r="J369"/>
      <c r="K369"/>
      <c r="N369"/>
      <c r="O369"/>
      <c r="U369"/>
      <c r="V369"/>
      <c r="W369"/>
      <c r="X369"/>
    </row>
    <row r="370" spans="1:29" ht="24.9" customHeight="1" x14ac:dyDescent="0.3">
      <c r="A370"/>
      <c r="B370"/>
      <c r="C370"/>
      <c r="D370"/>
      <c r="E370"/>
      <c r="F370"/>
      <c r="G370"/>
      <c r="H370"/>
      <c r="I370"/>
      <c r="J370"/>
      <c r="K370"/>
      <c r="N370"/>
      <c r="O370"/>
      <c r="U370"/>
      <c r="V370"/>
      <c r="W370"/>
      <c r="X370"/>
    </row>
    <row r="371" spans="1:29" ht="24.9" customHeight="1" x14ac:dyDescent="0.3">
      <c r="A371"/>
      <c r="B371"/>
      <c r="C371"/>
      <c r="D371"/>
      <c r="E371"/>
      <c r="F371"/>
      <c r="G371"/>
      <c r="H371"/>
      <c r="I371"/>
      <c r="J371"/>
      <c r="K371"/>
      <c r="N371"/>
      <c r="O371"/>
      <c r="U371"/>
      <c r="V371"/>
      <c r="W371"/>
      <c r="X371"/>
    </row>
    <row r="372" spans="1:29" ht="24.9" customHeight="1" x14ac:dyDescent="0.3">
      <c r="A372"/>
      <c r="B372"/>
      <c r="C372"/>
      <c r="D372"/>
      <c r="E372"/>
      <c r="F372"/>
      <c r="G372"/>
      <c r="H372"/>
      <c r="I372"/>
      <c r="J372"/>
      <c r="K372"/>
      <c r="N372"/>
      <c r="O372"/>
      <c r="U372"/>
      <c r="V372"/>
      <c r="W372"/>
      <c r="X372"/>
    </row>
    <row r="373" spans="1:29" ht="24.9" customHeight="1" x14ac:dyDescent="0.3">
      <c r="A373"/>
      <c r="B373"/>
      <c r="C373"/>
      <c r="D373"/>
      <c r="E373"/>
      <c r="F373"/>
      <c r="G373"/>
      <c r="H373"/>
      <c r="I373"/>
      <c r="J373"/>
      <c r="K373"/>
      <c r="N373"/>
      <c r="O373"/>
      <c r="U373"/>
      <c r="V373"/>
      <c r="W373"/>
      <c r="X373"/>
    </row>
    <row r="374" spans="1:29" ht="24.9" customHeight="1" x14ac:dyDescent="0.3">
      <c r="A374"/>
      <c r="B374"/>
      <c r="C374"/>
      <c r="D374"/>
      <c r="E374"/>
      <c r="F374"/>
      <c r="G374"/>
      <c r="H374"/>
      <c r="I374"/>
      <c r="J374"/>
      <c r="K374"/>
      <c r="N374"/>
      <c r="O374"/>
      <c r="U374"/>
      <c r="V374"/>
      <c r="W374"/>
      <c r="X374"/>
    </row>
    <row r="375" spans="1:29" ht="24.9" customHeight="1" x14ac:dyDescent="0.3">
      <c r="A375"/>
      <c r="B375"/>
      <c r="C375"/>
      <c r="D375"/>
      <c r="E375"/>
      <c r="F375"/>
      <c r="G375"/>
      <c r="H375"/>
      <c r="I375"/>
      <c r="J375"/>
      <c r="K375"/>
      <c r="N375"/>
      <c r="O375"/>
      <c r="U375"/>
      <c r="V375"/>
      <c r="W375"/>
      <c r="X375"/>
    </row>
    <row r="376" spans="1:29" ht="24.9" customHeight="1" x14ac:dyDescent="0.3">
      <c r="A376"/>
      <c r="B376"/>
      <c r="C376"/>
      <c r="D376"/>
      <c r="E376"/>
      <c r="F376"/>
      <c r="G376"/>
      <c r="H376"/>
      <c r="I376"/>
      <c r="J376"/>
      <c r="K376"/>
      <c r="N376"/>
      <c r="O376"/>
      <c r="U376"/>
      <c r="V376"/>
      <c r="W376"/>
      <c r="X376"/>
    </row>
    <row r="377" spans="1:29" ht="36" customHeight="1" x14ac:dyDescent="0.3">
      <c r="A377"/>
      <c r="B377"/>
      <c r="C377"/>
      <c r="D377"/>
      <c r="E377"/>
      <c r="F377"/>
      <c r="G377"/>
      <c r="H377"/>
      <c r="I377"/>
      <c r="J377"/>
      <c r="K377"/>
      <c r="N377"/>
      <c r="O377"/>
      <c r="U377"/>
      <c r="V377"/>
      <c r="W377"/>
      <c r="X377"/>
    </row>
    <row r="378" spans="1:29" ht="23.25" customHeight="1" x14ac:dyDescent="0.3">
      <c r="A378"/>
      <c r="B378"/>
      <c r="C378"/>
      <c r="D378"/>
      <c r="E378"/>
      <c r="F378"/>
      <c r="G378"/>
      <c r="H378"/>
      <c r="I378"/>
      <c r="J378"/>
      <c r="K378"/>
      <c r="N378"/>
      <c r="O378"/>
      <c r="U378"/>
      <c r="V378"/>
      <c r="W378"/>
      <c r="X378"/>
    </row>
    <row r="379" spans="1:29" ht="24.9" customHeight="1" x14ac:dyDescent="0.3">
      <c r="A379"/>
      <c r="B379"/>
      <c r="C379"/>
      <c r="D379"/>
      <c r="E379"/>
      <c r="F379" s="172"/>
      <c r="G379" s="172"/>
      <c r="H379" s="172"/>
      <c r="I379" s="172"/>
      <c r="J379" s="172"/>
      <c r="K379" s="172"/>
      <c r="N379"/>
      <c r="O379"/>
      <c r="U379"/>
      <c r="V379"/>
      <c r="W379"/>
      <c r="X379"/>
    </row>
    <row r="380" spans="1:29" ht="24.9" customHeight="1" x14ac:dyDescent="0.3">
      <c r="A380"/>
      <c r="B380"/>
      <c r="C380"/>
      <c r="D380"/>
      <c r="E380"/>
      <c r="F380" s="172"/>
      <c r="G380" s="172"/>
      <c r="H380" s="172"/>
      <c r="I380" s="172"/>
      <c r="J380" s="172"/>
      <c r="K380" s="172"/>
      <c r="N380"/>
      <c r="O380"/>
      <c r="U380"/>
      <c r="V380"/>
      <c r="W380"/>
      <c r="X380"/>
    </row>
    <row r="381" spans="1:29" ht="24.9" customHeight="1" x14ac:dyDescent="0.3">
      <c r="A381"/>
      <c r="B381"/>
      <c r="C381"/>
      <c r="D381"/>
      <c r="E381"/>
      <c r="F381" s="172"/>
      <c r="G381" s="172"/>
      <c r="H381" s="172"/>
      <c r="I381" s="172"/>
      <c r="J381" s="172"/>
      <c r="K381" s="172"/>
      <c r="N381"/>
      <c r="O381"/>
      <c r="U381"/>
      <c r="V381"/>
      <c r="W381"/>
      <c r="X381"/>
      <c r="AC381"/>
    </row>
    <row r="382" spans="1:29" ht="24.9" customHeight="1" x14ac:dyDescent="0.3">
      <c r="A382"/>
      <c r="B382"/>
      <c r="C382"/>
      <c r="D382"/>
      <c r="E382"/>
      <c r="F382" s="172"/>
      <c r="G382" s="172"/>
      <c r="H382" s="172"/>
      <c r="I382" s="172"/>
      <c r="J382" s="172"/>
      <c r="K382" s="172"/>
      <c r="N382"/>
      <c r="O382"/>
      <c r="U382"/>
      <c r="V382"/>
      <c r="W382"/>
      <c r="X382"/>
      <c r="AC382"/>
    </row>
    <row r="383" spans="1:29" ht="24.9" customHeight="1" x14ac:dyDescent="0.3">
      <c r="A383"/>
      <c r="B383"/>
      <c r="C383"/>
      <c r="D383"/>
      <c r="E383"/>
      <c r="F383" s="172"/>
      <c r="G383" s="172"/>
      <c r="H383" s="172"/>
      <c r="I383" s="172"/>
      <c r="J383" s="172"/>
      <c r="K383" s="172"/>
      <c r="N383"/>
      <c r="O383"/>
      <c r="U383"/>
      <c r="V383"/>
      <c r="W383"/>
      <c r="X383"/>
      <c r="AC383"/>
    </row>
    <row r="384" spans="1:29" ht="24.9" customHeight="1" x14ac:dyDescent="0.3">
      <c r="A384"/>
      <c r="B384"/>
      <c r="C384"/>
      <c r="D384"/>
      <c r="E384"/>
      <c r="F384" s="172"/>
      <c r="G384" s="172"/>
      <c r="H384" s="172"/>
      <c r="I384" s="172"/>
      <c r="J384" s="172"/>
      <c r="K384" s="172"/>
      <c r="N384"/>
      <c r="O384"/>
      <c r="U384"/>
      <c r="V384"/>
      <c r="W384"/>
      <c r="X384"/>
      <c r="AC384"/>
    </row>
    <row r="385" spans="1:29" ht="24.9" customHeight="1" x14ac:dyDescent="0.3">
      <c r="A385"/>
      <c r="B385"/>
      <c r="C385"/>
      <c r="D385"/>
      <c r="E385"/>
      <c r="F385" s="172"/>
      <c r="G385" s="172"/>
      <c r="H385" s="172"/>
      <c r="I385" s="172"/>
      <c r="J385" s="172"/>
      <c r="K385" s="172"/>
      <c r="N385"/>
      <c r="O385"/>
      <c r="U385"/>
      <c r="V385"/>
      <c r="W385"/>
      <c r="X385"/>
      <c r="AC385"/>
    </row>
    <row r="386" spans="1:29" ht="24.9" customHeight="1" x14ac:dyDescent="0.3">
      <c r="F386" s="172"/>
      <c r="G386" s="172"/>
      <c r="H386" s="172"/>
      <c r="I386" s="172"/>
      <c r="J386" s="172"/>
      <c r="K386" s="172"/>
      <c r="N386"/>
      <c r="O386"/>
      <c r="U386"/>
      <c r="V386"/>
      <c r="W386"/>
      <c r="X386"/>
      <c r="AC386"/>
    </row>
    <row r="387" spans="1:29" ht="24.9" customHeight="1" x14ac:dyDescent="0.3">
      <c r="F387" s="172"/>
      <c r="G387" s="172"/>
      <c r="H387" s="172"/>
      <c r="I387" s="172"/>
      <c r="J387" s="172"/>
      <c r="K387" s="172"/>
      <c r="N387"/>
      <c r="O387"/>
      <c r="U387"/>
      <c r="V387"/>
      <c r="W387"/>
      <c r="X387"/>
      <c r="AC387"/>
    </row>
    <row r="388" spans="1:29" ht="24.9" customHeight="1" x14ac:dyDescent="0.3">
      <c r="F388" s="172"/>
      <c r="G388" s="172"/>
      <c r="H388" s="172"/>
      <c r="I388" s="172"/>
      <c r="J388" s="172"/>
      <c r="K388" s="172"/>
      <c r="N388"/>
      <c r="O388"/>
      <c r="U388"/>
      <c r="V388"/>
      <c r="W388"/>
      <c r="X388"/>
      <c r="AC388"/>
    </row>
    <row r="389" spans="1:29" ht="24.9" customHeight="1" x14ac:dyDescent="0.3">
      <c r="F389" s="172"/>
      <c r="G389" s="172"/>
      <c r="H389" s="172"/>
      <c r="I389" s="172"/>
      <c r="J389" s="172"/>
      <c r="K389" s="172"/>
      <c r="N389"/>
      <c r="O389"/>
      <c r="U389"/>
      <c r="V389"/>
      <c r="W389"/>
      <c r="X389"/>
      <c r="AC389"/>
    </row>
    <row r="390" spans="1:29" ht="24.9" customHeight="1" x14ac:dyDescent="0.3">
      <c r="F390" s="172"/>
      <c r="G390" s="172"/>
      <c r="H390" s="172"/>
      <c r="I390" s="172"/>
      <c r="J390" s="172"/>
      <c r="K390" s="172"/>
      <c r="N390"/>
      <c r="O390"/>
      <c r="U390"/>
      <c r="V390"/>
      <c r="W390"/>
      <c r="X390"/>
      <c r="AC390"/>
    </row>
    <row r="391" spans="1:29" ht="24.9" customHeight="1" x14ac:dyDescent="0.3">
      <c r="F391" s="172"/>
      <c r="G391" s="172"/>
      <c r="H391" s="172"/>
      <c r="I391" s="172"/>
      <c r="J391" s="172"/>
      <c r="K391" s="172"/>
      <c r="N391"/>
      <c r="O391"/>
      <c r="U391"/>
      <c r="V391"/>
      <c r="W391"/>
      <c r="X391"/>
      <c r="AC391"/>
    </row>
    <row r="392" spans="1:29" ht="24.9" customHeight="1" x14ac:dyDescent="0.3">
      <c r="F392" s="172"/>
      <c r="G392" s="172"/>
      <c r="H392" s="172"/>
      <c r="I392" s="172"/>
      <c r="J392" s="172"/>
      <c r="K392" s="172"/>
      <c r="N392"/>
      <c r="O392"/>
      <c r="U392"/>
      <c r="V392"/>
      <c r="W392"/>
      <c r="X392"/>
      <c r="AC392"/>
    </row>
    <row r="393" spans="1:29" ht="24.9" customHeight="1" x14ac:dyDescent="0.3">
      <c r="N393"/>
      <c r="O393"/>
      <c r="U393"/>
      <c r="V393"/>
      <c r="W393"/>
      <c r="X393"/>
      <c r="AC393"/>
    </row>
    <row r="394" spans="1:29" ht="109.95" customHeight="1" x14ac:dyDescent="0.3">
      <c r="N394"/>
      <c r="O394"/>
      <c r="U394"/>
      <c r="V394"/>
      <c r="W394"/>
      <c r="X394"/>
      <c r="AC394"/>
    </row>
    <row r="395" spans="1:29" ht="109.95" customHeight="1" x14ac:dyDescent="0.3">
      <c r="A395"/>
      <c r="B395"/>
      <c r="C395"/>
      <c r="N395"/>
      <c r="O395"/>
      <c r="U395"/>
      <c r="V395"/>
      <c r="W395"/>
      <c r="X395"/>
      <c r="AC395"/>
    </row>
    <row r="396" spans="1:29" ht="109.95" customHeight="1" x14ac:dyDescent="0.3">
      <c r="A396"/>
      <c r="B396"/>
      <c r="C396"/>
      <c r="N396"/>
      <c r="O396"/>
      <c r="U396"/>
      <c r="V396"/>
      <c r="W396"/>
      <c r="X396"/>
      <c r="AC396"/>
    </row>
    <row r="397" spans="1:29" ht="109.95" customHeight="1" x14ac:dyDescent="0.3">
      <c r="A397"/>
      <c r="B397"/>
      <c r="C397"/>
      <c r="J397"/>
      <c r="K397"/>
      <c r="L397"/>
      <c r="M397"/>
      <c r="N397"/>
      <c r="O397"/>
      <c r="U397"/>
      <c r="V397"/>
      <c r="W397"/>
      <c r="X397"/>
      <c r="AC397"/>
    </row>
    <row r="398" spans="1:29" ht="109.95" customHeight="1" x14ac:dyDescent="0.3">
      <c r="A398"/>
      <c r="B398"/>
      <c r="C398"/>
      <c r="J398"/>
      <c r="K398"/>
      <c r="L398"/>
      <c r="M398"/>
      <c r="N398"/>
      <c r="O398"/>
      <c r="U398"/>
      <c r="V398"/>
      <c r="W398"/>
      <c r="X398"/>
      <c r="AC398"/>
    </row>
    <row r="399" spans="1:29" ht="109.95" customHeight="1" x14ac:dyDescent="0.3">
      <c r="A399"/>
      <c r="B399"/>
      <c r="C399"/>
      <c r="J399"/>
      <c r="K399"/>
      <c r="L399"/>
      <c r="M399"/>
      <c r="N399"/>
      <c r="O399"/>
      <c r="U399"/>
      <c r="V399"/>
      <c r="W399"/>
      <c r="X399"/>
      <c r="AC399"/>
    </row>
    <row r="400" spans="1:29" ht="109.95" customHeight="1" x14ac:dyDescent="0.3">
      <c r="A400"/>
      <c r="B400"/>
      <c r="C400"/>
      <c r="J400"/>
      <c r="K400"/>
      <c r="L400"/>
      <c r="M400"/>
      <c r="N400"/>
      <c r="O400"/>
      <c r="U400"/>
      <c r="V400"/>
      <c r="W400"/>
      <c r="X400"/>
      <c r="AC400"/>
    </row>
    <row r="401" spans="10:13" customFormat="1" ht="24.9" customHeight="1" x14ac:dyDescent="0.3"/>
    <row r="402" spans="10:13" customFormat="1" ht="24.9" customHeight="1" x14ac:dyDescent="0.3">
      <c r="J402" s="6"/>
      <c r="K402" s="6"/>
    </row>
    <row r="403" spans="10:13" customFormat="1" ht="24.9" customHeight="1" x14ac:dyDescent="0.3">
      <c r="J403" s="6"/>
      <c r="K403" s="6"/>
    </row>
    <row r="404" spans="10:13" customFormat="1" ht="24.9" customHeight="1" x14ac:dyDescent="0.3">
      <c r="J404" s="6"/>
      <c r="K404" s="6"/>
    </row>
    <row r="405" spans="10:13" customFormat="1" ht="24.9" customHeight="1" x14ac:dyDescent="0.3">
      <c r="J405" s="6"/>
      <c r="K405" s="6"/>
    </row>
    <row r="406" spans="10:13" customFormat="1" ht="24.9" customHeight="1" x14ac:dyDescent="0.3">
      <c r="J406" s="6"/>
      <c r="K406" s="6"/>
    </row>
    <row r="407" spans="10:13" customFormat="1" ht="24.9" customHeight="1" x14ac:dyDescent="0.3">
      <c r="J407" s="6"/>
      <c r="K407" s="6"/>
    </row>
    <row r="408" spans="10:13" customFormat="1" ht="38.25" customHeight="1" x14ac:dyDescent="0.3"/>
    <row r="409" spans="10:13" customFormat="1" ht="43.5" customHeight="1" x14ac:dyDescent="0.3"/>
    <row r="410" spans="10:13" customFormat="1" ht="24.9" customHeight="1" x14ac:dyDescent="0.3"/>
    <row r="411" spans="10:13" customFormat="1" ht="24.75" customHeight="1" x14ac:dyDescent="0.3"/>
    <row r="412" spans="10:13" customFormat="1" ht="24.9" customHeight="1" x14ac:dyDescent="0.3"/>
    <row r="413" spans="10:13" customFormat="1" ht="24.9" customHeight="1" x14ac:dyDescent="0.3">
      <c r="M413" s="6"/>
    </row>
    <row r="414" spans="10:13" customFormat="1" ht="24.9" customHeight="1" x14ac:dyDescent="0.3">
      <c r="M414" s="6"/>
    </row>
    <row r="415" spans="10:13" customFormat="1" ht="24.9" customHeight="1" x14ac:dyDescent="0.3">
      <c r="M415" s="6"/>
    </row>
    <row r="416" spans="10:13" customFormat="1" ht="24.9" customHeight="1" x14ac:dyDescent="0.3">
      <c r="M416" s="6"/>
    </row>
    <row r="417" spans="21:24" customFormat="1" ht="24.9" customHeight="1" x14ac:dyDescent="0.3"/>
    <row r="418" spans="21:24" customFormat="1" ht="24.9" customHeight="1" x14ac:dyDescent="0.3"/>
    <row r="419" spans="21:24" customFormat="1" ht="24.9" customHeight="1" x14ac:dyDescent="0.3">
      <c r="U419" s="7"/>
      <c r="V419" s="7"/>
      <c r="W419" s="7"/>
      <c r="X419" s="7"/>
    </row>
    <row r="420" spans="21:24" customFormat="1" ht="24.9" customHeight="1" x14ac:dyDescent="0.3">
      <c r="U420" s="7"/>
      <c r="V420" s="7"/>
      <c r="W420" s="7"/>
      <c r="X420" s="7"/>
    </row>
    <row r="421" spans="21:24" customFormat="1" ht="24.9" customHeight="1" x14ac:dyDescent="0.3">
      <c r="U421" s="7"/>
      <c r="V421" s="7"/>
      <c r="W421" s="7"/>
      <c r="X421" s="7"/>
    </row>
    <row r="422" spans="21:24" customFormat="1" ht="24.9" customHeight="1" x14ac:dyDescent="0.3">
      <c r="U422" s="7"/>
      <c r="V422" s="7"/>
      <c r="W422" s="7"/>
      <c r="X422" s="7"/>
    </row>
    <row r="423" spans="21:24" customFormat="1" ht="24.9" customHeight="1" x14ac:dyDescent="0.3">
      <c r="U423" s="7"/>
      <c r="V423" s="7"/>
      <c r="W423" s="7"/>
      <c r="X423" s="7"/>
    </row>
    <row r="424" spans="21:24" customFormat="1" ht="24.9" customHeight="1" x14ac:dyDescent="0.3">
      <c r="U424" s="7"/>
      <c r="V424" s="7"/>
      <c r="W424" s="7"/>
      <c r="X424" s="7"/>
    </row>
    <row r="425" spans="21:24" customFormat="1" ht="24.9" customHeight="1" x14ac:dyDescent="0.3">
      <c r="U425" s="7"/>
      <c r="V425" s="7"/>
      <c r="W425" s="7"/>
      <c r="X425" s="7"/>
    </row>
    <row r="426" spans="21:24" customFormat="1" ht="24.9" customHeight="1" x14ac:dyDescent="0.3">
      <c r="U426" s="7"/>
      <c r="V426" s="7"/>
      <c r="W426" s="7"/>
      <c r="X426" s="7"/>
    </row>
    <row r="427" spans="21:24" customFormat="1" ht="24.9" customHeight="1" x14ac:dyDescent="0.3">
      <c r="U427" s="7"/>
      <c r="V427" s="7"/>
      <c r="W427" s="7"/>
      <c r="X427" s="7"/>
    </row>
    <row r="428" spans="21:24" customFormat="1" ht="24.9" customHeight="1" x14ac:dyDescent="0.3">
      <c r="U428" s="7"/>
      <c r="V428" s="7"/>
      <c r="W428" s="7"/>
      <c r="X428" s="7"/>
    </row>
    <row r="429" spans="21:24" customFormat="1" ht="24.9" customHeight="1" x14ac:dyDescent="0.3"/>
    <row r="430" spans="21:24" customFormat="1" ht="24.9" customHeight="1" x14ac:dyDescent="0.3"/>
    <row r="431" spans="21:24" customFormat="1" ht="24.9" customHeight="1" x14ac:dyDescent="0.3"/>
    <row r="432" spans="21:24" customFormat="1" ht="24.9" customHeight="1" x14ac:dyDescent="0.3"/>
    <row r="433" spans="1:29" ht="24.9" customHeight="1" x14ac:dyDescent="0.3">
      <c r="A433"/>
      <c r="B433"/>
      <c r="C433"/>
      <c r="D433"/>
      <c r="E433"/>
      <c r="F433"/>
      <c r="G433"/>
      <c r="H433"/>
      <c r="I433"/>
      <c r="J433"/>
      <c r="K433"/>
      <c r="L433"/>
      <c r="M433"/>
      <c r="N433"/>
      <c r="O433"/>
      <c r="U433"/>
      <c r="V433"/>
      <c r="W433"/>
      <c r="X433"/>
      <c r="AC433"/>
    </row>
    <row r="434" spans="1:29" ht="24.9" customHeight="1" x14ac:dyDescent="0.3">
      <c r="A434"/>
      <c r="B434"/>
      <c r="C434"/>
      <c r="D434"/>
      <c r="E434"/>
      <c r="F434"/>
      <c r="G434"/>
      <c r="H434"/>
      <c r="I434"/>
      <c r="J434"/>
      <c r="K434"/>
      <c r="L434"/>
      <c r="U434"/>
      <c r="V434"/>
      <c r="W434"/>
      <c r="X434"/>
      <c r="AC434"/>
    </row>
    <row r="435" spans="1:29" ht="24.9" customHeight="1" x14ac:dyDescent="0.3">
      <c r="A435"/>
      <c r="B435"/>
      <c r="C435"/>
      <c r="D435"/>
      <c r="E435"/>
      <c r="F435"/>
      <c r="G435"/>
      <c r="H435"/>
      <c r="I435"/>
      <c r="J435"/>
      <c r="K435"/>
      <c r="L435"/>
      <c r="U435"/>
      <c r="V435"/>
      <c r="W435"/>
      <c r="X435"/>
      <c r="AC435"/>
    </row>
    <row r="436" spans="1:29" ht="24.9" customHeight="1" x14ac:dyDescent="0.3">
      <c r="A436"/>
      <c r="B436"/>
      <c r="C436"/>
      <c r="D436"/>
      <c r="E436"/>
      <c r="F436"/>
      <c r="G436"/>
      <c r="H436"/>
      <c r="I436"/>
      <c r="J436"/>
      <c r="K436"/>
      <c r="L436"/>
      <c r="U436"/>
      <c r="V436"/>
      <c r="W436"/>
      <c r="X436"/>
      <c r="AC436"/>
    </row>
    <row r="437" spans="1:29" ht="24.9" customHeight="1" x14ac:dyDescent="0.3">
      <c r="A437"/>
      <c r="B437"/>
      <c r="C437"/>
      <c r="D437"/>
      <c r="E437"/>
      <c r="F437"/>
      <c r="G437"/>
      <c r="H437"/>
      <c r="I437"/>
      <c r="J437"/>
      <c r="K437"/>
      <c r="L437"/>
      <c r="U437"/>
      <c r="V437"/>
      <c r="W437"/>
      <c r="X437"/>
      <c r="AC437"/>
    </row>
    <row r="438" spans="1:29" ht="24.9" customHeight="1" x14ac:dyDescent="0.3">
      <c r="A438"/>
      <c r="B438"/>
      <c r="C438"/>
      <c r="D438"/>
      <c r="E438"/>
      <c r="F438"/>
      <c r="G438"/>
      <c r="H438"/>
      <c r="I438"/>
      <c r="J438"/>
      <c r="K438"/>
      <c r="L438"/>
      <c r="U438"/>
      <c r="V438"/>
      <c r="W438"/>
      <c r="X438"/>
      <c r="AC438"/>
    </row>
    <row r="439" spans="1:29" ht="24.9" customHeight="1" x14ac:dyDescent="0.3">
      <c r="A439"/>
      <c r="B439"/>
      <c r="C439"/>
      <c r="D439"/>
      <c r="E439"/>
      <c r="F439"/>
      <c r="G439"/>
      <c r="H439"/>
      <c r="I439"/>
      <c r="J439"/>
      <c r="K439"/>
      <c r="L439"/>
      <c r="U439"/>
      <c r="V439"/>
      <c r="W439"/>
      <c r="X439"/>
      <c r="AC439"/>
    </row>
    <row r="440" spans="1:29" ht="24.9" customHeight="1" x14ac:dyDescent="0.3">
      <c r="A440"/>
      <c r="B440"/>
      <c r="C440"/>
      <c r="D440"/>
      <c r="E440"/>
      <c r="F440"/>
      <c r="G440"/>
      <c r="H440"/>
      <c r="I440"/>
      <c r="J440"/>
      <c r="K440"/>
      <c r="L440"/>
      <c r="U440"/>
      <c r="V440"/>
      <c r="W440"/>
      <c r="X440"/>
      <c r="AC440"/>
    </row>
    <row r="441" spans="1:29" ht="24.9" customHeight="1" x14ac:dyDescent="0.3">
      <c r="A441"/>
      <c r="B441"/>
      <c r="C441"/>
      <c r="D441"/>
      <c r="E441"/>
      <c r="F441"/>
      <c r="G441"/>
      <c r="H441"/>
      <c r="I441"/>
      <c r="J441"/>
      <c r="K441"/>
      <c r="L441"/>
      <c r="U441"/>
      <c r="V441"/>
      <c r="W441"/>
      <c r="X441"/>
      <c r="AC441"/>
    </row>
    <row r="442" spans="1:29" ht="24.9" customHeight="1" x14ac:dyDescent="0.3">
      <c r="A442"/>
      <c r="B442"/>
      <c r="C442"/>
      <c r="D442"/>
      <c r="E442"/>
      <c r="F442"/>
      <c r="G442"/>
      <c r="H442"/>
      <c r="I442"/>
      <c r="J442"/>
      <c r="K442"/>
      <c r="L442"/>
      <c r="U442"/>
      <c r="V442"/>
      <c r="W442"/>
      <c r="X442"/>
      <c r="AC442"/>
    </row>
    <row r="443" spans="1:29" ht="24.9" customHeight="1" x14ac:dyDescent="0.3">
      <c r="A443"/>
      <c r="B443"/>
      <c r="C443"/>
      <c r="D443"/>
      <c r="E443"/>
      <c r="F443"/>
      <c r="G443"/>
      <c r="H443"/>
      <c r="I443"/>
      <c r="J443"/>
      <c r="K443"/>
      <c r="L443"/>
      <c r="U443"/>
      <c r="V443"/>
      <c r="W443"/>
      <c r="X443"/>
      <c r="AC443"/>
    </row>
    <row r="444" spans="1:29" ht="24.9" customHeight="1" x14ac:dyDescent="0.3">
      <c r="A444"/>
      <c r="B444"/>
      <c r="C444"/>
      <c r="D444"/>
      <c r="E444"/>
      <c r="F444"/>
      <c r="G444"/>
      <c r="H444"/>
      <c r="I444"/>
      <c r="J444"/>
      <c r="K444"/>
      <c r="L444"/>
      <c r="U444"/>
      <c r="V444"/>
      <c r="W444"/>
      <c r="X444"/>
      <c r="AC444"/>
    </row>
    <row r="445" spans="1:29" ht="24.9" customHeight="1" x14ac:dyDescent="0.3">
      <c r="A445"/>
      <c r="B445"/>
      <c r="C445"/>
      <c r="D445"/>
      <c r="E445"/>
      <c r="F445"/>
      <c r="G445"/>
      <c r="H445"/>
    </row>
    <row r="446" spans="1:29" ht="24.9" customHeight="1" x14ac:dyDescent="0.3">
      <c r="A446"/>
      <c r="B446"/>
      <c r="C446"/>
      <c r="D446"/>
      <c r="E446"/>
      <c r="F446"/>
      <c r="G446"/>
      <c r="H446"/>
    </row>
    <row r="447" spans="1:29" ht="24.9" customHeight="1" x14ac:dyDescent="0.3">
      <c r="A447"/>
      <c r="B447"/>
      <c r="C447"/>
      <c r="D447"/>
      <c r="E447"/>
      <c r="F447"/>
      <c r="G447"/>
      <c r="H447"/>
    </row>
    <row r="448" spans="1:29" ht="24.9" customHeight="1" x14ac:dyDescent="0.3">
      <c r="A448"/>
      <c r="B448"/>
      <c r="C448"/>
      <c r="D448"/>
      <c r="E448"/>
      <c r="F448"/>
      <c r="G448"/>
      <c r="H448"/>
    </row>
    <row r="449" spans="1:8" ht="24.9" customHeight="1" x14ac:dyDescent="0.3">
      <c r="A449"/>
      <c r="B449"/>
      <c r="C449"/>
      <c r="D449"/>
      <c r="E449"/>
      <c r="F449"/>
      <c r="G449"/>
      <c r="H449"/>
    </row>
    <row r="450" spans="1:8" ht="24.9" customHeight="1" x14ac:dyDescent="0.3">
      <c r="A450"/>
      <c r="B450"/>
      <c r="C450"/>
      <c r="D450"/>
      <c r="E450"/>
      <c r="F450"/>
      <c r="G450"/>
      <c r="H450"/>
    </row>
    <row r="451" spans="1:8" ht="24.9" customHeight="1" x14ac:dyDescent="0.3">
      <c r="A451"/>
      <c r="B451"/>
      <c r="C451"/>
      <c r="D451"/>
      <c r="E451"/>
      <c r="F451"/>
      <c r="G451"/>
      <c r="H451"/>
    </row>
    <row r="452" spans="1:8" ht="24.9" customHeight="1" x14ac:dyDescent="0.3">
      <c r="A452"/>
      <c r="B452"/>
      <c r="C452"/>
      <c r="D452"/>
      <c r="E452"/>
      <c r="F452"/>
      <c r="G452"/>
      <c r="H452"/>
    </row>
    <row r="453" spans="1:8" ht="24.9" customHeight="1" x14ac:dyDescent="0.3">
      <c r="A453"/>
      <c r="B453"/>
      <c r="C453"/>
      <c r="D453"/>
      <c r="E453"/>
      <c r="F453"/>
      <c r="G453"/>
      <c r="H453"/>
    </row>
    <row r="454" spans="1:8" ht="24.9" customHeight="1" x14ac:dyDescent="0.3">
      <c r="A454"/>
      <c r="B454"/>
      <c r="C454"/>
      <c r="D454"/>
      <c r="E454"/>
      <c r="F454"/>
      <c r="G454"/>
      <c r="H454"/>
    </row>
    <row r="455" spans="1:8" ht="24.9" customHeight="1" x14ac:dyDescent="0.3">
      <c r="A455"/>
      <c r="B455"/>
      <c r="C455"/>
      <c r="D455"/>
      <c r="E455"/>
      <c r="F455"/>
      <c r="G455"/>
      <c r="H455"/>
    </row>
    <row r="456" spans="1:8" ht="24.9" customHeight="1" x14ac:dyDescent="0.3">
      <c r="A456"/>
      <c r="B456"/>
      <c r="C456"/>
      <c r="D456"/>
      <c r="E456"/>
      <c r="F456"/>
      <c r="G456"/>
      <c r="H456"/>
    </row>
    <row r="457" spans="1:8" ht="24.9" customHeight="1" x14ac:dyDescent="0.3">
      <c r="A457"/>
      <c r="B457"/>
      <c r="C457"/>
      <c r="D457"/>
      <c r="E457"/>
      <c r="F457"/>
      <c r="G457"/>
      <c r="H457"/>
    </row>
    <row r="458" spans="1:8" ht="24.9" customHeight="1" x14ac:dyDescent="0.3">
      <c r="A458"/>
      <c r="B458"/>
      <c r="C458"/>
      <c r="D458"/>
      <c r="E458"/>
      <c r="F458"/>
      <c r="G458"/>
      <c r="H458"/>
    </row>
    <row r="459" spans="1:8" ht="24.9" customHeight="1" x14ac:dyDescent="0.3"/>
    <row r="460" spans="1:8" ht="24.9" customHeight="1" x14ac:dyDescent="0.3"/>
    <row r="461" spans="1:8" ht="24.9" customHeight="1" x14ac:dyDescent="0.3"/>
    <row r="462" spans="1:8" ht="24.9" customHeight="1" x14ac:dyDescent="0.3"/>
    <row r="463" spans="1:8" ht="24.9" customHeight="1" x14ac:dyDescent="0.3"/>
    <row r="464" spans="1:8" ht="24.9" customHeight="1" x14ac:dyDescent="0.3"/>
    <row r="465" ht="24.9" customHeight="1" x14ac:dyDescent="0.3"/>
    <row r="466" ht="24.9" customHeight="1" x14ac:dyDescent="0.3"/>
    <row r="467" ht="24.9" customHeight="1" x14ac:dyDescent="0.3"/>
    <row r="468" ht="24.9" customHeight="1" x14ac:dyDescent="0.3"/>
    <row r="469" ht="24.9" customHeight="1" x14ac:dyDescent="0.3"/>
    <row r="470" ht="24.9" customHeight="1" x14ac:dyDescent="0.3"/>
    <row r="471" ht="24.9" customHeight="1" x14ac:dyDescent="0.3"/>
    <row r="472" ht="24.9" customHeight="1" x14ac:dyDescent="0.3"/>
    <row r="473" ht="24.9" customHeight="1" x14ac:dyDescent="0.3"/>
    <row r="474" ht="24.9" customHeight="1" x14ac:dyDescent="0.3"/>
    <row r="475" ht="24.9" customHeight="1" x14ac:dyDescent="0.3"/>
    <row r="476" ht="24.9" customHeight="1" x14ac:dyDescent="0.3"/>
    <row r="477" ht="24.9" customHeight="1" x14ac:dyDescent="0.3"/>
    <row r="478" ht="24.9" customHeight="1" x14ac:dyDescent="0.3"/>
    <row r="479" ht="24.9" customHeight="1" x14ac:dyDescent="0.3"/>
    <row r="480" ht="24.9" customHeight="1" x14ac:dyDescent="0.3"/>
    <row r="481" ht="24.9" customHeight="1" x14ac:dyDescent="0.3"/>
    <row r="482" ht="24.9" customHeight="1" x14ac:dyDescent="0.3"/>
    <row r="483" ht="24.9" customHeight="1" x14ac:dyDescent="0.3"/>
    <row r="484" ht="24.9" customHeight="1" x14ac:dyDescent="0.3"/>
    <row r="485" ht="24.9" customHeight="1" x14ac:dyDescent="0.3"/>
    <row r="486" ht="24.9" customHeight="1" x14ac:dyDescent="0.3"/>
    <row r="487" ht="24.9" customHeight="1" x14ac:dyDescent="0.3"/>
    <row r="488" ht="24.9" customHeight="1" x14ac:dyDescent="0.3"/>
    <row r="489" ht="24.9" customHeight="1" x14ac:dyDescent="0.3"/>
    <row r="490" ht="24.9" customHeight="1" x14ac:dyDescent="0.3"/>
    <row r="491" ht="24.9" customHeight="1" x14ac:dyDescent="0.3"/>
    <row r="492" ht="24.9" customHeight="1" x14ac:dyDescent="0.3"/>
    <row r="493" ht="24.9" customHeight="1" x14ac:dyDescent="0.3"/>
    <row r="494" ht="24.9" customHeight="1" x14ac:dyDescent="0.3"/>
    <row r="495" ht="24.9" customHeight="1" x14ac:dyDescent="0.3"/>
    <row r="496" ht="24.9" customHeight="1" x14ac:dyDescent="0.3"/>
    <row r="497" ht="24.9" customHeight="1" x14ac:dyDescent="0.3"/>
    <row r="498" ht="24.9" customHeight="1" x14ac:dyDescent="0.3"/>
    <row r="499" ht="24.9" customHeight="1" x14ac:dyDescent="0.3"/>
    <row r="500" ht="24.9" customHeight="1" x14ac:dyDescent="0.3"/>
    <row r="501" ht="24.9" customHeight="1" x14ac:dyDescent="0.3"/>
    <row r="502" ht="24.9" customHeight="1" x14ac:dyDescent="0.3"/>
    <row r="503" ht="24.9" customHeight="1" x14ac:dyDescent="0.3"/>
    <row r="504" ht="24.9" customHeight="1" x14ac:dyDescent="0.3"/>
    <row r="505" ht="24.9" customHeight="1" x14ac:dyDescent="0.3"/>
    <row r="506" ht="24.9" customHeight="1" x14ac:dyDescent="0.3"/>
    <row r="507" ht="24.9" customHeight="1" x14ac:dyDescent="0.3"/>
    <row r="508" ht="24.9" customHeight="1" x14ac:dyDescent="0.3"/>
    <row r="509" ht="24.9" customHeight="1" x14ac:dyDescent="0.3"/>
    <row r="510" ht="24.9" customHeight="1" x14ac:dyDescent="0.3"/>
    <row r="511" ht="24.9" customHeight="1" x14ac:dyDescent="0.3"/>
    <row r="512" ht="24.9" customHeight="1" x14ac:dyDescent="0.3"/>
    <row r="513" ht="24.9" customHeight="1" x14ac:dyDescent="0.3"/>
    <row r="514" ht="24.9" customHeight="1" x14ac:dyDescent="0.3"/>
  </sheetData>
  <mergeCells count="284">
    <mergeCell ref="I26:L26"/>
    <mergeCell ref="I31:I32"/>
    <mergeCell ref="I33:J33"/>
    <mergeCell ref="C43:G43"/>
    <mergeCell ref="D35:G35"/>
    <mergeCell ref="K39:L39"/>
    <mergeCell ref="K40:L40"/>
    <mergeCell ref="K41:L42"/>
    <mergeCell ref="L118:M118"/>
    <mergeCell ref="G61:H61"/>
    <mergeCell ref="G63:H63"/>
    <mergeCell ref="G65:H65"/>
    <mergeCell ref="C63:D63"/>
    <mergeCell ref="C62:D62"/>
    <mergeCell ref="C65:D65"/>
    <mergeCell ref="G69:K72"/>
    <mergeCell ref="F48:I48"/>
    <mergeCell ref="J48:M48"/>
    <mergeCell ref="P7:R7"/>
    <mergeCell ref="O74:R74"/>
    <mergeCell ref="N50:N51"/>
    <mergeCell ref="C7:E7"/>
    <mergeCell ref="F9:I9"/>
    <mergeCell ref="J28:L28"/>
    <mergeCell ref="J29:L29"/>
    <mergeCell ref="C44:G44"/>
    <mergeCell ref="D25:F25"/>
    <mergeCell ref="D26:F26"/>
    <mergeCell ref="D27:F27"/>
    <mergeCell ref="D28:F28"/>
    <mergeCell ref="D29:F29"/>
    <mergeCell ref="H25:H26"/>
    <mergeCell ref="J27:L27"/>
    <mergeCell ref="I25:L25"/>
    <mergeCell ref="G19:I19"/>
    <mergeCell ref="G20:I20"/>
    <mergeCell ref="G21:I21"/>
    <mergeCell ref="H27:H28"/>
    <mergeCell ref="D39:G39"/>
    <mergeCell ref="D33:G33"/>
    <mergeCell ref="D36:G36"/>
    <mergeCell ref="D34:G34"/>
    <mergeCell ref="A145:B145"/>
    <mergeCell ref="A146:B146"/>
    <mergeCell ref="A153:B153"/>
    <mergeCell ref="I146:J146"/>
    <mergeCell ref="A143:B143"/>
    <mergeCell ref="A151:B151"/>
    <mergeCell ref="B78:F78"/>
    <mergeCell ref="C59:D59"/>
    <mergeCell ref="F55:F56"/>
    <mergeCell ref="G58:H59"/>
    <mergeCell ref="F58:F59"/>
    <mergeCell ref="B112:G114"/>
    <mergeCell ref="B115:G115"/>
    <mergeCell ref="G78:J78"/>
    <mergeCell ref="A55:D55"/>
    <mergeCell ref="A112:A115"/>
    <mergeCell ref="A139:B139"/>
    <mergeCell ref="C139:D139"/>
    <mergeCell ref="A140:B140"/>
    <mergeCell ref="G140:H140"/>
    <mergeCell ref="A141:B141"/>
    <mergeCell ref="C64:D64"/>
    <mergeCell ref="G55:H56"/>
    <mergeCell ref="B77:F77"/>
    <mergeCell ref="B217:E217"/>
    <mergeCell ref="F217:I217"/>
    <mergeCell ref="B216:E216"/>
    <mergeCell ref="F216:I216"/>
    <mergeCell ref="B214:E214"/>
    <mergeCell ref="F214:I214"/>
    <mergeCell ref="B212:E212"/>
    <mergeCell ref="F212:I212"/>
    <mergeCell ref="B213:E213"/>
    <mergeCell ref="F213:I213"/>
    <mergeCell ref="B215:E215"/>
    <mergeCell ref="F215:I215"/>
    <mergeCell ref="A142:B142"/>
    <mergeCell ref="E142:F142"/>
    <mergeCell ref="I40:I42"/>
    <mergeCell ref="A9:A10"/>
    <mergeCell ref="F10:I10"/>
    <mergeCell ref="G12:I12"/>
    <mergeCell ref="A25:A29"/>
    <mergeCell ref="D15:F15"/>
    <mergeCell ref="D16:F16"/>
    <mergeCell ref="G15:I15"/>
    <mergeCell ref="G16:I16"/>
    <mergeCell ref="D14:F14"/>
    <mergeCell ref="G14:I14"/>
    <mergeCell ref="D18:F18"/>
    <mergeCell ref="D19:F19"/>
    <mergeCell ref="D20:F20"/>
    <mergeCell ref="D21:F21"/>
    <mergeCell ref="D22:F22"/>
    <mergeCell ref="G22:I22"/>
    <mergeCell ref="D23:F23"/>
    <mergeCell ref="G23:I23"/>
    <mergeCell ref="A14:A23"/>
    <mergeCell ref="G18:I18"/>
    <mergeCell ref="G141:H141"/>
    <mergeCell ref="J212:P212"/>
    <mergeCell ref="C131:G131"/>
    <mergeCell ref="I140:J140"/>
    <mergeCell ref="E139:F139"/>
    <mergeCell ref="K144:L144"/>
    <mergeCell ref="I144:J144"/>
    <mergeCell ref="E140:F140"/>
    <mergeCell ref="A138:H138"/>
    <mergeCell ref="K140:L140"/>
    <mergeCell ref="M140:N140"/>
    <mergeCell ref="A144:B144"/>
    <mergeCell ref="G144:H144"/>
    <mergeCell ref="M144:N144"/>
    <mergeCell ref="M141:N141"/>
    <mergeCell ref="M150:N150"/>
    <mergeCell ref="K142:L142"/>
    <mergeCell ref="K153:L153"/>
    <mergeCell ref="C145:D145"/>
    <mergeCell ref="I153:J153"/>
    <mergeCell ref="G142:H142"/>
    <mergeCell ref="I142:J142"/>
    <mergeCell ref="C140:D140"/>
    <mergeCell ref="I141:J141"/>
    <mergeCell ref="K141:L141"/>
    <mergeCell ref="K150:L150"/>
    <mergeCell ref="I138:O138"/>
    <mergeCell ref="G150:H150"/>
    <mergeCell ref="C144:D144"/>
    <mergeCell ref="L85:M85"/>
    <mergeCell ref="M88:M90"/>
    <mergeCell ref="M142:N142"/>
    <mergeCell ref="D48:D49"/>
    <mergeCell ref="G139:H139"/>
    <mergeCell ref="C141:D141"/>
    <mergeCell ref="E141:F141"/>
    <mergeCell ref="F51:I51"/>
    <mergeCell ref="D50:D51"/>
    <mergeCell ref="J50:M50"/>
    <mergeCell ref="A46:A51"/>
    <mergeCell ref="K151:L151"/>
    <mergeCell ref="C151:D151"/>
    <mergeCell ref="L119:N119"/>
    <mergeCell ref="I119:K119"/>
    <mergeCell ref="I118:J118"/>
    <mergeCell ref="L75:M75"/>
    <mergeCell ref="N88:R90"/>
    <mergeCell ref="C130:G130"/>
    <mergeCell ref="G99:H100"/>
    <mergeCell ref="C143:D143"/>
    <mergeCell ref="E143:F143"/>
    <mergeCell ref="M151:N151"/>
    <mergeCell ref="E151:F151"/>
    <mergeCell ref="G151:H151"/>
    <mergeCell ref="M99:N99"/>
    <mergeCell ref="C127:G127"/>
    <mergeCell ref="H125:N125"/>
    <mergeCell ref="J126:N126"/>
    <mergeCell ref="J127:N127"/>
    <mergeCell ref="I145:J145"/>
    <mergeCell ref="K145:L145"/>
    <mergeCell ref="K146:L146"/>
    <mergeCell ref="C142:D142"/>
    <mergeCell ref="W46:Y51"/>
    <mergeCell ref="V46:V51"/>
    <mergeCell ref="S46:U49"/>
    <mergeCell ref="O50:R51"/>
    <mergeCell ref="O48:R49"/>
    <mergeCell ref="C56:D56"/>
    <mergeCell ref="J51:M51"/>
    <mergeCell ref="O80:R80"/>
    <mergeCell ref="F46:I46"/>
    <mergeCell ref="J46:M46"/>
    <mergeCell ref="D46:D47"/>
    <mergeCell ref="C46:C47"/>
    <mergeCell ref="F69:F72"/>
    <mergeCell ref="B75:F75"/>
    <mergeCell ref="B76:F76"/>
    <mergeCell ref="N48:N49"/>
    <mergeCell ref="C61:D61"/>
    <mergeCell ref="C60:D60"/>
    <mergeCell ref="J55:J57"/>
    <mergeCell ref="F49:I49"/>
    <mergeCell ref="J49:M49"/>
    <mergeCell ref="F50:I50"/>
    <mergeCell ref="C50:C51"/>
    <mergeCell ref="B53:C53"/>
    <mergeCell ref="L217:O217"/>
    <mergeCell ref="AG92:AU99"/>
    <mergeCell ref="AP57:AS57"/>
    <mergeCell ref="C57:D57"/>
    <mergeCell ref="C58:D58"/>
    <mergeCell ref="N93:R93"/>
    <mergeCell ref="N95:R95"/>
    <mergeCell ref="N96:R96"/>
    <mergeCell ref="N97:R97"/>
    <mergeCell ref="I150:J150"/>
    <mergeCell ref="I151:J151"/>
    <mergeCell ref="Q86:R86"/>
    <mergeCell ref="U81:W81"/>
    <mergeCell ref="J59:K59"/>
    <mergeCell ref="G75:J75"/>
    <mergeCell ref="G76:J76"/>
    <mergeCell ref="G77:J77"/>
    <mergeCell ref="B67:H67"/>
    <mergeCell ref="N91:R91"/>
    <mergeCell ref="N92:R92"/>
    <mergeCell ref="L214:P214"/>
    <mergeCell ref="M152:N152"/>
    <mergeCell ref="I152:J152"/>
    <mergeCell ref="K152:L152"/>
    <mergeCell ref="S275:T275"/>
    <mergeCell ref="S276:T276"/>
    <mergeCell ref="S277:T277"/>
    <mergeCell ref="J128:N128"/>
    <mergeCell ref="J129:N129"/>
    <mergeCell ref="J130:N130"/>
    <mergeCell ref="J131:N131"/>
    <mergeCell ref="I139:J139"/>
    <mergeCell ref="M139:N139"/>
    <mergeCell ref="K139:L139"/>
    <mergeCell ref="J223:K223"/>
    <mergeCell ref="J224:K224"/>
    <mergeCell ref="J132:N132"/>
    <mergeCell ref="L218:O218"/>
    <mergeCell ref="A218:I218"/>
    <mergeCell ref="G143:H143"/>
    <mergeCell ref="I143:J143"/>
    <mergeCell ref="K143:L143"/>
    <mergeCell ref="M143:N143"/>
    <mergeCell ref="I157:O162"/>
    <mergeCell ref="A150:B150"/>
    <mergeCell ref="L215:P215"/>
    <mergeCell ref="C150:D150"/>
    <mergeCell ref="E150:F150"/>
    <mergeCell ref="R12:S12"/>
    <mergeCell ref="A106:A110"/>
    <mergeCell ref="B106:G110"/>
    <mergeCell ref="L16:L19"/>
    <mergeCell ref="M16:P19"/>
    <mergeCell ref="K16:K19"/>
    <mergeCell ref="H53:I53"/>
    <mergeCell ref="L21:N22"/>
    <mergeCell ref="O21:Q22"/>
    <mergeCell ref="K21:K22"/>
    <mergeCell ref="M14:P14"/>
    <mergeCell ref="M15:P15"/>
    <mergeCell ref="K15:L15"/>
    <mergeCell ref="K35:L35"/>
    <mergeCell ref="D32:G32"/>
    <mergeCell ref="B31:G31"/>
    <mergeCell ref="C42:G42"/>
    <mergeCell ref="O46:R47"/>
    <mergeCell ref="A31:A44"/>
    <mergeCell ref="D41:G41"/>
    <mergeCell ref="C48:C49"/>
    <mergeCell ref="F47:I47"/>
    <mergeCell ref="J47:M47"/>
    <mergeCell ref="B46:B49"/>
    <mergeCell ref="L226:M226"/>
    <mergeCell ref="B50:B51"/>
    <mergeCell ref="S50:U51"/>
    <mergeCell ref="K33:L33"/>
    <mergeCell ref="K36:L36"/>
    <mergeCell ref="D37:G37"/>
    <mergeCell ref="D38:G38"/>
    <mergeCell ref="K37:L37"/>
    <mergeCell ref="K38:L38"/>
    <mergeCell ref="D40:G40"/>
    <mergeCell ref="N46:N47"/>
    <mergeCell ref="N222:P224"/>
    <mergeCell ref="C128:G128"/>
    <mergeCell ref="C129:G129"/>
    <mergeCell ref="C132:G132"/>
    <mergeCell ref="E144:F144"/>
    <mergeCell ref="E152:F152"/>
    <mergeCell ref="G152:H152"/>
    <mergeCell ref="A157:H162"/>
    <mergeCell ref="A152:B152"/>
    <mergeCell ref="L213:P213"/>
    <mergeCell ref="C152:D152"/>
    <mergeCell ref="A125:G125"/>
    <mergeCell ref="C126:G126"/>
  </mergeCells>
  <phoneticPr fontId="30" type="noConversion"/>
  <dataValidations disablePrompts="1" count="1">
    <dataValidation type="list" allowBlank="1" showInputMessage="1" showErrorMessage="1" sqref="BJ63" xr:uid="{00000000-0002-0000-0200-000005000000}">
      <formula1>UYGUNLUK</formula1>
    </dataValidation>
  </dataValidations>
  <pageMargins left="0.7" right="0.7" top="0.75" bottom="0.75" header="0.3" footer="0.3"/>
  <pageSetup paperSize="9" orientation="portrait" horizontalDpi="4294967295" verticalDpi="4294967295"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730E8-323C-4473-879B-B1B2106975B7}">
  <sheetPr published="0" codeName="Sayfa21"/>
  <dimension ref="A1:W101"/>
  <sheetViews>
    <sheetView zoomScale="70" zoomScaleNormal="70" workbookViewId="0">
      <selection activeCell="F4" sqref="F4"/>
    </sheetView>
  </sheetViews>
  <sheetFormatPr defaultRowHeight="14.4" x14ac:dyDescent="0.3"/>
  <cols>
    <col min="1" max="1" width="56.88671875" style="17" customWidth="1"/>
    <col min="2" max="3" width="8.109375" style="17" customWidth="1"/>
    <col min="4" max="4" width="20.6640625" style="17" customWidth="1"/>
    <col min="5" max="5" width="17.109375" style="17" customWidth="1"/>
    <col min="6" max="6" width="16.33203125" style="17" customWidth="1"/>
    <col min="7" max="7" width="4" customWidth="1"/>
    <col min="8" max="8" width="11.109375" bestFit="1" customWidth="1"/>
    <col min="9" max="9" width="54.5546875" customWidth="1"/>
    <col min="10" max="10" width="13.5546875" style="34" customWidth="1"/>
    <col min="11" max="11" width="11.44140625" style="34" bestFit="1" customWidth="1"/>
    <col min="12" max="12" width="4" customWidth="1"/>
    <col min="13" max="13" width="17.88671875" customWidth="1"/>
    <col min="14" max="14" width="64.33203125" customWidth="1"/>
    <col min="15" max="15" width="21.33203125" customWidth="1"/>
    <col min="16" max="16" width="14" customWidth="1"/>
    <col min="17" max="17" width="13.109375" customWidth="1"/>
    <col min="18" max="18" width="4" customWidth="1"/>
    <col min="19" max="19" width="45.5546875" customWidth="1"/>
    <col min="20" max="20" width="15" customWidth="1"/>
    <col min="21" max="21" width="17.33203125" customWidth="1"/>
    <col min="22" max="22" width="11.5546875" customWidth="1"/>
    <col min="23" max="23" width="11.33203125" bestFit="1" customWidth="1"/>
    <col min="24" max="24" width="4.44140625" customWidth="1"/>
    <col min="26" max="26" width="12.44140625" bestFit="1" customWidth="1"/>
  </cols>
  <sheetData>
    <row r="1" spans="1:23" ht="25.2" customHeight="1" thickBot="1" x14ac:dyDescent="0.35">
      <c r="A1" s="405" t="s">
        <v>2877</v>
      </c>
      <c r="B1" s="389" t="s">
        <v>2878</v>
      </c>
      <c r="C1" s="389" t="s">
        <v>2879</v>
      </c>
      <c r="D1" s="405" t="s">
        <v>2880</v>
      </c>
      <c r="E1" s="406" t="s">
        <v>2881</v>
      </c>
      <c r="F1" s="405" t="s">
        <v>2882</v>
      </c>
      <c r="H1" s="376" t="s">
        <v>2866</v>
      </c>
      <c r="I1" s="377" t="s">
        <v>2863</v>
      </c>
      <c r="J1" s="376" t="s">
        <v>2864</v>
      </c>
      <c r="K1" s="378" t="s">
        <v>2865</v>
      </c>
      <c r="L1" s="314"/>
      <c r="M1" s="391" t="s">
        <v>2849</v>
      </c>
      <c r="N1" s="392" t="s">
        <v>2848</v>
      </c>
      <c r="O1" s="392" t="s">
        <v>2853</v>
      </c>
      <c r="P1" s="392" t="s">
        <v>2836</v>
      </c>
      <c r="Q1" s="393" t="s">
        <v>2852</v>
      </c>
      <c r="S1" s="401" t="s">
        <v>2856</v>
      </c>
      <c r="T1" s="389" t="s">
        <v>2858</v>
      </c>
      <c r="U1" s="389" t="s">
        <v>2862</v>
      </c>
      <c r="V1" s="389" t="s">
        <v>2859</v>
      </c>
      <c r="W1" s="402" t="s">
        <v>2861</v>
      </c>
    </row>
    <row r="2" spans="1:23" ht="25.2" customHeight="1" x14ac:dyDescent="0.3">
      <c r="A2" s="407"/>
      <c r="B2" s="408"/>
      <c r="C2" s="408"/>
      <c r="D2" s="409"/>
      <c r="E2" s="410"/>
      <c r="F2" s="411"/>
      <c r="H2" s="379"/>
      <c r="I2" s="380"/>
      <c r="J2" s="381"/>
      <c r="K2" s="382"/>
      <c r="L2" s="314"/>
      <c r="M2" s="394"/>
      <c r="N2" s="395"/>
      <c r="O2" s="395"/>
      <c r="P2" s="395"/>
      <c r="Q2" s="396"/>
      <c r="S2" s="394"/>
      <c r="T2" s="395"/>
      <c r="U2" s="395"/>
      <c r="V2" s="395"/>
      <c r="W2" s="396"/>
    </row>
    <row r="3" spans="1:23" s="8" customFormat="1" ht="25.2" customHeight="1" x14ac:dyDescent="0.3">
      <c r="A3" s="412" t="s">
        <v>3369</v>
      </c>
      <c r="B3" s="327">
        <v>1</v>
      </c>
      <c r="C3" s="327">
        <v>11539</v>
      </c>
      <c r="D3" s="322" t="s">
        <v>3371</v>
      </c>
      <c r="E3" s="323">
        <v>45929</v>
      </c>
      <c r="F3" s="413">
        <v>65626</v>
      </c>
      <c r="H3" s="383"/>
      <c r="J3" s="295"/>
      <c r="K3" s="384"/>
      <c r="M3" s="397"/>
      <c r="N3" s="316"/>
      <c r="O3" s="390"/>
      <c r="P3" s="295"/>
      <c r="Q3" s="384"/>
      <c r="R3" s="445"/>
      <c r="S3" s="397"/>
      <c r="T3" s="328"/>
      <c r="U3" s="390"/>
      <c r="V3" s="295"/>
      <c r="W3" s="384"/>
    </row>
    <row r="4" spans="1:23" s="8" customFormat="1" ht="25.2" customHeight="1" x14ac:dyDescent="0.3">
      <c r="A4" s="531"/>
      <c r="B4" s="532"/>
      <c r="C4" s="532"/>
      <c r="D4" s="533"/>
      <c r="E4" s="534"/>
      <c r="F4" s="535"/>
      <c r="H4" s="383"/>
      <c r="J4" s="295"/>
      <c r="K4" s="384"/>
      <c r="M4" s="397"/>
      <c r="N4" s="316"/>
      <c r="O4" s="390"/>
      <c r="P4" s="295"/>
      <c r="Q4" s="384"/>
      <c r="R4" s="445"/>
      <c r="S4" s="397"/>
      <c r="T4" s="328"/>
      <c r="U4" s="390"/>
      <c r="V4" s="295"/>
      <c r="W4" s="384"/>
    </row>
    <row r="5" spans="1:23" s="8" customFormat="1" ht="25.2" customHeight="1" x14ac:dyDescent="0.3">
      <c r="A5" s="412"/>
      <c r="B5" s="327"/>
      <c r="C5" s="327"/>
      <c r="D5" s="322"/>
      <c r="E5" s="323"/>
      <c r="F5" s="413"/>
      <c r="H5" s="383"/>
      <c r="J5" s="295"/>
      <c r="K5" s="384"/>
      <c r="M5" s="397"/>
      <c r="N5" s="316"/>
      <c r="O5" s="390"/>
      <c r="P5" s="295"/>
      <c r="Q5" s="384"/>
      <c r="R5" s="445"/>
      <c r="S5" s="397"/>
      <c r="T5" s="328"/>
      <c r="U5" s="337"/>
      <c r="V5" s="295"/>
      <c r="W5" s="384"/>
    </row>
    <row r="6" spans="1:23" s="8" customFormat="1" ht="25.2" customHeight="1" thickBot="1" x14ac:dyDescent="0.35">
      <c r="A6" s="414"/>
      <c r="B6" s="415"/>
      <c r="C6" s="415"/>
      <c r="D6" s="416"/>
      <c r="E6" s="417"/>
      <c r="F6" s="418"/>
      <c r="H6" s="385"/>
      <c r="I6" s="386"/>
      <c r="J6" s="387"/>
      <c r="K6" s="388"/>
      <c r="M6" s="398"/>
      <c r="N6" s="399"/>
      <c r="O6" s="390"/>
      <c r="P6" s="387"/>
      <c r="Q6" s="388"/>
      <c r="R6" s="445"/>
      <c r="S6" s="398"/>
      <c r="T6" s="403"/>
      <c r="U6" s="400"/>
      <c r="V6" s="387"/>
      <c r="W6" s="388"/>
    </row>
    <row r="7" spans="1:23" s="8" customFormat="1" ht="25.2" customHeight="1" x14ac:dyDescent="0.3">
      <c r="A7" s="17"/>
      <c r="B7" s="328"/>
      <c r="C7" s="328"/>
      <c r="D7" s="17"/>
      <c r="E7" s="328"/>
      <c r="F7" s="328"/>
      <c r="G7" s="404"/>
      <c r="H7" s="323"/>
      <c r="I7" s="327"/>
      <c r="J7" s="295"/>
      <c r="K7" s="317"/>
      <c r="M7" s="293"/>
      <c r="N7" s="316"/>
      <c r="O7" s="337"/>
      <c r="P7" s="295"/>
      <c r="Q7" s="332"/>
      <c r="R7" s="445"/>
      <c r="T7" s="349"/>
      <c r="U7" s="353"/>
      <c r="V7" s="303"/>
      <c r="W7" s="345"/>
    </row>
    <row r="8" spans="1:23" s="8" customFormat="1" ht="25.2" customHeight="1" x14ac:dyDescent="0.3">
      <c r="A8" s="293"/>
      <c r="B8" s="328"/>
      <c r="C8" s="328"/>
      <c r="D8" s="17"/>
      <c r="E8" s="295"/>
      <c r="F8" s="328"/>
      <c r="H8" s="315"/>
      <c r="J8" s="295"/>
      <c r="K8" s="317"/>
      <c r="M8" s="293"/>
      <c r="N8" s="316"/>
      <c r="O8" s="337"/>
      <c r="P8" s="295"/>
      <c r="Q8" s="332"/>
      <c r="R8" s="445"/>
      <c r="T8" s="349"/>
      <c r="U8" s="338"/>
      <c r="V8" s="303"/>
      <c r="W8" s="345"/>
    </row>
    <row r="9" spans="1:23" s="8" customFormat="1" ht="25.2" customHeight="1" x14ac:dyDescent="0.3">
      <c r="A9" s="293"/>
      <c r="B9" s="328"/>
      <c r="C9" s="328"/>
      <c r="D9" s="17"/>
      <c r="E9" s="295"/>
      <c r="F9" s="328"/>
      <c r="H9" s="315"/>
      <c r="J9" s="295"/>
      <c r="K9" s="317"/>
      <c r="M9" s="293"/>
      <c r="N9" s="316"/>
      <c r="O9" s="337"/>
      <c r="P9" s="295"/>
      <c r="Q9" s="332"/>
      <c r="R9" s="445"/>
      <c r="T9" s="349"/>
      <c r="U9" s="338"/>
      <c r="V9" s="303"/>
      <c r="W9" s="345"/>
    </row>
    <row r="10" spans="1:23" s="8" customFormat="1" ht="25.2" customHeight="1" x14ac:dyDescent="0.3">
      <c r="A10" s="293"/>
      <c r="B10" s="328"/>
      <c r="C10" s="328"/>
      <c r="D10" s="17"/>
      <c r="E10" s="295"/>
      <c r="F10" s="328"/>
      <c r="H10" s="315"/>
      <c r="J10" s="295"/>
      <c r="K10" s="317"/>
      <c r="M10" s="293"/>
      <c r="N10" s="316"/>
      <c r="O10" s="337"/>
      <c r="P10" s="295"/>
      <c r="Q10" s="332"/>
      <c r="R10" s="445"/>
      <c r="T10" s="349"/>
      <c r="U10" s="338"/>
      <c r="V10" s="303"/>
      <c r="W10" s="345"/>
    </row>
    <row r="11" spans="1:23" s="8" customFormat="1" ht="25.2" customHeight="1" x14ac:dyDescent="0.3">
      <c r="A11" s="293"/>
      <c r="B11" s="328"/>
      <c r="C11" s="328"/>
      <c r="D11" s="17"/>
      <c r="E11" s="295"/>
      <c r="F11" s="328"/>
      <c r="H11" s="315"/>
      <c r="J11" s="295"/>
      <c r="K11" s="317"/>
      <c r="M11" s="293"/>
      <c r="N11" s="316"/>
      <c r="O11" s="337"/>
      <c r="P11" s="295"/>
      <c r="Q11" s="332"/>
      <c r="R11" s="445"/>
      <c r="T11" s="349"/>
      <c r="U11" s="338"/>
      <c r="V11" s="303"/>
      <c r="W11" s="345"/>
    </row>
    <row r="12" spans="1:23" s="8" customFormat="1" ht="25.2" customHeight="1" x14ac:dyDescent="0.3">
      <c r="A12" s="293"/>
      <c r="B12" s="328"/>
      <c r="C12" s="328"/>
      <c r="D12" s="17"/>
      <c r="E12" s="295"/>
      <c r="F12" s="328"/>
      <c r="H12" s="315"/>
      <c r="J12" s="295"/>
      <c r="K12" s="317"/>
      <c r="M12" s="293"/>
      <c r="N12" s="316"/>
      <c r="O12" s="337"/>
      <c r="P12" s="295"/>
      <c r="Q12" s="332"/>
      <c r="R12" s="445"/>
      <c r="T12" s="349"/>
      <c r="U12" s="338"/>
      <c r="V12" s="303"/>
      <c r="W12" s="345"/>
    </row>
    <row r="13" spans="1:23" s="8" customFormat="1" ht="25.2" customHeight="1" x14ac:dyDescent="0.3">
      <c r="A13" s="293"/>
      <c r="B13" s="328"/>
      <c r="C13" s="328"/>
      <c r="D13" s="17"/>
      <c r="E13" s="295"/>
      <c r="F13" s="328"/>
      <c r="H13" s="315"/>
      <c r="J13" s="295"/>
      <c r="K13" s="317"/>
      <c r="M13" s="293"/>
      <c r="N13" s="316"/>
      <c r="O13" s="337"/>
      <c r="P13" s="295"/>
      <c r="Q13" s="332"/>
      <c r="R13" s="445"/>
      <c r="T13" s="349"/>
      <c r="U13" s="338"/>
      <c r="V13" s="303"/>
      <c r="W13" s="345"/>
    </row>
    <row r="14" spans="1:23" s="8" customFormat="1" ht="25.2" customHeight="1" x14ac:dyDescent="0.3">
      <c r="A14" s="293"/>
      <c r="B14" s="328"/>
      <c r="C14" s="328"/>
      <c r="D14" s="17"/>
      <c r="E14" s="295"/>
      <c r="F14" s="328"/>
      <c r="H14" s="315"/>
      <c r="J14" s="295"/>
      <c r="K14" s="317"/>
      <c r="M14" s="293"/>
      <c r="N14" s="316"/>
      <c r="O14" s="337"/>
      <c r="P14" s="295"/>
      <c r="Q14" s="332"/>
      <c r="R14" s="445"/>
      <c r="T14" s="349"/>
      <c r="U14" s="338"/>
      <c r="V14" s="303"/>
      <c r="W14" s="345"/>
    </row>
    <row r="15" spans="1:23" s="8" customFormat="1" ht="25.2" customHeight="1" x14ac:dyDescent="0.3">
      <c r="A15" s="293"/>
      <c r="B15" s="328"/>
      <c r="C15" s="328"/>
      <c r="D15" s="17"/>
      <c r="E15" s="295"/>
      <c r="F15" s="328"/>
      <c r="H15" s="315"/>
      <c r="J15" s="295"/>
      <c r="K15" s="317"/>
      <c r="M15" s="293"/>
      <c r="N15" s="316"/>
      <c r="O15" s="337"/>
      <c r="P15" s="295"/>
      <c r="Q15" s="332"/>
      <c r="R15" s="445"/>
      <c r="T15" s="349"/>
      <c r="U15" s="338"/>
      <c r="V15" s="303"/>
      <c r="W15" s="345"/>
    </row>
    <row r="16" spans="1:23" s="8" customFormat="1" ht="25.2" customHeight="1" x14ac:dyDescent="0.3">
      <c r="A16" s="293"/>
      <c r="B16" s="328"/>
      <c r="C16" s="328"/>
      <c r="D16" s="17"/>
      <c r="E16" s="295"/>
      <c r="F16" s="328"/>
      <c r="H16" s="315"/>
      <c r="J16" s="295"/>
      <c r="K16" s="317"/>
      <c r="M16" s="293"/>
      <c r="N16" s="316"/>
      <c r="O16" s="337"/>
      <c r="P16" s="295"/>
      <c r="Q16" s="332"/>
      <c r="R16" s="445"/>
      <c r="T16" s="349"/>
      <c r="U16" s="338"/>
      <c r="V16" s="303"/>
      <c r="W16" s="345"/>
    </row>
    <row r="17" spans="1:23" s="8" customFormat="1" ht="25.2" customHeight="1" x14ac:dyDescent="0.3">
      <c r="A17" s="293"/>
      <c r="B17" s="328"/>
      <c r="C17" s="328"/>
      <c r="D17" s="17"/>
      <c r="E17" s="295"/>
      <c r="F17" s="328"/>
      <c r="H17" s="315"/>
      <c r="J17" s="295"/>
      <c r="K17" s="317"/>
      <c r="M17" s="293"/>
      <c r="N17" s="316"/>
      <c r="O17" s="337"/>
      <c r="P17" s="295"/>
      <c r="Q17" s="332"/>
      <c r="R17" s="445"/>
      <c r="T17" s="349"/>
      <c r="U17" s="338"/>
      <c r="V17" s="303"/>
      <c r="W17" s="345"/>
    </row>
    <row r="18" spans="1:23" s="8" customFormat="1" ht="25.2" customHeight="1" x14ac:dyDescent="0.3">
      <c r="A18" s="293"/>
      <c r="B18" s="328"/>
      <c r="C18" s="328"/>
      <c r="D18" s="17"/>
      <c r="E18" s="295"/>
      <c r="F18" s="328"/>
      <c r="H18" s="315"/>
      <c r="J18" s="295"/>
      <c r="K18" s="317"/>
      <c r="M18" s="293"/>
      <c r="N18" s="316"/>
      <c r="O18" s="337"/>
      <c r="P18" s="295"/>
      <c r="Q18" s="332"/>
      <c r="R18" s="445"/>
      <c r="T18" s="349"/>
      <c r="U18" s="338"/>
      <c r="V18" s="303"/>
      <c r="W18" s="345"/>
    </row>
    <row r="19" spans="1:23" s="8" customFormat="1" ht="25.2" customHeight="1" x14ac:dyDescent="0.3">
      <c r="A19" s="293"/>
      <c r="B19" s="328"/>
      <c r="C19" s="328"/>
      <c r="D19" s="17"/>
      <c r="E19" s="295"/>
      <c r="F19" s="328"/>
      <c r="H19" s="315"/>
      <c r="J19" s="295"/>
      <c r="K19" s="317"/>
      <c r="M19" s="293"/>
      <c r="N19" s="316"/>
      <c r="O19" s="337"/>
      <c r="P19" s="295"/>
      <c r="Q19" s="332"/>
      <c r="R19" s="445"/>
      <c r="T19" s="349"/>
      <c r="U19" s="338"/>
      <c r="V19" s="303"/>
      <c r="W19" s="345"/>
    </row>
    <row r="20" spans="1:23" s="8" customFormat="1" ht="25.2" customHeight="1" x14ac:dyDescent="0.3">
      <c r="A20" s="293"/>
      <c r="B20" s="328"/>
      <c r="C20" s="328"/>
      <c r="D20" s="17"/>
      <c r="E20" s="295"/>
      <c r="F20" s="328"/>
      <c r="H20" s="315"/>
      <c r="J20" s="295"/>
      <c r="K20" s="317"/>
      <c r="M20" s="293"/>
      <c r="N20" s="316"/>
      <c r="O20" s="337"/>
      <c r="P20" s="295"/>
      <c r="Q20" s="332"/>
      <c r="R20" s="445"/>
      <c r="T20" s="349"/>
      <c r="U20" s="338"/>
      <c r="V20" s="303"/>
      <c r="W20" s="345"/>
    </row>
    <row r="21" spans="1:23" s="8" customFormat="1" ht="25.2" customHeight="1" x14ac:dyDescent="0.3">
      <c r="A21" s="293"/>
      <c r="B21" s="328"/>
      <c r="C21" s="328"/>
      <c r="D21" s="17"/>
      <c r="E21" s="295"/>
      <c r="F21" s="328"/>
      <c r="H21" s="315"/>
      <c r="J21" s="295"/>
      <c r="K21" s="317"/>
      <c r="M21" s="293"/>
      <c r="N21" s="316"/>
      <c r="O21" s="337"/>
      <c r="P21" s="295"/>
      <c r="Q21" s="332"/>
      <c r="R21" s="445"/>
      <c r="T21" s="349"/>
      <c r="U21" s="338"/>
      <c r="V21" s="303"/>
      <c r="W21" s="345"/>
    </row>
    <row r="22" spans="1:23" s="8" customFormat="1" ht="25.2" customHeight="1" x14ac:dyDescent="0.3">
      <c r="A22" s="293"/>
      <c r="B22" s="328"/>
      <c r="C22" s="328"/>
      <c r="D22" s="17"/>
      <c r="E22" s="295"/>
      <c r="F22" s="328"/>
      <c r="H22" s="315"/>
      <c r="J22" s="295"/>
      <c r="K22" s="317"/>
      <c r="M22" s="293"/>
      <c r="N22" s="316"/>
      <c r="O22" s="337"/>
      <c r="P22" s="295"/>
      <c r="Q22" s="332"/>
      <c r="R22" s="445"/>
      <c r="T22" s="349"/>
      <c r="U22" s="338"/>
      <c r="V22" s="303"/>
      <c r="W22" s="345"/>
    </row>
    <row r="23" spans="1:23" s="8" customFormat="1" ht="25.2" customHeight="1" x14ac:dyDescent="0.3">
      <c r="A23" s="293"/>
      <c r="B23" s="328"/>
      <c r="C23" s="328"/>
      <c r="D23" s="17"/>
      <c r="E23" s="295"/>
      <c r="F23" s="328"/>
      <c r="H23" s="315"/>
      <c r="J23" s="295"/>
      <c r="K23" s="317"/>
      <c r="M23" s="293"/>
      <c r="N23" s="316"/>
      <c r="O23" s="337"/>
      <c r="P23" s="295"/>
      <c r="Q23" s="332"/>
      <c r="R23" s="445"/>
      <c r="T23" s="349"/>
      <c r="U23" s="338"/>
      <c r="V23" s="303"/>
      <c r="W23" s="345"/>
    </row>
    <row r="24" spans="1:23" s="8" customFormat="1" ht="25.2" customHeight="1" x14ac:dyDescent="0.3">
      <c r="A24" s="293"/>
      <c r="B24" s="328"/>
      <c r="C24" s="328"/>
      <c r="D24" s="17"/>
      <c r="E24" s="295"/>
      <c r="F24" s="328"/>
      <c r="H24" s="315"/>
      <c r="J24" s="295"/>
      <c r="K24" s="317"/>
      <c r="M24" s="293"/>
      <c r="N24" s="316"/>
      <c r="O24" s="337"/>
      <c r="P24" s="295"/>
      <c r="Q24" s="332"/>
      <c r="R24" s="445"/>
      <c r="T24" s="349"/>
      <c r="U24" s="338"/>
      <c r="V24" s="303"/>
      <c r="W24" s="345"/>
    </row>
    <row r="25" spans="1:23" s="8" customFormat="1" ht="25.2" customHeight="1" x14ac:dyDescent="0.3">
      <c r="A25" s="293"/>
      <c r="B25" s="328"/>
      <c r="C25" s="328"/>
      <c r="D25" s="17"/>
      <c r="E25" s="295"/>
      <c r="F25" s="328"/>
      <c r="H25" s="315"/>
      <c r="J25" s="295"/>
      <c r="K25" s="317"/>
      <c r="M25" s="293"/>
      <c r="N25" s="316"/>
      <c r="O25" s="337"/>
      <c r="P25" s="295"/>
      <c r="Q25" s="332"/>
      <c r="R25" s="445"/>
      <c r="T25" s="349"/>
      <c r="U25" s="338"/>
      <c r="V25" s="303"/>
      <c r="W25" s="345"/>
    </row>
    <row r="26" spans="1:23" s="8" customFormat="1" ht="25.2" customHeight="1" x14ac:dyDescent="0.3">
      <c r="A26" s="293"/>
      <c r="B26" s="328"/>
      <c r="C26" s="328"/>
      <c r="D26" s="17"/>
      <c r="E26" s="295"/>
      <c r="F26" s="328"/>
      <c r="H26" s="315"/>
      <c r="J26" s="295"/>
      <c r="K26" s="317"/>
      <c r="M26" s="293"/>
      <c r="N26" s="316"/>
      <c r="O26" s="337"/>
      <c r="P26" s="295"/>
      <c r="Q26" s="332"/>
      <c r="R26" s="445"/>
      <c r="T26" s="349"/>
      <c r="U26" s="338"/>
      <c r="V26" s="303"/>
      <c r="W26" s="345"/>
    </row>
    <row r="27" spans="1:23" s="8" customFormat="1" ht="25.2" customHeight="1" x14ac:dyDescent="0.3">
      <c r="A27" s="293"/>
      <c r="B27" s="328"/>
      <c r="C27" s="328"/>
      <c r="D27" s="17"/>
      <c r="E27" s="295"/>
      <c r="F27" s="328"/>
      <c r="H27" s="315"/>
      <c r="J27" s="295"/>
      <c r="K27" s="317"/>
      <c r="M27" s="293"/>
      <c r="N27" s="17"/>
      <c r="O27" s="337"/>
      <c r="P27" s="295"/>
      <c r="Q27" s="332"/>
      <c r="R27" s="445"/>
      <c r="T27" s="349"/>
      <c r="U27" s="338"/>
      <c r="V27" s="303"/>
      <c r="W27" s="345"/>
    </row>
    <row r="28" spans="1:23" s="8" customFormat="1" ht="25.2" customHeight="1" x14ac:dyDescent="0.3">
      <c r="A28" s="293"/>
      <c r="B28" s="328"/>
      <c r="C28" s="328"/>
      <c r="D28" s="17"/>
      <c r="E28" s="295"/>
      <c r="F28" s="328"/>
      <c r="H28" s="315"/>
      <c r="J28" s="295"/>
      <c r="K28" s="317"/>
      <c r="M28" s="293"/>
      <c r="N28" s="17"/>
      <c r="O28" s="337"/>
      <c r="P28" s="295"/>
      <c r="Q28" s="332"/>
      <c r="R28" s="445"/>
      <c r="T28" s="349"/>
      <c r="U28" s="338"/>
      <c r="V28" s="303"/>
      <c r="W28" s="345"/>
    </row>
    <row r="29" spans="1:23" s="8" customFormat="1" ht="25.2" customHeight="1" x14ac:dyDescent="0.3">
      <c r="A29" s="293"/>
      <c r="B29" s="328"/>
      <c r="C29" s="328"/>
      <c r="D29" s="17"/>
      <c r="E29" s="295"/>
      <c r="F29" s="328"/>
      <c r="H29" s="315"/>
      <c r="J29" s="295"/>
      <c r="K29" s="317"/>
      <c r="M29" s="293"/>
      <c r="N29" s="17"/>
      <c r="O29" s="337"/>
      <c r="P29" s="295"/>
      <c r="Q29" s="332"/>
      <c r="R29" s="445"/>
      <c r="T29" s="349"/>
      <c r="U29" s="338"/>
      <c r="V29" s="303"/>
      <c r="W29" s="345"/>
    </row>
    <row r="30" spans="1:23" s="8" customFormat="1" ht="25.2" customHeight="1" x14ac:dyDescent="0.3">
      <c r="A30" s="293"/>
      <c r="B30" s="328"/>
      <c r="C30" s="328"/>
      <c r="D30" s="17"/>
      <c r="E30" s="295"/>
      <c r="F30" s="328"/>
      <c r="H30" s="315"/>
      <c r="J30" s="295"/>
      <c r="K30" s="317"/>
      <c r="M30" s="293"/>
      <c r="N30" s="17"/>
      <c r="O30" s="337"/>
      <c r="P30" s="295"/>
      <c r="Q30" s="332"/>
      <c r="R30" s="445"/>
      <c r="T30" s="349"/>
      <c r="U30" s="338"/>
      <c r="V30" s="303"/>
      <c r="W30" s="345"/>
    </row>
    <row r="31" spans="1:23" s="8" customFormat="1" ht="25.2" customHeight="1" x14ac:dyDescent="0.3">
      <c r="A31" s="293"/>
      <c r="B31" s="328"/>
      <c r="C31" s="328"/>
      <c r="D31" s="17"/>
      <c r="E31" s="295"/>
      <c r="F31" s="328"/>
      <c r="H31" s="315"/>
      <c r="J31" s="295"/>
      <c r="K31" s="317"/>
      <c r="M31" s="293"/>
      <c r="N31" s="17"/>
      <c r="O31" s="337"/>
      <c r="P31" s="295"/>
      <c r="Q31" s="332"/>
      <c r="R31" s="445"/>
      <c r="T31" s="349"/>
      <c r="U31" s="338"/>
      <c r="V31" s="303"/>
      <c r="W31" s="345"/>
    </row>
    <row r="32" spans="1:23" s="8" customFormat="1" ht="25.2" customHeight="1" x14ac:dyDescent="0.3">
      <c r="A32" s="293"/>
      <c r="B32" s="328"/>
      <c r="C32" s="328"/>
      <c r="D32" s="17"/>
      <c r="E32" s="295"/>
      <c r="F32" s="328"/>
      <c r="H32" s="315"/>
      <c r="J32" s="295"/>
      <c r="K32" s="317"/>
      <c r="M32" s="293"/>
      <c r="N32" s="17"/>
      <c r="O32" s="337"/>
      <c r="P32" s="295"/>
      <c r="Q32" s="332"/>
      <c r="R32" s="445"/>
      <c r="T32" s="349"/>
      <c r="U32" s="338"/>
      <c r="V32" s="303"/>
      <c r="W32" s="345"/>
    </row>
    <row r="33" spans="1:23" s="8" customFormat="1" ht="25.2" customHeight="1" x14ac:dyDescent="0.3">
      <c r="A33" s="293"/>
      <c r="B33" s="328"/>
      <c r="C33" s="328"/>
      <c r="D33" s="17"/>
      <c r="E33" s="295"/>
      <c r="F33" s="328"/>
      <c r="H33" s="315"/>
      <c r="J33" s="295"/>
      <c r="K33" s="317"/>
      <c r="M33" s="293"/>
      <c r="N33" s="17"/>
      <c r="O33" s="337"/>
      <c r="P33" s="295"/>
      <c r="Q33" s="332"/>
      <c r="R33" s="445"/>
      <c r="T33" s="349"/>
      <c r="U33" s="338"/>
      <c r="V33" s="303"/>
      <c r="W33" s="345"/>
    </row>
    <row r="34" spans="1:23" s="8" customFormat="1" ht="25.2" customHeight="1" x14ac:dyDescent="0.3">
      <c r="A34" s="293"/>
      <c r="B34" s="328"/>
      <c r="C34" s="328"/>
      <c r="D34" s="17"/>
      <c r="E34" s="295"/>
      <c r="F34" s="328"/>
      <c r="H34" s="315"/>
      <c r="J34" s="295"/>
      <c r="K34" s="317"/>
      <c r="M34" s="293"/>
      <c r="N34" s="17"/>
      <c r="O34" s="337"/>
      <c r="P34" s="295"/>
      <c r="Q34" s="332"/>
      <c r="R34" s="445"/>
      <c r="T34" s="349"/>
      <c r="U34" s="338"/>
      <c r="V34" s="303"/>
      <c r="W34" s="345"/>
    </row>
    <row r="35" spans="1:23" s="8" customFormat="1" ht="25.2" customHeight="1" x14ac:dyDescent="0.3">
      <c r="A35" s="293"/>
      <c r="B35" s="328"/>
      <c r="C35" s="328"/>
      <c r="D35" s="17"/>
      <c r="E35" s="295"/>
      <c r="F35" s="328"/>
      <c r="H35" s="315"/>
      <c r="J35" s="295"/>
      <c r="K35" s="317"/>
      <c r="M35" s="293"/>
      <c r="N35" s="17"/>
      <c r="O35" s="337"/>
      <c r="P35" s="295"/>
      <c r="Q35" s="332"/>
      <c r="R35" s="445"/>
      <c r="T35" s="349"/>
      <c r="U35" s="338"/>
      <c r="V35" s="303"/>
      <c r="W35" s="345"/>
    </row>
    <row r="36" spans="1:23" s="8" customFormat="1" ht="25.2" customHeight="1" x14ac:dyDescent="0.3">
      <c r="A36" s="293"/>
      <c r="B36" s="328"/>
      <c r="C36" s="328"/>
      <c r="D36" s="17"/>
      <c r="E36" s="295"/>
      <c r="F36" s="328"/>
      <c r="H36" s="315"/>
      <c r="J36" s="295"/>
      <c r="K36" s="317"/>
      <c r="M36" s="293"/>
      <c r="N36" s="17"/>
      <c r="O36" s="337"/>
      <c r="P36" s="295"/>
      <c r="Q36" s="332"/>
      <c r="R36" s="445"/>
      <c r="T36" s="349"/>
      <c r="U36" s="338"/>
      <c r="V36" s="303"/>
      <c r="W36" s="345"/>
    </row>
    <row r="37" spans="1:23" s="172" customFormat="1" ht="25.2" customHeight="1" x14ac:dyDescent="0.3">
      <c r="A37" s="293"/>
      <c r="B37" s="328"/>
      <c r="C37" s="328"/>
      <c r="D37" s="17"/>
      <c r="E37" s="295"/>
      <c r="F37" s="328"/>
      <c r="H37" s="334"/>
      <c r="J37" s="335"/>
      <c r="K37" s="361"/>
      <c r="M37" s="357"/>
      <c r="N37" s="88"/>
      <c r="O37" s="358"/>
      <c r="P37" s="335"/>
      <c r="Q37" s="336"/>
      <c r="R37" s="445"/>
      <c r="T37" s="350"/>
      <c r="U37" s="339"/>
      <c r="V37" s="342"/>
      <c r="W37" s="346"/>
    </row>
    <row r="38" spans="1:23" s="172" customFormat="1" ht="25.2" customHeight="1" x14ac:dyDescent="0.3">
      <c r="A38" s="293"/>
      <c r="B38" s="328"/>
      <c r="C38" s="328"/>
      <c r="D38" s="17"/>
      <c r="E38" s="295"/>
      <c r="F38" s="328"/>
      <c r="H38" s="334"/>
      <c r="J38" s="335"/>
      <c r="K38" s="361"/>
      <c r="M38" s="357"/>
      <c r="N38" s="88"/>
      <c r="O38" s="358"/>
      <c r="P38" s="335"/>
      <c r="Q38" s="336"/>
      <c r="R38" s="445"/>
      <c r="T38" s="350"/>
      <c r="U38" s="339"/>
      <c r="V38" s="342"/>
      <c r="W38" s="346"/>
    </row>
    <row r="39" spans="1:23" s="172" customFormat="1" ht="25.2" customHeight="1" x14ac:dyDescent="0.3">
      <c r="A39" s="293"/>
      <c r="B39" s="328"/>
      <c r="C39" s="328"/>
      <c r="D39" s="17"/>
      <c r="E39" s="295"/>
      <c r="F39" s="328"/>
      <c r="H39" s="334"/>
      <c r="J39" s="335"/>
      <c r="K39" s="361"/>
      <c r="M39" s="357"/>
      <c r="N39" s="88"/>
      <c r="O39" s="358"/>
      <c r="P39" s="335"/>
      <c r="Q39" s="336"/>
      <c r="R39" s="445"/>
      <c r="T39" s="350"/>
      <c r="U39" s="339"/>
      <c r="V39" s="342"/>
      <c r="W39" s="346"/>
    </row>
    <row r="40" spans="1:23" s="172" customFormat="1" ht="25.2" customHeight="1" x14ac:dyDescent="0.3">
      <c r="A40" s="293"/>
      <c r="B40" s="328"/>
      <c r="C40" s="328"/>
      <c r="D40" s="17"/>
      <c r="E40" s="295"/>
      <c r="F40" s="328"/>
      <c r="H40" s="334"/>
      <c r="J40" s="335"/>
      <c r="K40" s="361"/>
      <c r="M40" s="357"/>
      <c r="N40" s="88"/>
      <c r="O40" s="358"/>
      <c r="P40" s="335"/>
      <c r="Q40" s="336"/>
      <c r="R40" s="445"/>
      <c r="T40" s="350"/>
      <c r="U40" s="339"/>
      <c r="V40" s="342"/>
      <c r="W40" s="346"/>
    </row>
    <row r="41" spans="1:23" s="172" customFormat="1" ht="25.2" customHeight="1" x14ac:dyDescent="0.3">
      <c r="A41" s="293"/>
      <c r="B41" s="328"/>
      <c r="C41" s="328"/>
      <c r="D41" s="17"/>
      <c r="E41" s="295"/>
      <c r="F41" s="328"/>
      <c r="H41" s="334"/>
      <c r="J41" s="335"/>
      <c r="K41" s="361"/>
      <c r="M41" s="357"/>
      <c r="N41" s="88"/>
      <c r="O41" s="358"/>
      <c r="P41" s="335"/>
      <c r="Q41" s="336"/>
      <c r="R41" s="445"/>
      <c r="T41" s="350"/>
      <c r="U41" s="339"/>
      <c r="V41" s="342"/>
      <c r="W41" s="346"/>
    </row>
    <row r="42" spans="1:23" s="172" customFormat="1" ht="25.2" customHeight="1" x14ac:dyDescent="0.3">
      <c r="A42" s="293"/>
      <c r="B42" s="328"/>
      <c r="C42" s="328"/>
      <c r="D42" s="17"/>
      <c r="E42" s="295"/>
      <c r="F42" s="328"/>
      <c r="H42" s="334"/>
      <c r="J42" s="335"/>
      <c r="K42" s="361"/>
      <c r="M42" s="357"/>
      <c r="N42" s="88"/>
      <c r="O42" s="358"/>
      <c r="P42" s="335"/>
      <c r="Q42" s="336"/>
      <c r="R42" s="445"/>
      <c r="T42" s="350"/>
      <c r="U42" s="339"/>
      <c r="V42" s="342"/>
      <c r="W42" s="346"/>
    </row>
    <row r="43" spans="1:23" s="172" customFormat="1" ht="25.2" customHeight="1" x14ac:dyDescent="0.3">
      <c r="A43" s="293"/>
      <c r="B43" s="328"/>
      <c r="C43" s="328"/>
      <c r="D43" s="17"/>
      <c r="E43" s="295"/>
      <c r="F43" s="328"/>
      <c r="H43" s="334"/>
      <c r="J43" s="335"/>
      <c r="K43" s="361"/>
      <c r="M43" s="357"/>
      <c r="N43" s="88"/>
      <c r="O43" s="358"/>
      <c r="P43" s="335"/>
      <c r="Q43" s="336"/>
      <c r="R43" s="445"/>
      <c r="T43" s="350"/>
      <c r="U43" s="339"/>
      <c r="V43" s="342"/>
      <c r="W43" s="346"/>
    </row>
    <row r="44" spans="1:23" s="172" customFormat="1" ht="25.2" customHeight="1" x14ac:dyDescent="0.3">
      <c r="A44" s="293"/>
      <c r="B44" s="328"/>
      <c r="C44" s="328"/>
      <c r="D44" s="17"/>
      <c r="E44" s="295"/>
      <c r="F44" s="328"/>
      <c r="H44" s="334"/>
      <c r="J44" s="335"/>
      <c r="K44" s="361"/>
      <c r="M44" s="357"/>
      <c r="N44" s="88"/>
      <c r="O44" s="358"/>
      <c r="P44" s="335"/>
      <c r="Q44" s="336"/>
      <c r="R44" s="445"/>
      <c r="T44" s="350"/>
      <c r="U44" s="339"/>
      <c r="V44" s="342"/>
      <c r="W44" s="346"/>
    </row>
    <row r="45" spans="1:23" ht="25.2" customHeight="1" x14ac:dyDescent="0.3">
      <c r="A45" s="293"/>
      <c r="B45" s="328"/>
      <c r="C45" s="328"/>
      <c r="E45" s="295"/>
      <c r="F45" s="328"/>
      <c r="H45" s="31"/>
      <c r="J45" s="330"/>
      <c r="K45" s="362"/>
      <c r="M45" s="359"/>
      <c r="N45" s="34"/>
      <c r="O45" s="360"/>
      <c r="P45" s="330"/>
      <c r="Q45" s="333"/>
      <c r="R45" s="445"/>
      <c r="T45" s="351"/>
      <c r="U45" s="340"/>
      <c r="V45" s="343"/>
      <c r="W45" s="347"/>
    </row>
    <row r="46" spans="1:23" ht="25.2" customHeight="1" x14ac:dyDescent="0.3">
      <c r="A46" s="293"/>
      <c r="B46" s="328"/>
      <c r="C46" s="328"/>
      <c r="E46" s="295"/>
      <c r="F46" s="328"/>
      <c r="H46" s="31"/>
      <c r="J46" s="330"/>
      <c r="K46" s="362"/>
      <c r="M46" s="359"/>
      <c r="N46" s="34"/>
      <c r="O46" s="360"/>
      <c r="P46" s="330"/>
      <c r="Q46" s="333"/>
      <c r="R46" s="445"/>
      <c r="T46" s="351"/>
      <c r="U46" s="340"/>
      <c r="V46" s="343"/>
      <c r="W46" s="347"/>
    </row>
    <row r="47" spans="1:23" ht="25.2" customHeight="1" x14ac:dyDescent="0.3">
      <c r="A47" s="293"/>
      <c r="B47" s="328"/>
      <c r="C47" s="328"/>
      <c r="E47" s="295"/>
      <c r="F47" s="328"/>
      <c r="H47" s="31"/>
      <c r="J47" s="330"/>
      <c r="K47" s="362"/>
      <c r="M47" s="359"/>
      <c r="N47" s="34"/>
      <c r="O47" s="360"/>
      <c r="P47" s="330"/>
      <c r="Q47" s="333"/>
      <c r="R47" s="445"/>
      <c r="T47" s="351"/>
      <c r="U47" s="340"/>
      <c r="V47" s="343"/>
      <c r="W47" s="347"/>
    </row>
    <row r="48" spans="1:23" ht="25.2" customHeight="1" x14ac:dyDescent="0.3">
      <c r="A48" s="293"/>
      <c r="B48" s="328"/>
      <c r="C48" s="328"/>
      <c r="E48" s="295"/>
      <c r="F48" s="328"/>
      <c r="H48" s="31"/>
      <c r="J48" s="330"/>
      <c r="K48" s="362"/>
      <c r="M48" s="359"/>
      <c r="N48" s="34"/>
      <c r="O48" s="360"/>
      <c r="P48" s="330"/>
      <c r="Q48" s="333"/>
      <c r="R48" s="445"/>
      <c r="T48" s="351"/>
      <c r="U48" s="340"/>
      <c r="V48" s="343"/>
      <c r="W48" s="347"/>
    </row>
    <row r="49" spans="1:23" ht="25.2" customHeight="1" x14ac:dyDescent="0.3">
      <c r="A49" s="293"/>
      <c r="B49" s="328"/>
      <c r="C49" s="328"/>
      <c r="E49" s="295"/>
      <c r="F49" s="328"/>
      <c r="H49" s="31"/>
      <c r="J49" s="330"/>
      <c r="K49" s="362"/>
      <c r="M49" s="359"/>
      <c r="N49" s="34"/>
      <c r="O49" s="360"/>
      <c r="P49" s="330"/>
      <c r="Q49" s="333"/>
      <c r="R49" s="445"/>
      <c r="T49" s="351"/>
      <c r="U49" s="340"/>
      <c r="V49" s="343"/>
      <c r="W49" s="347"/>
    </row>
    <row r="50" spans="1:23" ht="25.2" customHeight="1" x14ac:dyDescent="0.3">
      <c r="A50" s="293"/>
      <c r="B50" s="328"/>
      <c r="C50" s="328"/>
      <c r="E50" s="295"/>
      <c r="F50" s="328"/>
      <c r="H50" s="31"/>
      <c r="J50" s="330"/>
      <c r="K50" s="362"/>
      <c r="M50" s="359"/>
      <c r="N50" s="34"/>
      <c r="O50" s="360"/>
      <c r="P50" s="330"/>
      <c r="Q50" s="333"/>
      <c r="R50" s="445"/>
      <c r="T50" s="351"/>
      <c r="U50" s="340"/>
      <c r="V50" s="343"/>
      <c r="W50" s="347"/>
    </row>
    <row r="51" spans="1:23" ht="25.2" customHeight="1" x14ac:dyDescent="0.3">
      <c r="A51" s="293"/>
      <c r="B51" s="328"/>
      <c r="C51" s="328"/>
      <c r="E51" s="295"/>
      <c r="F51" s="328"/>
      <c r="H51" s="31"/>
      <c r="J51" s="330"/>
      <c r="K51" s="362"/>
      <c r="M51" s="359"/>
      <c r="N51" s="34"/>
      <c r="O51" s="360"/>
      <c r="P51" s="330"/>
      <c r="Q51" s="333"/>
      <c r="R51" s="445"/>
      <c r="T51" s="351"/>
      <c r="U51" s="340"/>
      <c r="V51" s="343"/>
      <c r="W51" s="347"/>
    </row>
    <row r="52" spans="1:23" ht="25.2" customHeight="1" x14ac:dyDescent="0.3">
      <c r="A52" s="293"/>
      <c r="B52" s="328"/>
      <c r="C52" s="328"/>
      <c r="E52" s="295"/>
      <c r="F52" s="328"/>
      <c r="H52" s="31"/>
      <c r="J52" s="330"/>
      <c r="K52" s="362"/>
      <c r="M52" s="359"/>
      <c r="N52" s="34"/>
      <c r="O52" s="360"/>
      <c r="P52" s="330"/>
      <c r="Q52" s="333"/>
      <c r="R52" s="445"/>
      <c r="T52" s="351"/>
      <c r="U52" s="340"/>
      <c r="V52" s="343"/>
      <c r="W52" s="347"/>
    </row>
    <row r="53" spans="1:23" ht="25.2" customHeight="1" x14ac:dyDescent="0.3">
      <c r="A53" s="293"/>
      <c r="B53" s="328"/>
      <c r="C53" s="328"/>
      <c r="E53" s="295"/>
      <c r="F53" s="328"/>
      <c r="H53" s="31"/>
      <c r="J53" s="330"/>
      <c r="K53" s="362"/>
      <c r="M53" s="359"/>
      <c r="N53" s="34"/>
      <c r="O53" s="360"/>
      <c r="P53" s="330"/>
      <c r="Q53" s="333"/>
      <c r="R53" s="445"/>
      <c r="T53" s="351"/>
      <c r="U53" s="340"/>
      <c r="V53" s="343"/>
      <c r="W53" s="347"/>
    </row>
    <row r="54" spans="1:23" ht="25.2" customHeight="1" x14ac:dyDescent="0.3">
      <c r="A54" s="293"/>
      <c r="B54" s="328"/>
      <c r="C54" s="328"/>
      <c r="E54" s="295"/>
      <c r="F54" s="328"/>
      <c r="H54" s="31"/>
      <c r="J54" s="330"/>
      <c r="K54" s="362"/>
      <c r="M54" s="359"/>
      <c r="N54" s="34"/>
      <c r="O54" s="360"/>
      <c r="P54" s="330"/>
      <c r="Q54" s="333"/>
      <c r="R54" s="445"/>
      <c r="T54" s="351"/>
      <c r="U54" s="340"/>
      <c r="V54" s="343"/>
      <c r="W54" s="347"/>
    </row>
    <row r="55" spans="1:23" ht="25.2" customHeight="1" x14ac:dyDescent="0.3">
      <c r="A55" s="293"/>
      <c r="B55" s="328"/>
      <c r="C55" s="328"/>
      <c r="E55" s="295"/>
      <c r="F55" s="328"/>
      <c r="H55" s="31"/>
      <c r="J55" s="330"/>
      <c r="K55" s="362"/>
      <c r="M55" s="359"/>
      <c r="N55" s="34"/>
      <c r="O55" s="360"/>
      <c r="P55" s="330"/>
      <c r="Q55" s="333"/>
      <c r="R55" s="445"/>
      <c r="T55" s="351"/>
      <c r="U55" s="340"/>
      <c r="V55" s="343"/>
      <c r="W55" s="347"/>
    </row>
    <row r="56" spans="1:23" ht="25.2" customHeight="1" x14ac:dyDescent="0.3">
      <c r="A56" s="293"/>
      <c r="B56" s="328"/>
      <c r="C56" s="328"/>
      <c r="E56" s="295"/>
      <c r="F56" s="328"/>
      <c r="H56" s="31"/>
      <c r="J56" s="330"/>
      <c r="K56" s="362"/>
      <c r="M56" s="359"/>
      <c r="N56" s="34"/>
      <c r="O56" s="360"/>
      <c r="P56" s="330"/>
      <c r="Q56" s="333"/>
      <c r="R56" s="445"/>
      <c r="T56" s="351"/>
      <c r="U56" s="340"/>
      <c r="V56" s="343"/>
      <c r="W56" s="347"/>
    </row>
    <row r="57" spans="1:23" ht="25.2" customHeight="1" x14ac:dyDescent="0.3">
      <c r="A57" s="293"/>
      <c r="B57" s="328"/>
      <c r="C57" s="328"/>
      <c r="E57" s="295"/>
      <c r="F57" s="328"/>
      <c r="H57" s="31"/>
      <c r="J57" s="330"/>
      <c r="K57" s="362"/>
      <c r="M57" s="359"/>
      <c r="N57" s="34"/>
      <c r="O57" s="360"/>
      <c r="P57" s="330"/>
      <c r="Q57" s="333"/>
      <c r="R57" s="445"/>
      <c r="T57" s="351"/>
      <c r="U57" s="340"/>
      <c r="V57" s="343"/>
      <c r="W57" s="347"/>
    </row>
    <row r="58" spans="1:23" ht="25.2" customHeight="1" x14ac:dyDescent="0.3">
      <c r="A58" s="293"/>
      <c r="B58" s="328"/>
      <c r="C58" s="328"/>
      <c r="E58" s="295"/>
      <c r="F58" s="328"/>
      <c r="H58" s="31"/>
      <c r="J58" s="330"/>
      <c r="K58" s="362"/>
      <c r="M58" s="359"/>
      <c r="N58" s="34"/>
      <c r="O58" s="360"/>
      <c r="P58" s="330"/>
      <c r="Q58" s="333"/>
      <c r="R58" s="445"/>
      <c r="T58" s="351"/>
      <c r="U58" s="340"/>
      <c r="V58" s="343"/>
      <c r="W58" s="347"/>
    </row>
    <row r="59" spans="1:23" ht="25.2" customHeight="1" x14ac:dyDescent="0.3">
      <c r="A59" s="293"/>
      <c r="B59" s="328"/>
      <c r="C59" s="328"/>
      <c r="E59" s="295"/>
      <c r="F59" s="328"/>
      <c r="H59" s="31"/>
      <c r="J59" s="330"/>
      <c r="K59" s="362"/>
      <c r="M59" s="359"/>
      <c r="N59" s="34"/>
      <c r="O59" s="360"/>
      <c r="P59" s="330"/>
      <c r="Q59" s="333"/>
      <c r="R59" s="445"/>
      <c r="T59" s="351"/>
      <c r="U59" s="340"/>
      <c r="V59" s="343"/>
      <c r="W59" s="347"/>
    </row>
    <row r="60" spans="1:23" ht="25.2" customHeight="1" x14ac:dyDescent="0.3">
      <c r="A60" s="293"/>
      <c r="B60" s="328"/>
      <c r="C60" s="328"/>
      <c r="E60" s="295"/>
      <c r="F60" s="328"/>
      <c r="H60" s="31"/>
      <c r="J60" s="330"/>
      <c r="K60" s="362"/>
      <c r="M60" s="359"/>
      <c r="N60" s="34"/>
      <c r="O60" s="360"/>
      <c r="P60" s="330"/>
      <c r="Q60" s="333"/>
      <c r="R60" s="445"/>
      <c r="T60" s="351"/>
      <c r="U60" s="340"/>
      <c r="V60" s="343"/>
      <c r="W60" s="347"/>
    </row>
    <row r="61" spans="1:23" ht="25.2" customHeight="1" x14ac:dyDescent="0.3">
      <c r="A61" s="293"/>
      <c r="B61" s="328"/>
      <c r="C61" s="328"/>
      <c r="E61" s="295"/>
      <c r="F61" s="328"/>
      <c r="H61" s="31"/>
      <c r="J61" s="330"/>
      <c r="K61" s="362"/>
      <c r="M61" s="359"/>
      <c r="N61" s="34"/>
      <c r="O61" s="360"/>
      <c r="P61" s="330"/>
      <c r="Q61" s="333"/>
      <c r="R61" s="445"/>
      <c r="T61" s="351"/>
      <c r="U61" s="340"/>
      <c r="V61" s="343"/>
      <c r="W61" s="347"/>
    </row>
    <row r="62" spans="1:23" ht="25.2" customHeight="1" x14ac:dyDescent="0.3">
      <c r="A62" s="293"/>
      <c r="B62" s="328"/>
      <c r="C62" s="328"/>
      <c r="E62" s="295"/>
      <c r="F62" s="328"/>
      <c r="H62" s="31"/>
      <c r="J62" s="330"/>
      <c r="K62" s="362"/>
      <c r="M62" s="359"/>
      <c r="N62" s="34"/>
      <c r="O62" s="360"/>
      <c r="P62" s="330"/>
      <c r="Q62" s="333"/>
      <c r="R62" s="445"/>
      <c r="T62" s="351"/>
      <c r="U62" s="340"/>
      <c r="V62" s="343"/>
      <c r="W62" s="347"/>
    </row>
    <row r="63" spans="1:23" ht="25.2" customHeight="1" x14ac:dyDescent="0.3">
      <c r="A63" s="293"/>
      <c r="B63" s="328"/>
      <c r="C63" s="328"/>
      <c r="E63" s="295"/>
      <c r="F63" s="328"/>
      <c r="H63" s="31"/>
      <c r="J63" s="330"/>
      <c r="K63" s="362"/>
      <c r="M63" s="359"/>
      <c r="N63" s="34"/>
      <c r="O63" s="360"/>
      <c r="P63" s="330"/>
      <c r="Q63" s="333"/>
      <c r="R63" s="445"/>
      <c r="T63" s="351"/>
      <c r="U63" s="340"/>
      <c r="V63" s="343"/>
      <c r="W63" s="347"/>
    </row>
    <row r="64" spans="1:23" ht="25.2" customHeight="1" x14ac:dyDescent="0.3">
      <c r="A64" s="293"/>
      <c r="B64" s="328"/>
      <c r="C64" s="328"/>
      <c r="E64" s="295"/>
      <c r="F64" s="328"/>
      <c r="H64" s="31"/>
      <c r="J64" s="330"/>
      <c r="K64" s="362"/>
      <c r="M64" s="359"/>
      <c r="N64" s="34"/>
      <c r="O64" s="360"/>
      <c r="P64" s="330"/>
      <c r="Q64" s="333"/>
      <c r="R64" s="445"/>
      <c r="T64" s="351"/>
      <c r="U64" s="340"/>
      <c r="V64" s="343"/>
      <c r="W64" s="347"/>
    </row>
    <row r="65" spans="1:23" ht="25.2" customHeight="1" x14ac:dyDescent="0.3">
      <c r="A65" s="293"/>
      <c r="B65" s="328"/>
      <c r="C65" s="328"/>
      <c r="E65" s="295"/>
      <c r="F65" s="328"/>
      <c r="H65" s="31"/>
      <c r="J65" s="330"/>
      <c r="K65" s="362"/>
      <c r="M65" s="359"/>
      <c r="N65" s="34"/>
      <c r="O65" s="360"/>
      <c r="P65" s="330"/>
      <c r="Q65" s="333"/>
      <c r="R65" s="445"/>
      <c r="T65" s="351"/>
      <c r="U65" s="340"/>
      <c r="V65" s="343"/>
      <c r="W65" s="347"/>
    </row>
    <row r="66" spans="1:23" ht="25.2" customHeight="1" x14ac:dyDescent="0.3">
      <c r="A66" s="293"/>
      <c r="B66" s="328"/>
      <c r="C66" s="328"/>
      <c r="E66" s="295"/>
      <c r="F66" s="328"/>
      <c r="H66" s="31"/>
      <c r="J66" s="330"/>
      <c r="K66" s="362"/>
      <c r="M66" s="359"/>
      <c r="N66" s="34"/>
      <c r="O66" s="360"/>
      <c r="P66" s="330"/>
      <c r="Q66" s="333"/>
      <c r="R66" s="445"/>
      <c r="T66" s="351"/>
      <c r="U66" s="340"/>
      <c r="V66" s="343"/>
      <c r="W66" s="347"/>
    </row>
    <row r="67" spans="1:23" ht="25.2" customHeight="1" x14ac:dyDescent="0.3">
      <c r="A67" s="293"/>
      <c r="B67" s="328"/>
      <c r="C67" s="328"/>
      <c r="E67" s="295"/>
      <c r="F67" s="328"/>
      <c r="H67" s="31"/>
      <c r="J67" s="330"/>
      <c r="K67" s="362"/>
      <c r="M67" s="359"/>
      <c r="N67" s="34"/>
      <c r="O67" s="360"/>
      <c r="P67" s="330"/>
      <c r="Q67" s="333"/>
      <c r="R67" s="445"/>
      <c r="T67" s="351"/>
      <c r="U67" s="340"/>
      <c r="V67" s="343"/>
      <c r="W67" s="347"/>
    </row>
    <row r="68" spans="1:23" ht="25.2" customHeight="1" x14ac:dyDescent="0.3">
      <c r="A68" s="293"/>
      <c r="B68" s="328"/>
      <c r="C68" s="328"/>
      <c r="E68" s="295"/>
      <c r="F68" s="328"/>
      <c r="H68" s="31"/>
      <c r="J68" s="330"/>
      <c r="K68" s="362"/>
      <c r="M68" s="359"/>
      <c r="N68" s="34"/>
      <c r="O68" s="360"/>
      <c r="P68" s="330"/>
      <c r="Q68" s="333"/>
      <c r="R68" s="445"/>
      <c r="T68" s="351"/>
      <c r="U68" s="340"/>
      <c r="V68" s="343"/>
      <c r="W68" s="347"/>
    </row>
    <row r="69" spans="1:23" ht="25.2" customHeight="1" x14ac:dyDescent="0.3">
      <c r="A69" s="293"/>
      <c r="B69" s="328"/>
      <c r="C69" s="328"/>
      <c r="E69" s="295"/>
      <c r="F69" s="328"/>
      <c r="H69" s="31"/>
      <c r="J69" s="330"/>
      <c r="K69" s="362"/>
      <c r="M69" s="359"/>
      <c r="N69" s="34"/>
      <c r="O69" s="360"/>
      <c r="P69" s="330"/>
      <c r="Q69" s="333"/>
      <c r="R69" s="445"/>
      <c r="T69" s="351"/>
      <c r="U69" s="340"/>
      <c r="V69" s="343"/>
      <c r="W69" s="347"/>
    </row>
    <row r="70" spans="1:23" ht="25.2" customHeight="1" x14ac:dyDescent="0.3">
      <c r="A70" s="293"/>
      <c r="B70" s="328"/>
      <c r="C70" s="328"/>
      <c r="E70" s="295"/>
      <c r="F70" s="328"/>
      <c r="H70" s="31"/>
      <c r="J70" s="330"/>
      <c r="K70" s="362"/>
      <c r="M70" s="359"/>
      <c r="N70" s="34"/>
      <c r="O70" s="360"/>
      <c r="P70" s="330"/>
      <c r="Q70" s="333"/>
      <c r="R70" s="445"/>
      <c r="T70" s="351"/>
      <c r="U70" s="340"/>
      <c r="V70" s="343"/>
      <c r="W70" s="347"/>
    </row>
    <row r="71" spans="1:23" ht="25.2" customHeight="1" x14ac:dyDescent="0.3">
      <c r="A71" s="293"/>
      <c r="B71" s="328"/>
      <c r="C71" s="328"/>
      <c r="E71" s="295"/>
      <c r="F71" s="328"/>
      <c r="H71" s="31"/>
      <c r="J71" s="330"/>
      <c r="K71" s="362"/>
      <c r="M71" s="359"/>
      <c r="N71" s="34"/>
      <c r="O71" s="360"/>
      <c r="P71" s="330"/>
      <c r="Q71" s="333"/>
      <c r="R71" s="445"/>
      <c r="T71" s="351"/>
      <c r="U71" s="340"/>
      <c r="V71" s="343"/>
      <c r="W71" s="347"/>
    </row>
    <row r="72" spans="1:23" ht="25.2" customHeight="1" x14ac:dyDescent="0.3">
      <c r="A72" s="293"/>
      <c r="B72" s="328"/>
      <c r="C72" s="328"/>
      <c r="E72" s="295"/>
      <c r="F72" s="328"/>
      <c r="H72" s="31"/>
      <c r="J72" s="330"/>
      <c r="K72" s="362"/>
      <c r="M72" s="359"/>
      <c r="N72" s="34"/>
      <c r="O72" s="360"/>
      <c r="P72" s="330"/>
      <c r="Q72" s="333"/>
      <c r="R72" s="445"/>
      <c r="T72" s="351"/>
      <c r="U72" s="340"/>
      <c r="V72" s="343"/>
      <c r="W72" s="347"/>
    </row>
    <row r="73" spans="1:23" ht="25.2" customHeight="1" x14ac:dyDescent="0.3">
      <c r="A73" s="293"/>
      <c r="B73" s="328"/>
      <c r="C73" s="328"/>
      <c r="E73" s="295"/>
      <c r="F73" s="328"/>
      <c r="H73" s="31"/>
      <c r="J73" s="330"/>
      <c r="K73" s="362"/>
      <c r="M73" s="359"/>
      <c r="N73" s="34"/>
      <c r="O73" s="360"/>
      <c r="P73" s="330"/>
      <c r="Q73" s="333"/>
      <c r="R73" s="445"/>
      <c r="T73" s="351"/>
      <c r="U73" s="340"/>
      <c r="V73" s="343"/>
      <c r="W73" s="347"/>
    </row>
    <row r="74" spans="1:23" ht="25.2" customHeight="1" x14ac:dyDescent="0.3">
      <c r="A74" s="293"/>
      <c r="B74" s="328"/>
      <c r="C74" s="328"/>
      <c r="E74" s="295"/>
      <c r="F74" s="328"/>
      <c r="H74" s="31"/>
      <c r="J74" s="330"/>
      <c r="K74" s="362"/>
      <c r="M74" s="359"/>
      <c r="N74" s="34"/>
      <c r="O74" s="360"/>
      <c r="P74" s="330"/>
      <c r="Q74" s="333"/>
      <c r="R74" s="445"/>
      <c r="T74" s="351"/>
      <c r="U74" s="340"/>
      <c r="V74" s="343"/>
      <c r="W74" s="347"/>
    </row>
    <row r="75" spans="1:23" ht="25.2" customHeight="1" x14ac:dyDescent="0.3">
      <c r="A75" s="293"/>
      <c r="B75" s="328"/>
      <c r="C75" s="328"/>
      <c r="E75" s="295"/>
      <c r="F75" s="328"/>
      <c r="H75" s="31"/>
      <c r="J75" s="330"/>
      <c r="K75" s="362"/>
      <c r="M75" s="359"/>
      <c r="N75" s="34"/>
      <c r="O75" s="360"/>
      <c r="P75" s="330"/>
      <c r="Q75" s="333"/>
      <c r="R75" s="445"/>
      <c r="T75" s="351"/>
      <c r="U75" s="340"/>
      <c r="V75" s="343"/>
      <c r="W75" s="347"/>
    </row>
    <row r="76" spans="1:23" ht="25.2" customHeight="1" x14ac:dyDescent="0.3">
      <c r="A76" s="293"/>
      <c r="B76" s="328"/>
      <c r="C76" s="328"/>
      <c r="E76" s="295"/>
      <c r="F76" s="328"/>
      <c r="H76" s="31"/>
      <c r="J76" s="330"/>
      <c r="K76" s="362"/>
      <c r="M76" s="359"/>
      <c r="N76" s="34"/>
      <c r="O76" s="360"/>
      <c r="P76" s="330"/>
      <c r="Q76" s="333"/>
      <c r="R76" s="445"/>
      <c r="T76" s="351"/>
      <c r="U76" s="340"/>
      <c r="V76" s="343"/>
      <c r="W76" s="347"/>
    </row>
    <row r="77" spans="1:23" ht="25.2" customHeight="1" x14ac:dyDescent="0.3">
      <c r="A77" s="293"/>
      <c r="B77" s="328"/>
      <c r="C77" s="328"/>
      <c r="E77" s="295"/>
      <c r="F77" s="328"/>
      <c r="H77" s="31"/>
      <c r="J77" s="330"/>
      <c r="K77" s="362"/>
      <c r="M77" s="359"/>
      <c r="N77" s="34"/>
      <c r="O77" s="360"/>
      <c r="P77" s="330"/>
      <c r="Q77" s="333"/>
      <c r="R77" s="445"/>
      <c r="T77" s="351"/>
      <c r="U77" s="340"/>
      <c r="V77" s="343"/>
      <c r="W77" s="347"/>
    </row>
    <row r="78" spans="1:23" ht="25.2" customHeight="1" x14ac:dyDescent="0.3">
      <c r="A78" s="293"/>
      <c r="B78" s="328"/>
      <c r="C78" s="328"/>
      <c r="E78" s="295"/>
      <c r="F78" s="328"/>
      <c r="H78" s="31"/>
      <c r="J78" s="330"/>
      <c r="K78" s="362"/>
      <c r="M78" s="359"/>
      <c r="N78" s="34"/>
      <c r="O78" s="360"/>
      <c r="P78" s="330"/>
      <c r="Q78" s="333"/>
      <c r="R78" s="445"/>
      <c r="T78" s="351"/>
      <c r="U78" s="340"/>
      <c r="V78" s="343"/>
      <c r="W78" s="347"/>
    </row>
    <row r="79" spans="1:23" ht="25.2" customHeight="1" x14ac:dyDescent="0.3">
      <c r="A79" s="293"/>
      <c r="B79" s="328"/>
      <c r="C79" s="328"/>
      <c r="E79" s="295"/>
      <c r="F79" s="328"/>
      <c r="H79" s="31"/>
      <c r="J79" s="330"/>
      <c r="K79" s="362"/>
      <c r="M79" s="359"/>
      <c r="N79" s="34"/>
      <c r="O79" s="360"/>
      <c r="P79" s="330"/>
      <c r="Q79" s="333"/>
      <c r="R79" s="445"/>
      <c r="T79" s="351"/>
      <c r="U79" s="340"/>
      <c r="V79" s="343"/>
      <c r="W79" s="347"/>
    </row>
    <row r="80" spans="1:23" ht="25.2" customHeight="1" x14ac:dyDescent="0.3">
      <c r="A80" s="293"/>
      <c r="B80" s="328"/>
      <c r="C80" s="328"/>
      <c r="E80" s="295"/>
      <c r="F80" s="328"/>
      <c r="H80" s="31"/>
      <c r="J80" s="330"/>
      <c r="K80" s="362"/>
      <c r="M80" s="359"/>
      <c r="N80" s="34"/>
      <c r="O80" s="360"/>
      <c r="P80" s="330"/>
      <c r="Q80" s="333"/>
      <c r="R80" s="445"/>
      <c r="T80" s="351"/>
      <c r="U80" s="340"/>
      <c r="V80" s="343"/>
      <c r="W80" s="347"/>
    </row>
    <row r="81" spans="1:23" ht="25.2" customHeight="1" x14ac:dyDescent="0.3">
      <c r="A81" s="293"/>
      <c r="B81" s="328"/>
      <c r="C81" s="328"/>
      <c r="E81" s="295"/>
      <c r="F81" s="328"/>
      <c r="H81" s="31"/>
      <c r="J81" s="330"/>
      <c r="K81" s="362"/>
      <c r="M81" s="359"/>
      <c r="N81" s="34"/>
      <c r="O81" s="360"/>
      <c r="P81" s="330"/>
      <c r="Q81" s="333"/>
      <c r="R81" s="445"/>
      <c r="T81" s="351"/>
      <c r="U81" s="340"/>
      <c r="V81" s="343"/>
      <c r="W81" s="347"/>
    </row>
    <row r="82" spans="1:23" ht="25.2" customHeight="1" x14ac:dyDescent="0.3">
      <c r="A82" s="293"/>
      <c r="B82" s="328"/>
      <c r="C82" s="328"/>
      <c r="E82" s="295"/>
      <c r="F82" s="328"/>
      <c r="H82" s="31"/>
      <c r="J82" s="330"/>
      <c r="K82" s="362"/>
      <c r="M82" s="359"/>
      <c r="N82" s="34"/>
      <c r="O82" s="360"/>
      <c r="P82" s="330"/>
      <c r="Q82" s="333"/>
      <c r="R82" s="445"/>
      <c r="T82" s="351"/>
      <c r="U82" s="340"/>
      <c r="V82" s="343"/>
      <c r="W82" s="347"/>
    </row>
    <row r="83" spans="1:23" ht="25.2" customHeight="1" x14ac:dyDescent="0.3">
      <c r="A83" s="293"/>
      <c r="B83" s="328"/>
      <c r="C83" s="328"/>
      <c r="E83" s="295"/>
      <c r="F83" s="328"/>
      <c r="H83" s="31"/>
      <c r="J83" s="330"/>
      <c r="K83" s="362"/>
      <c r="M83" s="359"/>
      <c r="N83" s="34"/>
      <c r="O83" s="360"/>
      <c r="P83" s="330"/>
      <c r="Q83" s="333"/>
      <c r="R83" s="445"/>
      <c r="T83" s="351"/>
      <c r="U83" s="340"/>
      <c r="V83" s="343"/>
      <c r="W83" s="347"/>
    </row>
    <row r="84" spans="1:23" ht="25.2" customHeight="1" x14ac:dyDescent="0.3">
      <c r="A84" s="293"/>
      <c r="B84" s="328"/>
      <c r="C84" s="328"/>
      <c r="E84" s="295"/>
      <c r="F84" s="328"/>
      <c r="H84" s="31"/>
      <c r="J84" s="330"/>
      <c r="K84" s="362"/>
      <c r="M84" s="359"/>
      <c r="N84" s="34"/>
      <c r="O84" s="360"/>
      <c r="P84" s="330"/>
      <c r="Q84" s="333"/>
      <c r="R84" s="445"/>
      <c r="T84" s="351"/>
      <c r="U84" s="340"/>
      <c r="V84" s="343"/>
      <c r="W84" s="347"/>
    </row>
    <row r="85" spans="1:23" ht="25.2" customHeight="1" x14ac:dyDescent="0.3">
      <c r="A85" s="293"/>
      <c r="B85" s="328"/>
      <c r="C85" s="328"/>
      <c r="E85" s="295"/>
      <c r="F85" s="328"/>
      <c r="H85" s="31"/>
      <c r="J85" s="330"/>
      <c r="K85" s="362"/>
      <c r="M85" s="359"/>
      <c r="N85" s="34"/>
      <c r="O85" s="360"/>
      <c r="P85" s="330"/>
      <c r="Q85" s="333"/>
      <c r="R85" s="445"/>
      <c r="T85" s="351"/>
      <c r="U85" s="340"/>
      <c r="V85" s="343"/>
      <c r="W85" s="347"/>
    </row>
    <row r="86" spans="1:23" ht="25.2" customHeight="1" x14ac:dyDescent="0.3">
      <c r="A86" s="293"/>
      <c r="B86" s="328"/>
      <c r="C86" s="328"/>
      <c r="E86" s="295"/>
      <c r="F86" s="328"/>
      <c r="H86" s="31"/>
      <c r="J86" s="330"/>
      <c r="K86" s="362"/>
      <c r="M86" s="359"/>
      <c r="N86" s="34"/>
      <c r="O86" s="360"/>
      <c r="P86" s="330"/>
      <c r="Q86" s="333"/>
      <c r="R86" s="445"/>
      <c r="T86" s="351"/>
      <c r="U86" s="340"/>
      <c r="V86" s="343"/>
      <c r="W86" s="347"/>
    </row>
    <row r="87" spans="1:23" ht="25.2" customHeight="1" x14ac:dyDescent="0.3">
      <c r="A87" s="293"/>
      <c r="B87" s="328"/>
      <c r="C87" s="328"/>
      <c r="E87" s="295"/>
      <c r="F87" s="328"/>
      <c r="H87" s="31"/>
      <c r="J87" s="330"/>
      <c r="K87" s="362"/>
      <c r="M87" s="359"/>
      <c r="N87" s="34"/>
      <c r="O87" s="360"/>
      <c r="P87" s="330"/>
      <c r="Q87" s="333"/>
      <c r="R87" s="445"/>
      <c r="T87" s="351"/>
      <c r="U87" s="340"/>
      <c r="V87" s="343"/>
      <c r="W87" s="347"/>
    </row>
    <row r="88" spans="1:23" ht="25.2" customHeight="1" x14ac:dyDescent="0.3">
      <c r="A88" s="293"/>
      <c r="B88" s="328"/>
      <c r="C88" s="328"/>
      <c r="E88" s="295"/>
      <c r="F88" s="328"/>
      <c r="H88" s="31"/>
      <c r="J88" s="330"/>
      <c r="K88" s="362"/>
      <c r="M88" s="359"/>
      <c r="N88" s="34"/>
      <c r="O88" s="360"/>
      <c r="P88" s="330"/>
      <c r="Q88" s="333"/>
      <c r="R88" s="445"/>
      <c r="T88" s="351"/>
      <c r="U88" s="340"/>
      <c r="V88" s="343"/>
      <c r="W88" s="347"/>
    </row>
    <row r="89" spans="1:23" ht="25.2" customHeight="1" x14ac:dyDescent="0.3">
      <c r="A89" s="293"/>
      <c r="B89" s="328"/>
      <c r="C89" s="328"/>
      <c r="E89" s="295"/>
      <c r="F89" s="328"/>
      <c r="H89" s="31"/>
      <c r="J89" s="330"/>
      <c r="K89" s="362"/>
      <c r="M89" s="359"/>
      <c r="N89" s="34"/>
      <c r="O89" s="360"/>
      <c r="P89" s="330"/>
      <c r="Q89" s="333"/>
      <c r="R89" s="445"/>
      <c r="T89" s="351"/>
      <c r="U89" s="340"/>
      <c r="V89" s="343"/>
      <c r="W89" s="347"/>
    </row>
    <row r="90" spans="1:23" ht="25.2" customHeight="1" x14ac:dyDescent="0.3">
      <c r="A90" s="293"/>
      <c r="B90" s="328"/>
      <c r="C90" s="328"/>
      <c r="E90" s="295"/>
      <c r="F90" s="328"/>
      <c r="H90" s="31"/>
      <c r="J90" s="330"/>
      <c r="K90" s="362"/>
      <c r="M90" s="359"/>
      <c r="N90" s="34"/>
      <c r="O90" s="360"/>
      <c r="P90" s="330"/>
      <c r="Q90" s="333"/>
      <c r="R90" s="445"/>
      <c r="T90" s="351"/>
      <c r="U90" s="340"/>
      <c r="V90" s="343"/>
      <c r="W90" s="347"/>
    </row>
    <row r="91" spans="1:23" ht="25.2" customHeight="1" x14ac:dyDescent="0.3">
      <c r="A91" s="293"/>
      <c r="B91" s="328"/>
      <c r="C91" s="328"/>
      <c r="E91" s="295"/>
      <c r="F91" s="328"/>
      <c r="H91" s="31"/>
      <c r="J91" s="330"/>
      <c r="K91" s="362"/>
      <c r="M91" s="359"/>
      <c r="N91" s="34"/>
      <c r="O91" s="360"/>
      <c r="P91" s="330"/>
      <c r="Q91" s="333"/>
      <c r="R91" s="445"/>
      <c r="T91" s="351"/>
      <c r="U91" s="340"/>
      <c r="V91" s="343"/>
      <c r="W91" s="347"/>
    </row>
    <row r="92" spans="1:23" ht="25.2" customHeight="1" x14ac:dyDescent="0.3">
      <c r="A92" s="293"/>
      <c r="B92" s="328"/>
      <c r="C92" s="328"/>
      <c r="E92" s="295"/>
      <c r="F92" s="328"/>
      <c r="H92" s="31"/>
      <c r="J92" s="330"/>
      <c r="K92" s="362"/>
      <c r="M92" s="359"/>
      <c r="N92" s="34"/>
      <c r="O92" s="360"/>
      <c r="P92" s="330"/>
      <c r="Q92" s="333"/>
      <c r="R92" s="445"/>
      <c r="T92" s="351"/>
      <c r="U92" s="340"/>
      <c r="V92" s="343"/>
      <c r="W92" s="347"/>
    </row>
    <row r="93" spans="1:23" ht="25.2" customHeight="1" x14ac:dyDescent="0.3">
      <c r="A93" s="293"/>
      <c r="B93" s="328"/>
      <c r="C93" s="328"/>
      <c r="E93" s="295"/>
      <c r="F93" s="328"/>
      <c r="H93" s="31"/>
      <c r="J93" s="330"/>
      <c r="K93" s="362"/>
      <c r="M93" s="359"/>
      <c r="N93" s="34"/>
      <c r="O93" s="360"/>
      <c r="P93" s="330"/>
      <c r="Q93" s="333"/>
      <c r="R93" s="445"/>
      <c r="T93" s="351"/>
      <c r="U93" s="340"/>
      <c r="V93" s="343"/>
      <c r="W93" s="347"/>
    </row>
    <row r="94" spans="1:23" ht="25.2" customHeight="1" x14ac:dyDescent="0.3">
      <c r="A94" s="293"/>
      <c r="B94" s="328"/>
      <c r="C94" s="328"/>
      <c r="E94" s="295"/>
      <c r="F94" s="328"/>
      <c r="H94" s="31"/>
      <c r="J94" s="330"/>
      <c r="K94" s="362"/>
      <c r="M94" s="31"/>
      <c r="O94" s="340"/>
      <c r="P94" s="343"/>
      <c r="Q94" s="347"/>
      <c r="R94" s="445"/>
      <c r="T94" s="351"/>
      <c r="U94" s="340"/>
      <c r="V94" s="343"/>
      <c r="W94" s="347"/>
    </row>
    <row r="95" spans="1:23" ht="25.2" customHeight="1" x14ac:dyDescent="0.3">
      <c r="A95" s="293"/>
      <c r="B95" s="328"/>
      <c r="C95" s="328"/>
      <c r="E95" s="295"/>
      <c r="F95" s="328"/>
      <c r="H95" s="31"/>
      <c r="J95" s="330"/>
      <c r="K95" s="362"/>
      <c r="M95" s="31"/>
      <c r="O95" s="340"/>
      <c r="P95" s="343"/>
      <c r="Q95" s="347"/>
      <c r="R95" s="445"/>
      <c r="T95" s="351"/>
      <c r="U95" s="340"/>
      <c r="V95" s="343"/>
      <c r="W95" s="347"/>
    </row>
    <row r="96" spans="1:23" ht="25.2" customHeight="1" x14ac:dyDescent="0.3">
      <c r="A96" s="293"/>
      <c r="B96" s="328"/>
      <c r="C96" s="328"/>
      <c r="E96" s="295"/>
      <c r="F96" s="328"/>
      <c r="H96" s="31"/>
      <c r="J96" s="330"/>
      <c r="K96" s="362"/>
      <c r="M96" s="31"/>
      <c r="O96" s="340"/>
      <c r="P96" s="343"/>
      <c r="Q96" s="347"/>
      <c r="R96" s="445"/>
      <c r="T96" s="351"/>
      <c r="U96" s="340"/>
      <c r="V96" s="343"/>
      <c r="W96" s="347"/>
    </row>
    <row r="97" spans="1:23" ht="25.2" customHeight="1" x14ac:dyDescent="0.3">
      <c r="A97" s="293"/>
      <c r="B97" s="328"/>
      <c r="C97" s="328"/>
      <c r="E97" s="295"/>
      <c r="F97" s="328"/>
      <c r="H97" s="31"/>
      <c r="J97" s="330"/>
      <c r="K97" s="362"/>
      <c r="M97" s="31"/>
      <c r="O97" s="340"/>
      <c r="P97" s="343"/>
      <c r="Q97" s="347"/>
      <c r="R97" s="445"/>
      <c r="T97" s="351"/>
      <c r="U97" s="340"/>
      <c r="V97" s="343"/>
      <c r="W97" s="347"/>
    </row>
    <row r="98" spans="1:23" ht="25.2" customHeight="1" x14ac:dyDescent="0.3">
      <c r="A98" s="293"/>
      <c r="B98" s="328"/>
      <c r="C98" s="328"/>
      <c r="E98" s="295"/>
      <c r="F98" s="328"/>
      <c r="H98" s="31"/>
      <c r="J98" s="330"/>
      <c r="K98" s="362"/>
      <c r="M98" s="31"/>
      <c r="O98" s="340"/>
      <c r="P98" s="343"/>
      <c r="Q98" s="347"/>
      <c r="R98" s="445"/>
      <c r="T98" s="351"/>
      <c r="U98" s="340"/>
      <c r="V98" s="343"/>
      <c r="W98" s="347"/>
    </row>
    <row r="99" spans="1:23" ht="25.2" customHeight="1" x14ac:dyDescent="0.3">
      <c r="A99" s="293"/>
      <c r="B99" s="328"/>
      <c r="C99" s="328"/>
      <c r="E99" s="295"/>
      <c r="F99" s="328"/>
      <c r="H99" s="31"/>
      <c r="J99" s="330"/>
      <c r="K99" s="362"/>
      <c r="M99" s="31"/>
      <c r="O99" s="340"/>
      <c r="P99" s="343"/>
      <c r="Q99" s="347"/>
      <c r="R99" s="445"/>
      <c r="T99" s="351"/>
      <c r="U99" s="340"/>
      <c r="V99" s="343"/>
      <c r="W99" s="347"/>
    </row>
    <row r="100" spans="1:23" ht="25.2" customHeight="1" x14ac:dyDescent="0.3">
      <c r="A100" s="293"/>
      <c r="B100" s="328"/>
      <c r="C100" s="328"/>
      <c r="E100" s="295"/>
      <c r="F100" s="328"/>
      <c r="H100" s="31"/>
      <c r="J100" s="330"/>
      <c r="K100" s="362"/>
      <c r="M100" s="31"/>
      <c r="O100" s="340"/>
      <c r="P100" s="343"/>
      <c r="Q100" s="347"/>
      <c r="R100" s="445"/>
      <c r="T100" s="351"/>
      <c r="U100" s="340"/>
      <c r="V100" s="343"/>
      <c r="W100" s="347"/>
    </row>
    <row r="101" spans="1:23" ht="15" thickBot="1" x14ac:dyDescent="0.35">
      <c r="A101" s="319"/>
      <c r="B101" s="329"/>
      <c r="C101" s="329"/>
      <c r="D101" s="320"/>
      <c r="E101" s="321"/>
      <c r="F101" s="329"/>
      <c r="H101" s="318"/>
      <c r="I101" s="32"/>
      <c r="J101" s="331"/>
      <c r="K101" s="363"/>
      <c r="L101" s="32"/>
      <c r="M101" s="318"/>
      <c r="N101" s="32"/>
      <c r="O101" s="341"/>
      <c r="P101" s="344"/>
      <c r="Q101" s="348"/>
      <c r="R101" s="445"/>
      <c r="S101" s="32"/>
      <c r="T101" s="352"/>
      <c r="U101" s="341"/>
      <c r="V101" s="344"/>
      <c r="W101" s="348"/>
    </row>
  </sheetData>
  <autoFilter ref="M1:Q35" xr:uid="{1CA730E8-323C-4473-879B-B1B2106975B7}"/>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F19A3-2C4E-4864-A789-E4E103AE8671}">
  <sheetPr published="0" codeName="Sayfa15"/>
  <dimension ref="A1:N21"/>
  <sheetViews>
    <sheetView zoomScale="85" zoomScaleNormal="85" workbookViewId="0">
      <selection activeCell="B21" sqref="B21"/>
    </sheetView>
  </sheetViews>
  <sheetFormatPr defaultRowHeight="14.4" x14ac:dyDescent="0.3"/>
  <cols>
    <col min="1" max="1" width="28.77734375" bestFit="1" customWidth="1"/>
    <col min="2" max="2" width="14.77734375" bestFit="1" customWidth="1"/>
    <col min="3" max="3" width="10.33203125" bestFit="1" customWidth="1"/>
    <col min="4" max="4" width="16.21875" bestFit="1" customWidth="1"/>
    <col min="5" max="5" width="9.77734375" bestFit="1" customWidth="1"/>
    <col min="6" max="6" width="17.109375" bestFit="1" customWidth="1"/>
    <col min="7" max="7" width="2.88671875" customWidth="1"/>
    <col min="8" max="8" width="4" customWidth="1"/>
    <col min="10" max="10" width="33.33203125" customWidth="1"/>
    <col min="11" max="11" width="10.33203125" customWidth="1"/>
    <col min="12" max="12" width="13.33203125" customWidth="1"/>
  </cols>
  <sheetData>
    <row r="1" spans="1:6" x14ac:dyDescent="0.3">
      <c r="A1" t="s">
        <v>2783</v>
      </c>
      <c r="B1" t="s">
        <v>2784</v>
      </c>
      <c r="C1" t="s">
        <v>2785</v>
      </c>
      <c r="D1" t="s">
        <v>2786</v>
      </c>
      <c r="E1" t="s">
        <v>2787</v>
      </c>
      <c r="F1" t="s">
        <v>2788</v>
      </c>
    </row>
    <row r="2" spans="1:6" x14ac:dyDescent="0.3">
      <c r="A2" t="s">
        <v>2719</v>
      </c>
      <c r="B2" t="s">
        <v>3376</v>
      </c>
    </row>
    <row r="3" spans="1:6" x14ac:dyDescent="0.3">
      <c r="A3" t="s">
        <v>2721</v>
      </c>
      <c r="B3" t="s">
        <v>3377</v>
      </c>
    </row>
    <row r="4" spans="1:6" x14ac:dyDescent="0.3">
      <c r="A4" t="s">
        <v>2723</v>
      </c>
      <c r="B4" t="s">
        <v>3378</v>
      </c>
    </row>
    <row r="5" spans="1:6" x14ac:dyDescent="0.3">
      <c r="A5" t="s">
        <v>2725</v>
      </c>
      <c r="B5" t="s">
        <v>308</v>
      </c>
    </row>
    <row r="6" spans="1:6" x14ac:dyDescent="0.3">
      <c r="A6" t="s">
        <v>2726</v>
      </c>
      <c r="B6" t="s">
        <v>3379</v>
      </c>
    </row>
    <row r="7" spans="1:6" x14ac:dyDescent="0.3">
      <c r="A7" t="s">
        <v>2728</v>
      </c>
      <c r="B7" t="s">
        <v>1319</v>
      </c>
    </row>
    <row r="8" spans="1:6" x14ac:dyDescent="0.3">
      <c r="A8" t="s">
        <v>2729</v>
      </c>
      <c r="B8" t="s">
        <v>3380</v>
      </c>
    </row>
    <row r="9" spans="1:6" x14ac:dyDescent="0.3">
      <c r="A9" t="s">
        <v>2733</v>
      </c>
      <c r="B9" t="s">
        <v>3381</v>
      </c>
    </row>
    <row r="10" spans="1:6" x14ac:dyDescent="0.3">
      <c r="A10" t="s">
        <v>2735</v>
      </c>
      <c r="B10" t="s">
        <v>3382</v>
      </c>
    </row>
    <row r="11" spans="1:6" x14ac:dyDescent="0.3">
      <c r="A11" t="s">
        <v>2737</v>
      </c>
      <c r="B11" t="s">
        <v>844</v>
      </c>
    </row>
    <row r="12" spans="1:6" x14ac:dyDescent="0.3">
      <c r="A12" t="s">
        <v>2738</v>
      </c>
      <c r="B12" t="s">
        <v>844</v>
      </c>
    </row>
    <row r="13" spans="1:6" x14ac:dyDescent="0.3">
      <c r="A13" t="s">
        <v>2739</v>
      </c>
      <c r="B13" t="s">
        <v>844</v>
      </c>
    </row>
    <row r="14" spans="1:6" x14ac:dyDescent="0.3">
      <c r="A14" t="s">
        <v>2740</v>
      </c>
      <c r="B14" t="s">
        <v>844</v>
      </c>
    </row>
    <row r="15" spans="1:6" x14ac:dyDescent="0.3">
      <c r="A15" t="s">
        <v>2742</v>
      </c>
      <c r="B15" t="s">
        <v>844</v>
      </c>
    </row>
    <row r="16" spans="1:6" x14ac:dyDescent="0.3">
      <c r="A16" t="s">
        <v>2744</v>
      </c>
      <c r="B16" t="s">
        <v>3383</v>
      </c>
    </row>
    <row r="17" spans="1:14" x14ac:dyDescent="0.3">
      <c r="A17" t="s">
        <v>2745</v>
      </c>
      <c r="B17" t="s">
        <v>2746</v>
      </c>
      <c r="C17" t="s">
        <v>2747</v>
      </c>
      <c r="D17" t="s">
        <v>2748</v>
      </c>
      <c r="E17" t="s">
        <v>3275</v>
      </c>
      <c r="F17" t="s">
        <v>3343</v>
      </c>
    </row>
    <row r="20" spans="1:14" x14ac:dyDescent="0.3">
      <c r="I20" s="15" t="s">
        <v>39</v>
      </c>
      <c r="J20" s="15" t="s">
        <v>97</v>
      </c>
      <c r="K20" s="15" t="s">
        <v>2790</v>
      </c>
      <c r="L20" s="15" t="s">
        <v>2791</v>
      </c>
      <c r="M20" s="15" t="s">
        <v>2803</v>
      </c>
      <c r="N20" s="15" t="s">
        <v>2804</v>
      </c>
    </row>
    <row r="21" spans="1:14" x14ac:dyDescent="0.3">
      <c r="I21" s="15" t="str" cm="1">
        <f t="array" ref="I21">BB_BILGI(B14,"Blok")</f>
        <v/>
      </c>
      <c r="J21" s="15" t="str" cm="1">
        <f t="array" ref="J21">BB_BILGI(B14,"kat")</f>
        <v/>
      </c>
      <c r="K21" s="15" t="str" cm="1">
        <f t="array" ref="K21">BB_BILGI(B14,"giriş")</f>
        <v/>
      </c>
      <c r="L21" s="15" t="str" cm="1">
        <f t="array" ref="L21">BB_BILGI(B14,"bbno")</f>
        <v/>
      </c>
      <c r="M21" s="15">
        <f>IFERROR(LEFT(B15,FIND("/",B15)-1),0)</f>
        <v>0</v>
      </c>
      <c r="N21" s="15">
        <f>IFERROR(MID(B15,FIND("/",B15)+1,99),0)</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85337-C131-4E8A-B6BB-DE941679A712}">
  <sheetPr published="0" codeName="Sayfa17"/>
  <dimension ref="A1:I111"/>
  <sheetViews>
    <sheetView zoomScale="70" zoomScaleNormal="70" workbookViewId="0">
      <selection activeCell="I16" sqref="I16"/>
    </sheetView>
  </sheetViews>
  <sheetFormatPr defaultRowHeight="14.4" x14ac:dyDescent="0.3"/>
  <cols>
    <col min="1" max="1" width="12.21875" bestFit="1" customWidth="1"/>
    <col min="2" max="2" width="14.109375" bestFit="1" customWidth="1"/>
    <col min="3" max="3" width="13.44140625" bestFit="1" customWidth="1"/>
    <col min="4" max="4" width="16.33203125" bestFit="1" customWidth="1"/>
    <col min="5" max="5" width="20.21875" bestFit="1" customWidth="1"/>
    <col min="6" max="6" width="11.6640625" bestFit="1" customWidth="1"/>
    <col min="7" max="7" width="15.33203125" bestFit="1" customWidth="1"/>
    <col min="8" max="8" width="15.6640625" bestFit="1" customWidth="1"/>
    <col min="9" max="9" width="15.77734375" bestFit="1" customWidth="1"/>
    <col min="10" max="10" width="24.33203125" bestFit="1" customWidth="1"/>
    <col min="11" max="12" width="80.88671875" bestFit="1" customWidth="1"/>
    <col min="13" max="13" width="33.44140625" bestFit="1" customWidth="1"/>
    <col min="14" max="14" width="9.6640625" bestFit="1" customWidth="1"/>
    <col min="15" max="15" width="15.5546875" bestFit="1" customWidth="1"/>
    <col min="16" max="16" width="15.44140625" bestFit="1" customWidth="1"/>
    <col min="17" max="17" width="16.44140625" bestFit="1" customWidth="1"/>
    <col min="18" max="18" width="7.5546875" bestFit="1" customWidth="1"/>
    <col min="19" max="19" width="63.109375" bestFit="1" customWidth="1"/>
    <col min="20" max="20" width="80.88671875" bestFit="1" customWidth="1"/>
    <col min="21" max="21" width="45.44140625" bestFit="1" customWidth="1"/>
  </cols>
  <sheetData>
    <row r="1" spans="1:9" x14ac:dyDescent="0.3">
      <c r="A1" t="s">
        <v>2847</v>
      </c>
      <c r="B1" t="s">
        <v>2849</v>
      </c>
      <c r="C1" t="s">
        <v>2848</v>
      </c>
      <c r="D1" t="s">
        <v>2853</v>
      </c>
      <c r="E1" t="s">
        <v>2850</v>
      </c>
      <c r="F1" t="s">
        <v>2851</v>
      </c>
      <c r="G1" t="s">
        <v>2836</v>
      </c>
      <c r="H1" t="s">
        <v>2852</v>
      </c>
      <c r="I1" t="s">
        <v>2839</v>
      </c>
    </row>
    <row r="2" spans="1:9" s="8" customFormat="1" x14ac:dyDescent="0.3">
      <c r="D2" s="313"/>
    </row>
    <row r="3" spans="1:9" s="8" customFormat="1" x14ac:dyDescent="0.3"/>
    <row r="4" spans="1:9" s="8" customFormat="1" x14ac:dyDescent="0.3"/>
    <row r="5" spans="1:9" s="8" customFormat="1" x14ac:dyDescent="0.3"/>
    <row r="6" spans="1:9" s="8" customFormat="1" x14ac:dyDescent="0.3"/>
    <row r="7" spans="1:9" s="8" customFormat="1" x14ac:dyDescent="0.3">
      <c r="D7"/>
    </row>
    <row r="8" spans="1:9" s="8" customFormat="1" x14ac:dyDescent="0.3"/>
    <row r="9" spans="1:9" s="8" customFormat="1" x14ac:dyDescent="0.3"/>
    <row r="10" spans="1:9" s="8" customFormat="1" x14ac:dyDescent="0.3"/>
    <row r="11" spans="1:9" s="8" customFormat="1" x14ac:dyDescent="0.3"/>
    <row r="12" spans="1:9" s="8" customFormat="1" x14ac:dyDescent="0.3"/>
    <row r="13" spans="1:9" s="8" customFormat="1" x14ac:dyDescent="0.3"/>
    <row r="14" spans="1:9" s="8" customFormat="1" x14ac:dyDescent="0.3"/>
    <row r="15" spans="1:9" s="8" customFormat="1" x14ac:dyDescent="0.3"/>
    <row r="16" spans="1:9" s="8" customFormat="1" x14ac:dyDescent="0.3"/>
    <row r="17" spans="1:9" s="8" customFormat="1" x14ac:dyDescent="0.3"/>
    <row r="18" spans="1:9" s="8" customFormat="1" x14ac:dyDescent="0.3"/>
    <row r="19" spans="1:9" s="8" customFormat="1" x14ac:dyDescent="0.3"/>
    <row r="20" spans="1:9" s="8" customFormat="1" x14ac:dyDescent="0.3">
      <c r="A20"/>
      <c r="B20"/>
      <c r="C20"/>
      <c r="E20"/>
      <c r="F20"/>
      <c r="G20"/>
      <c r="H20"/>
      <c r="I20"/>
    </row>
    <row r="21" spans="1:9" s="8" customFormat="1" x14ac:dyDescent="0.3">
      <c r="A21"/>
      <c r="B21"/>
      <c r="C21"/>
      <c r="E21"/>
      <c r="F21"/>
      <c r="G21"/>
      <c r="H21"/>
      <c r="I21"/>
    </row>
    <row r="22" spans="1:9" s="8" customFormat="1" x14ac:dyDescent="0.3">
      <c r="A22"/>
      <c r="B22"/>
      <c r="C22"/>
      <c r="E22"/>
      <c r="F22"/>
      <c r="G22"/>
      <c r="H22"/>
      <c r="I22"/>
    </row>
    <row r="23" spans="1:9" s="8" customFormat="1" x14ac:dyDescent="0.3">
      <c r="A23"/>
      <c r="B23"/>
      <c r="C23"/>
      <c r="E23"/>
      <c r="F23"/>
      <c r="G23"/>
      <c r="H23"/>
      <c r="I23"/>
    </row>
    <row r="24" spans="1:9" s="8" customFormat="1" x14ac:dyDescent="0.3">
      <c r="A24"/>
      <c r="B24"/>
      <c r="C24"/>
      <c r="E24"/>
      <c r="F24"/>
      <c r="G24"/>
      <c r="H24"/>
      <c r="I24"/>
    </row>
    <row r="25" spans="1:9" x14ac:dyDescent="0.3">
      <c r="D25" s="8"/>
    </row>
    <row r="26" spans="1:9" x14ac:dyDescent="0.3">
      <c r="D26" s="8"/>
    </row>
    <row r="27" spans="1:9" x14ac:dyDescent="0.3">
      <c r="D27" s="8"/>
    </row>
    <row r="28" spans="1:9" x14ac:dyDescent="0.3">
      <c r="D28" s="8"/>
    </row>
    <row r="29" spans="1:9" x14ac:dyDescent="0.3">
      <c r="D29" s="8"/>
    </row>
    <row r="30" spans="1:9" x14ac:dyDescent="0.3">
      <c r="D30" s="8"/>
    </row>
    <row r="31" spans="1:9" x14ac:dyDescent="0.3">
      <c r="D31" s="8"/>
    </row>
    <row r="32" spans="1:9" x14ac:dyDescent="0.3">
      <c r="D32" s="8"/>
    </row>
    <row r="33" spans="4:4" x14ac:dyDescent="0.3">
      <c r="D33" s="8"/>
    </row>
    <row r="34" spans="4:4" x14ac:dyDescent="0.3">
      <c r="D34" s="8"/>
    </row>
    <row r="35" spans="4:4" x14ac:dyDescent="0.3">
      <c r="D35" s="8"/>
    </row>
    <row r="36" spans="4:4" x14ac:dyDescent="0.3">
      <c r="D36" s="8"/>
    </row>
    <row r="37" spans="4:4" x14ac:dyDescent="0.3">
      <c r="D37" s="8"/>
    </row>
    <row r="38" spans="4:4" x14ac:dyDescent="0.3">
      <c r="D38" s="8"/>
    </row>
    <row r="39" spans="4:4" x14ac:dyDescent="0.3">
      <c r="D39" s="8"/>
    </row>
    <row r="40" spans="4:4" x14ac:dyDescent="0.3">
      <c r="D40" s="8"/>
    </row>
    <row r="41" spans="4:4" x14ac:dyDescent="0.3">
      <c r="D41" s="8"/>
    </row>
    <row r="42" spans="4:4" x14ac:dyDescent="0.3">
      <c r="D42" s="8"/>
    </row>
    <row r="43" spans="4:4" x14ac:dyDescent="0.3">
      <c r="D43" s="8"/>
    </row>
    <row r="44" spans="4:4" x14ac:dyDescent="0.3">
      <c r="D44" s="8"/>
    </row>
    <row r="45" spans="4:4" x14ac:dyDescent="0.3">
      <c r="D45" s="8"/>
    </row>
    <row r="46" spans="4:4" x14ac:dyDescent="0.3">
      <c r="D46" s="8"/>
    </row>
    <row r="47" spans="4:4" x14ac:dyDescent="0.3">
      <c r="D47" s="8"/>
    </row>
    <row r="48" spans="4:4" x14ac:dyDescent="0.3">
      <c r="D48" s="8"/>
    </row>
    <row r="49" spans="4:4" x14ac:dyDescent="0.3">
      <c r="D49" s="8"/>
    </row>
    <row r="50" spans="4:4" x14ac:dyDescent="0.3">
      <c r="D50" s="8"/>
    </row>
    <row r="51" spans="4:4" x14ac:dyDescent="0.3">
      <c r="D51" s="8"/>
    </row>
    <row r="52" spans="4:4" x14ac:dyDescent="0.3">
      <c r="D52" s="8"/>
    </row>
    <row r="53" spans="4:4" x14ac:dyDescent="0.3">
      <c r="D53" s="8"/>
    </row>
    <row r="54" spans="4:4" x14ac:dyDescent="0.3">
      <c r="D54" s="8"/>
    </row>
    <row r="55" spans="4:4" x14ac:dyDescent="0.3">
      <c r="D55" s="8"/>
    </row>
    <row r="56" spans="4:4" x14ac:dyDescent="0.3">
      <c r="D56" s="8"/>
    </row>
    <row r="57" spans="4:4" x14ac:dyDescent="0.3">
      <c r="D57" s="8"/>
    </row>
    <row r="58" spans="4:4" x14ac:dyDescent="0.3">
      <c r="D58" s="8"/>
    </row>
    <row r="59" spans="4:4" x14ac:dyDescent="0.3">
      <c r="D59" s="8"/>
    </row>
    <row r="60" spans="4:4" x14ac:dyDescent="0.3">
      <c r="D60" s="8"/>
    </row>
    <row r="61" spans="4:4" x14ac:dyDescent="0.3">
      <c r="D61" s="8"/>
    </row>
    <row r="62" spans="4:4" x14ac:dyDescent="0.3">
      <c r="D62" s="8"/>
    </row>
    <row r="63" spans="4:4" x14ac:dyDescent="0.3">
      <c r="D63" s="8"/>
    </row>
    <row r="64" spans="4:4" x14ac:dyDescent="0.3">
      <c r="D64" s="8"/>
    </row>
    <row r="65" spans="4:4" x14ac:dyDescent="0.3">
      <c r="D65" s="8"/>
    </row>
    <row r="66" spans="4:4" x14ac:dyDescent="0.3">
      <c r="D66" s="8"/>
    </row>
    <row r="67" spans="4:4" x14ac:dyDescent="0.3">
      <c r="D67" s="8"/>
    </row>
    <row r="68" spans="4:4" x14ac:dyDescent="0.3">
      <c r="D68" s="8"/>
    </row>
    <row r="69" spans="4:4" x14ac:dyDescent="0.3">
      <c r="D69" s="8"/>
    </row>
    <row r="70" spans="4:4" x14ac:dyDescent="0.3">
      <c r="D70" s="8"/>
    </row>
    <row r="71" spans="4:4" x14ac:dyDescent="0.3">
      <c r="D71" s="8"/>
    </row>
    <row r="72" spans="4:4" x14ac:dyDescent="0.3">
      <c r="D72" s="8"/>
    </row>
    <row r="73" spans="4:4" x14ac:dyDescent="0.3">
      <c r="D73" s="8"/>
    </row>
    <row r="74" spans="4:4" x14ac:dyDescent="0.3">
      <c r="D74" s="8"/>
    </row>
    <row r="75" spans="4:4" x14ac:dyDescent="0.3">
      <c r="D75" s="8"/>
    </row>
    <row r="76" spans="4:4" x14ac:dyDescent="0.3">
      <c r="D76" s="8"/>
    </row>
    <row r="77" spans="4:4" x14ac:dyDescent="0.3">
      <c r="D77" s="8"/>
    </row>
    <row r="78" spans="4:4" x14ac:dyDescent="0.3">
      <c r="D78" s="8"/>
    </row>
    <row r="79" spans="4:4" x14ac:dyDescent="0.3">
      <c r="D79" s="8"/>
    </row>
    <row r="80" spans="4:4" x14ac:dyDescent="0.3">
      <c r="D80" s="8"/>
    </row>
    <row r="81" spans="4:4" x14ac:dyDescent="0.3">
      <c r="D81" s="8"/>
    </row>
    <row r="82" spans="4:4" x14ac:dyDescent="0.3">
      <c r="D82" s="8"/>
    </row>
    <row r="83" spans="4:4" x14ac:dyDescent="0.3">
      <c r="D83" s="8"/>
    </row>
    <row r="84" spans="4:4" x14ac:dyDescent="0.3">
      <c r="D84" s="8"/>
    </row>
    <row r="85" spans="4:4" x14ac:dyDescent="0.3">
      <c r="D85" s="8"/>
    </row>
    <row r="86" spans="4:4" x14ac:dyDescent="0.3">
      <c r="D86" s="8"/>
    </row>
    <row r="87" spans="4:4" x14ac:dyDescent="0.3">
      <c r="D87" s="8"/>
    </row>
    <row r="88" spans="4:4" x14ac:dyDescent="0.3">
      <c r="D88" s="8"/>
    </row>
    <row r="89" spans="4:4" x14ac:dyDescent="0.3">
      <c r="D89" s="8"/>
    </row>
    <row r="90" spans="4:4" x14ac:dyDescent="0.3">
      <c r="D90" s="8"/>
    </row>
    <row r="91" spans="4:4" x14ac:dyDescent="0.3">
      <c r="D91" s="8"/>
    </row>
    <row r="92" spans="4:4" x14ac:dyDescent="0.3">
      <c r="D92" s="8"/>
    </row>
    <row r="93" spans="4:4" x14ac:dyDescent="0.3">
      <c r="D93" s="8"/>
    </row>
    <row r="94" spans="4:4" x14ac:dyDescent="0.3">
      <c r="D94" s="8"/>
    </row>
    <row r="95" spans="4:4" x14ac:dyDescent="0.3">
      <c r="D95" s="8"/>
    </row>
    <row r="96" spans="4:4" x14ac:dyDescent="0.3">
      <c r="D96" s="8"/>
    </row>
    <row r="97" spans="4:4" x14ac:dyDescent="0.3">
      <c r="D97" s="8"/>
    </row>
    <row r="98" spans="4:4" x14ac:dyDescent="0.3">
      <c r="D98" s="8"/>
    </row>
    <row r="99" spans="4:4" x14ac:dyDescent="0.3">
      <c r="D99" s="8"/>
    </row>
    <row r="100" spans="4:4" x14ac:dyDescent="0.3">
      <c r="D100" s="8"/>
    </row>
    <row r="101" spans="4:4" x14ac:dyDescent="0.3">
      <c r="D101" s="8"/>
    </row>
    <row r="102" spans="4:4" x14ac:dyDescent="0.3">
      <c r="D102" s="8"/>
    </row>
    <row r="103" spans="4:4" x14ac:dyDescent="0.3">
      <c r="D103" s="8"/>
    </row>
    <row r="104" spans="4:4" x14ac:dyDescent="0.3">
      <c r="D104" s="8"/>
    </row>
    <row r="105" spans="4:4" x14ac:dyDescent="0.3">
      <c r="D105" s="8"/>
    </row>
    <row r="106" spans="4:4" x14ac:dyDescent="0.3">
      <c r="D106" s="8"/>
    </row>
    <row r="107" spans="4:4" x14ac:dyDescent="0.3">
      <c r="D107" s="8"/>
    </row>
    <row r="108" spans="4:4" x14ac:dyDescent="0.3">
      <c r="D108" s="8"/>
    </row>
    <row r="109" spans="4:4" x14ac:dyDescent="0.3">
      <c r="D109" s="8"/>
    </row>
    <row r="110" spans="4:4" x14ac:dyDescent="0.3">
      <c r="D110" s="8"/>
    </row>
    <row r="111" spans="4:4" x14ac:dyDescent="0.3">
      <c r="D111" s="8"/>
    </row>
  </sheetData>
  <phoneticPr fontId="3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5B25E-C292-4AF2-85D1-A61F5A4723A4}">
  <sheetPr published="0" codeName="Sayfa18"/>
  <dimension ref="A1:Y3"/>
  <sheetViews>
    <sheetView workbookViewId="0">
      <selection activeCell="B2" sqref="B2:D3"/>
    </sheetView>
  </sheetViews>
  <sheetFormatPr defaultRowHeight="14.4" x14ac:dyDescent="0.3"/>
  <cols>
    <col min="1" max="1" width="11.33203125" bestFit="1" customWidth="1"/>
    <col min="2" max="2" width="10.88671875" bestFit="1" customWidth="1"/>
    <col min="3" max="3" width="14.21875" style="34" bestFit="1" customWidth="1"/>
    <col min="4" max="4" width="12.5546875" style="34" bestFit="1" customWidth="1"/>
    <col min="5" max="5" width="12.5546875" style="34" customWidth="1"/>
    <col min="6" max="6" width="80.88671875" style="34" bestFit="1" customWidth="1"/>
    <col min="7" max="7" width="5.33203125" style="34" bestFit="1" customWidth="1"/>
    <col min="8" max="8" width="27.5546875" style="34" bestFit="1" customWidth="1"/>
    <col min="9" max="12" width="5.33203125" style="34" bestFit="1" customWidth="1"/>
    <col min="13" max="13" width="80.88671875" style="34" bestFit="1" customWidth="1"/>
    <col min="14" max="14" width="5.6640625" style="34" bestFit="1" customWidth="1"/>
    <col min="15" max="15" width="8" style="34" bestFit="1" customWidth="1"/>
    <col min="16" max="16" width="80.88671875" style="34" bestFit="1" customWidth="1"/>
    <col min="17" max="17" width="34" style="34" bestFit="1" customWidth="1"/>
    <col min="18" max="18" width="39.6640625" style="34" bestFit="1" customWidth="1"/>
    <col min="19" max="19" width="27.5546875" style="34" bestFit="1" customWidth="1"/>
    <col min="20" max="20" width="11.109375" style="34" bestFit="1" customWidth="1"/>
    <col min="21" max="21" width="14" style="34" bestFit="1" customWidth="1"/>
    <col min="22" max="22" width="80.88671875" style="34" bestFit="1" customWidth="1"/>
    <col min="23" max="23" width="10.109375" style="34" bestFit="1" customWidth="1"/>
    <col min="24" max="24" width="14.33203125" style="34" bestFit="1" customWidth="1"/>
    <col min="25" max="25" width="12.5546875" style="34" customWidth="1"/>
    <col min="26" max="26" width="57.33203125" customWidth="1"/>
    <col min="27" max="27" width="14.5546875" bestFit="1" customWidth="1"/>
  </cols>
  <sheetData>
    <row r="1" spans="1:25" x14ac:dyDescent="0.3">
      <c r="A1" t="s">
        <v>2866</v>
      </c>
      <c r="B1" t="s">
        <v>2863</v>
      </c>
      <c r="C1" s="34" t="s">
        <v>2864</v>
      </c>
      <c r="D1" s="34" t="s">
        <v>2865</v>
      </c>
      <c r="E1"/>
      <c r="F1"/>
      <c r="G1"/>
      <c r="H1"/>
      <c r="I1"/>
      <c r="J1"/>
      <c r="K1"/>
      <c r="L1"/>
      <c r="M1"/>
      <c r="N1"/>
      <c r="O1"/>
      <c r="P1"/>
      <c r="Q1"/>
      <c r="R1"/>
      <c r="S1"/>
      <c r="T1"/>
      <c r="U1"/>
      <c r="V1"/>
      <c r="W1"/>
      <c r="X1"/>
      <c r="Y1"/>
    </row>
    <row r="2" spans="1:25" x14ac:dyDescent="0.3">
      <c r="E2"/>
      <c r="F2"/>
      <c r="G2"/>
      <c r="H2"/>
      <c r="I2"/>
      <c r="J2"/>
      <c r="K2"/>
      <c r="L2"/>
      <c r="M2"/>
      <c r="N2"/>
      <c r="O2"/>
      <c r="P2"/>
      <c r="Q2"/>
      <c r="R2"/>
      <c r="S2"/>
      <c r="T2"/>
      <c r="U2"/>
      <c r="V2"/>
      <c r="W2"/>
      <c r="X2"/>
      <c r="Y2"/>
    </row>
    <row r="3" spans="1:25" x14ac:dyDescent="0.3">
      <c r="E3"/>
      <c r="F3"/>
      <c r="G3"/>
      <c r="H3"/>
      <c r="I3"/>
      <c r="J3"/>
      <c r="K3"/>
      <c r="L3"/>
      <c r="M3"/>
      <c r="N3"/>
      <c r="O3"/>
      <c r="P3"/>
      <c r="Q3"/>
      <c r="R3"/>
      <c r="S3"/>
      <c r="T3"/>
      <c r="U3"/>
      <c r="V3"/>
      <c r="W3"/>
      <c r="X3"/>
      <c r="Y3"/>
    </row>
  </sheetData>
  <phoneticPr fontId="3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EDF5A-B442-4AA0-A9B3-BD24AF1C54A9}">
  <sheetPr published="0" codeName="Sayfa19"/>
  <dimension ref="A1:G2"/>
  <sheetViews>
    <sheetView workbookViewId="0">
      <selection sqref="A1:G2"/>
    </sheetView>
  </sheetViews>
  <sheetFormatPr defaultRowHeight="14.4" x14ac:dyDescent="0.3"/>
  <cols>
    <col min="1" max="1" width="14.88671875" bestFit="1" customWidth="1"/>
    <col min="2" max="2" width="15.77734375" bestFit="1" customWidth="1"/>
    <col min="3" max="3" width="13.5546875" bestFit="1" customWidth="1"/>
    <col min="4" max="4" width="11.88671875" bestFit="1" customWidth="1"/>
    <col min="5" max="5" width="12.77734375" bestFit="1" customWidth="1"/>
    <col min="6" max="6" width="6.88671875" bestFit="1" customWidth="1"/>
    <col min="7" max="7" width="11.33203125" bestFit="1" customWidth="1"/>
    <col min="8" max="8" width="12.6640625" bestFit="1" customWidth="1"/>
    <col min="9" max="9" width="80.88671875" bestFit="1" customWidth="1"/>
    <col min="10" max="10" width="9.6640625" bestFit="1" customWidth="1"/>
    <col min="11" max="11" width="7" bestFit="1" customWidth="1"/>
    <col min="12" max="12" width="9" bestFit="1" customWidth="1"/>
    <col min="13" max="13" width="14.44140625" bestFit="1" customWidth="1"/>
    <col min="14" max="14" width="12.44140625" bestFit="1" customWidth="1"/>
  </cols>
  <sheetData>
    <row r="1" spans="1:7" x14ac:dyDescent="0.3">
      <c r="A1" t="s">
        <v>2856</v>
      </c>
      <c r="B1" t="s">
        <v>2858</v>
      </c>
      <c r="C1" t="s">
        <v>2862</v>
      </c>
      <c r="D1" t="s">
        <v>2859</v>
      </c>
      <c r="E1" t="s">
        <v>2861</v>
      </c>
      <c r="F1" t="s">
        <v>2857</v>
      </c>
      <c r="G1" t="s">
        <v>2860</v>
      </c>
    </row>
    <row r="2" spans="1:7" x14ac:dyDescent="0.3">
      <c r="A2" s="34"/>
      <c r="B2" s="34"/>
      <c r="C2" s="34"/>
      <c r="D2" s="34"/>
      <c r="E2" s="34"/>
      <c r="F2" s="34"/>
      <c r="G2" s="34"/>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C1B81-7651-4727-A89C-2F5B517BC2BF}">
  <sheetPr published="0" codeName="Sayfa16"/>
  <dimension ref="A1:P105"/>
  <sheetViews>
    <sheetView zoomScale="85" zoomScaleNormal="85" workbookViewId="0">
      <selection activeCell="F20" sqref="F20"/>
    </sheetView>
  </sheetViews>
  <sheetFormatPr defaultColWidth="8.88671875" defaultRowHeight="14.4" x14ac:dyDescent="0.3"/>
  <cols>
    <col min="1" max="1" width="10.5546875" style="8" bestFit="1" customWidth="1"/>
    <col min="2" max="2" width="12.6640625" style="8" bestFit="1" customWidth="1"/>
    <col min="3" max="3" width="8.44140625" style="8" bestFit="1" customWidth="1"/>
    <col min="4" max="4" width="38" style="8" bestFit="1" customWidth="1"/>
    <col min="5" max="5" width="15.21875" style="8" bestFit="1" customWidth="1"/>
    <col min="6" max="6" width="15.109375" style="8" bestFit="1" customWidth="1"/>
    <col min="7" max="7" width="24.33203125" style="8" bestFit="1" customWidth="1"/>
    <col min="8" max="8" width="80.88671875" style="305" bestFit="1" customWidth="1"/>
    <col min="9" max="9" width="59.33203125" style="8" customWidth="1"/>
    <col min="10" max="10" width="24.33203125" style="303" bestFit="1" customWidth="1"/>
    <col min="11" max="11" width="14.6640625" style="8" bestFit="1" customWidth="1"/>
    <col min="12" max="12" width="35.88671875" style="8" bestFit="1" customWidth="1"/>
    <col min="13" max="13" width="10.6640625" style="8" bestFit="1" customWidth="1"/>
    <col min="14" max="14" width="10.6640625" style="8" customWidth="1"/>
    <col min="15" max="15" width="14.33203125" style="8" customWidth="1"/>
    <col min="16" max="16" width="17.44140625" style="8" customWidth="1"/>
    <col min="17" max="17" width="15.5546875" style="8" bestFit="1" customWidth="1"/>
    <col min="18" max="18" width="24.5546875" style="8" bestFit="1" customWidth="1"/>
    <col min="19" max="19" width="24.33203125" style="8" bestFit="1" customWidth="1"/>
    <col min="20" max="16384" width="8.88671875" style="8"/>
  </cols>
  <sheetData>
    <row r="1" spans="1:16" x14ac:dyDescent="0.3">
      <c r="A1" s="172" t="s">
        <v>2842</v>
      </c>
      <c r="B1" s="304" t="s">
        <v>2834</v>
      </c>
      <c r="C1" s="172" t="s">
        <v>2835</v>
      </c>
      <c r="D1" t="s">
        <v>2840</v>
      </c>
      <c r="E1" s="172" t="s">
        <v>2836</v>
      </c>
      <c r="F1" s="172" t="s">
        <v>2837</v>
      </c>
      <c r="G1" s="172" t="s">
        <v>2838</v>
      </c>
      <c r="H1" t="s">
        <v>2839</v>
      </c>
      <c r="J1" s="8"/>
    </row>
    <row r="2" spans="1:16" x14ac:dyDescent="0.3">
      <c r="A2" s="172" t="s">
        <v>3368</v>
      </c>
      <c r="B2" s="172" t="s">
        <v>3369</v>
      </c>
      <c r="C2" s="172" t="s">
        <v>3370</v>
      </c>
      <c r="D2" t="s">
        <v>3371</v>
      </c>
      <c r="E2" s="172" t="s">
        <v>3372</v>
      </c>
      <c r="F2" s="172" t="s">
        <v>3373</v>
      </c>
      <c r="G2" s="172" t="s">
        <v>3374</v>
      </c>
      <c r="H2" t="s">
        <v>3375</v>
      </c>
      <c r="J2" s="8"/>
    </row>
    <row r="3" spans="1:16" x14ac:dyDescent="0.3">
      <c r="J3" s="8"/>
    </row>
    <row r="4" spans="1:16" x14ac:dyDescent="0.3">
      <c r="J4" s="8"/>
    </row>
    <row r="5" spans="1:16" x14ac:dyDescent="0.3">
      <c r="J5" s="8"/>
    </row>
    <row r="6" spans="1:16" x14ac:dyDescent="0.3">
      <c r="J6" s="8"/>
    </row>
    <row r="7" spans="1:16" x14ac:dyDescent="0.3">
      <c r="J7" s="8"/>
    </row>
    <row r="8" spans="1:16" x14ac:dyDescent="0.3">
      <c r="J8" s="8"/>
    </row>
    <row r="9" spans="1:16" x14ac:dyDescent="0.3">
      <c r="G9" s="8" t="s">
        <v>2841</v>
      </c>
      <c r="J9" s="8"/>
    </row>
    <row r="10" spans="1:16" x14ac:dyDescent="0.3">
      <c r="J10" s="8"/>
    </row>
    <row r="11" spans="1:16" x14ac:dyDescent="0.3">
      <c r="J11" s="8"/>
    </row>
    <row r="12" spans="1:16" x14ac:dyDescent="0.3">
      <c r="J12" s="8"/>
    </row>
    <row r="13" spans="1:16" x14ac:dyDescent="0.3">
      <c r="E13" s="8" t="s">
        <v>2843</v>
      </c>
      <c r="F13" s="8" t="s">
        <v>2846</v>
      </c>
      <c r="J13" s="8"/>
    </row>
    <row r="14" spans="1:16" x14ac:dyDescent="0.3">
      <c r="I14" s="17"/>
      <c r="J14" s="295"/>
      <c r="K14" s="17"/>
      <c r="L14" s="17"/>
      <c r="M14" s="17"/>
      <c r="N14" s="17"/>
      <c r="O14" s="302" t="str">
        <f t="shared" ref="O14:O33" si="0">IFERROR((YASALDURUMDEĞERİ*M14/N14),"")</f>
        <v/>
      </c>
      <c r="P14" s="302" t="str">
        <f t="shared" ref="P14:P33" si="1">IFERROR((MEVCUTDURUMDEĞERİ*M14/N14),"")</f>
        <v/>
      </c>
    </row>
    <row r="15" spans="1:16" x14ac:dyDescent="0.3">
      <c r="E15" s="8" t="s">
        <v>2845</v>
      </c>
      <c r="M15" s="17"/>
      <c r="N15" s="17"/>
      <c r="O15" s="301" t="str">
        <f t="shared" si="0"/>
        <v/>
      </c>
      <c r="P15" s="301" t="str">
        <f t="shared" si="1"/>
        <v/>
      </c>
    </row>
    <row r="16" spans="1:16" x14ac:dyDescent="0.3">
      <c r="E16" s="8" t="s">
        <v>2844</v>
      </c>
      <c r="M16" s="17"/>
      <c r="N16" s="17"/>
      <c r="O16" s="301" t="str">
        <f t="shared" si="0"/>
        <v/>
      </c>
      <c r="P16" s="301" t="str">
        <f t="shared" si="1"/>
        <v/>
      </c>
    </row>
    <row r="17" spans="13:16" x14ac:dyDescent="0.3">
      <c r="M17" s="17"/>
      <c r="N17" s="17"/>
      <c r="O17" s="301" t="str">
        <f t="shared" si="0"/>
        <v/>
      </c>
      <c r="P17" s="301" t="str">
        <f t="shared" si="1"/>
        <v/>
      </c>
    </row>
    <row r="18" spans="13:16" x14ac:dyDescent="0.3">
      <c r="M18" s="17"/>
      <c r="N18" s="17"/>
      <c r="O18" s="301" t="str">
        <f t="shared" si="0"/>
        <v/>
      </c>
      <c r="P18" s="301" t="str">
        <f t="shared" si="1"/>
        <v/>
      </c>
    </row>
    <row r="19" spans="13:16" x14ac:dyDescent="0.3">
      <c r="M19" s="17"/>
      <c r="N19" s="17"/>
      <c r="O19" s="301" t="str">
        <f t="shared" si="0"/>
        <v/>
      </c>
      <c r="P19" s="301" t="str">
        <f t="shared" si="1"/>
        <v/>
      </c>
    </row>
    <row r="20" spans="13:16" x14ac:dyDescent="0.3">
      <c r="M20" s="17"/>
      <c r="N20" s="17"/>
      <c r="O20" s="301" t="str">
        <f t="shared" si="0"/>
        <v/>
      </c>
      <c r="P20" s="301" t="str">
        <f t="shared" si="1"/>
        <v/>
      </c>
    </row>
    <row r="21" spans="13:16" x14ac:dyDescent="0.3">
      <c r="M21" s="17"/>
      <c r="N21" s="17"/>
      <c r="O21" s="301" t="str">
        <f t="shared" si="0"/>
        <v/>
      </c>
      <c r="P21" s="301" t="str">
        <f t="shared" si="1"/>
        <v/>
      </c>
    </row>
    <row r="22" spans="13:16" x14ac:dyDescent="0.3">
      <c r="M22" s="17"/>
      <c r="N22" s="17"/>
      <c r="O22" s="301" t="str">
        <f t="shared" si="0"/>
        <v/>
      </c>
      <c r="P22" s="301" t="str">
        <f t="shared" si="1"/>
        <v/>
      </c>
    </row>
    <row r="23" spans="13:16" x14ac:dyDescent="0.3">
      <c r="M23" s="17"/>
      <c r="N23" s="17"/>
      <c r="O23" s="301" t="str">
        <f t="shared" si="0"/>
        <v/>
      </c>
      <c r="P23" s="301" t="str">
        <f t="shared" si="1"/>
        <v/>
      </c>
    </row>
    <row r="24" spans="13:16" x14ac:dyDescent="0.3">
      <c r="M24" s="17"/>
      <c r="N24" s="17"/>
      <c r="O24" s="301" t="str">
        <f t="shared" si="0"/>
        <v/>
      </c>
      <c r="P24" s="301" t="str">
        <f t="shared" si="1"/>
        <v/>
      </c>
    </row>
    <row r="25" spans="13:16" x14ac:dyDescent="0.3">
      <c r="M25" s="17"/>
      <c r="N25" s="17"/>
      <c r="O25" s="301" t="str">
        <f t="shared" si="0"/>
        <v/>
      </c>
      <c r="P25" s="301" t="str">
        <f t="shared" si="1"/>
        <v/>
      </c>
    </row>
    <row r="26" spans="13:16" x14ac:dyDescent="0.3">
      <c r="M26" s="17"/>
      <c r="N26" s="17"/>
      <c r="O26" s="301" t="str">
        <f t="shared" si="0"/>
        <v/>
      </c>
      <c r="P26" s="301" t="str">
        <f t="shared" si="1"/>
        <v/>
      </c>
    </row>
    <row r="27" spans="13:16" x14ac:dyDescent="0.3">
      <c r="M27" s="17"/>
      <c r="N27" s="17"/>
      <c r="O27" s="301" t="str">
        <f t="shared" si="0"/>
        <v/>
      </c>
      <c r="P27" s="301" t="str">
        <f t="shared" si="1"/>
        <v/>
      </c>
    </row>
    <row r="28" spans="13:16" x14ac:dyDescent="0.3">
      <c r="M28" s="17"/>
      <c r="N28" s="17"/>
      <c r="O28" s="301" t="str">
        <f t="shared" si="0"/>
        <v/>
      </c>
      <c r="P28" s="301" t="str">
        <f t="shared" si="1"/>
        <v/>
      </c>
    </row>
    <row r="29" spans="13:16" x14ac:dyDescent="0.3">
      <c r="M29" s="17"/>
      <c r="N29" s="17"/>
      <c r="O29" s="301" t="str">
        <f t="shared" si="0"/>
        <v/>
      </c>
      <c r="P29" s="301" t="str">
        <f t="shared" si="1"/>
        <v/>
      </c>
    </row>
    <row r="30" spans="13:16" x14ac:dyDescent="0.3">
      <c r="M30" s="17"/>
      <c r="N30" s="17"/>
      <c r="O30" s="301" t="str">
        <f t="shared" si="0"/>
        <v/>
      </c>
      <c r="P30" s="301" t="str">
        <f t="shared" si="1"/>
        <v/>
      </c>
    </row>
    <row r="31" spans="13:16" x14ac:dyDescent="0.3">
      <c r="M31" s="17"/>
      <c r="N31" s="17"/>
      <c r="O31" s="301" t="str">
        <f t="shared" si="0"/>
        <v/>
      </c>
      <c r="P31" s="301" t="str">
        <f t="shared" si="1"/>
        <v/>
      </c>
    </row>
    <row r="32" spans="13:16" x14ac:dyDescent="0.3">
      <c r="M32" s="17"/>
      <c r="N32" s="17"/>
      <c r="O32" s="301" t="str">
        <f t="shared" si="0"/>
        <v/>
      </c>
      <c r="P32" s="301" t="str">
        <f t="shared" si="1"/>
        <v/>
      </c>
    </row>
    <row r="33" spans="13:16" x14ac:dyDescent="0.3">
      <c r="M33" s="17"/>
      <c r="N33" s="17"/>
      <c r="O33" s="301" t="str">
        <f t="shared" si="0"/>
        <v/>
      </c>
      <c r="P33" s="301" t="str">
        <f t="shared" si="1"/>
        <v/>
      </c>
    </row>
    <row r="34" spans="13:16" x14ac:dyDescent="0.3">
      <c r="M34" s="17"/>
      <c r="N34" s="17"/>
      <c r="O34" s="301" t="str">
        <f t="shared" ref="O34:O65" si="2">IFERROR((YASALDURUMDEĞERİ*M34/N34),"")</f>
        <v/>
      </c>
      <c r="P34" s="301" t="str">
        <f t="shared" ref="P34:P65" si="3">IFERROR((MEVCUTDURUMDEĞERİ*M34/N34),"")</f>
        <v/>
      </c>
    </row>
    <row r="35" spans="13:16" x14ac:dyDescent="0.3">
      <c r="M35" s="17"/>
      <c r="N35" s="17"/>
      <c r="O35" s="301" t="str">
        <f t="shared" si="2"/>
        <v/>
      </c>
      <c r="P35" s="301" t="str">
        <f t="shared" si="3"/>
        <v/>
      </c>
    </row>
    <row r="36" spans="13:16" x14ac:dyDescent="0.3">
      <c r="M36" s="17"/>
      <c r="N36" s="17"/>
      <c r="O36" s="301" t="str">
        <f t="shared" si="2"/>
        <v/>
      </c>
      <c r="P36" s="301" t="str">
        <f t="shared" si="3"/>
        <v/>
      </c>
    </row>
    <row r="37" spans="13:16" x14ac:dyDescent="0.3">
      <c r="M37" s="17"/>
      <c r="N37" s="17"/>
      <c r="O37" s="301" t="str">
        <f t="shared" si="2"/>
        <v/>
      </c>
      <c r="P37" s="301" t="str">
        <f t="shared" si="3"/>
        <v/>
      </c>
    </row>
    <row r="38" spans="13:16" x14ac:dyDescent="0.3">
      <c r="M38" s="17"/>
      <c r="N38" s="17"/>
      <c r="O38" s="301" t="str">
        <f t="shared" si="2"/>
        <v/>
      </c>
      <c r="P38" s="301" t="str">
        <f t="shared" si="3"/>
        <v/>
      </c>
    </row>
    <row r="39" spans="13:16" x14ac:dyDescent="0.3">
      <c r="M39" s="17"/>
      <c r="N39" s="17"/>
      <c r="O39" s="301" t="str">
        <f t="shared" si="2"/>
        <v/>
      </c>
      <c r="P39" s="301" t="str">
        <f t="shared" si="3"/>
        <v/>
      </c>
    </row>
    <row r="40" spans="13:16" x14ac:dyDescent="0.3">
      <c r="M40" s="17"/>
      <c r="N40" s="17"/>
      <c r="O40" s="301" t="str">
        <f t="shared" si="2"/>
        <v/>
      </c>
      <c r="P40" s="301" t="str">
        <f t="shared" si="3"/>
        <v/>
      </c>
    </row>
    <row r="41" spans="13:16" x14ac:dyDescent="0.3">
      <c r="M41" s="17"/>
      <c r="N41" s="17"/>
      <c r="O41" s="301" t="str">
        <f t="shared" si="2"/>
        <v/>
      </c>
      <c r="P41" s="301" t="str">
        <f t="shared" si="3"/>
        <v/>
      </c>
    </row>
    <row r="42" spans="13:16" x14ac:dyDescent="0.3">
      <c r="M42" s="17"/>
      <c r="N42" s="17"/>
      <c r="O42" s="301" t="str">
        <f t="shared" si="2"/>
        <v/>
      </c>
      <c r="P42" s="301" t="str">
        <f t="shared" si="3"/>
        <v/>
      </c>
    </row>
    <row r="43" spans="13:16" x14ac:dyDescent="0.3">
      <c r="M43" s="17"/>
      <c r="N43" s="17"/>
      <c r="O43" s="301" t="str">
        <f t="shared" si="2"/>
        <v/>
      </c>
      <c r="P43" s="301" t="str">
        <f t="shared" si="3"/>
        <v/>
      </c>
    </row>
    <row r="44" spans="13:16" x14ac:dyDescent="0.3">
      <c r="M44" s="17"/>
      <c r="N44" s="17"/>
      <c r="O44" s="301" t="str">
        <f t="shared" si="2"/>
        <v/>
      </c>
      <c r="P44" s="301" t="str">
        <f t="shared" si="3"/>
        <v/>
      </c>
    </row>
    <row r="45" spans="13:16" x14ac:dyDescent="0.3">
      <c r="M45" s="17"/>
      <c r="N45" s="17"/>
      <c r="O45" s="301" t="str">
        <f t="shared" si="2"/>
        <v/>
      </c>
      <c r="P45" s="301" t="str">
        <f t="shared" si="3"/>
        <v/>
      </c>
    </row>
    <row r="46" spans="13:16" x14ac:dyDescent="0.3">
      <c r="M46" s="17"/>
      <c r="N46" s="17"/>
      <c r="O46" s="301" t="str">
        <f t="shared" si="2"/>
        <v/>
      </c>
      <c r="P46" s="301" t="str">
        <f t="shared" si="3"/>
        <v/>
      </c>
    </row>
    <row r="47" spans="13:16" x14ac:dyDescent="0.3">
      <c r="M47" s="17"/>
      <c r="N47" s="17"/>
      <c r="O47" s="301" t="str">
        <f t="shared" si="2"/>
        <v/>
      </c>
      <c r="P47" s="301" t="str">
        <f t="shared" si="3"/>
        <v/>
      </c>
    </row>
    <row r="48" spans="13:16" x14ac:dyDescent="0.3">
      <c r="M48" s="17"/>
      <c r="N48" s="17"/>
      <c r="O48" s="301" t="str">
        <f t="shared" si="2"/>
        <v/>
      </c>
      <c r="P48" s="301" t="str">
        <f t="shared" si="3"/>
        <v/>
      </c>
    </row>
    <row r="49" spans="13:16" x14ac:dyDescent="0.3">
      <c r="M49" s="17"/>
      <c r="N49" s="17"/>
      <c r="O49" s="301" t="str">
        <f t="shared" si="2"/>
        <v/>
      </c>
      <c r="P49" s="301" t="str">
        <f t="shared" si="3"/>
        <v/>
      </c>
    </row>
    <row r="50" spans="13:16" x14ac:dyDescent="0.3">
      <c r="M50" s="17"/>
      <c r="N50" s="17"/>
      <c r="O50" s="301" t="str">
        <f t="shared" si="2"/>
        <v/>
      </c>
      <c r="P50" s="301" t="str">
        <f t="shared" si="3"/>
        <v/>
      </c>
    </row>
    <row r="51" spans="13:16" x14ac:dyDescent="0.3">
      <c r="M51" s="17"/>
      <c r="N51" s="17"/>
      <c r="O51" s="301" t="str">
        <f t="shared" si="2"/>
        <v/>
      </c>
      <c r="P51" s="301" t="str">
        <f t="shared" si="3"/>
        <v/>
      </c>
    </row>
    <row r="52" spans="13:16" x14ac:dyDescent="0.3">
      <c r="M52" s="17"/>
      <c r="N52" s="17"/>
      <c r="O52" s="301" t="str">
        <f t="shared" si="2"/>
        <v/>
      </c>
      <c r="P52" s="301" t="str">
        <f t="shared" si="3"/>
        <v/>
      </c>
    </row>
    <row r="53" spans="13:16" x14ac:dyDescent="0.3">
      <c r="M53" s="17"/>
      <c r="N53" s="17"/>
      <c r="O53" s="301" t="str">
        <f t="shared" si="2"/>
        <v/>
      </c>
      <c r="P53" s="301" t="str">
        <f t="shared" si="3"/>
        <v/>
      </c>
    </row>
    <row r="54" spans="13:16" x14ac:dyDescent="0.3">
      <c r="M54" s="17"/>
      <c r="N54" s="17"/>
      <c r="O54" s="301" t="str">
        <f t="shared" si="2"/>
        <v/>
      </c>
      <c r="P54" s="301" t="str">
        <f t="shared" si="3"/>
        <v/>
      </c>
    </row>
    <row r="55" spans="13:16" x14ac:dyDescent="0.3">
      <c r="M55" s="17"/>
      <c r="N55" s="17"/>
      <c r="O55" s="301" t="str">
        <f t="shared" si="2"/>
        <v/>
      </c>
      <c r="P55" s="301" t="str">
        <f t="shared" si="3"/>
        <v/>
      </c>
    </row>
    <row r="56" spans="13:16" x14ac:dyDescent="0.3">
      <c r="M56" s="17"/>
      <c r="N56" s="17"/>
      <c r="O56" s="301" t="str">
        <f t="shared" si="2"/>
        <v/>
      </c>
      <c r="P56" s="301" t="str">
        <f t="shared" si="3"/>
        <v/>
      </c>
    </row>
    <row r="57" spans="13:16" x14ac:dyDescent="0.3">
      <c r="M57" s="17"/>
      <c r="N57" s="17"/>
      <c r="O57" s="301" t="str">
        <f t="shared" si="2"/>
        <v/>
      </c>
      <c r="P57" s="301" t="str">
        <f t="shared" si="3"/>
        <v/>
      </c>
    </row>
    <row r="58" spans="13:16" x14ac:dyDescent="0.3">
      <c r="M58" s="17"/>
      <c r="N58" s="17"/>
      <c r="O58" s="301" t="str">
        <f t="shared" si="2"/>
        <v/>
      </c>
      <c r="P58" s="301" t="str">
        <f t="shared" si="3"/>
        <v/>
      </c>
    </row>
    <row r="59" spans="13:16" x14ac:dyDescent="0.3">
      <c r="M59" s="17"/>
      <c r="N59" s="17"/>
      <c r="O59" s="301" t="str">
        <f t="shared" si="2"/>
        <v/>
      </c>
      <c r="P59" s="301" t="str">
        <f t="shared" si="3"/>
        <v/>
      </c>
    </row>
    <row r="60" spans="13:16" x14ac:dyDescent="0.3">
      <c r="M60" s="17"/>
      <c r="N60" s="17"/>
      <c r="O60" s="301" t="str">
        <f t="shared" si="2"/>
        <v/>
      </c>
      <c r="P60" s="301" t="str">
        <f t="shared" si="3"/>
        <v/>
      </c>
    </row>
    <row r="61" spans="13:16" x14ac:dyDescent="0.3">
      <c r="M61" s="17"/>
      <c r="N61" s="17"/>
      <c r="O61" s="301" t="str">
        <f t="shared" si="2"/>
        <v/>
      </c>
      <c r="P61" s="301" t="str">
        <f t="shared" si="3"/>
        <v/>
      </c>
    </row>
    <row r="62" spans="13:16" x14ac:dyDescent="0.3">
      <c r="M62" s="17"/>
      <c r="N62" s="17"/>
      <c r="O62" s="301" t="str">
        <f t="shared" si="2"/>
        <v/>
      </c>
      <c r="P62" s="301" t="str">
        <f t="shared" si="3"/>
        <v/>
      </c>
    </row>
    <row r="63" spans="13:16" x14ac:dyDescent="0.3">
      <c r="M63" s="17"/>
      <c r="N63" s="17"/>
      <c r="O63" s="301" t="str">
        <f t="shared" si="2"/>
        <v/>
      </c>
      <c r="P63" s="301" t="str">
        <f t="shared" si="3"/>
        <v/>
      </c>
    </row>
    <row r="64" spans="13:16" x14ac:dyDescent="0.3">
      <c r="M64" s="17"/>
      <c r="N64" s="17"/>
      <c r="O64" s="301" t="str">
        <f t="shared" si="2"/>
        <v/>
      </c>
      <c r="P64" s="301" t="str">
        <f t="shared" si="3"/>
        <v/>
      </c>
    </row>
    <row r="65" spans="13:16" x14ac:dyDescent="0.3">
      <c r="M65" s="17"/>
      <c r="N65" s="17"/>
      <c r="O65" s="301" t="str">
        <f t="shared" si="2"/>
        <v/>
      </c>
      <c r="P65" s="301" t="str">
        <f t="shared" si="3"/>
        <v/>
      </c>
    </row>
    <row r="66" spans="13:16" x14ac:dyDescent="0.3">
      <c r="M66" s="17"/>
      <c r="N66" s="17"/>
      <c r="O66" s="301" t="str">
        <f t="shared" ref="O66:O97" si="4">IFERROR((YASALDURUMDEĞERİ*M66/N66),"")</f>
        <v/>
      </c>
      <c r="P66" s="301" t="str">
        <f t="shared" ref="P66:P97" si="5">IFERROR((MEVCUTDURUMDEĞERİ*M66/N66),"")</f>
        <v/>
      </c>
    </row>
    <row r="67" spans="13:16" x14ac:dyDescent="0.3">
      <c r="M67" s="17"/>
      <c r="N67" s="17"/>
      <c r="O67" s="301" t="str">
        <f t="shared" si="4"/>
        <v/>
      </c>
      <c r="P67" s="301" t="str">
        <f t="shared" si="5"/>
        <v/>
      </c>
    </row>
    <row r="68" spans="13:16" x14ac:dyDescent="0.3">
      <c r="M68" s="17"/>
      <c r="N68" s="17"/>
      <c r="O68" s="301" t="str">
        <f t="shared" si="4"/>
        <v/>
      </c>
      <c r="P68" s="301" t="str">
        <f t="shared" si="5"/>
        <v/>
      </c>
    </row>
    <row r="69" spans="13:16" x14ac:dyDescent="0.3">
      <c r="M69" s="17"/>
      <c r="N69" s="17"/>
      <c r="O69" s="301" t="str">
        <f t="shared" si="4"/>
        <v/>
      </c>
      <c r="P69" s="301" t="str">
        <f t="shared" si="5"/>
        <v/>
      </c>
    </row>
    <row r="70" spans="13:16" x14ac:dyDescent="0.3">
      <c r="M70" s="17"/>
      <c r="N70" s="17"/>
      <c r="O70" s="301" t="str">
        <f t="shared" si="4"/>
        <v/>
      </c>
      <c r="P70" s="301" t="str">
        <f t="shared" si="5"/>
        <v/>
      </c>
    </row>
    <row r="71" spans="13:16" x14ac:dyDescent="0.3">
      <c r="M71" s="17"/>
      <c r="N71" s="17"/>
      <c r="O71" s="301" t="str">
        <f t="shared" si="4"/>
        <v/>
      </c>
      <c r="P71" s="301" t="str">
        <f t="shared" si="5"/>
        <v/>
      </c>
    </row>
    <row r="72" spans="13:16" x14ac:dyDescent="0.3">
      <c r="M72" s="17"/>
      <c r="N72" s="17"/>
      <c r="O72" s="301" t="str">
        <f t="shared" si="4"/>
        <v/>
      </c>
      <c r="P72" s="301" t="str">
        <f t="shared" si="5"/>
        <v/>
      </c>
    </row>
    <row r="73" spans="13:16" x14ac:dyDescent="0.3">
      <c r="M73" s="17"/>
      <c r="N73" s="17"/>
      <c r="O73" s="301" t="str">
        <f t="shared" si="4"/>
        <v/>
      </c>
      <c r="P73" s="301" t="str">
        <f t="shared" si="5"/>
        <v/>
      </c>
    </row>
    <row r="74" spans="13:16" x14ac:dyDescent="0.3">
      <c r="M74" s="17"/>
      <c r="N74" s="17"/>
      <c r="O74" s="301" t="str">
        <f t="shared" si="4"/>
        <v/>
      </c>
      <c r="P74" s="301" t="str">
        <f t="shared" si="5"/>
        <v/>
      </c>
    </row>
    <row r="75" spans="13:16" x14ac:dyDescent="0.3">
      <c r="M75" s="17"/>
      <c r="N75" s="17"/>
      <c r="O75" s="301" t="str">
        <f t="shared" si="4"/>
        <v/>
      </c>
      <c r="P75" s="301" t="str">
        <f t="shared" si="5"/>
        <v/>
      </c>
    </row>
    <row r="76" spans="13:16" x14ac:dyDescent="0.3">
      <c r="M76" s="17"/>
      <c r="N76" s="17"/>
      <c r="O76" s="301" t="str">
        <f t="shared" si="4"/>
        <v/>
      </c>
      <c r="P76" s="301" t="str">
        <f t="shared" si="5"/>
        <v/>
      </c>
    </row>
    <row r="77" spans="13:16" x14ac:dyDescent="0.3">
      <c r="M77" s="17"/>
      <c r="N77" s="17"/>
      <c r="O77" s="301" t="str">
        <f t="shared" si="4"/>
        <v/>
      </c>
      <c r="P77" s="301" t="str">
        <f t="shared" si="5"/>
        <v/>
      </c>
    </row>
    <row r="78" spans="13:16" x14ac:dyDescent="0.3">
      <c r="M78" s="17"/>
      <c r="N78" s="17"/>
      <c r="O78" s="301" t="str">
        <f t="shared" si="4"/>
        <v/>
      </c>
      <c r="P78" s="301" t="str">
        <f t="shared" si="5"/>
        <v/>
      </c>
    </row>
    <row r="79" spans="13:16" x14ac:dyDescent="0.3">
      <c r="M79" s="17"/>
      <c r="N79" s="17"/>
      <c r="O79" s="301" t="str">
        <f t="shared" si="4"/>
        <v/>
      </c>
      <c r="P79" s="301" t="str">
        <f t="shared" si="5"/>
        <v/>
      </c>
    </row>
    <row r="80" spans="13:16" x14ac:dyDescent="0.3">
      <c r="M80" s="17"/>
      <c r="N80" s="17"/>
      <c r="O80" s="301" t="str">
        <f t="shared" si="4"/>
        <v/>
      </c>
      <c r="P80" s="301" t="str">
        <f t="shared" si="5"/>
        <v/>
      </c>
    </row>
    <row r="81" spans="13:16" x14ac:dyDescent="0.3">
      <c r="M81" s="17"/>
      <c r="N81" s="17"/>
      <c r="O81" s="301" t="str">
        <f t="shared" si="4"/>
        <v/>
      </c>
      <c r="P81" s="301" t="str">
        <f t="shared" si="5"/>
        <v/>
      </c>
    </row>
    <row r="82" spans="13:16" x14ac:dyDescent="0.3">
      <c r="M82" s="17"/>
      <c r="N82" s="17"/>
      <c r="O82" s="301" t="str">
        <f t="shared" si="4"/>
        <v/>
      </c>
      <c r="P82" s="301" t="str">
        <f t="shared" si="5"/>
        <v/>
      </c>
    </row>
    <row r="83" spans="13:16" x14ac:dyDescent="0.3">
      <c r="M83" s="17"/>
      <c r="N83" s="17"/>
      <c r="O83" s="301" t="str">
        <f t="shared" si="4"/>
        <v/>
      </c>
      <c r="P83" s="301" t="str">
        <f t="shared" si="5"/>
        <v/>
      </c>
    </row>
    <row r="84" spans="13:16" x14ac:dyDescent="0.3">
      <c r="M84" s="17"/>
      <c r="N84" s="17"/>
      <c r="O84" s="301" t="str">
        <f t="shared" si="4"/>
        <v/>
      </c>
      <c r="P84" s="301" t="str">
        <f t="shared" si="5"/>
        <v/>
      </c>
    </row>
    <row r="85" spans="13:16" x14ac:dyDescent="0.3">
      <c r="M85" s="17"/>
      <c r="N85" s="17"/>
      <c r="O85" s="301" t="str">
        <f t="shared" si="4"/>
        <v/>
      </c>
      <c r="P85" s="301" t="str">
        <f t="shared" si="5"/>
        <v/>
      </c>
    </row>
    <row r="86" spans="13:16" x14ac:dyDescent="0.3">
      <c r="M86" s="17"/>
      <c r="N86" s="17"/>
      <c r="O86" s="301" t="str">
        <f t="shared" si="4"/>
        <v/>
      </c>
      <c r="P86" s="301" t="str">
        <f t="shared" si="5"/>
        <v/>
      </c>
    </row>
    <row r="87" spans="13:16" x14ac:dyDescent="0.3">
      <c r="M87" s="17"/>
      <c r="N87" s="17"/>
      <c r="O87" s="301" t="str">
        <f t="shared" si="4"/>
        <v/>
      </c>
      <c r="P87" s="301" t="str">
        <f t="shared" si="5"/>
        <v/>
      </c>
    </row>
    <row r="88" spans="13:16" x14ac:dyDescent="0.3">
      <c r="M88" s="17"/>
      <c r="N88" s="17"/>
      <c r="O88" s="301" t="str">
        <f t="shared" si="4"/>
        <v/>
      </c>
      <c r="P88" s="301" t="str">
        <f t="shared" si="5"/>
        <v/>
      </c>
    </row>
    <row r="89" spans="13:16" x14ac:dyDescent="0.3">
      <c r="M89" s="17"/>
      <c r="N89" s="17"/>
      <c r="O89" s="301" t="str">
        <f t="shared" si="4"/>
        <v/>
      </c>
      <c r="P89" s="301" t="str">
        <f t="shared" si="5"/>
        <v/>
      </c>
    </row>
    <row r="90" spans="13:16" x14ac:dyDescent="0.3">
      <c r="M90" s="17"/>
      <c r="N90" s="17"/>
      <c r="O90" s="301" t="str">
        <f t="shared" si="4"/>
        <v/>
      </c>
      <c r="P90" s="301" t="str">
        <f t="shared" si="5"/>
        <v/>
      </c>
    </row>
    <row r="91" spans="13:16" x14ac:dyDescent="0.3">
      <c r="M91" s="17"/>
      <c r="N91" s="17"/>
      <c r="O91" s="301" t="str">
        <f t="shared" si="4"/>
        <v/>
      </c>
      <c r="P91" s="301" t="str">
        <f t="shared" si="5"/>
        <v/>
      </c>
    </row>
    <row r="92" spans="13:16" x14ac:dyDescent="0.3">
      <c r="M92" s="17"/>
      <c r="N92" s="17"/>
      <c r="O92" s="301" t="str">
        <f t="shared" si="4"/>
        <v/>
      </c>
      <c r="P92" s="301" t="str">
        <f t="shared" si="5"/>
        <v/>
      </c>
    </row>
    <row r="93" spans="13:16" x14ac:dyDescent="0.3">
      <c r="M93" s="17"/>
      <c r="N93" s="17"/>
      <c r="O93" s="301" t="str">
        <f t="shared" si="4"/>
        <v/>
      </c>
      <c r="P93" s="301" t="str">
        <f t="shared" si="5"/>
        <v/>
      </c>
    </row>
    <row r="94" spans="13:16" x14ac:dyDescent="0.3">
      <c r="M94" s="17"/>
      <c r="N94" s="17"/>
      <c r="O94" s="301" t="str">
        <f t="shared" si="4"/>
        <v/>
      </c>
      <c r="P94" s="301" t="str">
        <f t="shared" si="5"/>
        <v/>
      </c>
    </row>
    <row r="95" spans="13:16" x14ac:dyDescent="0.3">
      <c r="M95" s="17"/>
      <c r="N95" s="17"/>
      <c r="O95" s="301" t="str">
        <f t="shared" si="4"/>
        <v/>
      </c>
      <c r="P95" s="301" t="str">
        <f t="shared" si="5"/>
        <v/>
      </c>
    </row>
    <row r="96" spans="13:16" x14ac:dyDescent="0.3">
      <c r="M96" s="17"/>
      <c r="N96" s="17"/>
      <c r="O96" s="301" t="str">
        <f t="shared" si="4"/>
        <v/>
      </c>
      <c r="P96" s="301" t="str">
        <f t="shared" si="5"/>
        <v/>
      </c>
    </row>
    <row r="97" spans="13:16" x14ac:dyDescent="0.3">
      <c r="M97" s="17"/>
      <c r="N97" s="17"/>
      <c r="O97" s="301" t="str">
        <f t="shared" si="4"/>
        <v/>
      </c>
      <c r="P97" s="301" t="str">
        <f t="shared" si="5"/>
        <v/>
      </c>
    </row>
    <row r="98" spans="13:16" x14ac:dyDescent="0.3">
      <c r="M98" s="17"/>
      <c r="N98" s="17"/>
      <c r="O98" s="301" t="str">
        <f t="shared" ref="O98:O105" si="6">IFERROR((YASALDURUMDEĞERİ*M98/N98),"")</f>
        <v/>
      </c>
      <c r="P98" s="301" t="str">
        <f t="shared" ref="P98:P105" si="7">IFERROR((MEVCUTDURUMDEĞERİ*M98/N98),"")</f>
        <v/>
      </c>
    </row>
    <row r="99" spans="13:16" x14ac:dyDescent="0.3">
      <c r="M99" s="17"/>
      <c r="N99" s="17"/>
      <c r="O99" s="301" t="str">
        <f t="shared" si="6"/>
        <v/>
      </c>
      <c r="P99" s="301" t="str">
        <f t="shared" si="7"/>
        <v/>
      </c>
    </row>
    <row r="100" spans="13:16" x14ac:dyDescent="0.3">
      <c r="M100" s="17"/>
      <c r="N100" s="17"/>
      <c r="O100" s="301" t="str">
        <f t="shared" si="6"/>
        <v/>
      </c>
      <c r="P100" s="301" t="str">
        <f t="shared" si="7"/>
        <v/>
      </c>
    </row>
    <row r="101" spans="13:16" x14ac:dyDescent="0.3">
      <c r="M101" s="17" t="str">
        <f>+IFERROR((LEFT(#REF!,FIND("/",#REF!)-1)),"")</f>
        <v/>
      </c>
      <c r="N101" s="17" t="str">
        <f>IFERROR(MID(#REF!,FIND("/",#REF!)+1,99),"")</f>
        <v/>
      </c>
      <c r="O101" s="301" t="str">
        <f t="shared" si="6"/>
        <v/>
      </c>
      <c r="P101" s="301" t="str">
        <f t="shared" si="7"/>
        <v/>
      </c>
    </row>
    <row r="102" spans="13:16" x14ac:dyDescent="0.3">
      <c r="M102" s="17" t="str">
        <f>+IFERROR((LEFT(#REF!,FIND("/",#REF!)-1)),"")</f>
        <v/>
      </c>
      <c r="N102" s="17" t="str">
        <f>IFERROR(MID(#REF!,FIND("/",#REF!)+1,99),"")</f>
        <v/>
      </c>
      <c r="O102" s="301" t="str">
        <f t="shared" si="6"/>
        <v/>
      </c>
      <c r="P102" s="301" t="str">
        <f t="shared" si="7"/>
        <v/>
      </c>
    </row>
    <row r="103" spans="13:16" x14ac:dyDescent="0.3">
      <c r="M103" s="17" t="str">
        <f>+IFERROR((LEFT(#REF!,FIND("/",#REF!)-1)),"")</f>
        <v/>
      </c>
      <c r="N103" s="17" t="str">
        <f>IFERROR((MID(#REF!,FIND("/",#REF!)+1,99)),"")</f>
        <v/>
      </c>
      <c r="O103" s="301" t="str">
        <f t="shared" si="6"/>
        <v/>
      </c>
      <c r="P103" s="301" t="str">
        <f t="shared" si="7"/>
        <v/>
      </c>
    </row>
    <row r="104" spans="13:16" x14ac:dyDescent="0.3">
      <c r="M104" s="17" t="str">
        <f>+IFERROR((LEFT(#REF!,FIND("/",#REF!)-1)),"")</f>
        <v/>
      </c>
      <c r="N104" s="17" t="str">
        <f>IFERROR((MID(#REF!,FIND("/",#REF!)+1,99)),"")</f>
        <v/>
      </c>
      <c r="O104" s="301" t="str">
        <f t="shared" si="6"/>
        <v/>
      </c>
      <c r="P104" s="301" t="str">
        <f t="shared" si="7"/>
        <v/>
      </c>
    </row>
    <row r="105" spans="13:16" x14ac:dyDescent="0.3">
      <c r="M105" s="17" t="str">
        <f>+IFERROR((LEFT(#REF!,FIND("/",#REF!)-1)),"")</f>
        <v/>
      </c>
      <c r="N105" s="17" t="str">
        <f>IFERROR((MID(#REF!,FIND("/",#REF!)+1,99)),"")</f>
        <v/>
      </c>
      <c r="O105" s="301" t="str">
        <f t="shared" si="6"/>
        <v/>
      </c>
      <c r="P105" s="301" t="str">
        <f t="shared" si="7"/>
        <v/>
      </c>
    </row>
  </sheetData>
  <phoneticPr fontId="3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5832A-F53E-489C-8BF9-0A02A17D0125}">
  <sheetPr published="0" codeName="Sayfa20"/>
  <dimension ref="A1:C2"/>
  <sheetViews>
    <sheetView workbookViewId="0">
      <selection activeCell="A2" sqref="A2:C2"/>
    </sheetView>
  </sheetViews>
  <sheetFormatPr defaultRowHeight="14.4" x14ac:dyDescent="0.3"/>
  <cols>
    <col min="1" max="1" width="17.77734375" bestFit="1" customWidth="1"/>
    <col min="2" max="2" width="17.109375" bestFit="1" customWidth="1"/>
    <col min="3" max="3" width="54.6640625" bestFit="1" customWidth="1"/>
  </cols>
  <sheetData>
    <row r="1" spans="1:3" x14ac:dyDescent="0.3">
      <c r="A1" t="s">
        <v>2819</v>
      </c>
      <c r="B1" t="s">
        <v>2820</v>
      </c>
      <c r="C1" t="s">
        <v>2821</v>
      </c>
    </row>
    <row r="2" spans="1:3" x14ac:dyDescent="0.3">
      <c r="A2">
        <v>46192</v>
      </c>
      <c r="B2">
        <v>0.60416666666666663</v>
      </c>
      <c r="C2" t="s">
        <v>3384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F0680-7871-4EC6-B779-A5F444937984}">
  <sheetPr published="0" codeName="Sayfa13"/>
  <dimension ref="A1:F39"/>
  <sheetViews>
    <sheetView topLeftCell="C19" workbookViewId="0">
      <selection activeCell="D26" sqref="D26"/>
    </sheetView>
  </sheetViews>
  <sheetFormatPr defaultRowHeight="14.4" x14ac:dyDescent="0.3"/>
  <cols>
    <col min="1" max="1" width="8.44140625" bestFit="1" customWidth="1"/>
    <col min="2" max="2" width="15.44140625" bestFit="1" customWidth="1"/>
    <col min="3" max="3" width="7" bestFit="1" customWidth="1"/>
    <col min="4" max="4" width="59" bestFit="1" customWidth="1"/>
    <col min="5" max="5" width="80.88671875" bestFit="1" customWidth="1"/>
    <col min="6" max="6" width="42.44140625" bestFit="1" customWidth="1"/>
  </cols>
  <sheetData>
    <row r="1" spans="1:6" x14ac:dyDescent="0.3">
      <c r="A1" t="s">
        <v>2694</v>
      </c>
      <c r="B1" t="s">
        <v>2695</v>
      </c>
      <c r="C1" t="s">
        <v>2696</v>
      </c>
      <c r="D1" t="s">
        <v>837</v>
      </c>
      <c r="E1" t="s">
        <v>2718</v>
      </c>
      <c r="F1" t="s">
        <v>2751</v>
      </c>
    </row>
    <row r="2" spans="1:6" x14ac:dyDescent="0.3">
      <c r="A2" t="s">
        <v>2697</v>
      </c>
      <c r="B2" t="s">
        <v>2698</v>
      </c>
      <c r="C2" t="s">
        <v>2699</v>
      </c>
      <c r="D2" t="s">
        <v>2773</v>
      </c>
      <c r="E2" t="s">
        <v>2774</v>
      </c>
      <c r="F2" t="s">
        <v>2775</v>
      </c>
    </row>
    <row r="3" spans="1:6" x14ac:dyDescent="0.3">
      <c r="A3" t="s">
        <v>2697</v>
      </c>
      <c r="B3" t="s">
        <v>2698</v>
      </c>
      <c r="C3" t="s">
        <v>2699</v>
      </c>
      <c r="D3" t="s">
        <v>2777</v>
      </c>
      <c r="E3" t="s">
        <v>2776</v>
      </c>
      <c r="F3" t="s">
        <v>2778</v>
      </c>
    </row>
    <row r="4" spans="1:6" x14ac:dyDescent="0.3">
      <c r="A4" t="s">
        <v>2700</v>
      </c>
      <c r="B4" t="s">
        <v>2701</v>
      </c>
      <c r="C4" t="s">
        <v>2699</v>
      </c>
      <c r="D4" t="s">
        <v>2719</v>
      </c>
      <c r="E4" t="s">
        <v>2720</v>
      </c>
    </row>
    <row r="5" spans="1:6" x14ac:dyDescent="0.3">
      <c r="A5" t="s">
        <v>2700</v>
      </c>
      <c r="B5" t="s">
        <v>2701</v>
      </c>
      <c r="C5" t="s">
        <v>2699</v>
      </c>
      <c r="D5" t="s">
        <v>2721</v>
      </c>
      <c r="E5" t="s">
        <v>2722</v>
      </c>
    </row>
    <row r="6" spans="1:6" x14ac:dyDescent="0.3">
      <c r="A6" t="s">
        <v>2700</v>
      </c>
      <c r="B6" t="s">
        <v>2701</v>
      </c>
      <c r="C6" t="s">
        <v>2699</v>
      </c>
      <c r="D6" t="s">
        <v>2723</v>
      </c>
      <c r="E6" t="s">
        <v>2724</v>
      </c>
    </row>
    <row r="7" spans="1:6" x14ac:dyDescent="0.3">
      <c r="A7" t="s">
        <v>2700</v>
      </c>
      <c r="B7" t="s">
        <v>2701</v>
      </c>
      <c r="C7" t="s">
        <v>2699</v>
      </c>
      <c r="D7" t="s">
        <v>2725</v>
      </c>
      <c r="E7" t="s">
        <v>309</v>
      </c>
    </row>
    <row r="8" spans="1:6" x14ac:dyDescent="0.3">
      <c r="A8" t="s">
        <v>2700</v>
      </c>
      <c r="B8" t="s">
        <v>2701</v>
      </c>
      <c r="C8" t="s">
        <v>2699</v>
      </c>
      <c r="D8" t="s">
        <v>2726</v>
      </c>
      <c r="E8" t="s">
        <v>2727</v>
      </c>
    </row>
    <row r="9" spans="1:6" x14ac:dyDescent="0.3">
      <c r="A9" t="s">
        <v>2700</v>
      </c>
      <c r="B9" t="s">
        <v>2701</v>
      </c>
      <c r="C9" t="s">
        <v>2699</v>
      </c>
      <c r="D9" t="s">
        <v>2728</v>
      </c>
      <c r="E9" t="s">
        <v>1319</v>
      </c>
    </row>
    <row r="10" spans="1:6" x14ac:dyDescent="0.3">
      <c r="A10" t="s">
        <v>2700</v>
      </c>
      <c r="B10" t="s">
        <v>2701</v>
      </c>
      <c r="C10" t="s">
        <v>2699</v>
      </c>
      <c r="D10" t="s">
        <v>2729</v>
      </c>
      <c r="E10" t="s">
        <v>2730</v>
      </c>
    </row>
    <row r="11" spans="1:6" x14ac:dyDescent="0.3">
      <c r="A11" t="s">
        <v>2700</v>
      </c>
      <c r="B11" t="s">
        <v>2701</v>
      </c>
      <c r="C11" t="s">
        <v>2699</v>
      </c>
      <c r="D11" t="s">
        <v>2731</v>
      </c>
      <c r="E11" t="s">
        <v>2732</v>
      </c>
    </row>
    <row r="12" spans="1:6" x14ac:dyDescent="0.3">
      <c r="A12" t="s">
        <v>2702</v>
      </c>
      <c r="B12" t="s">
        <v>2703</v>
      </c>
      <c r="C12" t="s">
        <v>2699</v>
      </c>
      <c r="D12" t="s">
        <v>2733</v>
      </c>
      <c r="E12" t="s">
        <v>2734</v>
      </c>
    </row>
    <row r="13" spans="1:6" x14ac:dyDescent="0.3">
      <c r="A13" t="s">
        <v>2702</v>
      </c>
      <c r="B13" t="s">
        <v>2703</v>
      </c>
      <c r="C13" t="s">
        <v>2699</v>
      </c>
      <c r="D13" t="s">
        <v>2735</v>
      </c>
      <c r="E13" t="s">
        <v>2736</v>
      </c>
    </row>
    <row r="14" spans="1:6" x14ac:dyDescent="0.3">
      <c r="A14" t="s">
        <v>2702</v>
      </c>
      <c r="B14" t="s">
        <v>2703</v>
      </c>
      <c r="C14" t="s">
        <v>2699</v>
      </c>
      <c r="D14" t="s">
        <v>2737</v>
      </c>
      <c r="E14" t="s">
        <v>2717</v>
      </c>
    </row>
    <row r="15" spans="1:6" x14ac:dyDescent="0.3">
      <c r="A15" t="s">
        <v>2702</v>
      </c>
      <c r="B15" t="s">
        <v>2703</v>
      </c>
      <c r="C15" t="s">
        <v>2699</v>
      </c>
      <c r="D15" t="s">
        <v>2738</v>
      </c>
      <c r="E15" t="s">
        <v>844</v>
      </c>
    </row>
    <row r="16" spans="1:6" x14ac:dyDescent="0.3">
      <c r="A16" t="s">
        <v>2702</v>
      </c>
      <c r="B16" t="s">
        <v>2703</v>
      </c>
      <c r="C16" t="s">
        <v>2699</v>
      </c>
      <c r="D16" t="s">
        <v>2739</v>
      </c>
      <c r="E16" t="s">
        <v>844</v>
      </c>
    </row>
    <row r="17" spans="1:6" x14ac:dyDescent="0.3">
      <c r="A17" t="s">
        <v>2702</v>
      </c>
      <c r="B17" t="s">
        <v>2703</v>
      </c>
      <c r="C17" t="s">
        <v>2699</v>
      </c>
      <c r="D17" t="s">
        <v>2740</v>
      </c>
      <c r="E17" t="s">
        <v>2741</v>
      </c>
    </row>
    <row r="18" spans="1:6" x14ac:dyDescent="0.3">
      <c r="A18" t="s">
        <v>2702</v>
      </c>
      <c r="B18" t="s">
        <v>2703</v>
      </c>
      <c r="C18" t="s">
        <v>2699</v>
      </c>
      <c r="D18" t="s">
        <v>2742</v>
      </c>
      <c r="E18" t="s">
        <v>2743</v>
      </c>
    </row>
    <row r="19" spans="1:6" x14ac:dyDescent="0.3">
      <c r="A19" t="s">
        <v>2702</v>
      </c>
      <c r="B19" t="s">
        <v>2703</v>
      </c>
      <c r="C19" t="s">
        <v>2699</v>
      </c>
      <c r="D19" t="s">
        <v>2744</v>
      </c>
      <c r="E19" t="s">
        <v>2716</v>
      </c>
    </row>
    <row r="20" spans="1:6" x14ac:dyDescent="0.3">
      <c r="A20" t="s">
        <v>2704</v>
      </c>
      <c r="B20" t="s">
        <v>2705</v>
      </c>
      <c r="C20" t="s">
        <v>2699</v>
      </c>
      <c r="D20" t="s">
        <v>2752</v>
      </c>
      <c r="E20" t="s">
        <v>788</v>
      </c>
      <c r="F20" t="s">
        <v>2753</v>
      </c>
    </row>
    <row r="21" spans="1:6" x14ac:dyDescent="0.3">
      <c r="A21" t="s">
        <v>2704</v>
      </c>
      <c r="B21" t="s">
        <v>2705</v>
      </c>
      <c r="C21" t="s">
        <v>2699</v>
      </c>
      <c r="D21" t="s">
        <v>2754</v>
      </c>
      <c r="E21" t="s">
        <v>2755</v>
      </c>
      <c r="F21" t="s">
        <v>844</v>
      </c>
    </row>
    <row r="22" spans="1:6" x14ac:dyDescent="0.3">
      <c r="A22" t="s">
        <v>2706</v>
      </c>
      <c r="B22" t="s">
        <v>2707</v>
      </c>
      <c r="C22" t="s">
        <v>2699</v>
      </c>
      <c r="D22" t="s">
        <v>2745</v>
      </c>
      <c r="E22" t="s">
        <v>2746</v>
      </c>
      <c r="F22" t="s">
        <v>2747</v>
      </c>
    </row>
    <row r="23" spans="1:6" x14ac:dyDescent="0.3">
      <c r="A23" t="s">
        <v>2706</v>
      </c>
      <c r="B23" t="s">
        <v>2707</v>
      </c>
      <c r="C23" t="s">
        <v>2699</v>
      </c>
      <c r="D23" t="s">
        <v>2779</v>
      </c>
      <c r="E23" t="s">
        <v>2749</v>
      </c>
      <c r="F23" t="s">
        <v>1319</v>
      </c>
    </row>
    <row r="24" spans="1:6" x14ac:dyDescent="0.3">
      <c r="A24" t="s">
        <v>2706</v>
      </c>
      <c r="B24" t="s">
        <v>2707</v>
      </c>
      <c r="C24" t="s">
        <v>2699</v>
      </c>
      <c r="D24" t="s">
        <v>2780</v>
      </c>
      <c r="E24" t="s">
        <v>2750</v>
      </c>
      <c r="F24" t="s">
        <v>1319</v>
      </c>
    </row>
    <row r="25" spans="1:6" x14ac:dyDescent="0.3">
      <c r="A25" t="s">
        <v>2708</v>
      </c>
      <c r="B25" t="s">
        <v>2709</v>
      </c>
      <c r="C25" t="s">
        <v>2699</v>
      </c>
      <c r="D25" t="s">
        <v>2752</v>
      </c>
      <c r="E25" t="s">
        <v>788</v>
      </c>
      <c r="F25" t="s">
        <v>2756</v>
      </c>
    </row>
    <row r="26" spans="1:6" x14ac:dyDescent="0.3">
      <c r="A26" t="s">
        <v>2708</v>
      </c>
      <c r="B26" t="s">
        <v>2709</v>
      </c>
      <c r="C26" t="s">
        <v>2699</v>
      </c>
      <c r="D26" t="s">
        <v>2757</v>
      </c>
      <c r="E26" t="s">
        <v>2758</v>
      </c>
      <c r="F26" t="s">
        <v>2759</v>
      </c>
    </row>
    <row r="27" spans="1:6" x14ac:dyDescent="0.3">
      <c r="A27" t="s">
        <v>2710</v>
      </c>
      <c r="B27" t="s">
        <v>2711</v>
      </c>
      <c r="C27" t="s">
        <v>2699</v>
      </c>
      <c r="D27" t="s">
        <v>2760</v>
      </c>
    </row>
    <row r="28" spans="1:6" x14ac:dyDescent="0.3">
      <c r="A28" t="s">
        <v>2710</v>
      </c>
      <c r="B28" t="s">
        <v>2711</v>
      </c>
      <c r="C28" t="s">
        <v>2699</v>
      </c>
      <c r="D28" t="s">
        <v>2761</v>
      </c>
      <c r="E28" t="s">
        <v>2762</v>
      </c>
      <c r="F28" t="s">
        <v>2763</v>
      </c>
    </row>
    <row r="29" spans="1:6" x14ac:dyDescent="0.3">
      <c r="A29" t="s">
        <v>2710</v>
      </c>
      <c r="B29" t="s">
        <v>2711</v>
      </c>
      <c r="C29" t="s">
        <v>2699</v>
      </c>
      <c r="D29" t="s">
        <v>2764</v>
      </c>
      <c r="E29" t="s">
        <v>717</v>
      </c>
      <c r="F29" t="s">
        <v>2765</v>
      </c>
    </row>
    <row r="30" spans="1:6" x14ac:dyDescent="0.3">
      <c r="A30" t="s">
        <v>2710</v>
      </c>
      <c r="B30" t="s">
        <v>2711</v>
      </c>
      <c r="C30" t="s">
        <v>2699</v>
      </c>
      <c r="D30" t="s">
        <v>2766</v>
      </c>
    </row>
    <row r="31" spans="1:6" x14ac:dyDescent="0.3">
      <c r="A31" t="s">
        <v>2710</v>
      </c>
      <c r="B31" t="s">
        <v>2711</v>
      </c>
      <c r="C31" t="s">
        <v>2699</v>
      </c>
      <c r="D31" t="s">
        <v>2767</v>
      </c>
      <c r="E31" t="s">
        <v>2748</v>
      </c>
      <c r="F31" t="s">
        <v>2768</v>
      </c>
    </row>
    <row r="32" spans="1:6" x14ac:dyDescent="0.3">
      <c r="A32" t="s">
        <v>2710</v>
      </c>
      <c r="B32" t="s">
        <v>2711</v>
      </c>
      <c r="C32" t="s">
        <v>2699</v>
      </c>
      <c r="D32" t="s">
        <v>2769</v>
      </c>
      <c r="E32" t="s">
        <v>2770</v>
      </c>
      <c r="F32" t="s">
        <v>2749</v>
      </c>
    </row>
    <row r="33" spans="1:6" x14ac:dyDescent="0.3">
      <c r="A33" t="s">
        <v>2712</v>
      </c>
      <c r="B33" t="s">
        <v>2713</v>
      </c>
      <c r="C33" t="s">
        <v>2699</v>
      </c>
      <c r="D33" t="s">
        <v>2760</v>
      </c>
    </row>
    <row r="34" spans="1:6" x14ac:dyDescent="0.3">
      <c r="A34" t="s">
        <v>2712</v>
      </c>
      <c r="B34" t="s">
        <v>2713</v>
      </c>
      <c r="C34" t="s">
        <v>2699</v>
      </c>
      <c r="D34" t="s">
        <v>2761</v>
      </c>
      <c r="E34" t="s">
        <v>2762</v>
      </c>
      <c r="F34" t="s">
        <v>2763</v>
      </c>
    </row>
    <row r="35" spans="1:6" x14ac:dyDescent="0.3">
      <c r="A35" t="s">
        <v>2712</v>
      </c>
      <c r="B35" t="s">
        <v>2713</v>
      </c>
      <c r="C35" t="s">
        <v>2699</v>
      </c>
      <c r="D35" t="s">
        <v>2764</v>
      </c>
      <c r="E35" t="s">
        <v>717</v>
      </c>
      <c r="F35" t="s">
        <v>2765</v>
      </c>
    </row>
    <row r="36" spans="1:6" x14ac:dyDescent="0.3">
      <c r="A36" t="s">
        <v>2712</v>
      </c>
      <c r="B36" t="s">
        <v>2713</v>
      </c>
      <c r="C36" t="s">
        <v>2699</v>
      </c>
      <c r="D36" t="s">
        <v>2766</v>
      </c>
    </row>
    <row r="37" spans="1:6" x14ac:dyDescent="0.3">
      <c r="A37" t="s">
        <v>2712</v>
      </c>
      <c r="B37" t="s">
        <v>2713</v>
      </c>
      <c r="C37" t="s">
        <v>2699</v>
      </c>
      <c r="D37" t="s">
        <v>2767</v>
      </c>
      <c r="E37" t="s">
        <v>2748</v>
      </c>
      <c r="F37" t="s">
        <v>2768</v>
      </c>
    </row>
    <row r="38" spans="1:6" x14ac:dyDescent="0.3">
      <c r="A38" t="s">
        <v>2712</v>
      </c>
      <c r="B38" t="s">
        <v>2713</v>
      </c>
      <c r="C38" t="s">
        <v>2699</v>
      </c>
      <c r="D38" t="s">
        <v>2769</v>
      </c>
      <c r="E38" t="s">
        <v>2770</v>
      </c>
      <c r="F38" t="s">
        <v>2771</v>
      </c>
    </row>
    <row r="39" spans="1:6" x14ac:dyDescent="0.3">
      <c r="A39" t="s">
        <v>2714</v>
      </c>
      <c r="B39" t="s">
        <v>2715</v>
      </c>
      <c r="C39" t="s">
        <v>2699</v>
      </c>
      <c r="D39" t="s">
        <v>2772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FF13E-BCC8-4D84-A415-CDF919807735}">
  <sheetPr published="0" codeName="Sayfa14"/>
  <dimension ref="A1:B17"/>
  <sheetViews>
    <sheetView workbookViewId="0">
      <selection activeCell="A7" sqref="A7"/>
    </sheetView>
  </sheetViews>
  <sheetFormatPr defaultRowHeight="14.4" x14ac:dyDescent="0.3"/>
  <cols>
    <col min="1" max="1" width="81.6640625" customWidth="1"/>
  </cols>
  <sheetData>
    <row r="1" spans="1:2" x14ac:dyDescent="0.3">
      <c r="A1" s="290" t="s">
        <v>2782</v>
      </c>
    </row>
    <row r="2" spans="1:2" x14ac:dyDescent="0.3">
      <c r="A2" s="290" t="s">
        <v>3367</v>
      </c>
      <c r="B2" t="s">
        <v>2781</v>
      </c>
    </row>
    <row r="3" spans="1:2" x14ac:dyDescent="0.3">
      <c r="A3" s="298" t="s">
        <v>3367</v>
      </c>
    </row>
    <row r="6" spans="1:2" x14ac:dyDescent="0.3">
      <c r="A6" s="299" t="s">
        <v>2822</v>
      </c>
    </row>
    <row r="7" spans="1:2" x14ac:dyDescent="0.3">
      <c r="A7" s="300" t="s">
        <v>3385</v>
      </c>
    </row>
    <row r="10" spans="1:2" x14ac:dyDescent="0.3">
      <c r="A10" t="s">
        <v>3254</v>
      </c>
    </row>
    <row r="11" spans="1:2" x14ac:dyDescent="0.3">
      <c r="A11" t="s">
        <v>3344</v>
      </c>
    </row>
    <row r="17" ht="15.6" customHeight="1" x14ac:dyDescent="0.3"/>
  </sheetData>
  <pageMargins left="0.7" right="0.7" top="0.75" bottom="0.75" header="0.3" footer="0.3"/>
  <tableParts count="3">
    <tablePart r:id="rId1"/>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578A4-67A3-4C94-90D8-FEF0698EC311}">
  <sheetPr published="0" codeName="Sayfa6"/>
  <dimension ref="A1:E99"/>
  <sheetViews>
    <sheetView topLeftCell="A86" workbookViewId="0">
      <selection activeCell="D87" sqref="D87:E87"/>
    </sheetView>
  </sheetViews>
  <sheetFormatPr defaultColWidth="8.88671875" defaultRowHeight="60" customHeight="1" x14ac:dyDescent="0.25"/>
  <cols>
    <col min="1" max="1" width="16.33203125" style="278" customWidth="1"/>
    <col min="2" max="2" width="33.6640625" style="278" customWidth="1"/>
    <col min="3" max="3" width="13.6640625" style="278" customWidth="1"/>
    <col min="4" max="4" width="50.6640625" style="278" customWidth="1"/>
    <col min="5" max="5" width="89.44140625" style="278" customWidth="1"/>
    <col min="6" max="16384" width="8.88671875" style="278"/>
  </cols>
  <sheetData>
    <row r="1" spans="1:5" ht="121.2" customHeight="1" thickBot="1" x14ac:dyDescent="0.3">
      <c r="A1" s="1044" t="s">
        <v>1524</v>
      </c>
      <c r="B1" s="1046" t="s">
        <v>1525</v>
      </c>
      <c r="C1" s="277" t="s">
        <v>1526</v>
      </c>
      <c r="D1" s="277" t="s">
        <v>1527</v>
      </c>
      <c r="E1" s="1046" t="s">
        <v>1528</v>
      </c>
    </row>
    <row r="2" spans="1:5" ht="121.2" customHeight="1" thickBot="1" x14ac:dyDescent="0.3">
      <c r="A2" s="1045"/>
      <c r="B2" s="1047"/>
      <c r="C2" s="279" t="s">
        <v>1529</v>
      </c>
      <c r="D2" s="279" t="s">
        <v>1530</v>
      </c>
      <c r="E2" s="1047"/>
    </row>
    <row r="3" spans="1:5" ht="96.6" customHeight="1" thickBot="1" x14ac:dyDescent="0.3">
      <c r="A3" s="280" t="s">
        <v>1531</v>
      </c>
      <c r="B3" s="279" t="s">
        <v>1532</v>
      </c>
      <c r="C3" s="279" t="s">
        <v>1531</v>
      </c>
      <c r="D3" s="279" t="s">
        <v>1533</v>
      </c>
      <c r="E3" s="279" t="s">
        <v>1534</v>
      </c>
    </row>
    <row r="4" spans="1:5" ht="60" customHeight="1" thickBot="1" x14ac:dyDescent="0.3">
      <c r="A4" s="1044" t="s">
        <v>1535</v>
      </c>
      <c r="B4" s="1046" t="s">
        <v>1536</v>
      </c>
      <c r="C4" s="279" t="s">
        <v>1537</v>
      </c>
      <c r="D4" s="279" t="s">
        <v>1538</v>
      </c>
      <c r="E4" s="1046" t="s">
        <v>1539</v>
      </c>
    </row>
    <row r="5" spans="1:5" ht="60" customHeight="1" thickBot="1" x14ac:dyDescent="0.3">
      <c r="A5" s="1045"/>
      <c r="B5" s="1047"/>
      <c r="C5" s="279" t="s">
        <v>1540</v>
      </c>
      <c r="D5" s="279" t="s">
        <v>1541</v>
      </c>
      <c r="E5" s="1047"/>
    </row>
    <row r="6" spans="1:5" ht="123.6" customHeight="1" thickBot="1" x14ac:dyDescent="0.3">
      <c r="A6" s="1044" t="s">
        <v>1542</v>
      </c>
      <c r="B6" s="1046" t="s">
        <v>1543</v>
      </c>
      <c r="C6" s="279" t="s">
        <v>1544</v>
      </c>
      <c r="D6" s="279" t="s">
        <v>1545</v>
      </c>
      <c r="E6" s="1046" t="s">
        <v>1546</v>
      </c>
    </row>
    <row r="7" spans="1:5" ht="123.6" customHeight="1" thickBot="1" x14ac:dyDescent="0.3">
      <c r="A7" s="1045"/>
      <c r="B7" s="1047"/>
      <c r="C7" s="279" t="s">
        <v>1547</v>
      </c>
      <c r="D7" s="279" t="s">
        <v>1548</v>
      </c>
      <c r="E7" s="1047"/>
    </row>
    <row r="8" spans="1:5" ht="60" customHeight="1" thickBot="1" x14ac:dyDescent="0.3">
      <c r="A8" s="1044" t="s">
        <v>1549</v>
      </c>
      <c r="B8" s="1046" t="s">
        <v>1550</v>
      </c>
      <c r="C8" s="279" t="s">
        <v>1551</v>
      </c>
      <c r="D8" s="279" t="s">
        <v>1552</v>
      </c>
      <c r="E8" s="1046" t="s">
        <v>1553</v>
      </c>
    </row>
    <row r="9" spans="1:5" ht="60" customHeight="1" thickBot="1" x14ac:dyDescent="0.3">
      <c r="A9" s="1045"/>
      <c r="B9" s="1047"/>
      <c r="C9" s="279" t="s">
        <v>1554</v>
      </c>
      <c r="D9" s="279" t="s">
        <v>1555</v>
      </c>
      <c r="E9" s="1047"/>
    </row>
    <row r="10" spans="1:5" ht="60" customHeight="1" thickBot="1" x14ac:dyDescent="0.3">
      <c r="A10" s="1044" t="s">
        <v>1556</v>
      </c>
      <c r="B10" s="1046" t="s">
        <v>1557</v>
      </c>
      <c r="C10" s="1046" t="s">
        <v>1558</v>
      </c>
      <c r="D10" s="1046" t="s">
        <v>1559</v>
      </c>
      <c r="E10" s="281" t="s">
        <v>1560</v>
      </c>
    </row>
    <row r="11" spans="1:5" ht="60" customHeight="1" thickBot="1" x14ac:dyDescent="0.3">
      <c r="A11" s="1048"/>
      <c r="B11" s="1049"/>
      <c r="C11" s="1049"/>
      <c r="D11" s="1049"/>
      <c r="E11" s="281" t="s">
        <v>1561</v>
      </c>
    </row>
    <row r="12" spans="1:5" ht="60" customHeight="1" thickBot="1" x14ac:dyDescent="0.3">
      <c r="A12" s="1048"/>
      <c r="B12" s="1049"/>
      <c r="C12" s="1047"/>
      <c r="D12" s="1047"/>
      <c r="E12" s="1054" t="s">
        <v>1562</v>
      </c>
    </row>
    <row r="13" spans="1:5" ht="60" customHeight="1" thickBot="1" x14ac:dyDescent="0.3">
      <c r="A13" s="1045"/>
      <c r="B13" s="1047"/>
      <c r="C13" s="279" t="s">
        <v>1563</v>
      </c>
      <c r="D13" s="279" t="s">
        <v>1564</v>
      </c>
      <c r="E13" s="1047"/>
    </row>
    <row r="14" spans="1:5" ht="60" customHeight="1" thickBot="1" x14ac:dyDescent="0.3">
      <c r="A14" s="1044" t="s">
        <v>1565</v>
      </c>
      <c r="B14" s="1046" t="s">
        <v>1566</v>
      </c>
      <c r="C14" s="279" t="s">
        <v>1567</v>
      </c>
      <c r="D14" s="279" t="s">
        <v>1568</v>
      </c>
      <c r="E14" s="1046" t="s">
        <v>1569</v>
      </c>
    </row>
    <row r="15" spans="1:5" ht="60" customHeight="1" thickBot="1" x14ac:dyDescent="0.3">
      <c r="A15" s="1048"/>
      <c r="B15" s="1049"/>
      <c r="C15" s="279" t="s">
        <v>1570</v>
      </c>
      <c r="D15" s="279" t="s">
        <v>1571</v>
      </c>
      <c r="E15" s="1049"/>
    </row>
    <row r="16" spans="1:5" ht="60" customHeight="1" thickBot="1" x14ac:dyDescent="0.3">
      <c r="A16" s="1045"/>
      <c r="B16" s="1047"/>
      <c r="C16" s="279" t="s">
        <v>1572</v>
      </c>
      <c r="D16" s="279" t="s">
        <v>1573</v>
      </c>
      <c r="E16" s="1047"/>
    </row>
    <row r="17" spans="1:5" ht="60" customHeight="1" thickBot="1" x14ac:dyDescent="0.3">
      <c r="A17" s="1044" t="s">
        <v>1574</v>
      </c>
      <c r="B17" s="1046" t="s">
        <v>1575</v>
      </c>
      <c r="C17" s="279" t="s">
        <v>1576</v>
      </c>
      <c r="D17" s="279" t="s">
        <v>1577</v>
      </c>
      <c r="E17" s="1046" t="s">
        <v>1578</v>
      </c>
    </row>
    <row r="18" spans="1:5" ht="60" customHeight="1" thickBot="1" x14ac:dyDescent="0.3">
      <c r="A18" s="1045"/>
      <c r="B18" s="1047"/>
      <c r="C18" s="279" t="s">
        <v>1579</v>
      </c>
      <c r="D18" s="279" t="s">
        <v>1580</v>
      </c>
      <c r="E18" s="1047"/>
    </row>
    <row r="19" spans="1:5" ht="170.4" customHeight="1" thickBot="1" x14ac:dyDescent="0.3">
      <c r="A19" s="280" t="s">
        <v>1581</v>
      </c>
      <c r="B19" s="279" t="s">
        <v>1582</v>
      </c>
      <c r="C19" s="279" t="s">
        <v>1581</v>
      </c>
      <c r="D19" s="279" t="s">
        <v>1583</v>
      </c>
      <c r="E19" s="279" t="s">
        <v>1584</v>
      </c>
    </row>
    <row r="20" spans="1:5" ht="60" customHeight="1" thickBot="1" x14ac:dyDescent="0.3">
      <c r="A20" s="1044" t="s">
        <v>1585</v>
      </c>
      <c r="B20" s="1046" t="s">
        <v>1586</v>
      </c>
      <c r="C20" s="279" t="s">
        <v>1587</v>
      </c>
      <c r="D20" s="279" t="s">
        <v>1588</v>
      </c>
      <c r="E20" s="1052" t="s">
        <v>1811</v>
      </c>
    </row>
    <row r="21" spans="1:5" ht="60" customHeight="1" thickBot="1" x14ac:dyDescent="0.3">
      <c r="A21" s="1045"/>
      <c r="B21" s="1047"/>
      <c r="C21" s="279" t="s">
        <v>1589</v>
      </c>
      <c r="D21" s="279" t="s">
        <v>1590</v>
      </c>
      <c r="E21" s="1053"/>
    </row>
    <row r="22" spans="1:5" ht="60" customHeight="1" thickBot="1" x14ac:dyDescent="0.3">
      <c r="A22" s="280" t="s">
        <v>1591</v>
      </c>
      <c r="B22" s="279" t="s">
        <v>1592</v>
      </c>
      <c r="C22" s="279" t="s">
        <v>1591</v>
      </c>
      <c r="D22" s="279" t="s">
        <v>1592</v>
      </c>
      <c r="E22" s="279" t="s">
        <v>1593</v>
      </c>
    </row>
    <row r="23" spans="1:5" ht="131.4" customHeight="1" thickBot="1" x14ac:dyDescent="0.3">
      <c r="A23" s="1044" t="s">
        <v>1594</v>
      </c>
      <c r="B23" s="1046" t="s">
        <v>1595</v>
      </c>
      <c r="C23" s="279" t="s">
        <v>1596</v>
      </c>
      <c r="D23" s="279" t="s">
        <v>1597</v>
      </c>
      <c r="E23" s="1050" t="s">
        <v>1812</v>
      </c>
    </row>
    <row r="24" spans="1:5" ht="131.4" customHeight="1" thickBot="1" x14ac:dyDescent="0.3">
      <c r="A24" s="1045"/>
      <c r="B24" s="1047"/>
      <c r="C24" s="279" t="s">
        <v>1598</v>
      </c>
      <c r="D24" s="279" t="s">
        <v>1599</v>
      </c>
      <c r="E24" s="1051"/>
    </row>
    <row r="25" spans="1:5" ht="100.2" customHeight="1" thickBot="1" x14ac:dyDescent="0.3">
      <c r="A25" s="1044" t="s">
        <v>1600</v>
      </c>
      <c r="B25" s="1046" t="s">
        <v>1601</v>
      </c>
      <c r="C25" s="279" t="s">
        <v>1602</v>
      </c>
      <c r="D25" s="279" t="s">
        <v>1603</v>
      </c>
      <c r="E25" s="1046" t="s">
        <v>1604</v>
      </c>
    </row>
    <row r="26" spans="1:5" ht="100.2" customHeight="1" thickBot="1" x14ac:dyDescent="0.3">
      <c r="A26" s="1045"/>
      <c r="B26" s="1047"/>
      <c r="C26" s="279" t="s">
        <v>1605</v>
      </c>
      <c r="D26" s="279" t="s">
        <v>1606</v>
      </c>
      <c r="E26" s="1047"/>
    </row>
    <row r="27" spans="1:5" ht="60" customHeight="1" thickBot="1" x14ac:dyDescent="0.3">
      <c r="A27" s="1044" t="s">
        <v>1607</v>
      </c>
      <c r="B27" s="1046" t="s">
        <v>1608</v>
      </c>
      <c r="C27" s="279" t="s">
        <v>1609</v>
      </c>
      <c r="D27" s="279" t="s">
        <v>1610</v>
      </c>
      <c r="E27" s="1046" t="s">
        <v>1611</v>
      </c>
    </row>
    <row r="28" spans="1:5" ht="60" customHeight="1" thickBot="1" x14ac:dyDescent="0.3">
      <c r="A28" s="1045"/>
      <c r="B28" s="1047"/>
      <c r="C28" s="279" t="s">
        <v>1612</v>
      </c>
      <c r="D28" s="279" t="s">
        <v>1613</v>
      </c>
      <c r="E28" s="1047"/>
    </row>
    <row r="29" spans="1:5" ht="60" customHeight="1" thickBot="1" x14ac:dyDescent="0.3">
      <c r="A29" s="1044" t="s">
        <v>1614</v>
      </c>
      <c r="B29" s="1046" t="s">
        <v>1615</v>
      </c>
      <c r="C29" s="279" t="s">
        <v>1616</v>
      </c>
      <c r="D29" s="279" t="s">
        <v>1617</v>
      </c>
      <c r="E29" s="1046" t="s">
        <v>1813</v>
      </c>
    </row>
    <row r="30" spans="1:5" ht="60" customHeight="1" thickBot="1" x14ac:dyDescent="0.3">
      <c r="A30" s="1045"/>
      <c r="B30" s="1047"/>
      <c r="C30" s="279" t="s">
        <v>1618</v>
      </c>
      <c r="D30" s="279" t="s">
        <v>1619</v>
      </c>
      <c r="E30" s="1047"/>
    </row>
    <row r="31" spans="1:5" ht="60" customHeight="1" thickBot="1" x14ac:dyDescent="0.3">
      <c r="A31" s="1044" t="s">
        <v>1620</v>
      </c>
      <c r="B31" s="1046" t="s">
        <v>1621</v>
      </c>
      <c r="C31" s="279" t="s">
        <v>1622</v>
      </c>
      <c r="D31" s="279" t="s">
        <v>1623</v>
      </c>
      <c r="E31" s="1046" t="s">
        <v>1624</v>
      </c>
    </row>
    <row r="32" spans="1:5" ht="60" customHeight="1" thickBot="1" x14ac:dyDescent="0.3">
      <c r="A32" s="1045"/>
      <c r="B32" s="1047"/>
      <c r="C32" s="282" t="s">
        <v>1625</v>
      </c>
      <c r="D32" s="279" t="s">
        <v>1626</v>
      </c>
      <c r="E32" s="1047"/>
    </row>
    <row r="33" spans="1:5" ht="60" customHeight="1" thickBot="1" x14ac:dyDescent="0.3">
      <c r="A33" s="1044" t="s">
        <v>1627</v>
      </c>
      <c r="B33" s="1046" t="s">
        <v>1628</v>
      </c>
      <c r="C33" s="279" t="s">
        <v>1629</v>
      </c>
      <c r="D33" s="279" t="s">
        <v>1630</v>
      </c>
      <c r="E33" s="1046" t="s">
        <v>1631</v>
      </c>
    </row>
    <row r="34" spans="1:5" ht="60" customHeight="1" thickBot="1" x14ac:dyDescent="0.3">
      <c r="A34" s="1045"/>
      <c r="B34" s="1047"/>
      <c r="C34" s="279" t="s">
        <v>1632</v>
      </c>
      <c r="D34" s="279" t="s">
        <v>1633</v>
      </c>
      <c r="E34" s="1047"/>
    </row>
    <row r="35" spans="1:5" ht="60" customHeight="1" thickBot="1" x14ac:dyDescent="0.3">
      <c r="A35" s="1044" t="s">
        <v>1634</v>
      </c>
      <c r="B35" s="1046" t="s">
        <v>1635</v>
      </c>
      <c r="C35" s="279" t="s">
        <v>1636</v>
      </c>
      <c r="D35" s="279" t="s">
        <v>1637</v>
      </c>
      <c r="E35" s="1046" t="s">
        <v>1638</v>
      </c>
    </row>
    <row r="36" spans="1:5" ht="60" customHeight="1" thickBot="1" x14ac:dyDescent="0.3">
      <c r="A36" s="1045"/>
      <c r="B36" s="1047"/>
      <c r="C36" s="282" t="s">
        <v>1639</v>
      </c>
      <c r="D36" s="279" t="s">
        <v>1640</v>
      </c>
      <c r="E36" s="1047"/>
    </row>
    <row r="37" spans="1:5" ht="60" customHeight="1" thickBot="1" x14ac:dyDescent="0.3">
      <c r="A37" s="1044" t="s">
        <v>1641</v>
      </c>
      <c r="B37" s="1046" t="s">
        <v>1642</v>
      </c>
      <c r="C37" s="279" t="s">
        <v>1643</v>
      </c>
      <c r="D37" s="279" t="s">
        <v>1644</v>
      </c>
      <c r="E37" s="1050" t="s">
        <v>1814</v>
      </c>
    </row>
    <row r="38" spans="1:5" ht="60" customHeight="1" thickBot="1" x14ac:dyDescent="0.3">
      <c r="A38" s="1045"/>
      <c r="B38" s="1047"/>
      <c r="C38" s="279" t="s">
        <v>1645</v>
      </c>
      <c r="D38" s="279" t="s">
        <v>1646</v>
      </c>
      <c r="E38" s="1051"/>
    </row>
    <row r="39" spans="1:5" ht="60" customHeight="1" thickBot="1" x14ac:dyDescent="0.3">
      <c r="A39" s="1044" t="s">
        <v>1647</v>
      </c>
      <c r="B39" s="1046" t="s">
        <v>1648</v>
      </c>
      <c r="C39" s="279" t="s">
        <v>1649</v>
      </c>
      <c r="D39" s="279" t="s">
        <v>1650</v>
      </c>
      <c r="E39" s="1046" t="s">
        <v>1815</v>
      </c>
    </row>
    <row r="40" spans="1:5" ht="60" customHeight="1" thickBot="1" x14ac:dyDescent="0.3">
      <c r="A40" s="1045"/>
      <c r="B40" s="1047"/>
      <c r="C40" s="279" t="s">
        <v>1651</v>
      </c>
      <c r="D40" s="279" t="s">
        <v>1652</v>
      </c>
      <c r="E40" s="1047"/>
    </row>
    <row r="41" spans="1:5" ht="60" customHeight="1" thickBot="1" x14ac:dyDescent="0.3">
      <c r="A41" s="1044" t="s">
        <v>1653</v>
      </c>
      <c r="B41" s="1046" t="s">
        <v>1654</v>
      </c>
      <c r="C41" s="279" t="s">
        <v>1655</v>
      </c>
      <c r="D41" s="279" t="s">
        <v>1656</v>
      </c>
      <c r="E41" s="1046" t="s">
        <v>1657</v>
      </c>
    </row>
    <row r="42" spans="1:5" ht="60" customHeight="1" thickBot="1" x14ac:dyDescent="0.3">
      <c r="A42" s="1045"/>
      <c r="B42" s="1047"/>
      <c r="C42" s="279" t="s">
        <v>1658</v>
      </c>
      <c r="D42" s="279" t="s">
        <v>1659</v>
      </c>
      <c r="E42" s="1047"/>
    </row>
    <row r="43" spans="1:5" ht="60" customHeight="1" thickBot="1" x14ac:dyDescent="0.3">
      <c r="A43" s="1044" t="s">
        <v>1660</v>
      </c>
      <c r="B43" s="1046" t="s">
        <v>1661</v>
      </c>
      <c r="C43" s="279" t="s">
        <v>1662</v>
      </c>
      <c r="D43" s="279" t="s">
        <v>1663</v>
      </c>
      <c r="E43" s="1046" t="s">
        <v>1664</v>
      </c>
    </row>
    <row r="44" spans="1:5" ht="60" customHeight="1" thickBot="1" x14ac:dyDescent="0.3">
      <c r="A44" s="1045"/>
      <c r="B44" s="1047"/>
      <c r="C44" s="282" t="s">
        <v>1665</v>
      </c>
      <c r="D44" s="282" t="s">
        <v>1666</v>
      </c>
      <c r="E44" s="1047"/>
    </row>
    <row r="45" spans="1:5" ht="60" customHeight="1" thickBot="1" x14ac:dyDescent="0.3">
      <c r="A45" s="1044" t="s">
        <v>1667</v>
      </c>
      <c r="B45" s="1046" t="s">
        <v>1668</v>
      </c>
      <c r="C45" s="282" t="s">
        <v>1669</v>
      </c>
      <c r="D45" s="279" t="s">
        <v>1670</v>
      </c>
      <c r="E45" s="1046" t="s">
        <v>1671</v>
      </c>
    </row>
    <row r="46" spans="1:5" ht="60" customHeight="1" thickBot="1" x14ac:dyDescent="0.3">
      <c r="A46" s="1045"/>
      <c r="B46" s="1047"/>
      <c r="C46" s="282" t="s">
        <v>1672</v>
      </c>
      <c r="D46" s="279" t="s">
        <v>1673</v>
      </c>
      <c r="E46" s="1047"/>
    </row>
    <row r="47" spans="1:5" ht="60" customHeight="1" thickBot="1" x14ac:dyDescent="0.3">
      <c r="A47" s="280" t="s">
        <v>1674</v>
      </c>
      <c r="B47" s="279" t="s">
        <v>1675</v>
      </c>
      <c r="C47" s="279" t="s">
        <v>1674</v>
      </c>
      <c r="D47" s="279" t="s">
        <v>1676</v>
      </c>
      <c r="E47" s="279" t="s">
        <v>1677</v>
      </c>
    </row>
    <row r="48" spans="1:5" ht="60" customHeight="1" thickBot="1" x14ac:dyDescent="0.3">
      <c r="A48" s="1044" t="s">
        <v>1678</v>
      </c>
      <c r="B48" s="1046" t="s">
        <v>1679</v>
      </c>
      <c r="C48" s="279" t="s">
        <v>1680</v>
      </c>
      <c r="D48" s="279" t="s">
        <v>1681</v>
      </c>
      <c r="E48" s="1046" t="s">
        <v>1682</v>
      </c>
    </row>
    <row r="49" spans="1:5" ht="60" customHeight="1" thickBot="1" x14ac:dyDescent="0.3">
      <c r="A49" s="1045"/>
      <c r="B49" s="1047"/>
      <c r="C49" s="279" t="s">
        <v>1683</v>
      </c>
      <c r="D49" s="279" t="s">
        <v>1684</v>
      </c>
      <c r="E49" s="1047"/>
    </row>
    <row r="50" spans="1:5" ht="60" customHeight="1" thickBot="1" x14ac:dyDescent="0.3">
      <c r="A50" s="1044" t="s">
        <v>1685</v>
      </c>
      <c r="B50" s="1046" t="s">
        <v>1686</v>
      </c>
      <c r="C50" s="279" t="s">
        <v>1687</v>
      </c>
      <c r="D50" s="279" t="s">
        <v>1688</v>
      </c>
      <c r="E50" s="1046" t="s">
        <v>1689</v>
      </c>
    </row>
    <row r="51" spans="1:5" ht="60" customHeight="1" thickBot="1" x14ac:dyDescent="0.3">
      <c r="A51" s="1045"/>
      <c r="B51" s="1047"/>
      <c r="C51" s="279" t="s">
        <v>1690</v>
      </c>
      <c r="D51" s="279" t="s">
        <v>1691</v>
      </c>
      <c r="E51" s="1047"/>
    </row>
    <row r="52" spans="1:5" ht="60" customHeight="1" thickBot="1" x14ac:dyDescent="0.3">
      <c r="A52" s="1044" t="s">
        <v>1692</v>
      </c>
      <c r="B52" s="1046" t="s">
        <v>1693</v>
      </c>
      <c r="C52" s="279" t="s">
        <v>1694</v>
      </c>
      <c r="D52" s="279" t="s">
        <v>1695</v>
      </c>
      <c r="E52" s="1046" t="s">
        <v>1696</v>
      </c>
    </row>
    <row r="53" spans="1:5" ht="60" customHeight="1" thickBot="1" x14ac:dyDescent="0.3">
      <c r="A53" s="1045"/>
      <c r="B53" s="1047"/>
      <c r="C53" s="279" t="s">
        <v>1697</v>
      </c>
      <c r="D53" s="279" t="s">
        <v>1698</v>
      </c>
      <c r="E53" s="1047"/>
    </row>
    <row r="54" spans="1:5" ht="60" customHeight="1" thickBot="1" x14ac:dyDescent="0.3">
      <c r="A54" s="280" t="s">
        <v>1699</v>
      </c>
      <c r="B54" s="279" t="s">
        <v>1700</v>
      </c>
      <c r="C54" s="279" t="s">
        <v>1699</v>
      </c>
      <c r="D54" s="279" t="s">
        <v>1700</v>
      </c>
      <c r="E54" s="279" t="s">
        <v>1701</v>
      </c>
    </row>
    <row r="55" spans="1:5" ht="60" customHeight="1" thickBot="1" x14ac:dyDescent="0.3">
      <c r="A55" s="280" t="s">
        <v>1702</v>
      </c>
      <c r="B55" s="279" t="s">
        <v>1703</v>
      </c>
      <c r="C55" s="279" t="s">
        <v>1702</v>
      </c>
      <c r="D55" s="279" t="s">
        <v>1704</v>
      </c>
      <c r="E55" s="279" t="s">
        <v>1705</v>
      </c>
    </row>
    <row r="56" spans="1:5" ht="60" customHeight="1" thickBot="1" x14ac:dyDescent="0.3">
      <c r="A56" s="1044" t="s">
        <v>1706</v>
      </c>
      <c r="B56" s="1046" t="s">
        <v>1707</v>
      </c>
      <c r="C56" s="279" t="s">
        <v>1708</v>
      </c>
      <c r="D56" s="279" t="s">
        <v>1709</v>
      </c>
      <c r="E56" s="1046" t="s">
        <v>1710</v>
      </c>
    </row>
    <row r="57" spans="1:5" ht="60" customHeight="1" thickBot="1" x14ac:dyDescent="0.3">
      <c r="A57" s="1045"/>
      <c r="B57" s="1047"/>
      <c r="C57" s="279" t="s">
        <v>1711</v>
      </c>
      <c r="D57" s="279" t="s">
        <v>1712</v>
      </c>
      <c r="E57" s="1047"/>
    </row>
    <row r="58" spans="1:5" ht="60" customHeight="1" thickBot="1" x14ac:dyDescent="0.3">
      <c r="A58" s="1044" t="s">
        <v>1713</v>
      </c>
      <c r="B58" s="1046" t="s">
        <v>1714</v>
      </c>
      <c r="C58" s="279" t="s">
        <v>1715</v>
      </c>
      <c r="D58" s="279" t="s">
        <v>1716</v>
      </c>
      <c r="E58" s="1046" t="s">
        <v>1816</v>
      </c>
    </row>
    <row r="59" spans="1:5" ht="60" customHeight="1" thickBot="1" x14ac:dyDescent="0.3">
      <c r="A59" s="1045"/>
      <c r="B59" s="1047"/>
      <c r="C59" s="279" t="s">
        <v>1717</v>
      </c>
      <c r="D59" s="279" t="s">
        <v>1718</v>
      </c>
      <c r="E59" s="1047"/>
    </row>
    <row r="60" spans="1:5" ht="60" customHeight="1" thickBot="1" x14ac:dyDescent="0.3">
      <c r="A60" s="280" t="s">
        <v>1719</v>
      </c>
      <c r="B60" s="279" t="s">
        <v>1720</v>
      </c>
      <c r="C60" s="279" t="s">
        <v>1719</v>
      </c>
      <c r="D60" s="279" t="s">
        <v>1721</v>
      </c>
      <c r="E60" s="279" t="s">
        <v>1722</v>
      </c>
    </row>
    <row r="61" spans="1:5" ht="60" customHeight="1" thickBot="1" x14ac:dyDescent="0.3">
      <c r="A61" s="1044" t="s">
        <v>1723</v>
      </c>
      <c r="B61" s="1046" t="s">
        <v>1724</v>
      </c>
      <c r="C61" s="279" t="s">
        <v>1725</v>
      </c>
      <c r="D61" s="279" t="s">
        <v>1726</v>
      </c>
      <c r="E61" s="1046" t="s">
        <v>1727</v>
      </c>
    </row>
    <row r="62" spans="1:5" ht="60" customHeight="1" thickBot="1" x14ac:dyDescent="0.3">
      <c r="A62" s="1045"/>
      <c r="B62" s="1047"/>
      <c r="C62" s="279" t="s">
        <v>1728</v>
      </c>
      <c r="D62" s="279" t="s">
        <v>1729</v>
      </c>
      <c r="E62" s="1047"/>
    </row>
    <row r="63" spans="1:5" ht="60" customHeight="1" thickBot="1" x14ac:dyDescent="0.3">
      <c r="A63" s="1044" t="s">
        <v>1730</v>
      </c>
      <c r="B63" s="1046" t="s">
        <v>1731</v>
      </c>
      <c r="C63" s="279" t="s">
        <v>1732</v>
      </c>
      <c r="D63" s="279" t="s">
        <v>1733</v>
      </c>
      <c r="E63" s="1046" t="s">
        <v>1734</v>
      </c>
    </row>
    <row r="64" spans="1:5" ht="60" customHeight="1" thickBot="1" x14ac:dyDescent="0.3">
      <c r="A64" s="1045"/>
      <c r="B64" s="1047"/>
      <c r="C64" s="279" t="s">
        <v>1735</v>
      </c>
      <c r="D64" s="279" t="s">
        <v>1736</v>
      </c>
      <c r="E64" s="1047"/>
    </row>
    <row r="65" spans="1:5" ht="60" customHeight="1" thickBot="1" x14ac:dyDescent="0.3">
      <c r="A65" s="1044" t="s">
        <v>1737</v>
      </c>
      <c r="B65" s="1046" t="s">
        <v>1738</v>
      </c>
      <c r="C65" s="279" t="s">
        <v>1739</v>
      </c>
      <c r="D65" s="279" t="s">
        <v>1740</v>
      </c>
      <c r="E65" s="1046" t="s">
        <v>1741</v>
      </c>
    </row>
    <row r="66" spans="1:5" ht="60" customHeight="1" thickBot="1" x14ac:dyDescent="0.3">
      <c r="A66" s="1045"/>
      <c r="B66" s="1047"/>
      <c r="C66" s="282" t="s">
        <v>1742</v>
      </c>
      <c r="D66" s="279" t="s">
        <v>1743</v>
      </c>
      <c r="E66" s="1047"/>
    </row>
    <row r="67" spans="1:5" ht="60" customHeight="1" thickBot="1" x14ac:dyDescent="0.3">
      <c r="A67" s="1044" t="s">
        <v>1744</v>
      </c>
      <c r="B67" s="1046" t="s">
        <v>1745</v>
      </c>
      <c r="C67" s="279" t="s">
        <v>1746</v>
      </c>
      <c r="D67" s="279" t="s">
        <v>1747</v>
      </c>
      <c r="E67" s="1046" t="s">
        <v>1817</v>
      </c>
    </row>
    <row r="68" spans="1:5" ht="60" customHeight="1" thickBot="1" x14ac:dyDescent="0.3">
      <c r="A68" s="1048"/>
      <c r="B68" s="1049"/>
      <c r="C68" s="279" t="s">
        <v>1748</v>
      </c>
      <c r="D68" s="279" t="s">
        <v>1749</v>
      </c>
      <c r="E68" s="1049"/>
    </row>
    <row r="69" spans="1:5" ht="60" customHeight="1" thickBot="1" x14ac:dyDescent="0.3">
      <c r="A69" s="1045"/>
      <c r="B69" s="1047"/>
      <c r="C69" s="279" t="s">
        <v>1750</v>
      </c>
      <c r="D69" s="279" t="s">
        <v>1751</v>
      </c>
      <c r="E69" s="1047"/>
    </row>
    <row r="70" spans="1:5" ht="60" customHeight="1" thickBot="1" x14ac:dyDescent="0.3">
      <c r="A70" s="1044" t="s">
        <v>1535</v>
      </c>
      <c r="B70" s="1046" t="s">
        <v>1536</v>
      </c>
      <c r="C70" s="279" t="s">
        <v>1537</v>
      </c>
      <c r="D70" s="279" t="s">
        <v>1538</v>
      </c>
      <c r="E70" s="1046" t="s">
        <v>1752</v>
      </c>
    </row>
    <row r="71" spans="1:5" ht="60" customHeight="1" thickBot="1" x14ac:dyDescent="0.3">
      <c r="A71" s="1045"/>
      <c r="B71" s="1047"/>
      <c r="C71" s="279" t="s">
        <v>1540</v>
      </c>
      <c r="D71" s="279" t="s">
        <v>1541</v>
      </c>
      <c r="E71" s="1047"/>
    </row>
    <row r="72" spans="1:5" ht="60" customHeight="1" thickBot="1" x14ac:dyDescent="0.3">
      <c r="A72" s="1044" t="s">
        <v>1753</v>
      </c>
      <c r="B72" s="1046" t="s">
        <v>1754</v>
      </c>
      <c r="C72" s="279" t="s">
        <v>1755</v>
      </c>
      <c r="D72" s="279" t="s">
        <v>1756</v>
      </c>
      <c r="E72" s="1046" t="s">
        <v>1757</v>
      </c>
    </row>
    <row r="73" spans="1:5" ht="60" customHeight="1" thickBot="1" x14ac:dyDescent="0.3">
      <c r="A73" s="1045"/>
      <c r="B73" s="1047"/>
      <c r="C73" s="279" t="s">
        <v>1758</v>
      </c>
      <c r="D73" s="279" t="s">
        <v>1759</v>
      </c>
      <c r="E73" s="1047"/>
    </row>
    <row r="74" spans="1:5" ht="60" customHeight="1" thickBot="1" x14ac:dyDescent="0.3">
      <c r="A74" s="1044" t="s">
        <v>1760</v>
      </c>
      <c r="B74" s="1046" t="s">
        <v>1761</v>
      </c>
      <c r="C74" s="279" t="s">
        <v>1762</v>
      </c>
      <c r="D74" s="279" t="s">
        <v>1763</v>
      </c>
      <c r="E74" s="1046" t="s">
        <v>1818</v>
      </c>
    </row>
    <row r="75" spans="1:5" ht="60" customHeight="1" thickBot="1" x14ac:dyDescent="0.3">
      <c r="A75" s="1045"/>
      <c r="B75" s="1047"/>
      <c r="C75" s="279" t="s">
        <v>1764</v>
      </c>
      <c r="D75" s="279" t="s">
        <v>1765</v>
      </c>
      <c r="E75" s="1047"/>
    </row>
    <row r="76" spans="1:5" ht="60" customHeight="1" thickBot="1" x14ac:dyDescent="0.3">
      <c r="A76" s="1044" t="s">
        <v>1766</v>
      </c>
      <c r="B76" s="1046" t="s">
        <v>1767</v>
      </c>
      <c r="C76" s="279" t="s">
        <v>1768</v>
      </c>
      <c r="D76" s="279" t="s">
        <v>1769</v>
      </c>
      <c r="E76" s="1046" t="s">
        <v>1770</v>
      </c>
    </row>
    <row r="77" spans="1:5" ht="60" customHeight="1" thickBot="1" x14ac:dyDescent="0.3">
      <c r="A77" s="1045"/>
      <c r="B77" s="1047"/>
      <c r="C77" s="279" t="s">
        <v>1771</v>
      </c>
      <c r="D77" s="279" t="s">
        <v>1772</v>
      </c>
      <c r="E77" s="1047"/>
    </row>
    <row r="78" spans="1:5" ht="60" customHeight="1" thickBot="1" x14ac:dyDescent="0.3">
      <c r="A78" s="283"/>
      <c r="B78" s="284"/>
      <c r="C78" s="284"/>
      <c r="D78" s="284"/>
      <c r="E78" s="279"/>
    </row>
    <row r="79" spans="1:5" ht="60" customHeight="1" thickBot="1" x14ac:dyDescent="0.3">
      <c r="A79" s="1038" t="s">
        <v>1773</v>
      </c>
      <c r="B79" s="1039"/>
      <c r="C79" s="1039"/>
      <c r="D79" s="1039"/>
      <c r="E79" s="1040"/>
    </row>
    <row r="80" spans="1:5" ht="60" customHeight="1" thickBot="1" x14ac:dyDescent="0.3">
      <c r="A80" s="1041" t="s">
        <v>1774</v>
      </c>
      <c r="B80" s="1042"/>
      <c r="C80" s="1043"/>
      <c r="D80" s="1041" t="s">
        <v>1775</v>
      </c>
      <c r="E80" s="1043"/>
    </row>
    <row r="81" spans="1:5" ht="60" customHeight="1" thickBot="1" x14ac:dyDescent="0.3">
      <c r="A81" s="1041" t="s">
        <v>1776</v>
      </c>
      <c r="B81" s="1042"/>
      <c r="C81" s="1043"/>
      <c r="D81" s="1041" t="s">
        <v>1777</v>
      </c>
      <c r="E81" s="1043"/>
    </row>
    <row r="82" spans="1:5" ht="139.94999999999999" customHeight="1" thickBot="1" x14ac:dyDescent="0.3">
      <c r="A82" s="1041" t="s">
        <v>1778</v>
      </c>
      <c r="B82" s="1042"/>
      <c r="C82" s="1043"/>
      <c r="D82" s="1041" t="s">
        <v>1779</v>
      </c>
      <c r="E82" s="1043"/>
    </row>
    <row r="83" spans="1:5" ht="95.4" customHeight="1" thickBot="1" x14ac:dyDescent="0.3">
      <c r="A83" s="1041" t="s">
        <v>1780</v>
      </c>
      <c r="B83" s="1042"/>
      <c r="C83" s="1043"/>
      <c r="D83" s="1041" t="s">
        <v>1781</v>
      </c>
      <c r="E83" s="1043"/>
    </row>
    <row r="84" spans="1:5" ht="108.6" customHeight="1" thickBot="1" x14ac:dyDescent="0.3">
      <c r="A84" s="1041" t="s">
        <v>1782</v>
      </c>
      <c r="B84" s="1042"/>
      <c r="C84" s="1043"/>
      <c r="D84" s="1041" t="s">
        <v>1783</v>
      </c>
      <c r="E84" s="1043"/>
    </row>
    <row r="85" spans="1:5" ht="60" customHeight="1" thickBot="1" x14ac:dyDescent="0.3">
      <c r="A85" s="1041" t="s">
        <v>1784</v>
      </c>
      <c r="B85" s="1042"/>
      <c r="C85" s="1043"/>
      <c r="D85" s="1041" t="s">
        <v>1785</v>
      </c>
      <c r="E85" s="1043"/>
    </row>
    <row r="86" spans="1:5" ht="149.4" customHeight="1" thickBot="1" x14ac:dyDescent="0.3">
      <c r="A86" s="1041" t="s">
        <v>172</v>
      </c>
      <c r="B86" s="1042"/>
      <c r="C86" s="1043"/>
      <c r="D86" s="1041" t="s">
        <v>1819</v>
      </c>
      <c r="E86" s="1043"/>
    </row>
    <row r="87" spans="1:5" ht="60" customHeight="1" thickBot="1" x14ac:dyDescent="0.3">
      <c r="A87" s="1041" t="s">
        <v>1786</v>
      </c>
      <c r="B87" s="1042"/>
      <c r="C87" s="1043"/>
      <c r="D87" s="1041" t="s">
        <v>1787</v>
      </c>
      <c r="E87" s="1043"/>
    </row>
    <row r="88" spans="1:5" ht="118.2" customHeight="1" thickBot="1" x14ac:dyDescent="0.3">
      <c r="A88" s="1041" t="s">
        <v>1788</v>
      </c>
      <c r="B88" s="1042"/>
      <c r="C88" s="1043"/>
      <c r="D88" s="1041" t="s">
        <v>1789</v>
      </c>
      <c r="E88" s="1043"/>
    </row>
    <row r="89" spans="1:5" ht="60" customHeight="1" thickBot="1" x14ac:dyDescent="0.3">
      <c r="A89" s="1041" t="s">
        <v>1790</v>
      </c>
      <c r="B89" s="1042"/>
      <c r="C89" s="1043"/>
      <c r="D89" s="1041" t="s">
        <v>1791</v>
      </c>
      <c r="E89" s="1043"/>
    </row>
    <row r="90" spans="1:5" ht="60" customHeight="1" thickBot="1" x14ac:dyDescent="0.3">
      <c r="A90" s="1041" t="s">
        <v>1792</v>
      </c>
      <c r="B90" s="1042"/>
      <c r="C90" s="1043"/>
      <c r="D90" s="1041" t="s">
        <v>1793</v>
      </c>
      <c r="E90" s="1043"/>
    </row>
    <row r="91" spans="1:5" ht="60" customHeight="1" thickBot="1" x14ac:dyDescent="0.3">
      <c r="A91" s="1041" t="s">
        <v>1794</v>
      </c>
      <c r="B91" s="1042"/>
      <c r="C91" s="1043"/>
      <c r="D91" s="1041" t="s">
        <v>1795</v>
      </c>
      <c r="E91" s="1043"/>
    </row>
    <row r="92" spans="1:5" ht="60" customHeight="1" thickBot="1" x14ac:dyDescent="0.3">
      <c r="A92" s="1041" t="s">
        <v>1796</v>
      </c>
      <c r="B92" s="1042"/>
      <c r="C92" s="1043"/>
      <c r="D92" s="1041" t="s">
        <v>1797</v>
      </c>
      <c r="E92" s="1043"/>
    </row>
    <row r="93" spans="1:5" ht="60" customHeight="1" thickBot="1" x14ac:dyDescent="0.3">
      <c r="A93" s="1041" t="s">
        <v>1798</v>
      </c>
      <c r="B93" s="1042"/>
      <c r="C93" s="1043"/>
      <c r="D93" s="1041" t="s">
        <v>1799</v>
      </c>
      <c r="E93" s="1043"/>
    </row>
    <row r="94" spans="1:5" ht="60" customHeight="1" thickBot="1" x14ac:dyDescent="0.3">
      <c r="A94" s="1041" t="s">
        <v>1800</v>
      </c>
      <c r="B94" s="1042"/>
      <c r="C94" s="1043"/>
      <c r="D94" s="1041" t="s">
        <v>1801</v>
      </c>
      <c r="E94" s="1043"/>
    </row>
    <row r="95" spans="1:5" ht="110.4" customHeight="1" thickBot="1" x14ac:dyDescent="0.3">
      <c r="A95" s="1041" t="s">
        <v>1802</v>
      </c>
      <c r="B95" s="1042"/>
      <c r="C95" s="1043"/>
      <c r="D95" s="1041" t="s">
        <v>1803</v>
      </c>
      <c r="E95" s="1043"/>
    </row>
    <row r="96" spans="1:5" ht="60" customHeight="1" thickBot="1" x14ac:dyDescent="0.3">
      <c r="A96" s="1041" t="s">
        <v>1804</v>
      </c>
      <c r="B96" s="1042"/>
      <c r="C96" s="1043"/>
      <c r="D96" s="1041" t="s">
        <v>1805</v>
      </c>
      <c r="E96" s="1043"/>
    </row>
    <row r="97" spans="1:5" ht="60" customHeight="1" thickBot="1" x14ac:dyDescent="0.3">
      <c r="A97" s="1041" t="s">
        <v>1806</v>
      </c>
      <c r="B97" s="1042"/>
      <c r="C97" s="1043"/>
      <c r="D97" s="1041" t="s">
        <v>1807</v>
      </c>
      <c r="E97" s="1043"/>
    </row>
    <row r="98" spans="1:5" ht="60" customHeight="1" thickBot="1" x14ac:dyDescent="0.3">
      <c r="A98" s="1038" t="s">
        <v>1808</v>
      </c>
      <c r="B98" s="1039"/>
      <c r="C98" s="1040"/>
      <c r="D98" s="1038" t="s">
        <v>1809</v>
      </c>
      <c r="E98" s="1040"/>
    </row>
    <row r="99" spans="1:5" ht="60" customHeight="1" thickBot="1" x14ac:dyDescent="0.3">
      <c r="A99" s="1038" t="s">
        <v>96</v>
      </c>
      <c r="B99" s="1039"/>
      <c r="C99" s="1040"/>
      <c r="D99" s="1038" t="s">
        <v>1810</v>
      </c>
      <c r="E99" s="1040"/>
    </row>
  </sheetData>
  <mergeCells count="142">
    <mergeCell ref="A1:A2"/>
    <mergeCell ref="B1:B2"/>
    <mergeCell ref="E1:E2"/>
    <mergeCell ref="A4:A5"/>
    <mergeCell ref="B4:B5"/>
    <mergeCell ref="E4:E5"/>
    <mergeCell ref="A10:A13"/>
    <mergeCell ref="B10:B13"/>
    <mergeCell ref="C10:C12"/>
    <mergeCell ref="D10:D12"/>
    <mergeCell ref="E12:E13"/>
    <mergeCell ref="A14:A16"/>
    <mergeCell ref="B14:B16"/>
    <mergeCell ref="E14:E16"/>
    <mergeCell ref="A6:A7"/>
    <mergeCell ref="B6:B7"/>
    <mergeCell ref="E6:E7"/>
    <mergeCell ref="A8:A9"/>
    <mergeCell ref="B8:B9"/>
    <mergeCell ref="E8:E9"/>
    <mergeCell ref="A23:A24"/>
    <mergeCell ref="B23:B24"/>
    <mergeCell ref="E23:E24"/>
    <mergeCell ref="A25:A26"/>
    <mergeCell ref="B25:B26"/>
    <mergeCell ref="E25:E26"/>
    <mergeCell ref="A17:A18"/>
    <mergeCell ref="B17:B18"/>
    <mergeCell ref="E17:E18"/>
    <mergeCell ref="A20:A21"/>
    <mergeCell ref="B20:B21"/>
    <mergeCell ref="E20:E21"/>
    <mergeCell ref="A31:A32"/>
    <mergeCell ref="B31:B32"/>
    <mergeCell ref="E31:E32"/>
    <mergeCell ref="A33:A34"/>
    <mergeCell ref="B33:B34"/>
    <mergeCell ref="E33:E34"/>
    <mergeCell ref="A27:A28"/>
    <mergeCell ref="B27:B28"/>
    <mergeCell ref="E27:E28"/>
    <mergeCell ref="A29:A30"/>
    <mergeCell ref="B29:B30"/>
    <mergeCell ref="E29:E30"/>
    <mergeCell ref="A39:A40"/>
    <mergeCell ref="B39:B40"/>
    <mergeCell ref="E39:E40"/>
    <mergeCell ref="A41:A42"/>
    <mergeCell ref="B41:B42"/>
    <mergeCell ref="E41:E42"/>
    <mergeCell ref="A35:A36"/>
    <mergeCell ref="B35:B36"/>
    <mergeCell ref="E35:E36"/>
    <mergeCell ref="A37:A38"/>
    <mergeCell ref="B37:B38"/>
    <mergeCell ref="E37:E38"/>
    <mergeCell ref="A48:A49"/>
    <mergeCell ref="B48:B49"/>
    <mergeCell ref="E48:E49"/>
    <mergeCell ref="A50:A51"/>
    <mergeCell ref="B50:B51"/>
    <mergeCell ref="E50:E51"/>
    <mergeCell ref="A43:A44"/>
    <mergeCell ref="B43:B44"/>
    <mergeCell ref="E43:E44"/>
    <mergeCell ref="A45:A46"/>
    <mergeCell ref="B45:B46"/>
    <mergeCell ref="E45:E46"/>
    <mergeCell ref="A58:A59"/>
    <mergeCell ref="B58:B59"/>
    <mergeCell ref="E58:E59"/>
    <mergeCell ref="A61:A62"/>
    <mergeCell ref="B61:B62"/>
    <mergeCell ref="E61:E62"/>
    <mergeCell ref="A52:A53"/>
    <mergeCell ref="B52:B53"/>
    <mergeCell ref="E52:E53"/>
    <mergeCell ref="A56:A57"/>
    <mergeCell ref="B56:B57"/>
    <mergeCell ref="E56:E57"/>
    <mergeCell ref="A67:A69"/>
    <mergeCell ref="B67:B69"/>
    <mergeCell ref="E67:E69"/>
    <mergeCell ref="A70:A71"/>
    <mergeCell ref="B70:B71"/>
    <mergeCell ref="E70:E71"/>
    <mergeCell ref="A63:A64"/>
    <mergeCell ref="B63:B64"/>
    <mergeCell ref="E63:E64"/>
    <mergeCell ref="A65:A66"/>
    <mergeCell ref="B65:B66"/>
    <mergeCell ref="E65:E66"/>
    <mergeCell ref="A76:A77"/>
    <mergeCell ref="B76:B77"/>
    <mergeCell ref="E76:E77"/>
    <mergeCell ref="A79:E79"/>
    <mergeCell ref="A80:C80"/>
    <mergeCell ref="D80:E80"/>
    <mergeCell ref="A72:A73"/>
    <mergeCell ref="B72:B73"/>
    <mergeCell ref="E72:E73"/>
    <mergeCell ref="A74:A75"/>
    <mergeCell ref="B74:B75"/>
    <mergeCell ref="E74:E75"/>
    <mergeCell ref="A84:C84"/>
    <mergeCell ref="D84:E84"/>
    <mergeCell ref="A85:C85"/>
    <mergeCell ref="D85:E85"/>
    <mergeCell ref="A86:C86"/>
    <mergeCell ref="D86:E86"/>
    <mergeCell ref="A81:C81"/>
    <mergeCell ref="D81:E81"/>
    <mergeCell ref="A82:C82"/>
    <mergeCell ref="D82:E82"/>
    <mergeCell ref="A83:C83"/>
    <mergeCell ref="D83:E83"/>
    <mergeCell ref="A90:C90"/>
    <mergeCell ref="D90:E90"/>
    <mergeCell ref="A91:C91"/>
    <mergeCell ref="D91:E91"/>
    <mergeCell ref="A92:C92"/>
    <mergeCell ref="D92:E92"/>
    <mergeCell ref="A87:C87"/>
    <mergeCell ref="D87:E87"/>
    <mergeCell ref="A88:C88"/>
    <mergeCell ref="D88:E88"/>
    <mergeCell ref="A89:C89"/>
    <mergeCell ref="D89:E89"/>
    <mergeCell ref="A99:C99"/>
    <mergeCell ref="D99:E99"/>
    <mergeCell ref="A96:C96"/>
    <mergeCell ref="D96:E96"/>
    <mergeCell ref="A97:C97"/>
    <mergeCell ref="D97:E97"/>
    <mergeCell ref="A98:C98"/>
    <mergeCell ref="D98:E98"/>
    <mergeCell ref="A93:C93"/>
    <mergeCell ref="D93:E93"/>
    <mergeCell ref="A94:C94"/>
    <mergeCell ref="D94:E94"/>
    <mergeCell ref="A95:C95"/>
    <mergeCell ref="D95:E9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65771-54F4-4459-B3B3-EEC3769B18FF}">
  <sheetPr published="0" codeName="Sayfa7"/>
  <dimension ref="A1:U278"/>
  <sheetViews>
    <sheetView workbookViewId="0">
      <selection activeCell="C3" sqref="C3"/>
    </sheetView>
  </sheetViews>
  <sheetFormatPr defaultRowHeight="14.4" x14ac:dyDescent="0.3"/>
  <cols>
    <col min="1" max="1" width="10.6640625" bestFit="1" customWidth="1"/>
    <col min="2" max="2" width="14" bestFit="1" customWidth="1"/>
    <col min="3" max="3" width="16.109375" bestFit="1" customWidth="1"/>
    <col min="4" max="4" width="14.33203125" bestFit="1" customWidth="1"/>
    <col min="5" max="5" width="16.44140625" bestFit="1" customWidth="1"/>
    <col min="16" max="16" width="10.109375" bestFit="1" customWidth="1"/>
    <col min="17" max="18" width="13.88671875" bestFit="1" customWidth="1"/>
    <col min="20" max="20" width="11.44140625" customWidth="1"/>
    <col min="21" max="21" width="11.33203125" customWidth="1"/>
  </cols>
  <sheetData>
    <row r="1" spans="1:21" x14ac:dyDescent="0.3">
      <c r="A1" t="s">
        <v>837</v>
      </c>
      <c r="B1" t="s">
        <v>838</v>
      </c>
      <c r="C1" t="s">
        <v>839</v>
      </c>
      <c r="D1" t="s">
        <v>840</v>
      </c>
      <c r="E1" t="s">
        <v>841</v>
      </c>
      <c r="G1" s="1055" t="s">
        <v>839</v>
      </c>
      <c r="H1" s="1055"/>
      <c r="I1" s="1055"/>
      <c r="K1" s="1055" t="s">
        <v>841</v>
      </c>
      <c r="L1" s="1055"/>
      <c r="M1" s="1055"/>
    </row>
    <row r="2" spans="1:21" x14ac:dyDescent="0.3">
      <c r="A2" s="209"/>
      <c r="B2" t="s">
        <v>842</v>
      </c>
      <c r="C2" t="s">
        <v>843</v>
      </c>
      <c r="D2" t="s">
        <v>842</v>
      </c>
      <c r="E2" t="s">
        <v>843</v>
      </c>
      <c r="G2" s="210"/>
      <c r="H2" s="210"/>
      <c r="I2" s="211" t="s">
        <v>843</v>
      </c>
      <c r="K2" s="210"/>
      <c r="L2" s="210"/>
      <c r="M2" s="211" t="s">
        <v>843</v>
      </c>
    </row>
    <row r="3" spans="1:21" x14ac:dyDescent="0.3">
      <c r="A3" s="209">
        <v>45992</v>
      </c>
      <c r="B3" t="s">
        <v>844</v>
      </c>
      <c r="C3" t="s">
        <v>2854</v>
      </c>
      <c r="D3" t="s">
        <v>844</v>
      </c>
      <c r="E3" t="s">
        <v>2855</v>
      </c>
      <c r="G3" t="str">
        <f>+MID(Fiyat_Endeksi__Üretici_Fiyatları___2003_100[[#This Row],[Yıllık Değişim_1]],1,2)</f>
        <v>27</v>
      </c>
      <c r="H3" t="str">
        <f>+MID(Fiyat_Endeksi__Üretici_Fiyatları___2003_100[[#This Row],[Yıllık Değişim_1]],4,2)</f>
        <v>67</v>
      </c>
      <c r="I3" t="str">
        <f>+CONCATENATE(G3,",",H3)</f>
        <v>27,67</v>
      </c>
      <c r="K3" t="str">
        <f>+MID(Fiyat_Endeksi__Üretici_Fiyatları___2003_100[[#This Row],[Aylık Değişim_2]],1,1)</f>
        <v>0</v>
      </c>
      <c r="L3" t="str">
        <f>+MID(Fiyat_Endeksi__Üretici_Fiyatları___2003_100[[#This Row],[Aylık Değişim_2]],3,2)</f>
        <v>75</v>
      </c>
      <c r="M3" s="214" t="str">
        <f>+CONCATENATE(K3,",",L3)</f>
        <v>0,75</v>
      </c>
      <c r="P3" s="937"/>
      <c r="Q3" s="937"/>
      <c r="R3" s="937"/>
      <c r="S3" s="937"/>
      <c r="T3" s="209"/>
      <c r="U3" s="209"/>
    </row>
    <row r="4" spans="1:21" x14ac:dyDescent="0.3">
      <c r="A4" s="209">
        <v>45962</v>
      </c>
      <c r="B4" t="s">
        <v>844</v>
      </c>
      <c r="C4" t="s">
        <v>1357</v>
      </c>
      <c r="D4" t="s">
        <v>844</v>
      </c>
      <c r="E4" t="s">
        <v>1053</v>
      </c>
      <c r="G4" t="str">
        <f>+MID(Fiyat_Endeksi__Üretici_Fiyatları___2003_100[[#This Row],[Yıllık Değişim_1]],1,2)</f>
        <v>27</v>
      </c>
      <c r="H4" t="str">
        <f>+MID(Fiyat_Endeksi__Üretici_Fiyatları___2003_100[[#This Row],[Yıllık Değişim_1]],4,2)</f>
        <v>23</v>
      </c>
      <c r="I4" t="str">
        <f t="shared" ref="I4:I67" si="0">+CONCATENATE(G4,",",H4)</f>
        <v>27,23</v>
      </c>
      <c r="K4" t="str">
        <f>+MID(Fiyat_Endeksi__Üretici_Fiyatları___2003_100[[#This Row],[Aylık Değişim_2]],1,1)</f>
        <v>0</v>
      </c>
      <c r="L4" t="str">
        <f>+MID(Fiyat_Endeksi__Üretici_Fiyatları___2003_100[[#This Row],[Aylık Değişim_2]],3,2)</f>
        <v>84</v>
      </c>
      <c r="M4" s="214" t="str">
        <f t="shared" ref="M4:M67" si="1">+CONCATENATE(K4,",",L4)</f>
        <v>0,84</v>
      </c>
      <c r="P4" s="8"/>
      <c r="Q4" s="8"/>
    </row>
    <row r="5" spans="1:21" x14ac:dyDescent="0.3">
      <c r="A5" s="209">
        <v>45931</v>
      </c>
      <c r="B5" t="s">
        <v>844</v>
      </c>
      <c r="C5" t="s">
        <v>845</v>
      </c>
      <c r="D5" t="s">
        <v>844</v>
      </c>
      <c r="E5" t="s">
        <v>846</v>
      </c>
      <c r="G5" t="str">
        <f>+MID(Fiyat_Endeksi__Üretici_Fiyatları___2003_100[[#This Row],[Yıllık Değişim_1]],1,2)</f>
        <v>27</v>
      </c>
      <c r="H5" t="str">
        <f>+MID(Fiyat_Endeksi__Üretici_Fiyatları___2003_100[[#This Row],[Yıllık Değişim_1]],4,2)</f>
        <v>00</v>
      </c>
      <c r="I5" t="str">
        <f t="shared" si="0"/>
        <v>27,00</v>
      </c>
      <c r="K5" t="str">
        <f>+MID(Fiyat_Endeksi__Üretici_Fiyatları___2003_100[[#This Row],[Aylık Değişim_2]],1,1)</f>
        <v>1</v>
      </c>
      <c r="L5" t="str">
        <f>+MID(Fiyat_Endeksi__Üretici_Fiyatları___2003_100[[#This Row],[Aylık Değişim_2]],3,2)</f>
        <v>63</v>
      </c>
      <c r="M5" s="214" t="str">
        <f t="shared" si="1"/>
        <v>1,63</v>
      </c>
      <c r="R5" s="212"/>
    </row>
    <row r="6" spans="1:21" x14ac:dyDescent="0.3">
      <c r="A6" s="209">
        <v>45901</v>
      </c>
      <c r="B6" t="s">
        <v>844</v>
      </c>
      <c r="C6" t="s">
        <v>847</v>
      </c>
      <c r="D6" t="s">
        <v>844</v>
      </c>
      <c r="E6" t="s">
        <v>848</v>
      </c>
      <c r="G6" t="str">
        <f>+MID(Fiyat_Endeksi__Üretici_Fiyatları___2003_100[[#This Row],[Yıllık Değişim_1]],1,2)</f>
        <v>26</v>
      </c>
      <c r="H6" t="str">
        <f>+MID(Fiyat_Endeksi__Üretici_Fiyatları___2003_100[[#This Row],[Yıllık Değişim_1]],4,2)</f>
        <v>59</v>
      </c>
      <c r="I6" t="str">
        <f t="shared" si="0"/>
        <v>26,59</v>
      </c>
      <c r="K6" t="str">
        <f>+MID(Fiyat_Endeksi__Üretici_Fiyatları___2003_100[[#This Row],[Aylık Değişim_2]],1,1)</f>
        <v>2</v>
      </c>
      <c r="L6" t="str">
        <f>+MID(Fiyat_Endeksi__Üretici_Fiyatları___2003_100[[#This Row],[Aylık Değişim_2]],3,2)</f>
        <v>52</v>
      </c>
      <c r="M6" s="214" t="str">
        <f t="shared" si="1"/>
        <v>2,52</v>
      </c>
    </row>
    <row r="7" spans="1:21" x14ac:dyDescent="0.3">
      <c r="A7" s="209">
        <v>45870</v>
      </c>
      <c r="B7" t="s">
        <v>844</v>
      </c>
      <c r="C7" t="s">
        <v>849</v>
      </c>
      <c r="D7" t="s">
        <v>844</v>
      </c>
      <c r="E7" t="s">
        <v>850</v>
      </c>
      <c r="G7" t="str">
        <f>+MID(Fiyat_Endeksi__Üretici_Fiyatları___2003_100[[#This Row],[Yıllık Değişim_1]],1,2)</f>
        <v>25</v>
      </c>
      <c r="H7" t="str">
        <f>+MID(Fiyat_Endeksi__Üretici_Fiyatları___2003_100[[#This Row],[Yıllık Değişim_1]],4,2)</f>
        <v>16</v>
      </c>
      <c r="I7" t="str">
        <f t="shared" si="0"/>
        <v>25,16</v>
      </c>
      <c r="K7" t="str">
        <f>+MID(Fiyat_Endeksi__Üretici_Fiyatları___2003_100[[#This Row],[Aylık Değişim_2]],1,1)</f>
        <v>2</v>
      </c>
      <c r="L7" t="str">
        <f>+MID(Fiyat_Endeksi__Üretici_Fiyatları___2003_100[[#This Row],[Aylık Değişim_2]],3,2)</f>
        <v>48</v>
      </c>
      <c r="M7" s="214" t="str">
        <f t="shared" si="1"/>
        <v>2,48</v>
      </c>
    </row>
    <row r="8" spans="1:21" x14ac:dyDescent="0.3">
      <c r="A8" s="209">
        <v>45839</v>
      </c>
      <c r="B8" t="s">
        <v>844</v>
      </c>
      <c r="C8" t="s">
        <v>851</v>
      </c>
      <c r="D8" t="s">
        <v>844</v>
      </c>
      <c r="E8" t="s">
        <v>852</v>
      </c>
      <c r="G8" t="str">
        <f>+MID(Fiyat_Endeksi__Üretici_Fiyatları___2003_100[[#This Row],[Yıllık Değişim_1]],1,2)</f>
        <v>24</v>
      </c>
      <c r="H8" t="str">
        <f>+MID(Fiyat_Endeksi__Üretici_Fiyatları___2003_100[[#This Row],[Yıllık Değişim_1]],4,2)</f>
        <v>19</v>
      </c>
      <c r="I8" t="str">
        <f t="shared" si="0"/>
        <v>24,19</v>
      </c>
      <c r="K8" t="str">
        <f>+MID(Fiyat_Endeksi__Üretici_Fiyatları___2003_100[[#This Row],[Aylık Değişim_2]],1,1)</f>
        <v>1</v>
      </c>
      <c r="L8" t="str">
        <f>+MID(Fiyat_Endeksi__Üretici_Fiyatları___2003_100[[#This Row],[Aylık Değişim_2]],3,2)</f>
        <v>73</v>
      </c>
      <c r="M8" s="214" t="str">
        <f t="shared" si="1"/>
        <v>1,73</v>
      </c>
    </row>
    <row r="9" spans="1:21" x14ac:dyDescent="0.3">
      <c r="A9" s="209">
        <v>45809</v>
      </c>
      <c r="B9" t="s">
        <v>844</v>
      </c>
      <c r="C9" t="s">
        <v>853</v>
      </c>
      <c r="D9" t="s">
        <v>844</v>
      </c>
      <c r="E9" t="s">
        <v>854</v>
      </c>
      <c r="G9" t="str">
        <f>+MID(Fiyat_Endeksi__Üretici_Fiyatları___2003_100[[#This Row],[Yıllık Değişim_1]],1,2)</f>
        <v>24</v>
      </c>
      <c r="H9" t="str">
        <f>+MID(Fiyat_Endeksi__Üretici_Fiyatları___2003_100[[#This Row],[Yıllık Değişim_1]],4,2)</f>
        <v>45</v>
      </c>
      <c r="I9" t="str">
        <f t="shared" si="0"/>
        <v>24,45</v>
      </c>
      <c r="K9" t="str">
        <f>+MID(Fiyat_Endeksi__Üretici_Fiyatları___2003_100[[#This Row],[Aylık Değişim_2]],1,1)</f>
        <v>2</v>
      </c>
      <c r="L9" t="str">
        <f>+MID(Fiyat_Endeksi__Üretici_Fiyatları___2003_100[[#This Row],[Aylık Değişim_2]],3,2)</f>
        <v>46</v>
      </c>
      <c r="M9" s="214" t="str">
        <f t="shared" si="1"/>
        <v>2,46</v>
      </c>
      <c r="Q9" s="213"/>
    </row>
    <row r="10" spans="1:21" x14ac:dyDescent="0.3">
      <c r="A10" s="209">
        <v>45778</v>
      </c>
      <c r="B10" t="s">
        <v>844</v>
      </c>
      <c r="C10" t="s">
        <v>855</v>
      </c>
      <c r="D10" t="s">
        <v>844</v>
      </c>
      <c r="E10" t="s">
        <v>850</v>
      </c>
      <c r="G10" t="str">
        <f>+MID(Fiyat_Endeksi__Üretici_Fiyatları___2003_100[[#This Row],[Yıllık Değişim_1]],1,2)</f>
        <v>23</v>
      </c>
      <c r="H10" t="str">
        <f>+MID(Fiyat_Endeksi__Üretici_Fiyatları___2003_100[[#This Row],[Yıllık Değişim_1]],4,2)</f>
        <v>13</v>
      </c>
      <c r="I10" t="str">
        <f t="shared" si="0"/>
        <v>23,13</v>
      </c>
      <c r="K10" t="str">
        <f>+MID(Fiyat_Endeksi__Üretici_Fiyatları___2003_100[[#This Row],[Aylık Değişim_2]],1,1)</f>
        <v>2</v>
      </c>
      <c r="L10" t="str">
        <f>+MID(Fiyat_Endeksi__Üretici_Fiyatları___2003_100[[#This Row],[Aylık Değişim_2]],3,2)</f>
        <v>48</v>
      </c>
      <c r="M10" s="214" t="str">
        <f t="shared" si="1"/>
        <v>2,48</v>
      </c>
    </row>
    <row r="11" spans="1:21" x14ac:dyDescent="0.3">
      <c r="A11" s="209">
        <v>45748</v>
      </c>
      <c r="B11" t="s">
        <v>844</v>
      </c>
      <c r="C11" t="s">
        <v>856</v>
      </c>
      <c r="D11" t="s">
        <v>844</v>
      </c>
      <c r="E11" t="s">
        <v>857</v>
      </c>
      <c r="G11" t="str">
        <f>+MID(Fiyat_Endeksi__Üretici_Fiyatları___2003_100[[#This Row],[Yıllık Değişim_1]],1,2)</f>
        <v>22</v>
      </c>
      <c r="H11" t="str">
        <f>+MID(Fiyat_Endeksi__Üretici_Fiyatları___2003_100[[#This Row],[Yıllık Değişim_1]],4,2)</f>
        <v>50</v>
      </c>
      <c r="I11" t="str">
        <f t="shared" si="0"/>
        <v>22,50</v>
      </c>
      <c r="K11" t="str">
        <f>+MID(Fiyat_Endeksi__Üretici_Fiyatları___2003_100[[#This Row],[Aylık Değişim_2]],1,1)</f>
        <v>2</v>
      </c>
      <c r="L11" t="str">
        <f>+MID(Fiyat_Endeksi__Üretici_Fiyatları___2003_100[[#This Row],[Aylık Değişim_2]],3,2)</f>
        <v>76</v>
      </c>
      <c r="M11" s="214" t="str">
        <f t="shared" si="1"/>
        <v>2,76</v>
      </c>
    </row>
    <row r="12" spans="1:21" x14ac:dyDescent="0.3">
      <c r="A12" s="209">
        <v>45717</v>
      </c>
      <c r="B12" t="s">
        <v>844</v>
      </c>
      <c r="C12" t="s">
        <v>858</v>
      </c>
      <c r="D12" t="s">
        <v>844</v>
      </c>
      <c r="E12" t="s">
        <v>859</v>
      </c>
      <c r="G12" t="str">
        <f>+MID(Fiyat_Endeksi__Üretici_Fiyatları___2003_100[[#This Row],[Yıllık Değişim_1]],1,2)</f>
        <v>23</v>
      </c>
      <c r="H12" t="str">
        <f>+MID(Fiyat_Endeksi__Üretici_Fiyatları___2003_100[[#This Row],[Yıllık Değişim_1]],4,2)</f>
        <v>50</v>
      </c>
      <c r="I12" t="str">
        <f t="shared" si="0"/>
        <v>23,50</v>
      </c>
      <c r="K12" t="str">
        <f>+MID(Fiyat_Endeksi__Üretici_Fiyatları___2003_100[[#This Row],[Aylık Değişim_2]],1,1)</f>
        <v>1</v>
      </c>
      <c r="L12" t="str">
        <f>+MID(Fiyat_Endeksi__Üretici_Fiyatları___2003_100[[#This Row],[Aylık Değişim_2]],3,2)</f>
        <v>88</v>
      </c>
      <c r="M12" s="214" t="str">
        <f t="shared" si="1"/>
        <v>1,88</v>
      </c>
    </row>
    <row r="13" spans="1:21" x14ac:dyDescent="0.3">
      <c r="A13" s="209">
        <v>45689</v>
      </c>
      <c r="B13" t="s">
        <v>844</v>
      </c>
      <c r="C13" t="s">
        <v>860</v>
      </c>
      <c r="D13" t="s">
        <v>844</v>
      </c>
      <c r="E13" t="s">
        <v>861</v>
      </c>
      <c r="G13" t="str">
        <f>+MID(Fiyat_Endeksi__Üretici_Fiyatları___2003_100[[#This Row],[Yıllık Değişim_1]],1,2)</f>
        <v>25</v>
      </c>
      <c r="H13" t="str">
        <f>+MID(Fiyat_Endeksi__Üretici_Fiyatları___2003_100[[#This Row],[Yıllık Değişim_1]],4,2)</f>
        <v>21</v>
      </c>
      <c r="I13" t="str">
        <f t="shared" si="0"/>
        <v>25,21</v>
      </c>
      <c r="K13" t="str">
        <f>+MID(Fiyat_Endeksi__Üretici_Fiyatları___2003_100[[#This Row],[Aylık Değişim_2]],1,1)</f>
        <v>2</v>
      </c>
      <c r="L13" t="str">
        <f>+MID(Fiyat_Endeksi__Üretici_Fiyatları___2003_100[[#This Row],[Aylık Değişim_2]],3,2)</f>
        <v>12</v>
      </c>
      <c r="M13" s="214" t="str">
        <f t="shared" si="1"/>
        <v>2,12</v>
      </c>
    </row>
    <row r="14" spans="1:21" x14ac:dyDescent="0.3">
      <c r="A14" s="209">
        <v>45658</v>
      </c>
      <c r="B14" t="s">
        <v>844</v>
      </c>
      <c r="C14" t="s">
        <v>862</v>
      </c>
      <c r="D14" t="s">
        <v>844</v>
      </c>
      <c r="E14" t="s">
        <v>863</v>
      </c>
      <c r="G14" t="str">
        <f>+MID(Fiyat_Endeksi__Üretici_Fiyatları___2003_100[[#This Row],[Yıllık Değişim_1]],1,2)</f>
        <v>27</v>
      </c>
      <c r="H14" t="str">
        <f>+MID(Fiyat_Endeksi__Üretici_Fiyatları___2003_100[[#This Row],[Yıllık Değişim_1]],4,2)</f>
        <v>20</v>
      </c>
      <c r="I14" t="str">
        <f t="shared" si="0"/>
        <v>27,20</v>
      </c>
      <c r="K14" t="str">
        <f>+MID(Fiyat_Endeksi__Üretici_Fiyatları___2003_100[[#This Row],[Aylık Değişim_2]],1,1)</f>
        <v>3</v>
      </c>
      <c r="L14" t="str">
        <f>+MID(Fiyat_Endeksi__Üretici_Fiyatları___2003_100[[#This Row],[Aylık Değişim_2]],3,2)</f>
        <v>06</v>
      </c>
      <c r="M14" s="214" t="str">
        <f t="shared" si="1"/>
        <v>3,06</v>
      </c>
    </row>
    <row r="15" spans="1:21" x14ac:dyDescent="0.3">
      <c r="A15" s="209">
        <v>45627</v>
      </c>
      <c r="B15" t="s">
        <v>844</v>
      </c>
      <c r="C15" t="s">
        <v>864</v>
      </c>
      <c r="D15" t="s">
        <v>844</v>
      </c>
      <c r="E15" t="s">
        <v>865</v>
      </c>
      <c r="G15" t="str">
        <f>+MID(Fiyat_Endeksi__Üretici_Fiyatları___2003_100[[#This Row],[Yıllık Değişim_1]],1,2)</f>
        <v>28</v>
      </c>
      <c r="H15" t="str">
        <f>+MID(Fiyat_Endeksi__Üretici_Fiyatları___2003_100[[#This Row],[Yıllık Değişim_1]],4,2)</f>
        <v>52</v>
      </c>
      <c r="I15" t="str">
        <f t="shared" si="0"/>
        <v>28,52</v>
      </c>
      <c r="K15" t="str">
        <f>+MID(Fiyat_Endeksi__Üretici_Fiyatları___2003_100[[#This Row],[Aylık Değişim_2]],1,1)</f>
        <v>0</v>
      </c>
      <c r="L15" t="str">
        <f>+MID(Fiyat_Endeksi__Üretici_Fiyatları___2003_100[[#This Row],[Aylık Değişim_2]],3,2)</f>
        <v>40</v>
      </c>
      <c r="M15" s="214" t="str">
        <f t="shared" si="1"/>
        <v>0,40</v>
      </c>
    </row>
    <row r="16" spans="1:21" x14ac:dyDescent="0.3">
      <c r="A16" s="209">
        <v>45597</v>
      </c>
      <c r="B16" t="s">
        <v>844</v>
      </c>
      <c r="C16" t="s">
        <v>866</v>
      </c>
      <c r="D16" t="s">
        <v>844</v>
      </c>
      <c r="E16" t="s">
        <v>867</v>
      </c>
      <c r="G16" t="str">
        <f>+MID(Fiyat_Endeksi__Üretici_Fiyatları___2003_100[[#This Row],[Yıllık Değişim_1]],1,2)</f>
        <v>29</v>
      </c>
      <c r="H16" t="str">
        <f>+MID(Fiyat_Endeksi__Üretici_Fiyatları___2003_100[[#This Row],[Yıllık Değişim_1]],4,2)</f>
        <v>47</v>
      </c>
      <c r="I16" t="str">
        <f t="shared" si="0"/>
        <v>29,47</v>
      </c>
      <c r="K16" t="str">
        <f>+MID(Fiyat_Endeksi__Üretici_Fiyatları___2003_100[[#This Row],[Aylık Değişim_2]],1,1)</f>
        <v>0</v>
      </c>
      <c r="L16" t="str">
        <f>+MID(Fiyat_Endeksi__Üretici_Fiyatları___2003_100[[#This Row],[Aylık Değişim_2]],3,2)</f>
        <v>66</v>
      </c>
      <c r="M16" s="214" t="str">
        <f t="shared" si="1"/>
        <v>0,66</v>
      </c>
    </row>
    <row r="17" spans="1:13" x14ac:dyDescent="0.3">
      <c r="A17" s="209">
        <v>45566</v>
      </c>
      <c r="B17" t="s">
        <v>844</v>
      </c>
      <c r="C17" t="s">
        <v>868</v>
      </c>
      <c r="D17" t="s">
        <v>844</v>
      </c>
      <c r="E17" t="s">
        <v>869</v>
      </c>
      <c r="G17" t="str">
        <f>+MID(Fiyat_Endeksi__Üretici_Fiyatları___2003_100[[#This Row],[Yıllık Değişim_1]],1,2)</f>
        <v>32</v>
      </c>
      <c r="H17" t="str">
        <f>+MID(Fiyat_Endeksi__Üretici_Fiyatları___2003_100[[#This Row],[Yıllık Değişim_1]],4,2)</f>
        <v>24</v>
      </c>
      <c r="I17" t="str">
        <f t="shared" si="0"/>
        <v>32,24</v>
      </c>
      <c r="K17" t="str">
        <f>+MID(Fiyat_Endeksi__Üretici_Fiyatları___2003_100[[#This Row],[Aylık Değişim_2]],1,1)</f>
        <v>1</v>
      </c>
      <c r="L17" t="str">
        <f>+MID(Fiyat_Endeksi__Üretici_Fiyatları___2003_100[[#This Row],[Aylık Değişim_2]],3,2)</f>
        <v>29</v>
      </c>
      <c r="M17" s="214" t="str">
        <f t="shared" si="1"/>
        <v>1,29</v>
      </c>
    </row>
    <row r="18" spans="1:13" x14ac:dyDescent="0.3">
      <c r="A18" s="209">
        <v>45536</v>
      </c>
      <c r="B18" t="s">
        <v>844</v>
      </c>
      <c r="C18" t="s">
        <v>870</v>
      </c>
      <c r="D18" t="s">
        <v>844</v>
      </c>
      <c r="E18" t="s">
        <v>871</v>
      </c>
      <c r="G18" t="str">
        <f>+MID(Fiyat_Endeksi__Üretici_Fiyatları___2003_100[[#This Row],[Yıllık Değişim_1]],1,2)</f>
        <v>33</v>
      </c>
      <c r="H18" t="str">
        <f>+MID(Fiyat_Endeksi__Üretici_Fiyatları___2003_100[[#This Row],[Yıllık Değişim_1]],4,2)</f>
        <v>09</v>
      </c>
      <c r="I18" t="str">
        <f t="shared" si="0"/>
        <v>33,09</v>
      </c>
      <c r="K18" t="str">
        <f>+MID(Fiyat_Endeksi__Üretici_Fiyatları___2003_100[[#This Row],[Aylık Değişim_2]],1,1)</f>
        <v>1</v>
      </c>
      <c r="L18" t="str">
        <f>+MID(Fiyat_Endeksi__Üretici_Fiyatları___2003_100[[#This Row],[Aylık Değişim_2]],3,2)</f>
        <v>37</v>
      </c>
      <c r="M18" s="214" t="str">
        <f t="shared" si="1"/>
        <v>1,37</v>
      </c>
    </row>
    <row r="19" spans="1:13" x14ac:dyDescent="0.3">
      <c r="A19" s="209">
        <v>45505</v>
      </c>
      <c r="B19" t="s">
        <v>844</v>
      </c>
      <c r="C19" t="s">
        <v>872</v>
      </c>
      <c r="D19" t="s">
        <v>844</v>
      </c>
      <c r="E19" t="s">
        <v>873</v>
      </c>
      <c r="G19" t="str">
        <f>+MID(Fiyat_Endeksi__Üretici_Fiyatları___2003_100[[#This Row],[Yıllık Değişim_1]],1,2)</f>
        <v>35</v>
      </c>
      <c r="H19" t="str">
        <f>+MID(Fiyat_Endeksi__Üretici_Fiyatları___2003_100[[#This Row],[Yıllık Değişim_1]],4,2)</f>
        <v>75</v>
      </c>
      <c r="I19" t="str">
        <f t="shared" si="0"/>
        <v>35,75</v>
      </c>
      <c r="K19" t="str">
        <f>+MID(Fiyat_Endeksi__Üretici_Fiyatları___2003_100[[#This Row],[Aylık Değişim_2]],1,1)</f>
        <v>1</v>
      </c>
      <c r="L19" t="str">
        <f>+MID(Fiyat_Endeksi__Üretici_Fiyatları___2003_100[[#This Row],[Aylık Değişim_2]],3,2)</f>
        <v>68</v>
      </c>
      <c r="M19" s="214" t="str">
        <f t="shared" si="1"/>
        <v>1,68</v>
      </c>
    </row>
    <row r="20" spans="1:13" x14ac:dyDescent="0.3">
      <c r="A20" s="209">
        <v>45474</v>
      </c>
      <c r="B20" t="s">
        <v>844</v>
      </c>
      <c r="C20" t="s">
        <v>874</v>
      </c>
      <c r="D20" t="s">
        <v>844</v>
      </c>
      <c r="E20" t="s">
        <v>875</v>
      </c>
      <c r="G20" t="str">
        <f>+MID(Fiyat_Endeksi__Üretici_Fiyatları___2003_100[[#This Row],[Yıllık Değişim_1]],1,2)</f>
        <v>41</v>
      </c>
      <c r="H20" t="str">
        <f>+MID(Fiyat_Endeksi__Üretici_Fiyatları___2003_100[[#This Row],[Yıllık Değişim_1]],4,2)</f>
        <v>37</v>
      </c>
      <c r="I20" t="str">
        <f t="shared" si="0"/>
        <v>41,37</v>
      </c>
      <c r="K20" t="str">
        <f>+MID(Fiyat_Endeksi__Üretici_Fiyatları___2003_100[[#This Row],[Aylık Değişim_2]],1,1)</f>
        <v>1</v>
      </c>
      <c r="L20" t="str">
        <f>+MID(Fiyat_Endeksi__Üretici_Fiyatları___2003_100[[#This Row],[Aylık Değişim_2]],3,2)</f>
        <v>94</v>
      </c>
      <c r="M20" s="214" t="str">
        <f t="shared" si="1"/>
        <v>1,94</v>
      </c>
    </row>
    <row r="21" spans="1:13" x14ac:dyDescent="0.3">
      <c r="A21" s="209">
        <v>45444</v>
      </c>
      <c r="B21" t="s">
        <v>844</v>
      </c>
      <c r="C21" t="s">
        <v>876</v>
      </c>
      <c r="D21" t="s">
        <v>844</v>
      </c>
      <c r="E21" t="s">
        <v>877</v>
      </c>
      <c r="G21" t="str">
        <f>+MID(Fiyat_Endeksi__Üretici_Fiyatları___2003_100[[#This Row],[Yıllık Değişim_1]],1,2)</f>
        <v>50</v>
      </c>
      <c r="H21" t="str">
        <f>+MID(Fiyat_Endeksi__Üretici_Fiyatları___2003_100[[#This Row],[Yıllık Değişim_1]],4,2)</f>
        <v>09</v>
      </c>
      <c r="I21" t="str">
        <f t="shared" si="0"/>
        <v>50,09</v>
      </c>
      <c r="K21" t="str">
        <f>+MID(Fiyat_Endeksi__Üretici_Fiyatları___2003_100[[#This Row],[Aylık Değişim_2]],1,1)</f>
        <v>1</v>
      </c>
      <c r="L21" t="str">
        <f>+MID(Fiyat_Endeksi__Üretici_Fiyatları___2003_100[[#This Row],[Aylık Değişim_2]],3,2)</f>
        <v>38</v>
      </c>
      <c r="M21" s="214" t="str">
        <f t="shared" si="1"/>
        <v>1,38</v>
      </c>
    </row>
    <row r="22" spans="1:13" x14ac:dyDescent="0.3">
      <c r="A22" s="209">
        <v>45413</v>
      </c>
      <c r="B22" t="s">
        <v>844</v>
      </c>
      <c r="C22" t="s">
        <v>878</v>
      </c>
      <c r="D22" t="s">
        <v>844</v>
      </c>
      <c r="E22" t="s">
        <v>879</v>
      </c>
      <c r="G22" t="str">
        <f>+MID(Fiyat_Endeksi__Üretici_Fiyatları___2003_100[[#This Row],[Yıllık Değişim_1]],1,2)</f>
        <v>57</v>
      </c>
      <c r="H22" t="str">
        <f>+MID(Fiyat_Endeksi__Üretici_Fiyatları___2003_100[[#This Row],[Yıllık Değişim_1]],4,2)</f>
        <v>68</v>
      </c>
      <c r="I22" t="str">
        <f t="shared" si="0"/>
        <v>57,68</v>
      </c>
      <c r="K22" t="str">
        <f>+MID(Fiyat_Endeksi__Üretici_Fiyatları___2003_100[[#This Row],[Aylık Değişim_2]],1,1)</f>
        <v>1</v>
      </c>
      <c r="L22" t="str">
        <f>+MID(Fiyat_Endeksi__Üretici_Fiyatları___2003_100[[#This Row],[Aylık Değişim_2]],3,2)</f>
        <v>96</v>
      </c>
      <c r="M22" s="214" t="str">
        <f t="shared" si="1"/>
        <v>1,96</v>
      </c>
    </row>
    <row r="23" spans="1:13" x14ac:dyDescent="0.3">
      <c r="A23" s="209">
        <v>45383</v>
      </c>
      <c r="B23" t="s">
        <v>844</v>
      </c>
      <c r="C23" t="s">
        <v>880</v>
      </c>
      <c r="D23" t="s">
        <v>844</v>
      </c>
      <c r="E23" t="s">
        <v>881</v>
      </c>
      <c r="G23" t="str">
        <f>+MID(Fiyat_Endeksi__Üretici_Fiyatları___2003_100[[#This Row],[Yıllık Değişim_1]],1,2)</f>
        <v>55</v>
      </c>
      <c r="H23" t="str">
        <f>+MID(Fiyat_Endeksi__Üretici_Fiyatları___2003_100[[#This Row],[Yıllık Değişim_1]],4,2)</f>
        <v>66</v>
      </c>
      <c r="I23" t="str">
        <f t="shared" si="0"/>
        <v>55,66</v>
      </c>
      <c r="K23" t="str">
        <f>+MID(Fiyat_Endeksi__Üretici_Fiyatları___2003_100[[#This Row],[Aylık Değişim_2]],1,1)</f>
        <v>3</v>
      </c>
      <c r="L23" t="str">
        <f>+MID(Fiyat_Endeksi__Üretici_Fiyatları___2003_100[[#This Row],[Aylık Değişim_2]],3,2)</f>
        <v>60</v>
      </c>
      <c r="M23" s="214" t="str">
        <f t="shared" si="1"/>
        <v>3,60</v>
      </c>
    </row>
    <row r="24" spans="1:13" x14ac:dyDescent="0.3">
      <c r="A24" s="209">
        <v>45352</v>
      </c>
      <c r="B24" t="s">
        <v>844</v>
      </c>
      <c r="C24" t="s">
        <v>882</v>
      </c>
      <c r="D24" t="s">
        <v>844</v>
      </c>
      <c r="E24" t="s">
        <v>883</v>
      </c>
      <c r="G24" t="str">
        <f>+MID(Fiyat_Endeksi__Üretici_Fiyatları___2003_100[[#This Row],[Yıllık Değişim_1]],1,2)</f>
        <v>51</v>
      </c>
      <c r="H24" t="str">
        <f>+MID(Fiyat_Endeksi__Üretici_Fiyatları___2003_100[[#This Row],[Yıllık Değişim_1]],4,2)</f>
        <v>47</v>
      </c>
      <c r="I24" t="str">
        <f t="shared" si="0"/>
        <v>51,47</v>
      </c>
      <c r="K24" t="str">
        <f>+MID(Fiyat_Endeksi__Üretici_Fiyatları___2003_100[[#This Row],[Aylık Değişim_2]],1,1)</f>
        <v>3</v>
      </c>
      <c r="L24" t="str">
        <f>+MID(Fiyat_Endeksi__Üretici_Fiyatları___2003_100[[#This Row],[Aylık Değişim_2]],3,2)</f>
        <v>29</v>
      </c>
      <c r="M24" s="214" t="str">
        <f t="shared" si="1"/>
        <v>3,29</v>
      </c>
    </row>
    <row r="25" spans="1:13" x14ac:dyDescent="0.3">
      <c r="A25" s="209">
        <v>45323</v>
      </c>
      <c r="B25" t="s">
        <v>844</v>
      </c>
      <c r="C25" t="s">
        <v>884</v>
      </c>
      <c r="D25" t="s">
        <v>844</v>
      </c>
      <c r="E25" t="s">
        <v>885</v>
      </c>
      <c r="G25" t="str">
        <f>+MID(Fiyat_Endeksi__Üretici_Fiyatları___2003_100[[#This Row],[Yıllık Değişim_1]],1,2)</f>
        <v>47</v>
      </c>
      <c r="H25" t="str">
        <f>+MID(Fiyat_Endeksi__Üretici_Fiyatları___2003_100[[#This Row],[Yıllık Değişim_1]],4,2)</f>
        <v>29</v>
      </c>
      <c r="I25" t="str">
        <f t="shared" si="0"/>
        <v>47,29</v>
      </c>
      <c r="K25" t="str">
        <f>+MID(Fiyat_Endeksi__Üretici_Fiyatları___2003_100[[#This Row],[Aylık Değişim_2]],1,1)</f>
        <v>3</v>
      </c>
      <c r="L25" t="str">
        <f>+MID(Fiyat_Endeksi__Üretici_Fiyatları___2003_100[[#This Row],[Aylık Değişim_2]],3,2)</f>
        <v>74</v>
      </c>
      <c r="M25" s="214" t="str">
        <f t="shared" si="1"/>
        <v>3,74</v>
      </c>
    </row>
    <row r="26" spans="1:13" x14ac:dyDescent="0.3">
      <c r="A26" s="209">
        <v>45292</v>
      </c>
      <c r="B26" t="s">
        <v>844</v>
      </c>
      <c r="C26" t="s">
        <v>886</v>
      </c>
      <c r="D26" t="s">
        <v>844</v>
      </c>
      <c r="E26" t="s">
        <v>887</v>
      </c>
      <c r="G26" t="str">
        <f>+MID(Fiyat_Endeksi__Üretici_Fiyatları___2003_100[[#This Row],[Yıllık Değişim_1]],1,2)</f>
        <v>44</v>
      </c>
      <c r="H26" t="str">
        <f>+MID(Fiyat_Endeksi__Üretici_Fiyatları___2003_100[[#This Row],[Yıllık Değişim_1]],4,2)</f>
        <v>20</v>
      </c>
      <c r="I26" t="str">
        <f t="shared" si="0"/>
        <v>44,20</v>
      </c>
      <c r="K26" t="str">
        <f>+MID(Fiyat_Endeksi__Üretici_Fiyatları___2003_100[[#This Row],[Aylık Değişim_2]],1,1)</f>
        <v>4</v>
      </c>
      <c r="L26" t="str">
        <f>+MID(Fiyat_Endeksi__Üretici_Fiyatları___2003_100[[#This Row],[Aylık Değişim_2]],3,2)</f>
        <v>14</v>
      </c>
      <c r="M26" s="214" t="str">
        <f t="shared" si="1"/>
        <v>4,14</v>
      </c>
    </row>
    <row r="27" spans="1:13" x14ac:dyDescent="0.3">
      <c r="A27" s="209">
        <v>45261</v>
      </c>
      <c r="B27" t="s">
        <v>844</v>
      </c>
      <c r="C27" t="s">
        <v>888</v>
      </c>
      <c r="D27" t="s">
        <v>844</v>
      </c>
      <c r="E27" t="s">
        <v>889</v>
      </c>
      <c r="G27" t="str">
        <f>+MID(Fiyat_Endeksi__Üretici_Fiyatları___2003_100[[#This Row],[Yıllık Değişim_1]],1,2)</f>
        <v>44</v>
      </c>
      <c r="H27" t="str">
        <f>+MID(Fiyat_Endeksi__Üretici_Fiyatları___2003_100[[#This Row],[Yıllık Değişim_1]],4,2)</f>
        <v>22</v>
      </c>
      <c r="I27" t="str">
        <f t="shared" si="0"/>
        <v>44,22</v>
      </c>
      <c r="K27" t="str">
        <f>+MID(Fiyat_Endeksi__Üretici_Fiyatları___2003_100[[#This Row],[Aylık Değişim_2]],1,1)</f>
        <v>1</v>
      </c>
      <c r="L27" t="str">
        <f>+MID(Fiyat_Endeksi__Üretici_Fiyatları___2003_100[[#This Row],[Aylık Değişim_2]],3,2)</f>
        <v>14</v>
      </c>
      <c r="M27" s="214" t="str">
        <f t="shared" si="1"/>
        <v>1,14</v>
      </c>
    </row>
    <row r="28" spans="1:13" x14ac:dyDescent="0.3">
      <c r="A28" s="209">
        <v>45231</v>
      </c>
      <c r="B28" t="s">
        <v>844</v>
      </c>
      <c r="C28" t="s">
        <v>890</v>
      </c>
      <c r="D28" t="s">
        <v>844</v>
      </c>
      <c r="E28" t="s">
        <v>891</v>
      </c>
      <c r="G28" t="str">
        <f>+MID(Fiyat_Endeksi__Üretici_Fiyatları___2003_100[[#This Row],[Yıllık Değişim_1]],1,2)</f>
        <v>42</v>
      </c>
      <c r="H28" t="str">
        <f>+MID(Fiyat_Endeksi__Üretici_Fiyatları___2003_100[[#This Row],[Yıllık Değişim_1]],4,2)</f>
        <v>25</v>
      </c>
      <c r="I28" t="str">
        <f t="shared" si="0"/>
        <v>42,25</v>
      </c>
      <c r="K28" t="str">
        <f>+MID(Fiyat_Endeksi__Üretici_Fiyatları___2003_100[[#This Row],[Aylık Değişim_2]],1,1)</f>
        <v>2</v>
      </c>
      <c r="L28" t="str">
        <f>+MID(Fiyat_Endeksi__Üretici_Fiyatları___2003_100[[#This Row],[Aylık Değişim_2]],3,2)</f>
        <v>81</v>
      </c>
      <c r="M28" s="214" t="str">
        <f t="shared" si="1"/>
        <v>2,81</v>
      </c>
    </row>
    <row r="29" spans="1:13" x14ac:dyDescent="0.3">
      <c r="A29" s="209">
        <v>45200</v>
      </c>
      <c r="B29" t="s">
        <v>844</v>
      </c>
      <c r="C29" t="s">
        <v>892</v>
      </c>
      <c r="D29" t="s">
        <v>844</v>
      </c>
      <c r="E29" t="s">
        <v>875</v>
      </c>
      <c r="G29" t="str">
        <f>+MID(Fiyat_Endeksi__Üretici_Fiyatları___2003_100[[#This Row],[Yıllık Değişim_1]],1,2)</f>
        <v>39</v>
      </c>
      <c r="H29" t="str">
        <f>+MID(Fiyat_Endeksi__Üretici_Fiyatları___2003_100[[#This Row],[Yıllık Değişim_1]],4,2)</f>
        <v>39</v>
      </c>
      <c r="I29" t="str">
        <f t="shared" si="0"/>
        <v>39,39</v>
      </c>
      <c r="K29" t="str">
        <f>+MID(Fiyat_Endeksi__Üretici_Fiyatları___2003_100[[#This Row],[Aylık Değişim_2]],1,1)</f>
        <v>1</v>
      </c>
      <c r="L29" t="str">
        <f>+MID(Fiyat_Endeksi__Üretici_Fiyatları___2003_100[[#This Row],[Aylık Değişim_2]],3,2)</f>
        <v>94</v>
      </c>
      <c r="M29" s="214" t="str">
        <f t="shared" si="1"/>
        <v>1,94</v>
      </c>
    </row>
    <row r="30" spans="1:13" x14ac:dyDescent="0.3">
      <c r="A30" s="209">
        <v>45170</v>
      </c>
      <c r="B30" t="s">
        <v>844</v>
      </c>
      <c r="C30" t="s">
        <v>893</v>
      </c>
      <c r="D30" t="s">
        <v>844</v>
      </c>
      <c r="E30" t="s">
        <v>894</v>
      </c>
      <c r="G30" t="str">
        <f>+MID(Fiyat_Endeksi__Üretici_Fiyatları___2003_100[[#This Row],[Yıllık Değişim_1]],1,2)</f>
        <v>47</v>
      </c>
      <c r="H30" t="str">
        <f>+MID(Fiyat_Endeksi__Üretici_Fiyatları___2003_100[[#This Row],[Yıllık Değişim_1]],4,2)</f>
        <v>44</v>
      </c>
      <c r="I30" t="str">
        <f t="shared" si="0"/>
        <v>47,44</v>
      </c>
      <c r="K30" t="str">
        <f>+MID(Fiyat_Endeksi__Üretici_Fiyatları___2003_100[[#This Row],[Aylık Değişim_2]],1,1)</f>
        <v>3</v>
      </c>
      <c r="L30" t="str">
        <f>+MID(Fiyat_Endeksi__Üretici_Fiyatları___2003_100[[#This Row],[Aylık Değişim_2]],3,2)</f>
        <v>40</v>
      </c>
      <c r="M30" s="214" t="str">
        <f t="shared" si="1"/>
        <v>3,40</v>
      </c>
    </row>
    <row r="31" spans="1:13" x14ac:dyDescent="0.3">
      <c r="A31" s="209">
        <v>45139</v>
      </c>
      <c r="B31" t="s">
        <v>844</v>
      </c>
      <c r="C31" t="s">
        <v>895</v>
      </c>
      <c r="D31" t="s">
        <v>844</v>
      </c>
      <c r="E31" t="s">
        <v>896</v>
      </c>
      <c r="G31" t="str">
        <f>+MID(Fiyat_Endeksi__Üretici_Fiyatları___2003_100[[#This Row],[Yıllık Değişim_1]],1,2)</f>
        <v>49</v>
      </c>
      <c r="H31" t="str">
        <f>+MID(Fiyat_Endeksi__Üretici_Fiyatları___2003_100[[#This Row],[Yıllık Değişim_1]],4,2)</f>
        <v>41</v>
      </c>
      <c r="I31" t="str">
        <f t="shared" si="0"/>
        <v>49,41</v>
      </c>
      <c r="K31" t="str">
        <f>+MID(Fiyat_Endeksi__Üretici_Fiyatları___2003_100[[#This Row],[Aylık Değişim_2]],1,1)</f>
        <v>5</v>
      </c>
      <c r="L31" t="str">
        <f>+MID(Fiyat_Endeksi__Üretici_Fiyatları___2003_100[[#This Row],[Aylık Değişim_2]],3,2)</f>
        <v>89</v>
      </c>
      <c r="M31" s="214" t="str">
        <f t="shared" si="1"/>
        <v>5,89</v>
      </c>
    </row>
    <row r="32" spans="1:13" x14ac:dyDescent="0.3">
      <c r="A32" s="209">
        <v>45108</v>
      </c>
      <c r="B32" t="s">
        <v>844</v>
      </c>
      <c r="C32" t="s">
        <v>897</v>
      </c>
      <c r="D32" t="s">
        <v>844</v>
      </c>
      <c r="E32" t="s">
        <v>898</v>
      </c>
      <c r="G32" t="str">
        <f>+MID(Fiyat_Endeksi__Üretici_Fiyatları___2003_100[[#This Row],[Yıllık Değişim_1]],1,2)</f>
        <v>44</v>
      </c>
      <c r="H32" t="str">
        <f>+MID(Fiyat_Endeksi__Üretici_Fiyatları___2003_100[[#This Row],[Yıllık Değişim_1]],4,2)</f>
        <v>50</v>
      </c>
      <c r="I32" t="str">
        <f t="shared" si="0"/>
        <v>44,50</v>
      </c>
      <c r="K32" t="str">
        <f>+MID(Fiyat_Endeksi__Üretici_Fiyatları___2003_100[[#This Row],[Aylık Değişim_2]],1,1)</f>
        <v>8</v>
      </c>
      <c r="L32" t="str">
        <f>+MID(Fiyat_Endeksi__Üretici_Fiyatları___2003_100[[#This Row],[Aylık Değişim_2]],3,2)</f>
        <v>23</v>
      </c>
      <c r="M32" s="214" t="str">
        <f t="shared" si="1"/>
        <v>8,23</v>
      </c>
    </row>
    <row r="33" spans="1:13" x14ac:dyDescent="0.3">
      <c r="A33" s="209">
        <v>45078</v>
      </c>
      <c r="B33" t="s">
        <v>844</v>
      </c>
      <c r="C33" t="s">
        <v>899</v>
      </c>
      <c r="D33" t="s">
        <v>844</v>
      </c>
      <c r="E33" t="s">
        <v>900</v>
      </c>
      <c r="G33" t="str">
        <f>+MID(Fiyat_Endeksi__Üretici_Fiyatları___2003_100[[#This Row],[Yıllık Değişim_1]],1,2)</f>
        <v>40</v>
      </c>
      <c r="H33" t="str">
        <f>+MID(Fiyat_Endeksi__Üretici_Fiyatları___2003_100[[#This Row],[Yıllık Değişim_1]],4,2)</f>
        <v>42</v>
      </c>
      <c r="I33" t="str">
        <f t="shared" si="0"/>
        <v>40,42</v>
      </c>
      <c r="K33" t="str">
        <f>+MID(Fiyat_Endeksi__Üretici_Fiyatları___2003_100[[#This Row],[Aylık Değişim_2]],1,1)</f>
        <v>6</v>
      </c>
      <c r="L33" t="str">
        <f>+MID(Fiyat_Endeksi__Üretici_Fiyatları___2003_100[[#This Row],[Aylık Değişim_2]],3,2)</f>
        <v>50</v>
      </c>
      <c r="M33" s="214" t="str">
        <f t="shared" si="1"/>
        <v>6,50</v>
      </c>
    </row>
    <row r="34" spans="1:13" x14ac:dyDescent="0.3">
      <c r="A34" s="209">
        <v>45047</v>
      </c>
      <c r="B34" t="s">
        <v>844</v>
      </c>
      <c r="C34" t="s">
        <v>901</v>
      </c>
      <c r="D34" t="s">
        <v>844</v>
      </c>
      <c r="E34" t="s">
        <v>902</v>
      </c>
      <c r="G34" t="str">
        <f>+MID(Fiyat_Endeksi__Üretici_Fiyatları___2003_100[[#This Row],[Yıllık Değişim_1]],1,2)</f>
        <v>40</v>
      </c>
      <c r="H34" t="str">
        <f>+MID(Fiyat_Endeksi__Üretici_Fiyatları___2003_100[[#This Row],[Yıllık Değişim_1]],4,2)</f>
        <v>76</v>
      </c>
      <c r="I34" t="str">
        <f t="shared" si="0"/>
        <v>40,76</v>
      </c>
      <c r="K34" t="str">
        <f>+MID(Fiyat_Endeksi__Üretici_Fiyatları___2003_100[[#This Row],[Aylık Değişim_2]],1,1)</f>
        <v>0</v>
      </c>
      <c r="L34" t="str">
        <f>+MID(Fiyat_Endeksi__Üretici_Fiyatları___2003_100[[#This Row],[Aylık Değişim_2]],3,2)</f>
        <v>65</v>
      </c>
      <c r="M34" s="214" t="str">
        <f t="shared" si="1"/>
        <v>0,65</v>
      </c>
    </row>
    <row r="35" spans="1:13" x14ac:dyDescent="0.3">
      <c r="A35" s="209">
        <v>45017</v>
      </c>
      <c r="B35" t="s">
        <v>844</v>
      </c>
      <c r="C35" t="s">
        <v>903</v>
      </c>
      <c r="D35" t="s">
        <v>844</v>
      </c>
      <c r="E35" t="s">
        <v>904</v>
      </c>
      <c r="G35" t="str">
        <f>+MID(Fiyat_Endeksi__Üretici_Fiyatları___2003_100[[#This Row],[Yıllık Değişim_1]],1,2)</f>
        <v>52</v>
      </c>
      <c r="H35" t="str">
        <f>+MID(Fiyat_Endeksi__Üretici_Fiyatları___2003_100[[#This Row],[Yıllık Değişim_1]],4,2)</f>
        <v>11</v>
      </c>
      <c r="I35" t="str">
        <f t="shared" si="0"/>
        <v>52,11</v>
      </c>
      <c r="K35" t="str">
        <f>+MID(Fiyat_Endeksi__Üretici_Fiyatları___2003_100[[#This Row],[Aylık Değişim_2]],1,1)</f>
        <v>0</v>
      </c>
      <c r="L35" t="str">
        <f>+MID(Fiyat_Endeksi__Üretici_Fiyatları___2003_100[[#This Row],[Aylık Değişim_2]],3,2)</f>
        <v>81</v>
      </c>
      <c r="M35" s="214" t="str">
        <f t="shared" si="1"/>
        <v>0,81</v>
      </c>
    </row>
    <row r="36" spans="1:13" x14ac:dyDescent="0.3">
      <c r="A36" s="209">
        <v>44986</v>
      </c>
      <c r="B36" t="s">
        <v>844</v>
      </c>
      <c r="C36" t="s">
        <v>905</v>
      </c>
      <c r="D36" t="s">
        <v>844</v>
      </c>
      <c r="E36" t="s">
        <v>906</v>
      </c>
      <c r="G36" t="str">
        <f>+MID(Fiyat_Endeksi__Üretici_Fiyatları___2003_100[[#This Row],[Yıllık Değişim_1]],1,2)</f>
        <v>62</v>
      </c>
      <c r="H36" t="str">
        <f>+MID(Fiyat_Endeksi__Üretici_Fiyatları___2003_100[[#This Row],[Yıllık Değişim_1]],4,2)</f>
        <v>45</v>
      </c>
      <c r="I36" t="str">
        <f t="shared" si="0"/>
        <v>62,45</v>
      </c>
      <c r="K36" t="str">
        <f>+MID(Fiyat_Endeksi__Üretici_Fiyatları___2003_100[[#This Row],[Aylık Değişim_2]],1,1)</f>
        <v>0</v>
      </c>
      <c r="L36" t="str">
        <f>+MID(Fiyat_Endeksi__Üretici_Fiyatları___2003_100[[#This Row],[Aylık Değişim_2]],3,2)</f>
        <v>44</v>
      </c>
      <c r="M36" s="214" t="str">
        <f t="shared" si="1"/>
        <v>0,44</v>
      </c>
    </row>
    <row r="37" spans="1:13" x14ac:dyDescent="0.3">
      <c r="A37" s="209">
        <v>44958</v>
      </c>
      <c r="B37" t="s">
        <v>844</v>
      </c>
      <c r="C37" t="s">
        <v>907</v>
      </c>
      <c r="D37" t="s">
        <v>844</v>
      </c>
      <c r="E37" t="s">
        <v>908</v>
      </c>
      <c r="G37" t="str">
        <f>+MID(Fiyat_Endeksi__Üretici_Fiyatları___2003_100[[#This Row],[Yıllık Değişim_1]],1,2)</f>
        <v>76</v>
      </c>
      <c r="H37" t="str">
        <f>+MID(Fiyat_Endeksi__Üretici_Fiyatları___2003_100[[#This Row],[Yıllık Değişim_1]],4,2)</f>
        <v>61</v>
      </c>
      <c r="I37" t="str">
        <f t="shared" si="0"/>
        <v>76,61</v>
      </c>
      <c r="K37" t="str">
        <f>+MID(Fiyat_Endeksi__Üretici_Fiyatları___2003_100[[#This Row],[Aylık Değişim_2]],1,1)</f>
        <v>1</v>
      </c>
      <c r="L37" t="str">
        <f>+MID(Fiyat_Endeksi__Üretici_Fiyatları___2003_100[[#This Row],[Aylık Değişim_2]],3,2)</f>
        <v>56</v>
      </c>
      <c r="M37" s="214" t="str">
        <f t="shared" si="1"/>
        <v>1,56</v>
      </c>
    </row>
    <row r="38" spans="1:13" x14ac:dyDescent="0.3">
      <c r="A38" s="209">
        <v>44927</v>
      </c>
      <c r="B38" t="s">
        <v>844</v>
      </c>
      <c r="C38" t="s">
        <v>909</v>
      </c>
      <c r="D38" t="s">
        <v>844</v>
      </c>
      <c r="E38" t="s">
        <v>910</v>
      </c>
      <c r="G38" t="str">
        <f>+MID(Fiyat_Endeksi__Üretici_Fiyatları___2003_100[[#This Row],[Yıllık Değişim_1]],1,2)</f>
        <v>86</v>
      </c>
      <c r="H38" t="str">
        <f>+MID(Fiyat_Endeksi__Üretici_Fiyatları___2003_100[[#This Row],[Yıllık Değişim_1]],4,2)</f>
        <v>46</v>
      </c>
      <c r="I38" t="str">
        <f t="shared" si="0"/>
        <v>86,46</v>
      </c>
      <c r="K38" t="str">
        <f>+MID(Fiyat_Endeksi__Üretici_Fiyatları___2003_100[[#This Row],[Aylık Değişim_2]],1,1)</f>
        <v>4</v>
      </c>
      <c r="L38" t="str">
        <f>+MID(Fiyat_Endeksi__Üretici_Fiyatları___2003_100[[#This Row],[Aylık Değişim_2]],3,2)</f>
        <v>15</v>
      </c>
      <c r="M38" s="214" t="str">
        <f t="shared" si="1"/>
        <v>4,15</v>
      </c>
    </row>
    <row r="39" spans="1:13" x14ac:dyDescent="0.3">
      <c r="A39" s="209">
        <v>44896</v>
      </c>
      <c r="B39" t="s">
        <v>844</v>
      </c>
      <c r="C39" t="s">
        <v>911</v>
      </c>
      <c r="D39" t="s">
        <v>844</v>
      </c>
      <c r="E39" t="s">
        <v>912</v>
      </c>
      <c r="G39" t="str">
        <f>+MID(Fiyat_Endeksi__Üretici_Fiyatları___2003_100[[#This Row],[Yıllık Değişim_1]],1,2)</f>
        <v>97</v>
      </c>
      <c r="H39" t="str">
        <f>+MID(Fiyat_Endeksi__Üretici_Fiyatları___2003_100[[#This Row],[Yıllık Değişim_1]],4,2)</f>
        <v>72</v>
      </c>
      <c r="I39" t="str">
        <f t="shared" si="0"/>
        <v>97,72</v>
      </c>
      <c r="K39" t="str">
        <f>+MID(Fiyat_Endeksi__Üretici_Fiyatları___2003_100[[#This Row],[Aylık Değişim_2]],1,1)</f>
        <v>-</v>
      </c>
      <c r="L39" t="str">
        <f>+MID(Fiyat_Endeksi__Üretici_Fiyatları___2003_100[[#This Row],[Aylık Değişim_2]],3,2)</f>
        <v>.2</v>
      </c>
      <c r="M39" s="214" t="str">
        <f t="shared" si="1"/>
        <v>-,.2</v>
      </c>
    </row>
    <row r="40" spans="1:13" x14ac:dyDescent="0.3">
      <c r="A40" s="209">
        <v>44866</v>
      </c>
      <c r="B40" t="s">
        <v>844</v>
      </c>
      <c r="C40" t="s">
        <v>913</v>
      </c>
      <c r="D40" t="s">
        <v>844</v>
      </c>
      <c r="E40" t="s">
        <v>914</v>
      </c>
      <c r="G40" t="str">
        <f>+MID(Fiyat_Endeksi__Üretici_Fiyatları___2003_100[[#This Row],[Yıllık Değişim_1]],1,2)</f>
        <v>13</v>
      </c>
      <c r="H40" t="str">
        <f>+MID(Fiyat_Endeksi__Üretici_Fiyatları___2003_100[[#This Row],[Yıllık Değişim_1]],4,2)</f>
        <v>.0</v>
      </c>
      <c r="I40" t="str">
        <f t="shared" si="0"/>
        <v>13,.0</v>
      </c>
      <c r="K40" t="str">
        <f>+MID(Fiyat_Endeksi__Üretici_Fiyatları___2003_100[[#This Row],[Aylık Değişim_2]],1,1)</f>
        <v>0</v>
      </c>
      <c r="L40" t="str">
        <f>+MID(Fiyat_Endeksi__Üretici_Fiyatları___2003_100[[#This Row],[Aylık Değişim_2]],3,2)</f>
        <v>74</v>
      </c>
      <c r="M40" s="214" t="str">
        <f t="shared" si="1"/>
        <v>0,74</v>
      </c>
    </row>
    <row r="41" spans="1:13" x14ac:dyDescent="0.3">
      <c r="A41" s="209">
        <v>44835</v>
      </c>
      <c r="B41" t="s">
        <v>844</v>
      </c>
      <c r="C41" t="s">
        <v>915</v>
      </c>
      <c r="D41" t="s">
        <v>844</v>
      </c>
      <c r="E41" t="s">
        <v>916</v>
      </c>
      <c r="G41" t="str">
        <f>+MID(Fiyat_Endeksi__Üretici_Fiyatları___2003_100[[#This Row],[Yıllık Değişim_1]],1,2)</f>
        <v>15</v>
      </c>
      <c r="H41" t="str">
        <f>+MID(Fiyat_Endeksi__Üretici_Fiyatları___2003_100[[#This Row],[Yıllık Değişim_1]],4,2)</f>
        <v>.6</v>
      </c>
      <c r="I41" t="str">
        <f t="shared" si="0"/>
        <v>15,.6</v>
      </c>
      <c r="K41" t="str">
        <f>+MID(Fiyat_Endeksi__Üretici_Fiyatları___2003_100[[#This Row],[Aylık Değişim_2]],1,1)</f>
        <v>7</v>
      </c>
      <c r="L41" t="str">
        <f>+MID(Fiyat_Endeksi__Üretici_Fiyatları___2003_100[[#This Row],[Aylık Değişim_2]],3,2)</f>
        <v>83</v>
      </c>
      <c r="M41" s="214" t="str">
        <f t="shared" si="1"/>
        <v>7,83</v>
      </c>
    </row>
    <row r="42" spans="1:13" x14ac:dyDescent="0.3">
      <c r="A42" s="209">
        <v>44805</v>
      </c>
      <c r="B42" t="s">
        <v>844</v>
      </c>
      <c r="C42" t="s">
        <v>917</v>
      </c>
      <c r="D42" t="s">
        <v>844</v>
      </c>
      <c r="E42" t="s">
        <v>918</v>
      </c>
      <c r="G42" t="str">
        <f>+MID(Fiyat_Endeksi__Üretici_Fiyatları___2003_100[[#This Row],[Yıllık Değişim_1]],1,2)</f>
        <v>15</v>
      </c>
      <c r="H42" t="str">
        <f>+MID(Fiyat_Endeksi__Üretici_Fiyatları___2003_100[[#This Row],[Yıllık Değişim_1]],4,2)</f>
        <v>.5</v>
      </c>
      <c r="I42" t="str">
        <f t="shared" si="0"/>
        <v>15,.5</v>
      </c>
      <c r="K42" t="str">
        <f>+MID(Fiyat_Endeksi__Üretici_Fiyatları___2003_100[[#This Row],[Aylık Değişim_2]],1,1)</f>
        <v>4</v>
      </c>
      <c r="L42" t="str">
        <f>+MID(Fiyat_Endeksi__Üretici_Fiyatları___2003_100[[#This Row],[Aylık Değişim_2]],3,2)</f>
        <v>78</v>
      </c>
      <c r="M42" s="214" t="str">
        <f t="shared" si="1"/>
        <v>4,78</v>
      </c>
    </row>
    <row r="43" spans="1:13" x14ac:dyDescent="0.3">
      <c r="A43" s="209">
        <v>44774</v>
      </c>
      <c r="B43" t="s">
        <v>844</v>
      </c>
      <c r="C43" t="s">
        <v>919</v>
      </c>
      <c r="D43" t="s">
        <v>844</v>
      </c>
      <c r="E43" t="s">
        <v>920</v>
      </c>
      <c r="G43" t="str">
        <f>+MID(Fiyat_Endeksi__Üretici_Fiyatları___2003_100[[#This Row],[Yıllık Değişim_1]],1,2)</f>
        <v>14</v>
      </c>
      <c r="H43" t="str">
        <f>+MID(Fiyat_Endeksi__Üretici_Fiyatları___2003_100[[#This Row],[Yıllık Değişim_1]],4,2)</f>
        <v>.7</v>
      </c>
      <c r="I43" t="str">
        <f t="shared" si="0"/>
        <v>14,.7</v>
      </c>
      <c r="K43" t="str">
        <f>+MID(Fiyat_Endeksi__Üretici_Fiyatları___2003_100[[#This Row],[Aylık Değişim_2]],1,1)</f>
        <v>2</v>
      </c>
      <c r="L43" t="str">
        <f>+MID(Fiyat_Endeksi__Üretici_Fiyatları___2003_100[[#This Row],[Aylık Değişim_2]],3,2)</f>
        <v>41</v>
      </c>
      <c r="M43" s="214" t="str">
        <f t="shared" si="1"/>
        <v>2,41</v>
      </c>
    </row>
    <row r="44" spans="1:13" x14ac:dyDescent="0.3">
      <c r="A44" s="209">
        <v>44743</v>
      </c>
      <c r="B44" t="s">
        <v>844</v>
      </c>
      <c r="C44" t="s">
        <v>921</v>
      </c>
      <c r="D44" t="s">
        <v>844</v>
      </c>
      <c r="E44" t="s">
        <v>922</v>
      </c>
      <c r="G44" t="str">
        <f>+MID(Fiyat_Endeksi__Üretici_Fiyatları___2003_100[[#This Row],[Yıllık Değişim_1]],1,2)</f>
        <v>14</v>
      </c>
      <c r="H44" t="str">
        <f>+MID(Fiyat_Endeksi__Üretici_Fiyatları___2003_100[[#This Row],[Yıllık Değişim_1]],4,2)</f>
        <v>.6</v>
      </c>
      <c r="I44" t="str">
        <f t="shared" si="0"/>
        <v>14,.6</v>
      </c>
      <c r="K44" t="str">
        <f>+MID(Fiyat_Endeksi__Üretici_Fiyatları___2003_100[[#This Row],[Aylık Değişim_2]],1,1)</f>
        <v>5</v>
      </c>
      <c r="L44" t="str">
        <f>+MID(Fiyat_Endeksi__Üretici_Fiyatları___2003_100[[#This Row],[Aylık Değişim_2]],3,2)</f>
        <v>17</v>
      </c>
      <c r="M44" s="214" t="str">
        <f t="shared" si="1"/>
        <v>5,17</v>
      </c>
    </row>
    <row r="45" spans="1:13" x14ac:dyDescent="0.3">
      <c r="A45" s="209">
        <v>44713</v>
      </c>
      <c r="B45" t="s">
        <v>844</v>
      </c>
      <c r="C45" t="s">
        <v>923</v>
      </c>
      <c r="D45" t="s">
        <v>844</v>
      </c>
      <c r="E45" t="s">
        <v>924</v>
      </c>
      <c r="G45" t="str">
        <f>+MID(Fiyat_Endeksi__Üretici_Fiyatları___2003_100[[#This Row],[Yıllık Değişim_1]],1,2)</f>
        <v>13</v>
      </c>
      <c r="H45" t="str">
        <f>+MID(Fiyat_Endeksi__Üretici_Fiyatları___2003_100[[#This Row],[Yıllık Değişim_1]],4,2)</f>
        <v>.3</v>
      </c>
      <c r="I45" t="str">
        <f t="shared" si="0"/>
        <v>13,.3</v>
      </c>
      <c r="K45" t="str">
        <f>+MID(Fiyat_Endeksi__Üretici_Fiyatları___2003_100[[#This Row],[Aylık Değişim_2]],1,1)</f>
        <v>6</v>
      </c>
      <c r="L45" t="str">
        <f>+MID(Fiyat_Endeksi__Üretici_Fiyatları___2003_100[[#This Row],[Aylık Değişim_2]],3,2)</f>
        <v>77</v>
      </c>
      <c r="M45" s="214" t="str">
        <f t="shared" si="1"/>
        <v>6,77</v>
      </c>
    </row>
    <row r="46" spans="1:13" x14ac:dyDescent="0.3">
      <c r="A46" s="209">
        <v>44682</v>
      </c>
      <c r="B46" t="s">
        <v>844</v>
      </c>
      <c r="C46" t="s">
        <v>925</v>
      </c>
      <c r="D46" t="s">
        <v>844</v>
      </c>
      <c r="E46" t="s">
        <v>926</v>
      </c>
      <c r="G46" t="str">
        <f>+MID(Fiyat_Endeksi__Üretici_Fiyatları___2003_100[[#This Row],[Yıllık Değişim_1]],1,2)</f>
        <v>13</v>
      </c>
      <c r="H46" t="str">
        <f>+MID(Fiyat_Endeksi__Üretici_Fiyatları___2003_100[[#This Row],[Yıllık Değişim_1]],4,2)</f>
        <v>.1</v>
      </c>
      <c r="I46" t="str">
        <f t="shared" si="0"/>
        <v>13,.1</v>
      </c>
      <c r="K46" t="str">
        <f>+MID(Fiyat_Endeksi__Üretici_Fiyatları___2003_100[[#This Row],[Aylık Değişim_2]],1,1)</f>
        <v>8</v>
      </c>
      <c r="L46" t="str">
        <f>+MID(Fiyat_Endeksi__Üretici_Fiyatları___2003_100[[#This Row],[Aylık Değişim_2]],3,2)</f>
        <v>76</v>
      </c>
      <c r="M46" s="214" t="str">
        <f t="shared" si="1"/>
        <v>8,76</v>
      </c>
    </row>
    <row r="47" spans="1:13" x14ac:dyDescent="0.3">
      <c r="A47" s="209">
        <v>44652</v>
      </c>
      <c r="B47" t="s">
        <v>844</v>
      </c>
      <c r="C47" t="s">
        <v>927</v>
      </c>
      <c r="D47" t="s">
        <v>844</v>
      </c>
      <c r="E47" t="s">
        <v>928</v>
      </c>
      <c r="G47" t="str">
        <f>+MID(Fiyat_Endeksi__Üretici_Fiyatları___2003_100[[#This Row],[Yıllık Değişim_1]],1,2)</f>
        <v>12</v>
      </c>
      <c r="H47" t="str">
        <f>+MID(Fiyat_Endeksi__Üretici_Fiyatları___2003_100[[#This Row],[Yıllık Değişim_1]],4,2)</f>
        <v>.8</v>
      </c>
      <c r="I47" t="str">
        <f t="shared" si="0"/>
        <v>12,.8</v>
      </c>
      <c r="K47" t="str">
        <f>+MID(Fiyat_Endeksi__Üretici_Fiyatları___2003_100[[#This Row],[Aylık Değişim_2]],1,1)</f>
        <v>7</v>
      </c>
      <c r="L47" t="str">
        <f>+MID(Fiyat_Endeksi__Üretici_Fiyatları___2003_100[[#This Row],[Aylık Değişim_2]],3,2)</f>
        <v>67</v>
      </c>
      <c r="M47" s="214" t="str">
        <f t="shared" si="1"/>
        <v>7,67</v>
      </c>
    </row>
    <row r="48" spans="1:13" x14ac:dyDescent="0.3">
      <c r="A48" s="209">
        <v>44621</v>
      </c>
      <c r="B48" t="s">
        <v>844</v>
      </c>
      <c r="C48" t="s">
        <v>929</v>
      </c>
      <c r="D48" t="s">
        <v>844</v>
      </c>
      <c r="E48" t="s">
        <v>930</v>
      </c>
      <c r="G48" t="str">
        <f>+MID(Fiyat_Endeksi__Üretici_Fiyatları___2003_100[[#This Row],[Yıllık Değişim_1]],1,2)</f>
        <v>11</v>
      </c>
      <c r="H48" t="str">
        <f>+MID(Fiyat_Endeksi__Üretici_Fiyatları___2003_100[[#This Row],[Yıllık Değişim_1]],4,2)</f>
        <v>.9</v>
      </c>
      <c r="I48" t="str">
        <f t="shared" si="0"/>
        <v>11,.9</v>
      </c>
      <c r="K48" t="str">
        <f>+MID(Fiyat_Endeksi__Üretici_Fiyatları___2003_100[[#This Row],[Aylık Değişim_2]],1,1)</f>
        <v>9</v>
      </c>
      <c r="L48" t="str">
        <f>+MID(Fiyat_Endeksi__Üretici_Fiyatları___2003_100[[#This Row],[Aylık Değişim_2]],3,2)</f>
        <v>19</v>
      </c>
      <c r="M48" s="214" t="str">
        <f t="shared" si="1"/>
        <v>9,19</v>
      </c>
    </row>
    <row r="49" spans="1:13" x14ac:dyDescent="0.3">
      <c r="A49" s="209">
        <v>44593</v>
      </c>
      <c r="B49" t="s">
        <v>844</v>
      </c>
      <c r="C49" t="s">
        <v>931</v>
      </c>
      <c r="D49" t="s">
        <v>844</v>
      </c>
      <c r="E49" t="s">
        <v>932</v>
      </c>
      <c r="G49" t="str">
        <f>+MID(Fiyat_Endeksi__Üretici_Fiyatları___2003_100[[#This Row],[Yıllık Değişim_1]],1,2)</f>
        <v>10</v>
      </c>
      <c r="H49" t="str">
        <f>+MID(Fiyat_Endeksi__Üretici_Fiyatları___2003_100[[#This Row],[Yıllık Değişim_1]],4,2)</f>
        <v>.0</v>
      </c>
      <c r="I49" t="str">
        <f t="shared" si="0"/>
        <v>10,.0</v>
      </c>
      <c r="K49" t="str">
        <f>+MID(Fiyat_Endeksi__Üretici_Fiyatları___2003_100[[#This Row],[Aylık Değişim_2]],1,1)</f>
        <v>7</v>
      </c>
      <c r="L49" t="str">
        <f>+MID(Fiyat_Endeksi__Üretici_Fiyatları___2003_100[[#This Row],[Aylık Değişim_2]],3,2)</f>
        <v>22</v>
      </c>
      <c r="M49" s="214" t="str">
        <f t="shared" si="1"/>
        <v>7,22</v>
      </c>
    </row>
    <row r="50" spans="1:13" x14ac:dyDescent="0.3">
      <c r="A50" s="209">
        <v>44562</v>
      </c>
      <c r="B50" t="s">
        <v>844</v>
      </c>
      <c r="C50" t="s">
        <v>933</v>
      </c>
      <c r="D50" t="s">
        <v>844</v>
      </c>
      <c r="E50" t="s">
        <v>934</v>
      </c>
      <c r="G50" t="str">
        <f>+MID(Fiyat_Endeksi__Üretici_Fiyatları___2003_100[[#This Row],[Yıllık Değişim_1]],1,2)</f>
        <v>93</v>
      </c>
      <c r="H50" t="str">
        <f>+MID(Fiyat_Endeksi__Üretici_Fiyatları___2003_100[[#This Row],[Yıllık Değişim_1]],4,2)</f>
        <v>53</v>
      </c>
      <c r="I50" t="str">
        <f t="shared" si="0"/>
        <v>93,53</v>
      </c>
      <c r="K50" t="str">
        <f>+MID(Fiyat_Endeksi__Üretici_Fiyatları___2003_100[[#This Row],[Aylık Değişim_2]],1,1)</f>
        <v>1</v>
      </c>
      <c r="L50" t="str">
        <f>+MID(Fiyat_Endeksi__Üretici_Fiyatları___2003_100[[#This Row],[Aylık Değişim_2]],3,2)</f>
        <v>.4</v>
      </c>
      <c r="M50" s="214" t="str">
        <f t="shared" si="1"/>
        <v>1,.4</v>
      </c>
    </row>
    <row r="51" spans="1:13" x14ac:dyDescent="0.3">
      <c r="A51" s="209">
        <v>44531</v>
      </c>
      <c r="B51" t="s">
        <v>844</v>
      </c>
      <c r="C51" t="s">
        <v>935</v>
      </c>
      <c r="D51" t="s">
        <v>844</v>
      </c>
      <c r="E51" t="s">
        <v>936</v>
      </c>
      <c r="G51" t="str">
        <f>+MID(Fiyat_Endeksi__Üretici_Fiyatları___2003_100[[#This Row],[Yıllık Değişim_1]],1,2)</f>
        <v>79</v>
      </c>
      <c r="H51" t="str">
        <f>+MID(Fiyat_Endeksi__Üretici_Fiyatları___2003_100[[#This Row],[Yıllık Değişim_1]],4,2)</f>
        <v>89</v>
      </c>
      <c r="I51" t="str">
        <f t="shared" si="0"/>
        <v>79,89</v>
      </c>
      <c r="K51" t="str">
        <f>+MID(Fiyat_Endeksi__Üretici_Fiyatları___2003_100[[#This Row],[Aylık Değişim_2]],1,1)</f>
        <v>1</v>
      </c>
      <c r="L51" t="str">
        <f>+MID(Fiyat_Endeksi__Üretici_Fiyatları___2003_100[[#This Row],[Aylık Değişim_2]],3,2)</f>
        <v>.0</v>
      </c>
      <c r="M51" s="214" t="str">
        <f t="shared" si="1"/>
        <v>1,.0</v>
      </c>
    </row>
    <row r="52" spans="1:13" x14ac:dyDescent="0.3">
      <c r="A52" s="209">
        <v>44501</v>
      </c>
      <c r="B52" t="s">
        <v>844</v>
      </c>
      <c r="C52" t="s">
        <v>937</v>
      </c>
      <c r="D52" t="s">
        <v>844</v>
      </c>
      <c r="E52" t="s">
        <v>938</v>
      </c>
      <c r="G52" t="str">
        <f>+MID(Fiyat_Endeksi__Üretici_Fiyatları___2003_100[[#This Row],[Yıllık Değişim_1]],1,2)</f>
        <v>54</v>
      </c>
      <c r="H52" t="str">
        <f>+MID(Fiyat_Endeksi__Üretici_Fiyatları___2003_100[[#This Row],[Yıllık Değişim_1]],4,2)</f>
        <v>62</v>
      </c>
      <c r="I52" t="str">
        <f t="shared" si="0"/>
        <v>54,62</v>
      </c>
      <c r="K52" t="str">
        <f>+MID(Fiyat_Endeksi__Üretici_Fiyatları___2003_100[[#This Row],[Aylık Değişim_2]],1,1)</f>
        <v>9</v>
      </c>
      <c r="L52" t="str">
        <f>+MID(Fiyat_Endeksi__Üretici_Fiyatları___2003_100[[#This Row],[Aylık Değişim_2]],3,2)</f>
        <v>99</v>
      </c>
      <c r="M52" s="214" t="str">
        <f t="shared" si="1"/>
        <v>9,99</v>
      </c>
    </row>
    <row r="53" spans="1:13" x14ac:dyDescent="0.3">
      <c r="A53" s="209">
        <v>44470</v>
      </c>
      <c r="B53" t="s">
        <v>844</v>
      </c>
      <c r="C53" t="s">
        <v>939</v>
      </c>
      <c r="D53" t="s">
        <v>844</v>
      </c>
      <c r="E53" t="s">
        <v>940</v>
      </c>
      <c r="G53" t="str">
        <f>+MID(Fiyat_Endeksi__Üretici_Fiyatları___2003_100[[#This Row],[Yıllık Değişim_1]],1,2)</f>
        <v>46</v>
      </c>
      <c r="H53" t="str">
        <f>+MID(Fiyat_Endeksi__Üretici_Fiyatları___2003_100[[#This Row],[Yıllık Değişim_1]],4,2)</f>
        <v>31</v>
      </c>
      <c r="I53" t="str">
        <f t="shared" si="0"/>
        <v>46,31</v>
      </c>
      <c r="K53" t="str">
        <f>+MID(Fiyat_Endeksi__Üretici_Fiyatları___2003_100[[#This Row],[Aylık Değişim_2]],1,1)</f>
        <v>5</v>
      </c>
      <c r="L53" t="str">
        <f>+MID(Fiyat_Endeksi__Üretici_Fiyatları___2003_100[[#This Row],[Aylık Değişim_2]],3,2)</f>
        <v>24</v>
      </c>
      <c r="M53" s="214" t="str">
        <f t="shared" si="1"/>
        <v>5,24</v>
      </c>
    </row>
    <row r="54" spans="1:13" x14ac:dyDescent="0.3">
      <c r="A54" s="209">
        <v>44440</v>
      </c>
      <c r="B54" t="s">
        <v>844</v>
      </c>
      <c r="C54" t="s">
        <v>941</v>
      </c>
      <c r="D54" t="s">
        <v>844</v>
      </c>
      <c r="E54" t="s">
        <v>942</v>
      </c>
      <c r="G54" t="str">
        <f>+MID(Fiyat_Endeksi__Üretici_Fiyatları___2003_100[[#This Row],[Yıllık Değişim_1]],1,2)</f>
        <v>43</v>
      </c>
      <c r="H54" t="str">
        <f>+MID(Fiyat_Endeksi__Üretici_Fiyatları___2003_100[[#This Row],[Yıllık Değişim_1]],4,2)</f>
        <v>96</v>
      </c>
      <c r="I54" t="str">
        <f t="shared" si="0"/>
        <v>43,96</v>
      </c>
      <c r="K54" t="str">
        <f>+MID(Fiyat_Endeksi__Üretici_Fiyatları___2003_100[[#This Row],[Aylık Değişim_2]],1,1)</f>
        <v>1</v>
      </c>
      <c r="L54" t="str">
        <f>+MID(Fiyat_Endeksi__Üretici_Fiyatları___2003_100[[#This Row],[Aylık Değişim_2]],3,2)</f>
        <v>55</v>
      </c>
      <c r="M54" s="214" t="str">
        <f t="shared" si="1"/>
        <v>1,55</v>
      </c>
    </row>
    <row r="55" spans="1:13" x14ac:dyDescent="0.3">
      <c r="A55" s="209">
        <v>44409</v>
      </c>
      <c r="B55" t="s">
        <v>844</v>
      </c>
      <c r="C55" t="s">
        <v>943</v>
      </c>
      <c r="D55" t="s">
        <v>844</v>
      </c>
      <c r="E55" t="s">
        <v>944</v>
      </c>
      <c r="G55" t="str">
        <f>+MID(Fiyat_Endeksi__Üretici_Fiyatları___2003_100[[#This Row],[Yıllık Değişim_1]],1,2)</f>
        <v>45</v>
      </c>
      <c r="H55" t="str">
        <f>+MID(Fiyat_Endeksi__Üretici_Fiyatları___2003_100[[#This Row],[Yıllık Değişim_1]],4,2)</f>
        <v>52</v>
      </c>
      <c r="I55" t="str">
        <f t="shared" si="0"/>
        <v>45,52</v>
      </c>
      <c r="K55" t="str">
        <f>+MID(Fiyat_Endeksi__Üretici_Fiyatları___2003_100[[#This Row],[Aylık Değişim_2]],1,1)</f>
        <v>2</v>
      </c>
      <c r="L55" t="str">
        <f>+MID(Fiyat_Endeksi__Üretici_Fiyatları___2003_100[[#This Row],[Aylık Değişim_2]],3,2)</f>
        <v>77</v>
      </c>
      <c r="M55" s="214" t="str">
        <f t="shared" si="1"/>
        <v>2,77</v>
      </c>
    </row>
    <row r="56" spans="1:13" x14ac:dyDescent="0.3">
      <c r="A56" s="209">
        <v>44378</v>
      </c>
      <c r="B56" t="s">
        <v>844</v>
      </c>
      <c r="C56" t="s">
        <v>945</v>
      </c>
      <c r="D56" t="s">
        <v>844</v>
      </c>
      <c r="E56" t="s">
        <v>854</v>
      </c>
      <c r="G56" t="str">
        <f>+MID(Fiyat_Endeksi__Üretici_Fiyatları___2003_100[[#This Row],[Yıllık Değişim_1]],1,2)</f>
        <v>44</v>
      </c>
      <c r="H56" t="str">
        <f>+MID(Fiyat_Endeksi__Üretici_Fiyatları___2003_100[[#This Row],[Yıllık Değişim_1]],4,2)</f>
        <v>92</v>
      </c>
      <c r="I56" t="str">
        <f t="shared" si="0"/>
        <v>44,92</v>
      </c>
      <c r="K56" t="str">
        <f>+MID(Fiyat_Endeksi__Üretici_Fiyatları___2003_100[[#This Row],[Aylık Değişim_2]],1,1)</f>
        <v>2</v>
      </c>
      <c r="L56" t="str">
        <f>+MID(Fiyat_Endeksi__Üretici_Fiyatları___2003_100[[#This Row],[Aylık Değişim_2]],3,2)</f>
        <v>46</v>
      </c>
      <c r="M56" s="214" t="str">
        <f t="shared" si="1"/>
        <v>2,46</v>
      </c>
    </row>
    <row r="57" spans="1:13" x14ac:dyDescent="0.3">
      <c r="A57" s="209">
        <v>44348</v>
      </c>
      <c r="B57" t="s">
        <v>844</v>
      </c>
      <c r="C57" t="s">
        <v>946</v>
      </c>
      <c r="D57" t="s">
        <v>844</v>
      </c>
      <c r="E57" t="s">
        <v>947</v>
      </c>
      <c r="G57" t="str">
        <f>+MID(Fiyat_Endeksi__Üretici_Fiyatları___2003_100[[#This Row],[Yıllık Değişim_1]],1,2)</f>
        <v>42</v>
      </c>
      <c r="H57" t="str">
        <f>+MID(Fiyat_Endeksi__Üretici_Fiyatları___2003_100[[#This Row],[Yıllık Değişim_1]],4,2)</f>
        <v>89</v>
      </c>
      <c r="I57" t="str">
        <f t="shared" si="0"/>
        <v>42,89</v>
      </c>
      <c r="K57" t="str">
        <f>+MID(Fiyat_Endeksi__Üretici_Fiyatları___2003_100[[#This Row],[Aylık Değişim_2]],1,1)</f>
        <v>4</v>
      </c>
      <c r="L57" t="str">
        <f>+MID(Fiyat_Endeksi__Üretici_Fiyatları___2003_100[[#This Row],[Aylık Değişim_2]],3,2)</f>
        <v>01</v>
      </c>
      <c r="M57" s="214" t="str">
        <f t="shared" si="1"/>
        <v>4,01</v>
      </c>
    </row>
    <row r="58" spans="1:13" x14ac:dyDescent="0.3">
      <c r="A58" s="209">
        <v>44317</v>
      </c>
      <c r="B58" t="s">
        <v>844</v>
      </c>
      <c r="C58" t="s">
        <v>948</v>
      </c>
      <c r="D58" t="s">
        <v>844</v>
      </c>
      <c r="E58" t="s">
        <v>949</v>
      </c>
      <c r="G58" t="str">
        <f>+MID(Fiyat_Endeksi__Üretici_Fiyatları___2003_100[[#This Row],[Yıllık Değişim_1]],1,2)</f>
        <v>38</v>
      </c>
      <c r="H58" t="str">
        <f>+MID(Fiyat_Endeksi__Üretici_Fiyatları___2003_100[[#This Row],[Yıllık Değişim_1]],4,2)</f>
        <v>33</v>
      </c>
      <c r="I58" t="str">
        <f t="shared" si="0"/>
        <v>38,33</v>
      </c>
      <c r="K58" t="str">
        <f>+MID(Fiyat_Endeksi__Üretici_Fiyatları___2003_100[[#This Row],[Aylık Değişim_2]],1,1)</f>
        <v>3</v>
      </c>
      <c r="L58" t="str">
        <f>+MID(Fiyat_Endeksi__Üretici_Fiyatları___2003_100[[#This Row],[Aylık Değişim_2]],3,2)</f>
        <v>92</v>
      </c>
      <c r="M58" s="214" t="str">
        <f t="shared" si="1"/>
        <v>3,92</v>
      </c>
    </row>
    <row r="59" spans="1:13" x14ac:dyDescent="0.3">
      <c r="A59" s="209">
        <v>44287</v>
      </c>
      <c r="B59" t="s">
        <v>844</v>
      </c>
      <c r="C59" t="s">
        <v>950</v>
      </c>
      <c r="D59" t="s">
        <v>844</v>
      </c>
      <c r="E59" t="s">
        <v>951</v>
      </c>
      <c r="G59" t="str">
        <f>+MID(Fiyat_Endeksi__Üretici_Fiyatları___2003_100[[#This Row],[Yıllık Değişim_1]],1,2)</f>
        <v>35</v>
      </c>
      <c r="H59" t="str">
        <f>+MID(Fiyat_Endeksi__Üretici_Fiyatları___2003_100[[#This Row],[Yıllık Değişim_1]],4,2)</f>
        <v>17</v>
      </c>
      <c r="I59" t="str">
        <f t="shared" si="0"/>
        <v>35,17</v>
      </c>
      <c r="K59" t="str">
        <f>+MID(Fiyat_Endeksi__Üretici_Fiyatları___2003_100[[#This Row],[Aylık Değişim_2]],1,1)</f>
        <v>4</v>
      </c>
      <c r="L59" t="str">
        <f>+MID(Fiyat_Endeksi__Üretici_Fiyatları___2003_100[[#This Row],[Aylık Değişim_2]],3,2)</f>
        <v>34</v>
      </c>
      <c r="M59" s="214" t="str">
        <f t="shared" si="1"/>
        <v>4,34</v>
      </c>
    </row>
    <row r="60" spans="1:13" x14ac:dyDescent="0.3">
      <c r="A60" s="209">
        <v>44256</v>
      </c>
      <c r="B60" t="s">
        <v>844</v>
      </c>
      <c r="C60" t="s">
        <v>952</v>
      </c>
      <c r="D60" t="s">
        <v>844</v>
      </c>
      <c r="E60" t="s">
        <v>953</v>
      </c>
      <c r="G60" t="str">
        <f>+MID(Fiyat_Endeksi__Üretici_Fiyatları___2003_100[[#This Row],[Yıllık Değişim_1]],1,2)</f>
        <v>31</v>
      </c>
      <c r="H60" t="str">
        <f>+MID(Fiyat_Endeksi__Üretici_Fiyatları___2003_100[[#This Row],[Yıllık Değişim_1]],4,2)</f>
        <v>20</v>
      </c>
      <c r="I60" t="str">
        <f t="shared" si="0"/>
        <v>31,20</v>
      </c>
      <c r="K60" t="str">
        <f>+MID(Fiyat_Endeksi__Üretici_Fiyatları___2003_100[[#This Row],[Aylık Değişim_2]],1,1)</f>
        <v>4</v>
      </c>
      <c r="L60" t="str">
        <f>+MID(Fiyat_Endeksi__Üretici_Fiyatları___2003_100[[#This Row],[Aylık Değişim_2]],3,2)</f>
        <v>13</v>
      </c>
      <c r="M60" s="214" t="str">
        <f t="shared" si="1"/>
        <v>4,13</v>
      </c>
    </row>
    <row r="61" spans="1:13" x14ac:dyDescent="0.3">
      <c r="A61" s="209">
        <v>44228</v>
      </c>
      <c r="B61" t="s">
        <v>844</v>
      </c>
      <c r="C61" t="s">
        <v>954</v>
      </c>
      <c r="D61" t="s">
        <v>844</v>
      </c>
      <c r="E61" t="s">
        <v>955</v>
      </c>
      <c r="G61" t="str">
        <f>+MID(Fiyat_Endeksi__Üretici_Fiyatları___2003_100[[#This Row],[Yıllık Değişim_1]],1,2)</f>
        <v>27</v>
      </c>
      <c r="H61" t="str">
        <f>+MID(Fiyat_Endeksi__Üretici_Fiyatları___2003_100[[#This Row],[Yıllık Değişim_1]],4,2)</f>
        <v>09</v>
      </c>
      <c r="I61" t="str">
        <f t="shared" si="0"/>
        <v>27,09</v>
      </c>
      <c r="K61" t="str">
        <f>+MID(Fiyat_Endeksi__Üretici_Fiyatları___2003_100[[#This Row],[Aylık Değişim_2]],1,1)</f>
        <v>1</v>
      </c>
      <c r="L61" t="str">
        <f>+MID(Fiyat_Endeksi__Üretici_Fiyatları___2003_100[[#This Row],[Aylık Değişim_2]],3,2)</f>
        <v>22</v>
      </c>
      <c r="M61" s="214" t="str">
        <f t="shared" si="1"/>
        <v>1,22</v>
      </c>
    </row>
    <row r="62" spans="1:13" x14ac:dyDescent="0.3">
      <c r="A62" s="209">
        <v>44197</v>
      </c>
      <c r="B62" t="s">
        <v>844</v>
      </c>
      <c r="C62" t="s">
        <v>956</v>
      </c>
      <c r="D62" t="s">
        <v>844</v>
      </c>
      <c r="E62" t="s">
        <v>957</v>
      </c>
      <c r="G62" t="str">
        <f>+MID(Fiyat_Endeksi__Üretici_Fiyatları___2003_100[[#This Row],[Yıllık Değişim_1]],1,2)</f>
        <v>26</v>
      </c>
      <c r="H62" t="str">
        <f>+MID(Fiyat_Endeksi__Üretici_Fiyatları___2003_100[[#This Row],[Yıllık Değişim_1]],4,2)</f>
        <v>16</v>
      </c>
      <c r="I62" t="str">
        <f t="shared" si="0"/>
        <v>26,16</v>
      </c>
      <c r="K62" t="str">
        <f>+MID(Fiyat_Endeksi__Üretici_Fiyatları___2003_100[[#This Row],[Aylık Değişim_2]],1,1)</f>
        <v>2</v>
      </c>
      <c r="L62" t="str">
        <f>+MID(Fiyat_Endeksi__Üretici_Fiyatları___2003_100[[#This Row],[Aylık Değişim_2]],3,2)</f>
        <v>66</v>
      </c>
      <c r="M62" s="214" t="str">
        <f t="shared" si="1"/>
        <v>2,66</v>
      </c>
    </row>
    <row r="63" spans="1:13" x14ac:dyDescent="0.3">
      <c r="A63" s="209">
        <v>44166</v>
      </c>
      <c r="B63" t="s">
        <v>844</v>
      </c>
      <c r="C63" t="s">
        <v>958</v>
      </c>
      <c r="D63" t="s">
        <v>844</v>
      </c>
      <c r="E63" t="s">
        <v>959</v>
      </c>
      <c r="G63" t="str">
        <f>+MID(Fiyat_Endeksi__Üretici_Fiyatları___2003_100[[#This Row],[Yıllık Değişim_1]],1,2)</f>
        <v>25</v>
      </c>
      <c r="H63" t="str">
        <f>+MID(Fiyat_Endeksi__Üretici_Fiyatları___2003_100[[#This Row],[Yıllık Değişim_1]],4,2)</f>
        <v>15</v>
      </c>
      <c r="I63" t="str">
        <f t="shared" si="0"/>
        <v>25,15</v>
      </c>
      <c r="K63" t="str">
        <f>+MID(Fiyat_Endeksi__Üretici_Fiyatları___2003_100[[#This Row],[Aylık Değişim_2]],1,1)</f>
        <v>2</v>
      </c>
      <c r="L63" t="str">
        <f>+MID(Fiyat_Endeksi__Üretici_Fiyatları___2003_100[[#This Row],[Aylık Değişim_2]],3,2)</f>
        <v>36</v>
      </c>
      <c r="M63" s="214" t="str">
        <f t="shared" si="1"/>
        <v>2,36</v>
      </c>
    </row>
    <row r="64" spans="1:13" x14ac:dyDescent="0.3">
      <c r="A64" s="209">
        <v>44136</v>
      </c>
      <c r="B64" t="s">
        <v>844</v>
      </c>
      <c r="C64" t="s">
        <v>960</v>
      </c>
      <c r="D64" t="s">
        <v>844</v>
      </c>
      <c r="E64" t="s">
        <v>961</v>
      </c>
      <c r="G64" t="str">
        <f>+MID(Fiyat_Endeksi__Üretici_Fiyatları___2003_100[[#This Row],[Yıllık Değişim_1]],1,2)</f>
        <v>23</v>
      </c>
      <c r="H64" t="str">
        <f>+MID(Fiyat_Endeksi__Üretici_Fiyatları___2003_100[[#This Row],[Yıllık Değişim_1]],4,2)</f>
        <v>11</v>
      </c>
      <c r="I64" t="str">
        <f t="shared" si="0"/>
        <v>23,11</v>
      </c>
      <c r="K64" t="str">
        <f>+MID(Fiyat_Endeksi__Üretici_Fiyatları___2003_100[[#This Row],[Aylık Değişim_2]],1,1)</f>
        <v>4</v>
      </c>
      <c r="L64" t="str">
        <f>+MID(Fiyat_Endeksi__Üretici_Fiyatları___2003_100[[#This Row],[Aylık Değişim_2]],3,2)</f>
        <v>08</v>
      </c>
      <c r="M64" s="214" t="str">
        <f t="shared" si="1"/>
        <v>4,08</v>
      </c>
    </row>
    <row r="65" spans="1:13" x14ac:dyDescent="0.3">
      <c r="A65" s="209">
        <v>44105</v>
      </c>
      <c r="B65" t="s">
        <v>844</v>
      </c>
      <c r="C65" t="s">
        <v>962</v>
      </c>
      <c r="D65" t="s">
        <v>844</v>
      </c>
      <c r="E65" t="s">
        <v>963</v>
      </c>
      <c r="G65" t="str">
        <f>+MID(Fiyat_Endeksi__Üretici_Fiyatları___2003_100[[#This Row],[Yıllık Değişim_1]],1,2)</f>
        <v>18</v>
      </c>
      <c r="H65" t="str">
        <f>+MID(Fiyat_Endeksi__Üretici_Fiyatları___2003_100[[#This Row],[Yıllık Değişim_1]],4,2)</f>
        <v>20</v>
      </c>
      <c r="I65" t="str">
        <f t="shared" si="0"/>
        <v>18,20</v>
      </c>
      <c r="K65" t="str">
        <f>+MID(Fiyat_Endeksi__Üretici_Fiyatları___2003_100[[#This Row],[Aylık Değişim_2]],1,1)</f>
        <v>3</v>
      </c>
      <c r="L65" t="str">
        <f>+MID(Fiyat_Endeksi__Üretici_Fiyatları___2003_100[[#This Row],[Aylık Değişim_2]],3,2)</f>
        <v>55</v>
      </c>
      <c r="M65" s="214" t="str">
        <f t="shared" si="1"/>
        <v>3,55</v>
      </c>
    </row>
    <row r="66" spans="1:13" x14ac:dyDescent="0.3">
      <c r="A66" s="209">
        <v>44075</v>
      </c>
      <c r="B66" t="s">
        <v>844</v>
      </c>
      <c r="C66" t="s">
        <v>964</v>
      </c>
      <c r="D66" t="s">
        <v>844</v>
      </c>
      <c r="E66" t="s">
        <v>965</v>
      </c>
      <c r="G66" t="str">
        <f>+MID(Fiyat_Endeksi__Üretici_Fiyatları___2003_100[[#This Row],[Yıllık Değişim_1]],1,2)</f>
        <v>14</v>
      </c>
      <c r="H66" t="str">
        <f>+MID(Fiyat_Endeksi__Üretici_Fiyatları___2003_100[[#This Row],[Yıllık Değişim_1]],4,2)</f>
        <v>33</v>
      </c>
      <c r="I66" t="str">
        <f t="shared" si="0"/>
        <v>14,33</v>
      </c>
      <c r="K66" t="str">
        <f>+MID(Fiyat_Endeksi__Üretici_Fiyatları___2003_100[[#This Row],[Aylık Değişim_2]],1,1)</f>
        <v>2</v>
      </c>
      <c r="L66" t="str">
        <f>+MID(Fiyat_Endeksi__Üretici_Fiyatları___2003_100[[#This Row],[Aylık Değişim_2]],3,2)</f>
        <v>65</v>
      </c>
      <c r="M66" s="214" t="str">
        <f t="shared" si="1"/>
        <v>2,65</v>
      </c>
    </row>
    <row r="67" spans="1:13" x14ac:dyDescent="0.3">
      <c r="A67" s="209">
        <v>44044</v>
      </c>
      <c r="B67" t="s">
        <v>844</v>
      </c>
      <c r="C67" t="s">
        <v>966</v>
      </c>
      <c r="D67" t="s">
        <v>844</v>
      </c>
      <c r="E67" t="s">
        <v>967</v>
      </c>
      <c r="G67" t="str">
        <f>+MID(Fiyat_Endeksi__Üretici_Fiyatları___2003_100[[#This Row],[Yıllık Değişim_1]],1,2)</f>
        <v>11</v>
      </c>
      <c r="H67" t="str">
        <f>+MID(Fiyat_Endeksi__Üretici_Fiyatları___2003_100[[#This Row],[Yıllık Değişim_1]],4,2)</f>
        <v>53</v>
      </c>
      <c r="I67" t="str">
        <f t="shared" si="0"/>
        <v>11,53</v>
      </c>
      <c r="K67" t="str">
        <f>+MID(Fiyat_Endeksi__Üretici_Fiyatları___2003_100[[#This Row],[Aylık Değişim_2]],1,1)</f>
        <v>2</v>
      </c>
      <c r="L67" t="str">
        <f>+MID(Fiyat_Endeksi__Üretici_Fiyatları___2003_100[[#This Row],[Aylık Değişim_2]],3,2)</f>
        <v>35</v>
      </c>
      <c r="M67" s="214" t="str">
        <f t="shared" si="1"/>
        <v>2,35</v>
      </c>
    </row>
    <row r="68" spans="1:13" x14ac:dyDescent="0.3">
      <c r="A68" s="209">
        <v>44013</v>
      </c>
      <c r="B68" t="s">
        <v>844</v>
      </c>
      <c r="C68" t="s">
        <v>968</v>
      </c>
      <c r="D68" t="s">
        <v>844</v>
      </c>
      <c r="E68" t="s">
        <v>969</v>
      </c>
      <c r="G68" t="str">
        <f>+MID(Fiyat_Endeksi__Üretici_Fiyatları___2003_100[[#This Row],[Yıllık Değişim_1]],1,2)</f>
        <v>8.</v>
      </c>
      <c r="H68" t="str">
        <f>+MID(Fiyat_Endeksi__Üretici_Fiyatları___2003_100[[#This Row],[Yıllık Değişim_1]],4,2)</f>
        <v>3</v>
      </c>
      <c r="I68" t="str">
        <f t="shared" ref="I68:I131" si="2">+CONCATENATE(G68,",",H68)</f>
        <v>8.,3</v>
      </c>
      <c r="K68" t="str">
        <f>+MID(Fiyat_Endeksi__Üretici_Fiyatları___2003_100[[#This Row],[Aylık Değişim_2]],1,1)</f>
        <v>1</v>
      </c>
      <c r="L68" t="str">
        <f>+MID(Fiyat_Endeksi__Üretici_Fiyatları___2003_100[[#This Row],[Aylık Değişim_2]],3,2)</f>
        <v>02</v>
      </c>
      <c r="M68" s="214" t="str">
        <f t="shared" ref="M68:M131" si="3">+CONCATENATE(K68,",",L68)</f>
        <v>1,02</v>
      </c>
    </row>
    <row r="69" spans="1:13" x14ac:dyDescent="0.3">
      <c r="A69" s="209">
        <v>43983</v>
      </c>
      <c r="B69" t="s">
        <v>844</v>
      </c>
      <c r="C69" t="s">
        <v>970</v>
      </c>
      <c r="D69" t="s">
        <v>844</v>
      </c>
      <c r="E69" t="s">
        <v>971</v>
      </c>
      <c r="G69" t="str">
        <f>+MID(Fiyat_Endeksi__Üretici_Fiyatları___2003_100[[#This Row],[Yıllık Değişim_1]],1,2)</f>
        <v>6.</v>
      </c>
      <c r="H69" t="str">
        <f>+MID(Fiyat_Endeksi__Üretici_Fiyatları___2003_100[[#This Row],[Yıllık Değişim_1]],4,2)</f>
        <v>7</v>
      </c>
      <c r="I69" t="str">
        <f t="shared" si="2"/>
        <v>6.,7</v>
      </c>
      <c r="K69" t="str">
        <f>+MID(Fiyat_Endeksi__Üretici_Fiyatları___2003_100[[#This Row],[Aylık Değişim_2]],1,1)</f>
        <v>0</v>
      </c>
      <c r="L69" t="str">
        <f>+MID(Fiyat_Endeksi__Üretici_Fiyatları___2003_100[[#This Row],[Aylık Değişim_2]],3,2)</f>
        <v>69</v>
      </c>
      <c r="M69" s="214" t="str">
        <f t="shared" si="3"/>
        <v>0,69</v>
      </c>
    </row>
    <row r="70" spans="1:13" x14ac:dyDescent="0.3">
      <c r="A70" s="209">
        <v>43952</v>
      </c>
      <c r="B70" t="s">
        <v>844</v>
      </c>
      <c r="C70" t="s">
        <v>972</v>
      </c>
      <c r="D70" t="s">
        <v>844</v>
      </c>
      <c r="E70" t="s">
        <v>973</v>
      </c>
      <c r="G70" t="str">
        <f>+MID(Fiyat_Endeksi__Üretici_Fiyatları___2003_100[[#This Row],[Yıllık Değişim_1]],1,2)</f>
        <v>5.</v>
      </c>
      <c r="H70" t="str">
        <f>+MID(Fiyat_Endeksi__Üretici_Fiyatları___2003_100[[#This Row],[Yıllık Değişim_1]],4,2)</f>
        <v>3</v>
      </c>
      <c r="I70" t="str">
        <f t="shared" si="2"/>
        <v>5.,3</v>
      </c>
      <c r="K70" t="str">
        <f>+MID(Fiyat_Endeksi__Üretici_Fiyatları___2003_100[[#This Row],[Aylık Değişim_2]],1,1)</f>
        <v>1</v>
      </c>
      <c r="L70" t="str">
        <f>+MID(Fiyat_Endeksi__Üretici_Fiyatları___2003_100[[#This Row],[Aylık Değişim_2]],3,2)</f>
        <v>54</v>
      </c>
      <c r="M70" s="214" t="str">
        <f t="shared" si="3"/>
        <v>1,54</v>
      </c>
    </row>
    <row r="71" spans="1:13" x14ac:dyDescent="0.3">
      <c r="A71" s="209">
        <v>43922</v>
      </c>
      <c r="B71" t="s">
        <v>844</v>
      </c>
      <c r="C71" t="s">
        <v>974</v>
      </c>
      <c r="D71" t="s">
        <v>844</v>
      </c>
      <c r="E71" t="s">
        <v>975</v>
      </c>
      <c r="G71" t="str">
        <f>+MID(Fiyat_Endeksi__Üretici_Fiyatları___2003_100[[#This Row],[Yıllık Değişim_1]],1,2)</f>
        <v>6.</v>
      </c>
      <c r="H71" t="str">
        <f>+MID(Fiyat_Endeksi__Üretici_Fiyatları___2003_100[[#This Row],[Yıllık Değişim_1]],4,2)</f>
        <v>1</v>
      </c>
      <c r="I71" t="str">
        <f t="shared" si="2"/>
        <v>6.,1</v>
      </c>
      <c r="K71" t="str">
        <f>+MID(Fiyat_Endeksi__Üretici_Fiyatları___2003_100[[#This Row],[Aylık Değişim_2]],1,1)</f>
        <v>1</v>
      </c>
      <c r="L71" t="str">
        <f>+MID(Fiyat_Endeksi__Üretici_Fiyatları___2003_100[[#This Row],[Aylık Değişim_2]],3,2)</f>
        <v>28</v>
      </c>
      <c r="M71" s="214" t="str">
        <f t="shared" si="3"/>
        <v>1,28</v>
      </c>
    </row>
    <row r="72" spans="1:13" x14ac:dyDescent="0.3">
      <c r="A72" s="209">
        <v>43891</v>
      </c>
      <c r="B72" t="s">
        <v>844</v>
      </c>
      <c r="C72" t="s">
        <v>976</v>
      </c>
      <c r="D72" t="s">
        <v>844</v>
      </c>
      <c r="E72" t="s">
        <v>977</v>
      </c>
      <c r="G72" t="str">
        <f>+MID(Fiyat_Endeksi__Üretici_Fiyatları___2003_100[[#This Row],[Yıllık Değişim_1]],1,2)</f>
        <v>8.</v>
      </c>
      <c r="H72" t="str">
        <f>+MID(Fiyat_Endeksi__Üretici_Fiyatları___2003_100[[#This Row],[Yıllık Değişim_1]],4,2)</f>
        <v>0</v>
      </c>
      <c r="I72" t="str">
        <f t="shared" si="2"/>
        <v>8.,0</v>
      </c>
      <c r="K72" t="str">
        <f>+MID(Fiyat_Endeksi__Üretici_Fiyatları___2003_100[[#This Row],[Aylık Değişim_2]],1,1)</f>
        <v>0</v>
      </c>
      <c r="L72" t="str">
        <f>+MID(Fiyat_Endeksi__Üretici_Fiyatları___2003_100[[#This Row],[Aylık Değişim_2]],3,2)</f>
        <v>87</v>
      </c>
      <c r="M72" s="214" t="str">
        <f t="shared" si="3"/>
        <v>0,87</v>
      </c>
    </row>
    <row r="73" spans="1:13" x14ac:dyDescent="0.3">
      <c r="A73" s="209">
        <v>43862</v>
      </c>
      <c r="B73" t="s">
        <v>844</v>
      </c>
      <c r="C73" t="s">
        <v>978</v>
      </c>
      <c r="D73" t="s">
        <v>844</v>
      </c>
      <c r="E73" t="s">
        <v>979</v>
      </c>
      <c r="G73" t="str">
        <f>+MID(Fiyat_Endeksi__Üretici_Fiyatları___2003_100[[#This Row],[Yıllık Değişim_1]],1,2)</f>
        <v>9.</v>
      </c>
      <c r="H73" t="str">
        <f>+MID(Fiyat_Endeksi__Üretici_Fiyatları___2003_100[[#This Row],[Yıllık Değişim_1]],4,2)</f>
        <v>6</v>
      </c>
      <c r="I73" t="str">
        <f t="shared" si="2"/>
        <v>9.,6</v>
      </c>
      <c r="K73" t="str">
        <f>+MID(Fiyat_Endeksi__Üretici_Fiyatları___2003_100[[#This Row],[Aylık Değişim_2]],1,1)</f>
        <v>0</v>
      </c>
      <c r="L73" t="str">
        <f>+MID(Fiyat_Endeksi__Üretici_Fiyatları___2003_100[[#This Row],[Aylık Değişim_2]],3,2)</f>
        <v>48</v>
      </c>
      <c r="M73" s="214" t="str">
        <f t="shared" si="3"/>
        <v>0,48</v>
      </c>
    </row>
    <row r="74" spans="1:13" x14ac:dyDescent="0.3">
      <c r="A74" s="209">
        <v>43831</v>
      </c>
      <c r="B74" t="s">
        <v>844</v>
      </c>
      <c r="C74" t="s">
        <v>980</v>
      </c>
      <c r="D74" t="s">
        <v>844</v>
      </c>
      <c r="E74" t="s">
        <v>981</v>
      </c>
      <c r="G74" t="str">
        <f>+MID(Fiyat_Endeksi__Üretici_Fiyatları___2003_100[[#This Row],[Yıllık Değişim_1]],1,2)</f>
        <v>8.</v>
      </c>
      <c r="H74" t="str">
        <f>+MID(Fiyat_Endeksi__Üretici_Fiyatları___2003_100[[#This Row],[Yıllık Değişim_1]],4,2)</f>
        <v>4</v>
      </c>
      <c r="I74" t="str">
        <f t="shared" si="2"/>
        <v>8.,4</v>
      </c>
      <c r="K74" t="str">
        <f>+MID(Fiyat_Endeksi__Üretici_Fiyatları___2003_100[[#This Row],[Aylık Değişim_2]],1,1)</f>
        <v>1</v>
      </c>
      <c r="L74" t="str">
        <f>+MID(Fiyat_Endeksi__Üretici_Fiyatları___2003_100[[#This Row],[Aylık Değişim_2]],3,2)</f>
        <v>84</v>
      </c>
      <c r="M74" s="214" t="str">
        <f t="shared" si="3"/>
        <v>1,84</v>
      </c>
    </row>
    <row r="75" spans="1:13" x14ac:dyDescent="0.3">
      <c r="A75" s="209">
        <v>43800</v>
      </c>
      <c r="B75" t="s">
        <v>844</v>
      </c>
      <c r="C75" t="s">
        <v>982</v>
      </c>
      <c r="D75" t="s">
        <v>844</v>
      </c>
      <c r="E75" t="s">
        <v>971</v>
      </c>
      <c r="G75" t="str">
        <f>+MID(Fiyat_Endeksi__Üretici_Fiyatları___2003_100[[#This Row],[Yıllık Değişim_1]],1,2)</f>
        <v>7.</v>
      </c>
      <c r="H75" t="str">
        <f>+MID(Fiyat_Endeksi__Üretici_Fiyatları___2003_100[[#This Row],[Yıllık Değişim_1]],4,2)</f>
        <v>6</v>
      </c>
      <c r="I75" t="str">
        <f t="shared" si="2"/>
        <v>7.,6</v>
      </c>
      <c r="K75" t="str">
        <f>+MID(Fiyat_Endeksi__Üretici_Fiyatları___2003_100[[#This Row],[Aylık Değişim_2]],1,1)</f>
        <v>0</v>
      </c>
      <c r="L75" t="str">
        <f>+MID(Fiyat_Endeksi__Üretici_Fiyatları___2003_100[[#This Row],[Aylık Değişim_2]],3,2)</f>
        <v>69</v>
      </c>
      <c r="M75" s="214" t="str">
        <f t="shared" si="3"/>
        <v>0,69</v>
      </c>
    </row>
    <row r="76" spans="1:13" x14ac:dyDescent="0.3">
      <c r="A76" s="209">
        <v>43770</v>
      </c>
      <c r="B76" t="s">
        <v>844</v>
      </c>
      <c r="C76" t="s">
        <v>983</v>
      </c>
      <c r="D76" t="s">
        <v>844</v>
      </c>
      <c r="E76" t="s">
        <v>984</v>
      </c>
      <c r="G76" t="str">
        <f>+MID(Fiyat_Endeksi__Üretici_Fiyatları___2003_100[[#This Row],[Yıllık Değişim_1]],1,2)</f>
        <v>4.</v>
      </c>
      <c r="H76" t="str">
        <f>+MID(Fiyat_Endeksi__Üretici_Fiyatları___2003_100[[#This Row],[Yıllık Değişim_1]],4,2)</f>
        <v>6</v>
      </c>
      <c r="I76" t="str">
        <f t="shared" si="2"/>
        <v>4.,6</v>
      </c>
      <c r="K76" t="str">
        <f>+MID(Fiyat_Endeksi__Üretici_Fiyatları___2003_100[[#This Row],[Aylık Değişim_2]],1,1)</f>
        <v>-</v>
      </c>
      <c r="L76" t="str">
        <f>+MID(Fiyat_Endeksi__Üretici_Fiyatları___2003_100[[#This Row],[Aylık Değişim_2]],3,2)</f>
        <v>.0</v>
      </c>
      <c r="M76" s="214" t="str">
        <f t="shared" si="3"/>
        <v>-,.0</v>
      </c>
    </row>
    <row r="77" spans="1:13" x14ac:dyDescent="0.3">
      <c r="A77" s="209">
        <v>43739</v>
      </c>
      <c r="B77" t="s">
        <v>844</v>
      </c>
      <c r="C77" t="s">
        <v>985</v>
      </c>
      <c r="D77" t="s">
        <v>844</v>
      </c>
      <c r="E77" t="s">
        <v>986</v>
      </c>
      <c r="G77" t="str">
        <f>+MID(Fiyat_Endeksi__Üretici_Fiyatları___2003_100[[#This Row],[Yıllık Değişim_1]],1,2)</f>
        <v>1.</v>
      </c>
      <c r="H77" t="str">
        <f>+MID(Fiyat_Endeksi__Üretici_Fiyatları___2003_100[[#This Row],[Yıllık Değişim_1]],4,2)</f>
        <v>0</v>
      </c>
      <c r="I77" t="str">
        <f t="shared" si="2"/>
        <v>1.,0</v>
      </c>
      <c r="K77" t="str">
        <f>+MID(Fiyat_Endeksi__Üretici_Fiyatları___2003_100[[#This Row],[Aylık Değişim_2]],1,1)</f>
        <v>0</v>
      </c>
      <c r="L77" t="str">
        <f>+MID(Fiyat_Endeksi__Üretici_Fiyatları___2003_100[[#This Row],[Aylık Değişim_2]],3,2)</f>
        <v>17</v>
      </c>
      <c r="M77" s="214" t="str">
        <f t="shared" si="3"/>
        <v>0,17</v>
      </c>
    </row>
    <row r="78" spans="1:13" x14ac:dyDescent="0.3">
      <c r="A78" s="209">
        <v>43709</v>
      </c>
      <c r="B78" t="s">
        <v>844</v>
      </c>
      <c r="C78" t="s">
        <v>987</v>
      </c>
      <c r="D78" t="s">
        <v>844</v>
      </c>
      <c r="E78" t="s">
        <v>988</v>
      </c>
      <c r="G78" t="str">
        <f>+MID(Fiyat_Endeksi__Üretici_Fiyatları___2003_100[[#This Row],[Yıllık Değişim_1]],1,2)</f>
        <v>2.</v>
      </c>
      <c r="H78" t="str">
        <f>+MID(Fiyat_Endeksi__Üretici_Fiyatları___2003_100[[#This Row],[Yıllık Değişim_1]],4,2)</f>
        <v>5</v>
      </c>
      <c r="I78" t="str">
        <f t="shared" si="2"/>
        <v>2.,5</v>
      </c>
      <c r="K78" t="str">
        <f>+MID(Fiyat_Endeksi__Üretici_Fiyatları___2003_100[[#This Row],[Aylık Değişim_2]],1,1)</f>
        <v>0</v>
      </c>
      <c r="L78" t="str">
        <f>+MID(Fiyat_Endeksi__Üretici_Fiyatları___2003_100[[#This Row],[Aylık Değişim_2]],3,2)</f>
        <v>13</v>
      </c>
      <c r="M78" s="214" t="str">
        <f t="shared" si="3"/>
        <v>0,13</v>
      </c>
    </row>
    <row r="79" spans="1:13" x14ac:dyDescent="0.3">
      <c r="A79" s="209">
        <v>43678</v>
      </c>
      <c r="B79" t="s">
        <v>844</v>
      </c>
      <c r="C79" t="s">
        <v>989</v>
      </c>
      <c r="D79" t="s">
        <v>844</v>
      </c>
      <c r="E79" t="s">
        <v>990</v>
      </c>
      <c r="G79" t="str">
        <f>+MID(Fiyat_Endeksi__Üretici_Fiyatları___2003_100[[#This Row],[Yıllık Değişim_1]],1,2)</f>
        <v>13</v>
      </c>
      <c r="H79" t="str">
        <f>+MID(Fiyat_Endeksi__Üretici_Fiyatları___2003_100[[#This Row],[Yıllık Değişim_1]],4,2)</f>
        <v>45</v>
      </c>
      <c r="I79" t="str">
        <f t="shared" si="2"/>
        <v>13,45</v>
      </c>
      <c r="K79" t="str">
        <f>+MID(Fiyat_Endeksi__Üretici_Fiyatları___2003_100[[#This Row],[Aylık Değişim_2]],1,1)</f>
        <v>-</v>
      </c>
      <c r="L79" t="str">
        <f>+MID(Fiyat_Endeksi__Üretici_Fiyatları___2003_100[[#This Row],[Aylık Değişim_2]],3,2)</f>
        <v>.5</v>
      </c>
      <c r="M79" s="214" t="str">
        <f t="shared" si="3"/>
        <v>-,.5</v>
      </c>
    </row>
    <row r="80" spans="1:13" x14ac:dyDescent="0.3">
      <c r="A80" s="209">
        <v>43647</v>
      </c>
      <c r="B80" t="s">
        <v>844</v>
      </c>
      <c r="C80" t="s">
        <v>991</v>
      </c>
      <c r="D80" t="s">
        <v>844</v>
      </c>
      <c r="E80" t="s">
        <v>992</v>
      </c>
      <c r="G80" t="str">
        <f>+MID(Fiyat_Endeksi__Üretici_Fiyatları___2003_100[[#This Row],[Yıllık Değişim_1]],1,2)</f>
        <v>21</v>
      </c>
      <c r="H80" t="str">
        <f>+MID(Fiyat_Endeksi__Üretici_Fiyatları___2003_100[[#This Row],[Yıllık Değişim_1]],4,2)</f>
        <v>66</v>
      </c>
      <c r="I80" t="str">
        <f t="shared" si="2"/>
        <v>21,66</v>
      </c>
      <c r="K80" t="str">
        <f>+MID(Fiyat_Endeksi__Üretici_Fiyatları___2003_100[[#This Row],[Aylık Değişim_2]],1,1)</f>
        <v>-</v>
      </c>
      <c r="L80" t="str">
        <f>+MID(Fiyat_Endeksi__Üretici_Fiyatları___2003_100[[#This Row],[Aylık Değişim_2]],3,2)</f>
        <v>.9</v>
      </c>
      <c r="M80" s="214" t="str">
        <f t="shared" si="3"/>
        <v>-,.9</v>
      </c>
    </row>
    <row r="81" spans="1:13" x14ac:dyDescent="0.3">
      <c r="A81" s="209">
        <v>43617</v>
      </c>
      <c r="B81" t="s">
        <v>844</v>
      </c>
      <c r="C81" t="s">
        <v>993</v>
      </c>
      <c r="D81" t="s">
        <v>844</v>
      </c>
      <c r="E81" t="s">
        <v>994</v>
      </c>
      <c r="G81" t="str">
        <f>+MID(Fiyat_Endeksi__Üretici_Fiyatları___2003_100[[#This Row],[Yıllık Değişim_1]],1,2)</f>
        <v>25</v>
      </c>
      <c r="H81" t="str">
        <f>+MID(Fiyat_Endeksi__Üretici_Fiyatları___2003_100[[#This Row],[Yıllık Değişim_1]],4,2)</f>
        <v>04</v>
      </c>
      <c r="I81" t="str">
        <f t="shared" si="2"/>
        <v>25,04</v>
      </c>
      <c r="K81" t="str">
        <f>+MID(Fiyat_Endeksi__Üretici_Fiyatları___2003_100[[#This Row],[Aylık Değişim_2]],1,1)</f>
        <v>0</v>
      </c>
      <c r="L81" t="str">
        <f>+MID(Fiyat_Endeksi__Üretici_Fiyatları___2003_100[[#This Row],[Aylık Değişim_2]],3,2)</f>
        <v>09</v>
      </c>
      <c r="M81" s="214" t="str">
        <f t="shared" si="3"/>
        <v>0,09</v>
      </c>
    </row>
    <row r="82" spans="1:13" x14ac:dyDescent="0.3">
      <c r="A82" s="209">
        <v>43586</v>
      </c>
      <c r="B82" t="s">
        <v>844</v>
      </c>
      <c r="C82" t="s">
        <v>995</v>
      </c>
      <c r="D82" t="s">
        <v>844</v>
      </c>
      <c r="E82" t="s">
        <v>996</v>
      </c>
      <c r="G82" t="str">
        <f>+MID(Fiyat_Endeksi__Üretici_Fiyatları___2003_100[[#This Row],[Yıllık Değişim_1]],1,2)</f>
        <v>28</v>
      </c>
      <c r="H82" t="str">
        <f>+MID(Fiyat_Endeksi__Üretici_Fiyatları___2003_100[[#This Row],[Yıllık Değişim_1]],4,2)</f>
        <v>71</v>
      </c>
      <c r="I82" t="str">
        <f t="shared" si="2"/>
        <v>28,71</v>
      </c>
      <c r="K82" t="str">
        <f>+MID(Fiyat_Endeksi__Üretici_Fiyatları___2003_100[[#This Row],[Aylık Değişim_2]],1,1)</f>
        <v>2</v>
      </c>
      <c r="L82" t="str">
        <f>+MID(Fiyat_Endeksi__Üretici_Fiyatları___2003_100[[#This Row],[Aylık Değişim_2]],3,2)</f>
        <v>67</v>
      </c>
      <c r="M82" s="214" t="str">
        <f t="shared" si="3"/>
        <v>2,67</v>
      </c>
    </row>
    <row r="83" spans="1:13" x14ac:dyDescent="0.3">
      <c r="A83" s="209">
        <v>43556</v>
      </c>
      <c r="B83" t="s">
        <v>844</v>
      </c>
      <c r="C83" t="s">
        <v>997</v>
      </c>
      <c r="D83" t="s">
        <v>844</v>
      </c>
      <c r="E83" t="s">
        <v>998</v>
      </c>
      <c r="G83" t="str">
        <f>+MID(Fiyat_Endeksi__Üretici_Fiyatları___2003_100[[#This Row],[Yıllık Değişim_1]],1,2)</f>
        <v>30</v>
      </c>
      <c r="H83" t="str">
        <f>+MID(Fiyat_Endeksi__Üretici_Fiyatları___2003_100[[#This Row],[Yıllık Değişim_1]],4,2)</f>
        <v>12</v>
      </c>
      <c r="I83" t="str">
        <f t="shared" si="2"/>
        <v>30,12</v>
      </c>
      <c r="K83" t="str">
        <f>+MID(Fiyat_Endeksi__Üretici_Fiyatları___2003_100[[#This Row],[Aylık Değişim_2]],1,1)</f>
        <v>2</v>
      </c>
      <c r="L83" t="str">
        <f>+MID(Fiyat_Endeksi__Üretici_Fiyatları___2003_100[[#This Row],[Aylık Değişim_2]],3,2)</f>
        <v>98</v>
      </c>
      <c r="M83" s="214" t="str">
        <f t="shared" si="3"/>
        <v>2,98</v>
      </c>
    </row>
    <row r="84" spans="1:13" x14ac:dyDescent="0.3">
      <c r="A84" s="209">
        <v>43525</v>
      </c>
      <c r="B84" t="s">
        <v>844</v>
      </c>
      <c r="C84" t="s">
        <v>999</v>
      </c>
      <c r="D84" t="s">
        <v>844</v>
      </c>
      <c r="E84" t="s">
        <v>1000</v>
      </c>
      <c r="G84" t="str">
        <f>+MID(Fiyat_Endeksi__Üretici_Fiyatları___2003_100[[#This Row],[Yıllık Değişim_1]],1,2)</f>
        <v>29</v>
      </c>
      <c r="H84" t="str">
        <f>+MID(Fiyat_Endeksi__Üretici_Fiyatları___2003_100[[#This Row],[Yıllık Değişim_1]],4,2)</f>
        <v>64</v>
      </c>
      <c r="I84" t="str">
        <f t="shared" si="2"/>
        <v>29,64</v>
      </c>
      <c r="K84" t="str">
        <f>+MID(Fiyat_Endeksi__Üretici_Fiyatları___2003_100[[#This Row],[Aylık Değişim_2]],1,1)</f>
        <v>1</v>
      </c>
      <c r="L84" t="str">
        <f>+MID(Fiyat_Endeksi__Üretici_Fiyatları___2003_100[[#This Row],[Aylık Değişim_2]],3,2)</f>
        <v>58</v>
      </c>
      <c r="M84" s="214" t="str">
        <f t="shared" si="3"/>
        <v>1,58</v>
      </c>
    </row>
    <row r="85" spans="1:13" x14ac:dyDescent="0.3">
      <c r="A85" s="209">
        <v>43497</v>
      </c>
      <c r="B85" t="s">
        <v>844</v>
      </c>
      <c r="C85" t="s">
        <v>1001</v>
      </c>
      <c r="D85" t="s">
        <v>844</v>
      </c>
      <c r="E85" t="s">
        <v>994</v>
      </c>
      <c r="G85" t="str">
        <f>+MID(Fiyat_Endeksi__Üretici_Fiyatları___2003_100[[#This Row],[Yıllık Değişim_1]],1,2)</f>
        <v>29</v>
      </c>
      <c r="H85" t="str">
        <f>+MID(Fiyat_Endeksi__Üretici_Fiyatları___2003_100[[#This Row],[Yıllık Değişim_1]],4,2)</f>
        <v>59</v>
      </c>
      <c r="I85" t="str">
        <f t="shared" si="2"/>
        <v>29,59</v>
      </c>
      <c r="K85" t="str">
        <f>+MID(Fiyat_Endeksi__Üretici_Fiyatları___2003_100[[#This Row],[Aylık Değişim_2]],1,1)</f>
        <v>0</v>
      </c>
      <c r="L85" t="str">
        <f>+MID(Fiyat_Endeksi__Üretici_Fiyatları___2003_100[[#This Row],[Aylık Değişim_2]],3,2)</f>
        <v>09</v>
      </c>
      <c r="M85" s="214" t="str">
        <f t="shared" si="3"/>
        <v>0,09</v>
      </c>
    </row>
    <row r="86" spans="1:13" x14ac:dyDescent="0.3">
      <c r="A86" s="209">
        <v>43466</v>
      </c>
      <c r="B86" t="s">
        <v>844</v>
      </c>
      <c r="C86" t="s">
        <v>1002</v>
      </c>
      <c r="D86" t="s">
        <v>844</v>
      </c>
      <c r="E86" t="s">
        <v>1003</v>
      </c>
      <c r="G86" t="str">
        <f>+MID(Fiyat_Endeksi__Üretici_Fiyatları___2003_100[[#This Row],[Yıllık Değişim_1]],1,2)</f>
        <v>32</v>
      </c>
      <c r="H86" t="str">
        <f>+MID(Fiyat_Endeksi__Üretici_Fiyatları___2003_100[[#This Row],[Yıllık Değişim_1]],4,2)</f>
        <v>93</v>
      </c>
      <c r="I86" t="str">
        <f t="shared" si="2"/>
        <v>32,93</v>
      </c>
      <c r="K86" t="str">
        <f>+MID(Fiyat_Endeksi__Üretici_Fiyatları___2003_100[[#This Row],[Aylık Değişim_2]],1,1)</f>
        <v>0</v>
      </c>
      <c r="L86" t="str">
        <f>+MID(Fiyat_Endeksi__Üretici_Fiyatları___2003_100[[#This Row],[Aylık Değişim_2]],3,2)</f>
        <v>45</v>
      </c>
      <c r="M86" s="214" t="str">
        <f t="shared" si="3"/>
        <v>0,45</v>
      </c>
    </row>
    <row r="87" spans="1:13" x14ac:dyDescent="0.3">
      <c r="A87" s="209">
        <v>43435</v>
      </c>
      <c r="B87" t="s">
        <v>844</v>
      </c>
      <c r="C87" t="s">
        <v>1004</v>
      </c>
      <c r="D87" t="s">
        <v>844</v>
      </c>
      <c r="E87" t="s">
        <v>1005</v>
      </c>
      <c r="G87" t="str">
        <f>+MID(Fiyat_Endeksi__Üretici_Fiyatları___2003_100[[#This Row],[Yıllık Değişim_1]],1,2)</f>
        <v>33</v>
      </c>
      <c r="H87" t="str">
        <f>+MID(Fiyat_Endeksi__Üretici_Fiyatları___2003_100[[#This Row],[Yıllık Değişim_1]],4,2)</f>
        <v>64</v>
      </c>
      <c r="I87" t="str">
        <f t="shared" si="2"/>
        <v>33,64</v>
      </c>
      <c r="K87" t="str">
        <f>+MID(Fiyat_Endeksi__Üretici_Fiyatları___2003_100[[#This Row],[Aylık Değişim_2]],1,1)</f>
        <v>-</v>
      </c>
      <c r="L87" t="str">
        <f>+MID(Fiyat_Endeksi__Üretici_Fiyatları___2003_100[[#This Row],[Aylık Değişim_2]],3,2)</f>
        <v>.2</v>
      </c>
      <c r="M87" s="214" t="str">
        <f t="shared" si="3"/>
        <v>-,.2</v>
      </c>
    </row>
    <row r="88" spans="1:13" x14ac:dyDescent="0.3">
      <c r="A88" s="209">
        <v>43405</v>
      </c>
      <c r="B88" t="s">
        <v>844</v>
      </c>
      <c r="C88" t="s">
        <v>1006</v>
      </c>
      <c r="D88" t="s">
        <v>844</v>
      </c>
      <c r="E88" t="s">
        <v>1007</v>
      </c>
      <c r="G88" t="str">
        <f>+MID(Fiyat_Endeksi__Üretici_Fiyatları___2003_100[[#This Row],[Yıllık Değişim_1]],1,2)</f>
        <v>38</v>
      </c>
      <c r="H88" t="str">
        <f>+MID(Fiyat_Endeksi__Üretici_Fiyatları___2003_100[[#This Row],[Yıllık Değişim_1]],4,2)</f>
        <v>54</v>
      </c>
      <c r="I88" t="str">
        <f t="shared" si="2"/>
        <v>38,54</v>
      </c>
      <c r="K88" t="str">
        <f>+MID(Fiyat_Endeksi__Üretici_Fiyatları___2003_100[[#This Row],[Aylık Değişim_2]],1,1)</f>
        <v>-</v>
      </c>
      <c r="L88" t="str">
        <f>+MID(Fiyat_Endeksi__Üretici_Fiyatları___2003_100[[#This Row],[Aylık Değişim_2]],3,2)</f>
        <v>.5</v>
      </c>
      <c r="M88" s="214" t="str">
        <f t="shared" si="3"/>
        <v>-,.5</v>
      </c>
    </row>
    <row r="89" spans="1:13" x14ac:dyDescent="0.3">
      <c r="A89" s="209">
        <v>43374</v>
      </c>
      <c r="B89" t="s">
        <v>844</v>
      </c>
      <c r="C89" t="s">
        <v>1008</v>
      </c>
      <c r="D89" t="s">
        <v>844</v>
      </c>
      <c r="E89" t="s">
        <v>1009</v>
      </c>
      <c r="G89" t="str">
        <f>+MID(Fiyat_Endeksi__Üretici_Fiyatları___2003_100[[#This Row],[Yıllık Değişim_1]],1,2)</f>
        <v>45</v>
      </c>
      <c r="H89" t="str">
        <f>+MID(Fiyat_Endeksi__Üretici_Fiyatları___2003_100[[#This Row],[Yıllık Değişim_1]],4,2)</f>
        <v>01</v>
      </c>
      <c r="I89" t="str">
        <f t="shared" si="2"/>
        <v>45,01</v>
      </c>
      <c r="K89" t="str">
        <f>+MID(Fiyat_Endeksi__Üretici_Fiyatları___2003_100[[#This Row],[Aylık Değişim_2]],1,1)</f>
        <v>0</v>
      </c>
      <c r="L89" t="str">
        <f>+MID(Fiyat_Endeksi__Üretici_Fiyatları___2003_100[[#This Row],[Aylık Değişim_2]],3,2)</f>
        <v>91</v>
      </c>
      <c r="M89" s="214" t="str">
        <f t="shared" si="3"/>
        <v>0,91</v>
      </c>
    </row>
    <row r="90" spans="1:13" x14ac:dyDescent="0.3">
      <c r="A90" s="209">
        <v>43344</v>
      </c>
      <c r="B90" t="s">
        <v>844</v>
      </c>
      <c r="C90" t="s">
        <v>1010</v>
      </c>
      <c r="D90" t="s">
        <v>844</v>
      </c>
      <c r="E90" t="s">
        <v>1011</v>
      </c>
      <c r="G90" t="str">
        <f>+MID(Fiyat_Endeksi__Üretici_Fiyatları___2003_100[[#This Row],[Yıllık Değişim_1]],1,2)</f>
        <v>46</v>
      </c>
      <c r="H90" t="str">
        <f>+MID(Fiyat_Endeksi__Üretici_Fiyatları___2003_100[[#This Row],[Yıllık Değişim_1]],4,2)</f>
        <v>15</v>
      </c>
      <c r="I90" t="str">
        <f t="shared" si="2"/>
        <v>46,15</v>
      </c>
      <c r="K90" t="str">
        <f>+MID(Fiyat_Endeksi__Üretici_Fiyatları___2003_100[[#This Row],[Aylık Değişim_2]],1,1)</f>
        <v>1</v>
      </c>
      <c r="L90" t="str">
        <f>+MID(Fiyat_Endeksi__Üretici_Fiyatları___2003_100[[#This Row],[Aylık Değişim_2]],3,2)</f>
        <v>.8</v>
      </c>
      <c r="M90" s="214" t="str">
        <f t="shared" si="3"/>
        <v>1,.8</v>
      </c>
    </row>
    <row r="91" spans="1:13" x14ac:dyDescent="0.3">
      <c r="A91" s="209">
        <v>43313</v>
      </c>
      <c r="B91" t="s">
        <v>844</v>
      </c>
      <c r="C91" t="s">
        <v>1012</v>
      </c>
      <c r="D91" t="s">
        <v>844</v>
      </c>
      <c r="E91" t="s">
        <v>1013</v>
      </c>
      <c r="G91" t="str">
        <f>+MID(Fiyat_Endeksi__Üretici_Fiyatları___2003_100[[#This Row],[Yıllık Değişim_1]],1,2)</f>
        <v>32</v>
      </c>
      <c r="H91" t="str">
        <f>+MID(Fiyat_Endeksi__Üretici_Fiyatları___2003_100[[#This Row],[Yıllık Değişim_1]],4,2)</f>
        <v>13</v>
      </c>
      <c r="I91" t="str">
        <f t="shared" si="2"/>
        <v>32,13</v>
      </c>
      <c r="K91" t="str">
        <f>+MID(Fiyat_Endeksi__Üretici_Fiyatları___2003_100[[#This Row],[Aylık Değişim_2]],1,1)</f>
        <v>6</v>
      </c>
      <c r="L91" t="str">
        <f>+MID(Fiyat_Endeksi__Üretici_Fiyatları___2003_100[[#This Row],[Aylık Değişim_2]],3,2)</f>
        <v>60</v>
      </c>
      <c r="M91" s="214" t="str">
        <f t="shared" si="3"/>
        <v>6,60</v>
      </c>
    </row>
    <row r="92" spans="1:13" x14ac:dyDescent="0.3">
      <c r="A92" s="209">
        <v>43282</v>
      </c>
      <c r="B92" t="s">
        <v>844</v>
      </c>
      <c r="C92" t="s">
        <v>1014</v>
      </c>
      <c r="D92" t="s">
        <v>844</v>
      </c>
      <c r="E92" t="s">
        <v>1015</v>
      </c>
      <c r="G92" t="str">
        <f>+MID(Fiyat_Endeksi__Üretici_Fiyatları___2003_100[[#This Row],[Yıllık Değişim_1]],1,2)</f>
        <v>25</v>
      </c>
      <c r="H92" t="str">
        <f>+MID(Fiyat_Endeksi__Üretici_Fiyatları___2003_100[[#This Row],[Yıllık Değişim_1]],4,2)</f>
        <v>00</v>
      </c>
      <c r="I92" t="str">
        <f t="shared" si="2"/>
        <v>25,00</v>
      </c>
      <c r="K92" t="str">
        <f>+MID(Fiyat_Endeksi__Üretici_Fiyatları___2003_100[[#This Row],[Aylık Değişim_2]],1,1)</f>
        <v>1</v>
      </c>
      <c r="L92" t="str">
        <f>+MID(Fiyat_Endeksi__Üretici_Fiyatları___2003_100[[#This Row],[Aylık Değişim_2]],3,2)</f>
        <v>77</v>
      </c>
      <c r="M92" s="214" t="str">
        <f t="shared" si="3"/>
        <v>1,77</v>
      </c>
    </row>
    <row r="93" spans="1:13" x14ac:dyDescent="0.3">
      <c r="A93" s="209">
        <v>43252</v>
      </c>
      <c r="B93" t="s">
        <v>844</v>
      </c>
      <c r="C93" t="s">
        <v>1016</v>
      </c>
      <c r="D93" t="s">
        <v>844</v>
      </c>
      <c r="E93" t="s">
        <v>1017</v>
      </c>
      <c r="G93" t="str">
        <f>+MID(Fiyat_Endeksi__Üretici_Fiyatları___2003_100[[#This Row],[Yıllık Değişim_1]],1,2)</f>
        <v>23</v>
      </c>
      <c r="H93" t="str">
        <f>+MID(Fiyat_Endeksi__Üretici_Fiyatları___2003_100[[#This Row],[Yıllık Değişim_1]],4,2)</f>
        <v>71</v>
      </c>
      <c r="I93" t="str">
        <f t="shared" si="2"/>
        <v>23,71</v>
      </c>
      <c r="K93" t="str">
        <f>+MID(Fiyat_Endeksi__Üretici_Fiyatları___2003_100[[#This Row],[Aylık Değişim_2]],1,1)</f>
        <v>3</v>
      </c>
      <c r="L93" t="str">
        <f>+MID(Fiyat_Endeksi__Üretici_Fiyatları___2003_100[[#This Row],[Aylık Değişim_2]],3,2)</f>
        <v>03</v>
      </c>
      <c r="M93" s="214" t="str">
        <f t="shared" si="3"/>
        <v>3,03</v>
      </c>
    </row>
    <row r="94" spans="1:13" x14ac:dyDescent="0.3">
      <c r="A94" s="209">
        <v>43221</v>
      </c>
      <c r="B94" t="s">
        <v>844</v>
      </c>
      <c r="C94" t="s">
        <v>1018</v>
      </c>
      <c r="D94" t="s">
        <v>844</v>
      </c>
      <c r="E94" t="s">
        <v>1019</v>
      </c>
      <c r="G94" t="str">
        <f>+MID(Fiyat_Endeksi__Üretici_Fiyatları___2003_100[[#This Row],[Yıllık Değişim_1]],1,2)</f>
        <v>20</v>
      </c>
      <c r="H94" t="str">
        <f>+MID(Fiyat_Endeksi__Üretici_Fiyatları___2003_100[[#This Row],[Yıllık Değişim_1]],4,2)</f>
        <v>16</v>
      </c>
      <c r="I94" t="str">
        <f t="shared" si="2"/>
        <v>20,16</v>
      </c>
      <c r="K94" t="str">
        <f>+MID(Fiyat_Endeksi__Üretici_Fiyatları___2003_100[[#This Row],[Aylık Değişim_2]],1,1)</f>
        <v>3</v>
      </c>
      <c r="L94" t="str">
        <f>+MID(Fiyat_Endeksi__Üretici_Fiyatları___2003_100[[#This Row],[Aylık Değişim_2]],3,2)</f>
        <v>79</v>
      </c>
      <c r="M94" s="214" t="str">
        <f t="shared" si="3"/>
        <v>3,79</v>
      </c>
    </row>
    <row r="95" spans="1:13" x14ac:dyDescent="0.3">
      <c r="A95" s="209">
        <v>43191</v>
      </c>
      <c r="B95" t="s">
        <v>844</v>
      </c>
      <c r="C95" t="s">
        <v>1020</v>
      </c>
      <c r="D95" t="s">
        <v>844</v>
      </c>
      <c r="E95" t="s">
        <v>1021</v>
      </c>
      <c r="G95" t="str">
        <f>+MID(Fiyat_Endeksi__Üretici_Fiyatları___2003_100[[#This Row],[Yıllık Değişim_1]],1,2)</f>
        <v>16</v>
      </c>
      <c r="H95" t="str">
        <f>+MID(Fiyat_Endeksi__Üretici_Fiyatları___2003_100[[#This Row],[Yıllık Değişim_1]],4,2)</f>
        <v>37</v>
      </c>
      <c r="I95" t="str">
        <f t="shared" si="2"/>
        <v>16,37</v>
      </c>
      <c r="K95" t="str">
        <f>+MID(Fiyat_Endeksi__Üretici_Fiyatları___2003_100[[#This Row],[Aylık Değişim_2]],1,1)</f>
        <v>2</v>
      </c>
      <c r="L95" t="str">
        <f>+MID(Fiyat_Endeksi__Üretici_Fiyatları___2003_100[[#This Row],[Aylık Değişim_2]],3,2)</f>
        <v>60</v>
      </c>
      <c r="M95" s="214" t="str">
        <f t="shared" si="3"/>
        <v>2,60</v>
      </c>
    </row>
    <row r="96" spans="1:13" x14ac:dyDescent="0.3">
      <c r="A96" s="209">
        <v>43160</v>
      </c>
      <c r="B96" t="s">
        <v>844</v>
      </c>
      <c r="C96" t="s">
        <v>1022</v>
      </c>
      <c r="D96" t="s">
        <v>844</v>
      </c>
      <c r="E96" t="s">
        <v>973</v>
      </c>
      <c r="G96" t="str">
        <f>+MID(Fiyat_Endeksi__Üretici_Fiyatları___2003_100[[#This Row],[Yıllık Değişim_1]],1,2)</f>
        <v>14</v>
      </c>
      <c r="H96" t="str">
        <f>+MID(Fiyat_Endeksi__Üretici_Fiyatları___2003_100[[#This Row],[Yıllık Değişim_1]],4,2)</f>
        <v>28</v>
      </c>
      <c r="I96" t="str">
        <f t="shared" si="2"/>
        <v>14,28</v>
      </c>
      <c r="K96" t="str">
        <f>+MID(Fiyat_Endeksi__Üretici_Fiyatları___2003_100[[#This Row],[Aylık Değişim_2]],1,1)</f>
        <v>1</v>
      </c>
      <c r="L96" t="str">
        <f>+MID(Fiyat_Endeksi__Üretici_Fiyatları___2003_100[[#This Row],[Aylık Değişim_2]],3,2)</f>
        <v>54</v>
      </c>
      <c r="M96" s="214" t="str">
        <f t="shared" si="3"/>
        <v>1,54</v>
      </c>
    </row>
    <row r="97" spans="1:13" x14ac:dyDescent="0.3">
      <c r="A97" s="209">
        <v>43132</v>
      </c>
      <c r="B97" t="s">
        <v>844</v>
      </c>
      <c r="C97" t="s">
        <v>1023</v>
      </c>
      <c r="D97" t="s">
        <v>844</v>
      </c>
      <c r="E97" t="s">
        <v>1024</v>
      </c>
      <c r="G97" t="str">
        <f>+MID(Fiyat_Endeksi__Üretici_Fiyatları___2003_100[[#This Row],[Yıllık Değişim_1]],1,2)</f>
        <v>13</v>
      </c>
      <c r="H97" t="str">
        <f>+MID(Fiyat_Endeksi__Üretici_Fiyatları___2003_100[[#This Row],[Yıllık Değişim_1]],4,2)</f>
        <v>71</v>
      </c>
      <c r="I97" t="str">
        <f t="shared" si="2"/>
        <v>13,71</v>
      </c>
      <c r="K97" t="str">
        <f>+MID(Fiyat_Endeksi__Üretici_Fiyatları___2003_100[[#This Row],[Aylık Değişim_2]],1,1)</f>
        <v>2</v>
      </c>
      <c r="L97" t="str">
        <f>+MID(Fiyat_Endeksi__Üretici_Fiyatları___2003_100[[#This Row],[Aylık Değişim_2]],3,2)</f>
        <v>68</v>
      </c>
      <c r="M97" s="214" t="str">
        <f t="shared" si="3"/>
        <v>2,68</v>
      </c>
    </row>
    <row r="98" spans="1:13" x14ac:dyDescent="0.3">
      <c r="A98" s="209">
        <v>43101</v>
      </c>
      <c r="B98" t="s">
        <v>844</v>
      </c>
      <c r="C98" t="s">
        <v>1025</v>
      </c>
      <c r="D98" t="s">
        <v>844</v>
      </c>
      <c r="E98" t="s">
        <v>1026</v>
      </c>
      <c r="G98" t="str">
        <f>+MID(Fiyat_Endeksi__Üretici_Fiyatları___2003_100[[#This Row],[Yıllık Değişim_1]],1,2)</f>
        <v>12</v>
      </c>
      <c r="H98" t="str">
        <f>+MID(Fiyat_Endeksi__Üretici_Fiyatları___2003_100[[#This Row],[Yıllık Değişim_1]],4,2)</f>
        <v>14</v>
      </c>
      <c r="I98" t="str">
        <f t="shared" si="2"/>
        <v>12,14</v>
      </c>
      <c r="K98" t="str">
        <f>+MID(Fiyat_Endeksi__Üretici_Fiyatları___2003_100[[#This Row],[Aylık Değişim_2]],1,1)</f>
        <v>0</v>
      </c>
      <c r="L98" t="str">
        <f>+MID(Fiyat_Endeksi__Üretici_Fiyatları___2003_100[[#This Row],[Aylık Değişim_2]],3,2)</f>
        <v>99</v>
      </c>
      <c r="M98" s="214" t="str">
        <f t="shared" si="3"/>
        <v>0,99</v>
      </c>
    </row>
    <row r="99" spans="1:13" x14ac:dyDescent="0.3">
      <c r="A99" s="209">
        <v>43070</v>
      </c>
      <c r="B99" t="s">
        <v>844</v>
      </c>
      <c r="C99" t="s">
        <v>1027</v>
      </c>
      <c r="D99" t="s">
        <v>844</v>
      </c>
      <c r="E99" t="s">
        <v>871</v>
      </c>
      <c r="G99" t="str">
        <f>+MID(Fiyat_Endeksi__Üretici_Fiyatları___2003_100[[#This Row],[Yıllık Değişim_1]],1,2)</f>
        <v>15</v>
      </c>
      <c r="H99" t="str">
        <f>+MID(Fiyat_Endeksi__Üretici_Fiyatları___2003_100[[#This Row],[Yıllık Değişim_1]],4,2)</f>
        <v>47</v>
      </c>
      <c r="I99" t="str">
        <f t="shared" si="2"/>
        <v>15,47</v>
      </c>
      <c r="K99" t="str">
        <f>+MID(Fiyat_Endeksi__Üretici_Fiyatları___2003_100[[#This Row],[Aylık Değişim_2]],1,1)</f>
        <v>1</v>
      </c>
      <c r="L99" t="str">
        <f>+MID(Fiyat_Endeksi__Üretici_Fiyatları___2003_100[[#This Row],[Aylık Değişim_2]],3,2)</f>
        <v>37</v>
      </c>
      <c r="M99" s="214" t="str">
        <f t="shared" si="3"/>
        <v>1,37</v>
      </c>
    </row>
    <row r="100" spans="1:13" x14ac:dyDescent="0.3">
      <c r="A100" s="209">
        <v>43040</v>
      </c>
      <c r="B100" t="s">
        <v>844</v>
      </c>
      <c r="C100" t="s">
        <v>1028</v>
      </c>
      <c r="D100" t="s">
        <v>844</v>
      </c>
      <c r="E100" t="s">
        <v>1029</v>
      </c>
      <c r="G100" t="str">
        <f>+MID(Fiyat_Endeksi__Üretici_Fiyatları___2003_100[[#This Row],[Yıllık Değişim_1]],1,2)</f>
        <v>17</v>
      </c>
      <c r="H100" t="str">
        <f>+MID(Fiyat_Endeksi__Üretici_Fiyatları___2003_100[[#This Row],[Yıllık Değişim_1]],4,2)</f>
        <v>30</v>
      </c>
      <c r="I100" t="str">
        <f t="shared" si="2"/>
        <v>17,30</v>
      </c>
      <c r="K100" t="str">
        <f>+MID(Fiyat_Endeksi__Üretici_Fiyatları___2003_100[[#This Row],[Aylık Değişim_2]],1,1)</f>
        <v>2</v>
      </c>
      <c r="L100" t="str">
        <f>+MID(Fiyat_Endeksi__Üretici_Fiyatları___2003_100[[#This Row],[Aylık Değişim_2]],3,2)</f>
        <v>02</v>
      </c>
      <c r="M100" s="214" t="str">
        <f t="shared" si="3"/>
        <v>2,02</v>
      </c>
    </row>
    <row r="101" spans="1:13" x14ac:dyDescent="0.3">
      <c r="A101" s="209">
        <v>43009</v>
      </c>
      <c r="B101" t="s">
        <v>844</v>
      </c>
      <c r="C101" t="s">
        <v>1030</v>
      </c>
      <c r="D101" t="s">
        <v>844</v>
      </c>
      <c r="E101" t="s">
        <v>1031</v>
      </c>
      <c r="G101" t="str">
        <f>+MID(Fiyat_Endeksi__Üretici_Fiyatları___2003_100[[#This Row],[Yıllık Değişim_1]],1,2)</f>
        <v>17</v>
      </c>
      <c r="H101" t="str">
        <f>+MID(Fiyat_Endeksi__Üretici_Fiyatları___2003_100[[#This Row],[Yıllık Değişim_1]],4,2)</f>
        <v>28</v>
      </c>
      <c r="I101" t="str">
        <f t="shared" si="2"/>
        <v>17,28</v>
      </c>
      <c r="K101" t="str">
        <f>+MID(Fiyat_Endeksi__Üretici_Fiyatları___2003_100[[#This Row],[Aylık Değişim_2]],1,1)</f>
        <v>1</v>
      </c>
      <c r="L101" t="str">
        <f>+MID(Fiyat_Endeksi__Üretici_Fiyatları___2003_100[[#This Row],[Aylık Değişim_2]],3,2)</f>
        <v>71</v>
      </c>
      <c r="M101" s="214" t="str">
        <f t="shared" si="3"/>
        <v>1,71</v>
      </c>
    </row>
    <row r="102" spans="1:13" x14ac:dyDescent="0.3">
      <c r="A102" s="209">
        <v>42979</v>
      </c>
      <c r="B102" t="s">
        <v>844</v>
      </c>
      <c r="C102" t="s">
        <v>1032</v>
      </c>
      <c r="D102" t="s">
        <v>844</v>
      </c>
      <c r="E102" t="s">
        <v>1033</v>
      </c>
      <c r="G102" t="str">
        <f>+MID(Fiyat_Endeksi__Üretici_Fiyatları___2003_100[[#This Row],[Yıllık Değişim_1]],1,2)</f>
        <v>16</v>
      </c>
      <c r="H102" t="str">
        <f>+MID(Fiyat_Endeksi__Üretici_Fiyatları___2003_100[[#This Row],[Yıllık Değişim_1]],4,2)</f>
        <v>28</v>
      </c>
      <c r="I102" t="str">
        <f t="shared" si="2"/>
        <v>16,28</v>
      </c>
      <c r="K102" t="str">
        <f>+MID(Fiyat_Endeksi__Üretici_Fiyatları___2003_100[[#This Row],[Aylık Değişim_2]],1,1)</f>
        <v>0</v>
      </c>
      <c r="L102" t="str">
        <f>+MID(Fiyat_Endeksi__Üretici_Fiyatları___2003_100[[#This Row],[Aylık Değişim_2]],3,2)</f>
        <v>24</v>
      </c>
      <c r="M102" s="214" t="str">
        <f t="shared" si="3"/>
        <v>0,24</v>
      </c>
    </row>
    <row r="103" spans="1:13" x14ac:dyDescent="0.3">
      <c r="A103" s="209">
        <v>42948</v>
      </c>
      <c r="B103" t="s">
        <v>844</v>
      </c>
      <c r="C103" t="s">
        <v>1034</v>
      </c>
      <c r="D103" t="s">
        <v>844</v>
      </c>
      <c r="E103" t="s">
        <v>1035</v>
      </c>
      <c r="G103" t="str">
        <f>+MID(Fiyat_Endeksi__Üretici_Fiyatları___2003_100[[#This Row],[Yıllık Değişim_1]],1,2)</f>
        <v>16</v>
      </c>
      <c r="H103" t="str">
        <f>+MID(Fiyat_Endeksi__Üretici_Fiyatları___2003_100[[#This Row],[Yıllık Değişim_1]],4,2)</f>
        <v>34</v>
      </c>
      <c r="I103" t="str">
        <f t="shared" si="2"/>
        <v>16,34</v>
      </c>
      <c r="K103" t="str">
        <f>+MID(Fiyat_Endeksi__Üretici_Fiyatları___2003_100[[#This Row],[Aylık Değişim_2]],1,1)</f>
        <v>0</v>
      </c>
      <c r="L103" t="str">
        <f>+MID(Fiyat_Endeksi__Üretici_Fiyatları___2003_100[[#This Row],[Aylık Değişim_2]],3,2)</f>
        <v>85</v>
      </c>
      <c r="M103" s="214" t="str">
        <f t="shared" si="3"/>
        <v>0,85</v>
      </c>
    </row>
    <row r="104" spans="1:13" x14ac:dyDescent="0.3">
      <c r="A104" s="209">
        <v>42917</v>
      </c>
      <c r="B104" t="s">
        <v>844</v>
      </c>
      <c r="C104" t="s">
        <v>1036</v>
      </c>
      <c r="D104" t="s">
        <v>844</v>
      </c>
      <c r="E104" t="s">
        <v>1037</v>
      </c>
      <c r="G104" t="str">
        <f>+MID(Fiyat_Endeksi__Üretici_Fiyatları___2003_100[[#This Row],[Yıllık Değişim_1]],1,2)</f>
        <v>15</v>
      </c>
      <c r="H104" t="str">
        <f>+MID(Fiyat_Endeksi__Üretici_Fiyatları___2003_100[[#This Row],[Yıllık Değişim_1]],4,2)</f>
        <v>45</v>
      </c>
      <c r="I104" t="str">
        <f t="shared" si="2"/>
        <v>15,45</v>
      </c>
      <c r="K104" t="str">
        <f>+MID(Fiyat_Endeksi__Üretici_Fiyatları___2003_100[[#This Row],[Aylık Değişim_2]],1,1)</f>
        <v>0</v>
      </c>
      <c r="L104" t="str">
        <f>+MID(Fiyat_Endeksi__Üretici_Fiyatları___2003_100[[#This Row],[Aylık Değişim_2]],3,2)</f>
        <v>72</v>
      </c>
      <c r="M104" s="214" t="str">
        <f t="shared" si="3"/>
        <v>0,72</v>
      </c>
    </row>
    <row r="105" spans="1:13" x14ac:dyDescent="0.3">
      <c r="A105" s="209">
        <v>42887</v>
      </c>
      <c r="B105" t="s">
        <v>844</v>
      </c>
      <c r="C105" t="s">
        <v>1038</v>
      </c>
      <c r="D105" t="s">
        <v>844</v>
      </c>
      <c r="E105" t="s">
        <v>1039</v>
      </c>
      <c r="G105" t="str">
        <f>+MID(Fiyat_Endeksi__Üretici_Fiyatları___2003_100[[#This Row],[Yıllık Değişim_1]],1,2)</f>
        <v>14</v>
      </c>
      <c r="H105" t="str">
        <f>+MID(Fiyat_Endeksi__Üretici_Fiyatları___2003_100[[#This Row],[Yıllık Değişim_1]],4,2)</f>
        <v>87</v>
      </c>
      <c r="I105" t="str">
        <f t="shared" si="2"/>
        <v>14,87</v>
      </c>
      <c r="K105" t="str">
        <f>+MID(Fiyat_Endeksi__Üretici_Fiyatları___2003_100[[#This Row],[Aylık Değişim_2]],1,1)</f>
        <v>0</v>
      </c>
      <c r="L105" t="str">
        <f>+MID(Fiyat_Endeksi__Üretici_Fiyatları___2003_100[[#This Row],[Aylık Değişim_2]],3,2)</f>
        <v>07</v>
      </c>
      <c r="M105" s="214" t="str">
        <f t="shared" si="3"/>
        <v>0,07</v>
      </c>
    </row>
    <row r="106" spans="1:13" x14ac:dyDescent="0.3">
      <c r="A106" s="209">
        <v>42856</v>
      </c>
      <c r="B106" t="s">
        <v>844</v>
      </c>
      <c r="C106" t="s">
        <v>1040</v>
      </c>
      <c r="D106" t="s">
        <v>844</v>
      </c>
      <c r="E106" t="s">
        <v>1041</v>
      </c>
      <c r="G106" t="str">
        <f>+MID(Fiyat_Endeksi__Üretici_Fiyatları___2003_100[[#This Row],[Yıllık Değişim_1]],1,2)</f>
        <v>15</v>
      </c>
      <c r="H106" t="str">
        <f>+MID(Fiyat_Endeksi__Üretici_Fiyatları___2003_100[[#This Row],[Yıllık Değişim_1]],4,2)</f>
        <v>26</v>
      </c>
      <c r="I106" t="str">
        <f t="shared" si="2"/>
        <v>15,26</v>
      </c>
      <c r="K106" t="str">
        <f>+MID(Fiyat_Endeksi__Üretici_Fiyatları___2003_100[[#This Row],[Aylık Değişim_2]],1,1)</f>
        <v>0</v>
      </c>
      <c r="L106" t="str">
        <f>+MID(Fiyat_Endeksi__Üretici_Fiyatları___2003_100[[#This Row],[Aylık Değişim_2]],3,2)</f>
        <v>52</v>
      </c>
      <c r="M106" s="214" t="str">
        <f t="shared" si="3"/>
        <v>0,52</v>
      </c>
    </row>
    <row r="107" spans="1:13" x14ac:dyDescent="0.3">
      <c r="A107" s="209">
        <v>42826</v>
      </c>
      <c r="B107" t="s">
        <v>844</v>
      </c>
      <c r="C107" t="s">
        <v>1020</v>
      </c>
      <c r="D107" t="s">
        <v>844</v>
      </c>
      <c r="E107" t="s">
        <v>1042</v>
      </c>
      <c r="G107" t="str">
        <f>+MID(Fiyat_Endeksi__Üretici_Fiyatları___2003_100[[#This Row],[Yıllık Değişim_1]],1,2)</f>
        <v>16</v>
      </c>
      <c r="H107" t="str">
        <f>+MID(Fiyat_Endeksi__Üretici_Fiyatları___2003_100[[#This Row],[Yıllık Değişim_1]],4,2)</f>
        <v>37</v>
      </c>
      <c r="I107" t="str">
        <f t="shared" si="2"/>
        <v>16,37</v>
      </c>
      <c r="K107" t="str">
        <f>+MID(Fiyat_Endeksi__Üretici_Fiyatları___2003_100[[#This Row],[Aylık Değişim_2]],1,1)</f>
        <v>0</v>
      </c>
      <c r="L107" t="str">
        <f>+MID(Fiyat_Endeksi__Üretici_Fiyatları___2003_100[[#This Row],[Aylık Değişim_2]],3,2)</f>
        <v>76</v>
      </c>
      <c r="M107" s="214" t="str">
        <f t="shared" si="3"/>
        <v>0,76</v>
      </c>
    </row>
    <row r="108" spans="1:13" x14ac:dyDescent="0.3">
      <c r="A108" s="209">
        <v>42795</v>
      </c>
      <c r="B108" t="s">
        <v>844</v>
      </c>
      <c r="C108" t="s">
        <v>1043</v>
      </c>
      <c r="D108" t="s">
        <v>844</v>
      </c>
      <c r="E108" t="s">
        <v>1044</v>
      </c>
      <c r="G108" t="str">
        <f>+MID(Fiyat_Endeksi__Üretici_Fiyatları___2003_100[[#This Row],[Yıllık Değişim_1]],1,2)</f>
        <v>16</v>
      </c>
      <c r="H108" t="str">
        <f>+MID(Fiyat_Endeksi__Üretici_Fiyatları___2003_100[[#This Row],[Yıllık Değişim_1]],4,2)</f>
        <v>09</v>
      </c>
      <c r="I108" t="str">
        <f t="shared" si="2"/>
        <v>16,09</v>
      </c>
      <c r="K108" t="str">
        <f>+MID(Fiyat_Endeksi__Üretici_Fiyatları___2003_100[[#This Row],[Aylık Değişim_2]],1,1)</f>
        <v>1</v>
      </c>
      <c r="L108" t="str">
        <f>+MID(Fiyat_Endeksi__Üretici_Fiyatları___2003_100[[#This Row],[Aylık Değişim_2]],3,2)</f>
        <v>04</v>
      </c>
      <c r="M108" s="214" t="str">
        <f t="shared" si="3"/>
        <v>1,04</v>
      </c>
    </row>
    <row r="109" spans="1:13" x14ac:dyDescent="0.3">
      <c r="A109" s="209">
        <v>42767</v>
      </c>
      <c r="B109" t="s">
        <v>844</v>
      </c>
      <c r="C109" t="s">
        <v>1045</v>
      </c>
      <c r="D109" t="s">
        <v>844</v>
      </c>
      <c r="E109" t="s">
        <v>1046</v>
      </c>
      <c r="G109" t="str">
        <f>+MID(Fiyat_Endeksi__Üretici_Fiyatları___2003_100[[#This Row],[Yıllık Değişim_1]],1,2)</f>
        <v>15</v>
      </c>
      <c r="H109" t="str">
        <f>+MID(Fiyat_Endeksi__Üretici_Fiyatları___2003_100[[#This Row],[Yıllık Değişim_1]],4,2)</f>
        <v>36</v>
      </c>
      <c r="I109" t="str">
        <f t="shared" si="2"/>
        <v>15,36</v>
      </c>
      <c r="K109" t="str">
        <f>+MID(Fiyat_Endeksi__Üretici_Fiyatları___2003_100[[#This Row],[Aylık Değişim_2]],1,1)</f>
        <v>1</v>
      </c>
      <c r="L109" t="str">
        <f>+MID(Fiyat_Endeksi__Üretici_Fiyatları___2003_100[[#This Row],[Aylık Değişim_2]],3,2)</f>
        <v>26</v>
      </c>
      <c r="M109" s="214" t="str">
        <f t="shared" si="3"/>
        <v>1,26</v>
      </c>
    </row>
    <row r="110" spans="1:13" x14ac:dyDescent="0.3">
      <c r="A110" s="209">
        <v>42736</v>
      </c>
      <c r="B110" t="s">
        <v>844</v>
      </c>
      <c r="C110" t="s">
        <v>1047</v>
      </c>
      <c r="D110" t="s">
        <v>844</v>
      </c>
      <c r="E110" t="s">
        <v>1048</v>
      </c>
      <c r="G110" t="str">
        <f>+MID(Fiyat_Endeksi__Üretici_Fiyatları___2003_100[[#This Row],[Yıllık Değişim_1]],1,2)</f>
        <v>13</v>
      </c>
      <c r="H110" t="str">
        <f>+MID(Fiyat_Endeksi__Üretici_Fiyatları___2003_100[[#This Row],[Yıllık Değişim_1]],4,2)</f>
        <v>69</v>
      </c>
      <c r="I110" t="str">
        <f t="shared" si="2"/>
        <v>13,69</v>
      </c>
      <c r="K110" t="str">
        <f>+MID(Fiyat_Endeksi__Üretici_Fiyatları___2003_100[[#This Row],[Aylık Değişim_2]],1,1)</f>
        <v>3</v>
      </c>
      <c r="L110" t="str">
        <f>+MID(Fiyat_Endeksi__Üretici_Fiyatları___2003_100[[#This Row],[Aylık Değişim_2]],3,2)</f>
        <v>98</v>
      </c>
      <c r="M110" s="214" t="str">
        <f t="shared" si="3"/>
        <v>3,98</v>
      </c>
    </row>
    <row r="111" spans="1:13" x14ac:dyDescent="0.3">
      <c r="A111" s="209">
        <v>42705</v>
      </c>
      <c r="B111" t="s">
        <v>844</v>
      </c>
      <c r="C111" t="s">
        <v>1049</v>
      </c>
      <c r="D111" t="s">
        <v>844</v>
      </c>
      <c r="E111" t="s">
        <v>998</v>
      </c>
      <c r="G111" t="str">
        <f>+MID(Fiyat_Endeksi__Üretici_Fiyatları___2003_100[[#This Row],[Yıllık Değişim_1]],1,2)</f>
        <v>9.</v>
      </c>
      <c r="H111" t="str">
        <f>+MID(Fiyat_Endeksi__Üretici_Fiyatları___2003_100[[#This Row],[Yıllık Değişim_1]],4,2)</f>
        <v>4</v>
      </c>
      <c r="I111" t="str">
        <f t="shared" si="2"/>
        <v>9.,4</v>
      </c>
      <c r="K111" t="str">
        <f>+MID(Fiyat_Endeksi__Üretici_Fiyatları___2003_100[[#This Row],[Aylık Değişim_2]],1,1)</f>
        <v>2</v>
      </c>
      <c r="L111" t="str">
        <f>+MID(Fiyat_Endeksi__Üretici_Fiyatları___2003_100[[#This Row],[Aylık Değişim_2]],3,2)</f>
        <v>98</v>
      </c>
      <c r="M111" s="214" t="str">
        <f t="shared" si="3"/>
        <v>2,98</v>
      </c>
    </row>
    <row r="112" spans="1:13" x14ac:dyDescent="0.3">
      <c r="A112" s="209">
        <v>42675</v>
      </c>
      <c r="B112" t="s">
        <v>844</v>
      </c>
      <c r="C112" t="s">
        <v>1050</v>
      </c>
      <c r="D112" t="s">
        <v>844</v>
      </c>
      <c r="E112" t="s">
        <v>1051</v>
      </c>
      <c r="G112" t="str">
        <f>+MID(Fiyat_Endeksi__Üretici_Fiyatları___2003_100[[#This Row],[Yıllık Değişim_1]],1,2)</f>
        <v>6.</v>
      </c>
      <c r="H112" t="str">
        <f>+MID(Fiyat_Endeksi__Üretici_Fiyatları___2003_100[[#This Row],[Yıllık Değişim_1]],4,2)</f>
        <v>1</v>
      </c>
      <c r="I112" t="str">
        <f t="shared" si="2"/>
        <v>6.,1</v>
      </c>
      <c r="K112" t="str">
        <f>+MID(Fiyat_Endeksi__Üretici_Fiyatları___2003_100[[#This Row],[Aylık Değişim_2]],1,1)</f>
        <v>2</v>
      </c>
      <c r="L112" t="str">
        <f>+MID(Fiyat_Endeksi__Üretici_Fiyatları___2003_100[[#This Row],[Aylık Değişim_2]],3,2)</f>
        <v>00</v>
      </c>
      <c r="M112" s="214" t="str">
        <f t="shared" si="3"/>
        <v>2,00</v>
      </c>
    </row>
    <row r="113" spans="1:13" x14ac:dyDescent="0.3">
      <c r="A113" s="209">
        <v>42644</v>
      </c>
      <c r="B113" t="s">
        <v>844</v>
      </c>
      <c r="C113" t="s">
        <v>1052</v>
      </c>
      <c r="D113" t="s">
        <v>844</v>
      </c>
      <c r="E113" t="s">
        <v>1053</v>
      </c>
      <c r="G113" t="str">
        <f>+MID(Fiyat_Endeksi__Üretici_Fiyatları___2003_100[[#This Row],[Yıllık Değişim_1]],1,2)</f>
        <v>2.</v>
      </c>
      <c r="H113" t="str">
        <f>+MID(Fiyat_Endeksi__Üretici_Fiyatları___2003_100[[#This Row],[Yıllık Değişim_1]],4,2)</f>
        <v>4</v>
      </c>
      <c r="I113" t="str">
        <f t="shared" si="2"/>
        <v>2.,4</v>
      </c>
      <c r="K113" t="str">
        <f>+MID(Fiyat_Endeksi__Üretici_Fiyatları___2003_100[[#This Row],[Aylık Değişim_2]],1,1)</f>
        <v>0</v>
      </c>
      <c r="L113" t="str">
        <f>+MID(Fiyat_Endeksi__Üretici_Fiyatları___2003_100[[#This Row],[Aylık Değişim_2]],3,2)</f>
        <v>84</v>
      </c>
      <c r="M113" s="214" t="str">
        <f t="shared" si="3"/>
        <v>0,84</v>
      </c>
    </row>
    <row r="114" spans="1:13" x14ac:dyDescent="0.3">
      <c r="A114" s="209">
        <v>42614</v>
      </c>
      <c r="B114" t="s">
        <v>844</v>
      </c>
      <c r="C114" t="s">
        <v>1054</v>
      </c>
      <c r="D114" t="s">
        <v>844</v>
      </c>
      <c r="E114" t="s">
        <v>1055</v>
      </c>
      <c r="G114" t="str">
        <f>+MID(Fiyat_Endeksi__Üretici_Fiyatları___2003_100[[#This Row],[Yıllık Değişim_1]],1,2)</f>
        <v>1.</v>
      </c>
      <c r="H114" t="str">
        <f>+MID(Fiyat_Endeksi__Üretici_Fiyatları___2003_100[[#This Row],[Yıllık Değişim_1]],4,2)</f>
        <v>8</v>
      </c>
      <c r="I114" t="str">
        <f t="shared" si="2"/>
        <v>1.,8</v>
      </c>
      <c r="K114" t="str">
        <f>+MID(Fiyat_Endeksi__Üretici_Fiyatları___2003_100[[#This Row],[Aylık Değişim_2]],1,1)</f>
        <v>0</v>
      </c>
      <c r="L114" t="str">
        <f>+MID(Fiyat_Endeksi__Üretici_Fiyatları___2003_100[[#This Row],[Aylık Değişim_2]],3,2)</f>
        <v>29</v>
      </c>
      <c r="M114" s="214" t="str">
        <f t="shared" si="3"/>
        <v>0,29</v>
      </c>
    </row>
    <row r="115" spans="1:13" x14ac:dyDescent="0.3">
      <c r="A115" s="209">
        <v>42583</v>
      </c>
      <c r="B115" t="s">
        <v>844</v>
      </c>
      <c r="C115" t="s">
        <v>1017</v>
      </c>
      <c r="D115" t="s">
        <v>844</v>
      </c>
      <c r="E115" t="s">
        <v>1056</v>
      </c>
      <c r="G115" t="str">
        <f>+MID(Fiyat_Endeksi__Üretici_Fiyatları___2003_100[[#This Row],[Yıllık Değişim_1]],1,2)</f>
        <v>3.</v>
      </c>
      <c r="H115" t="str">
        <f>+MID(Fiyat_Endeksi__Üretici_Fiyatları___2003_100[[#This Row],[Yıllık Değişim_1]],4,2)</f>
        <v>3</v>
      </c>
      <c r="I115" t="str">
        <f t="shared" si="2"/>
        <v>3.,3</v>
      </c>
      <c r="K115" t="str">
        <f>+MID(Fiyat_Endeksi__Üretici_Fiyatları___2003_100[[#This Row],[Aylık Değişim_2]],1,1)</f>
        <v>0</v>
      </c>
      <c r="L115" t="str">
        <f>+MID(Fiyat_Endeksi__Üretici_Fiyatları___2003_100[[#This Row],[Aylık Değişim_2]],3,2)</f>
        <v>08</v>
      </c>
      <c r="M115" s="214" t="str">
        <f t="shared" si="3"/>
        <v>0,08</v>
      </c>
    </row>
    <row r="116" spans="1:13" x14ac:dyDescent="0.3">
      <c r="A116" s="209">
        <v>42552</v>
      </c>
      <c r="B116" t="s">
        <v>844</v>
      </c>
      <c r="C116" t="s">
        <v>1057</v>
      </c>
      <c r="D116" t="s">
        <v>844</v>
      </c>
      <c r="E116" t="s">
        <v>1058</v>
      </c>
      <c r="G116" t="str">
        <f>+MID(Fiyat_Endeksi__Üretici_Fiyatları___2003_100[[#This Row],[Yıllık Değişim_1]],1,2)</f>
        <v>3.</v>
      </c>
      <c r="H116" t="str">
        <f>+MID(Fiyat_Endeksi__Üretici_Fiyatları___2003_100[[#This Row],[Yıllık Değişim_1]],4,2)</f>
        <v>6</v>
      </c>
      <c r="I116" t="str">
        <f t="shared" si="2"/>
        <v>3.,6</v>
      </c>
      <c r="K116" t="str">
        <f>+MID(Fiyat_Endeksi__Üretici_Fiyatları___2003_100[[#This Row],[Aylık Değişim_2]],1,1)</f>
        <v>0</v>
      </c>
      <c r="L116" t="str">
        <f>+MID(Fiyat_Endeksi__Üretici_Fiyatları___2003_100[[#This Row],[Aylık Değişim_2]],3,2)</f>
        <v>21</v>
      </c>
      <c r="M116" s="214" t="str">
        <f t="shared" si="3"/>
        <v>0,21</v>
      </c>
    </row>
    <row r="117" spans="1:13" x14ac:dyDescent="0.3">
      <c r="A117" s="209">
        <v>42522</v>
      </c>
      <c r="B117" t="s">
        <v>844</v>
      </c>
      <c r="C117" t="s">
        <v>1059</v>
      </c>
      <c r="D117" t="s">
        <v>844</v>
      </c>
      <c r="E117" t="s">
        <v>1060</v>
      </c>
      <c r="G117" t="str">
        <f>+MID(Fiyat_Endeksi__Üretici_Fiyatları___2003_100[[#This Row],[Yıllık Değişim_1]],1,2)</f>
        <v>3.</v>
      </c>
      <c r="H117" t="str">
        <f>+MID(Fiyat_Endeksi__Üretici_Fiyatları___2003_100[[#This Row],[Yıllık Değişim_1]],4,2)</f>
        <v>1</v>
      </c>
      <c r="I117" t="str">
        <f t="shared" si="2"/>
        <v>3.,1</v>
      </c>
      <c r="K117" t="str">
        <f>+MID(Fiyat_Endeksi__Üretici_Fiyatları___2003_100[[#This Row],[Aylık Değişim_2]],1,1)</f>
        <v>0</v>
      </c>
      <c r="L117" t="str">
        <f>+MID(Fiyat_Endeksi__Üretici_Fiyatları___2003_100[[#This Row],[Aylık Değişim_2]],3,2)</f>
        <v>41</v>
      </c>
      <c r="M117" s="214" t="str">
        <f t="shared" si="3"/>
        <v>0,41</v>
      </c>
    </row>
    <row r="118" spans="1:13" x14ac:dyDescent="0.3">
      <c r="A118" s="209">
        <v>42491</v>
      </c>
      <c r="B118" t="s">
        <v>844</v>
      </c>
      <c r="C118" t="s">
        <v>1061</v>
      </c>
      <c r="D118" t="s">
        <v>844</v>
      </c>
      <c r="E118" t="s">
        <v>1062</v>
      </c>
      <c r="G118" t="str">
        <f>+MID(Fiyat_Endeksi__Üretici_Fiyatları___2003_100[[#This Row],[Yıllık Değişim_1]],1,2)</f>
        <v>3.</v>
      </c>
      <c r="H118" t="str">
        <f>+MID(Fiyat_Endeksi__Üretici_Fiyatları___2003_100[[#This Row],[Yıllık Değişim_1]],4,2)</f>
        <v>5</v>
      </c>
      <c r="I118" t="str">
        <f t="shared" si="2"/>
        <v>3.,5</v>
      </c>
      <c r="K118" t="str">
        <f>+MID(Fiyat_Endeksi__Üretici_Fiyatları___2003_100[[#This Row],[Aylık Değişim_2]],1,1)</f>
        <v>1</v>
      </c>
      <c r="L118" t="str">
        <f>+MID(Fiyat_Endeksi__Üretici_Fiyatları___2003_100[[#This Row],[Aylık Değişim_2]],3,2)</f>
        <v>48</v>
      </c>
      <c r="M118" s="214" t="str">
        <f t="shared" si="3"/>
        <v>1,48</v>
      </c>
    </row>
    <row r="119" spans="1:13" x14ac:dyDescent="0.3">
      <c r="A119" s="209">
        <v>42461</v>
      </c>
      <c r="B119" t="s">
        <v>844</v>
      </c>
      <c r="C119" t="s">
        <v>1063</v>
      </c>
      <c r="D119" t="s">
        <v>844</v>
      </c>
      <c r="E119" t="s">
        <v>1041</v>
      </c>
      <c r="G119" t="str">
        <f>+MID(Fiyat_Endeksi__Üretici_Fiyatları___2003_100[[#This Row],[Yıllık Değişim_1]],1,2)</f>
        <v>2.</v>
      </c>
      <c r="H119" t="str">
        <f>+MID(Fiyat_Endeksi__Üretici_Fiyatları___2003_100[[#This Row],[Yıllık Değişim_1]],4,2)</f>
        <v>7</v>
      </c>
      <c r="I119" t="str">
        <f t="shared" si="2"/>
        <v>2.,7</v>
      </c>
      <c r="K119" t="str">
        <f>+MID(Fiyat_Endeksi__Üretici_Fiyatları___2003_100[[#This Row],[Aylık Değişim_2]],1,1)</f>
        <v>0</v>
      </c>
      <c r="L119" t="str">
        <f>+MID(Fiyat_Endeksi__Üretici_Fiyatları___2003_100[[#This Row],[Aylık Değişim_2]],3,2)</f>
        <v>52</v>
      </c>
      <c r="M119" s="214" t="str">
        <f t="shared" si="3"/>
        <v>0,52</v>
      </c>
    </row>
    <row r="120" spans="1:13" x14ac:dyDescent="0.3">
      <c r="A120" s="209">
        <v>42430</v>
      </c>
      <c r="B120" t="s">
        <v>844</v>
      </c>
      <c r="C120" t="s">
        <v>1064</v>
      </c>
      <c r="D120" t="s">
        <v>844</v>
      </c>
      <c r="E120" t="s">
        <v>865</v>
      </c>
      <c r="G120" t="str">
        <f>+MID(Fiyat_Endeksi__Üretici_Fiyatları___2003_100[[#This Row],[Yıllık Değişim_1]],1,2)</f>
        <v>3.</v>
      </c>
      <c r="H120" t="str">
        <f>+MID(Fiyat_Endeksi__Üretici_Fiyatları___2003_100[[#This Row],[Yıllık Değişim_1]],4,2)</f>
        <v>0</v>
      </c>
      <c r="I120" t="str">
        <f t="shared" si="2"/>
        <v>3.,0</v>
      </c>
      <c r="K120" t="str">
        <f>+MID(Fiyat_Endeksi__Üretici_Fiyatları___2003_100[[#This Row],[Aylık Değişim_2]],1,1)</f>
        <v>0</v>
      </c>
      <c r="L120" t="str">
        <f>+MID(Fiyat_Endeksi__Üretici_Fiyatları___2003_100[[#This Row],[Aylık Değişim_2]],3,2)</f>
        <v>40</v>
      </c>
      <c r="M120" s="214" t="str">
        <f t="shared" si="3"/>
        <v>0,40</v>
      </c>
    </row>
    <row r="121" spans="1:13" x14ac:dyDescent="0.3">
      <c r="A121" s="209">
        <v>42401</v>
      </c>
      <c r="B121" t="s">
        <v>844</v>
      </c>
      <c r="C121" t="s">
        <v>1065</v>
      </c>
      <c r="D121" t="s">
        <v>844</v>
      </c>
      <c r="E121" t="s">
        <v>1066</v>
      </c>
      <c r="G121" t="str">
        <f>+MID(Fiyat_Endeksi__Üretici_Fiyatları___2003_100[[#This Row],[Yıllık Değişim_1]],1,2)</f>
        <v>4.</v>
      </c>
      <c r="H121" t="str">
        <f>+MID(Fiyat_Endeksi__Üretici_Fiyatları___2003_100[[#This Row],[Yıllık Değişim_1]],4,2)</f>
        <v>7</v>
      </c>
      <c r="I121" t="str">
        <f t="shared" si="2"/>
        <v>4.,7</v>
      </c>
      <c r="K121" t="str">
        <f>+MID(Fiyat_Endeksi__Üretici_Fiyatları___2003_100[[#This Row],[Aylık Değişim_2]],1,1)</f>
        <v>-</v>
      </c>
      <c r="L121" t="str">
        <f>+MID(Fiyat_Endeksi__Üretici_Fiyatları___2003_100[[#This Row],[Aylık Değişim_2]],3,2)</f>
        <v>.2</v>
      </c>
      <c r="M121" s="214" t="str">
        <f t="shared" si="3"/>
        <v>-,.2</v>
      </c>
    </row>
    <row r="122" spans="1:13" x14ac:dyDescent="0.3">
      <c r="A122" s="209">
        <v>42370</v>
      </c>
      <c r="B122" t="s">
        <v>844</v>
      </c>
      <c r="C122" t="s">
        <v>1067</v>
      </c>
      <c r="D122" t="s">
        <v>844</v>
      </c>
      <c r="E122" t="s">
        <v>1068</v>
      </c>
      <c r="G122" t="str">
        <f>+MID(Fiyat_Endeksi__Üretici_Fiyatları___2003_100[[#This Row],[Yıllık Değişim_1]],1,2)</f>
        <v>5.</v>
      </c>
      <c r="H122" t="str">
        <f>+MID(Fiyat_Endeksi__Üretici_Fiyatları___2003_100[[#This Row],[Yıllık Değişim_1]],4,2)</f>
        <v>4</v>
      </c>
      <c r="I122" t="str">
        <f t="shared" si="2"/>
        <v>5.,4</v>
      </c>
      <c r="K122" t="str">
        <f>+MID(Fiyat_Endeksi__Üretici_Fiyatları___2003_100[[#This Row],[Aylık Değişim_2]],1,1)</f>
        <v>0</v>
      </c>
      <c r="L122" t="str">
        <f>+MID(Fiyat_Endeksi__Üretici_Fiyatları___2003_100[[#This Row],[Aylık Değişim_2]],3,2)</f>
        <v>55</v>
      </c>
      <c r="M122" s="214" t="str">
        <f t="shared" si="3"/>
        <v>0,55</v>
      </c>
    </row>
    <row r="123" spans="1:13" x14ac:dyDescent="0.3">
      <c r="A123" s="209">
        <v>42339</v>
      </c>
      <c r="B123" t="s">
        <v>844</v>
      </c>
      <c r="C123" t="s">
        <v>1069</v>
      </c>
      <c r="D123" t="s">
        <v>844</v>
      </c>
      <c r="E123" t="s">
        <v>1070</v>
      </c>
      <c r="G123" t="str">
        <f>+MID(Fiyat_Endeksi__Üretici_Fiyatları___2003_100[[#This Row],[Yıllık Değişim_1]],1,2)</f>
        <v>5.</v>
      </c>
      <c r="H123" t="str">
        <f>+MID(Fiyat_Endeksi__Üretici_Fiyatları___2003_100[[#This Row],[Yıllık Değişim_1]],4,2)</f>
        <v>1</v>
      </c>
      <c r="I123" t="str">
        <f t="shared" si="2"/>
        <v>5.,1</v>
      </c>
      <c r="K123" t="str">
        <f>+MID(Fiyat_Endeksi__Üretici_Fiyatları___2003_100[[#This Row],[Aylık Değişim_2]],1,1)</f>
        <v>-</v>
      </c>
      <c r="L123" t="str">
        <f>+MID(Fiyat_Endeksi__Üretici_Fiyatları___2003_100[[#This Row],[Aylık Değişim_2]],3,2)</f>
        <v>.3</v>
      </c>
      <c r="M123" s="214" t="str">
        <f t="shared" si="3"/>
        <v>-,.3</v>
      </c>
    </row>
    <row r="124" spans="1:13" x14ac:dyDescent="0.3">
      <c r="A124" s="209">
        <v>42309</v>
      </c>
      <c r="B124" t="s">
        <v>844</v>
      </c>
      <c r="C124" t="s">
        <v>1071</v>
      </c>
      <c r="D124" t="s">
        <v>844</v>
      </c>
      <c r="E124" t="s">
        <v>1072</v>
      </c>
      <c r="G124" t="str">
        <f>+MID(Fiyat_Endeksi__Üretici_Fiyatları___2003_100[[#This Row],[Yıllık Değişim_1]],1,2)</f>
        <v>5.</v>
      </c>
      <c r="H124" t="str">
        <f>+MID(Fiyat_Endeksi__Üretici_Fiyatları___2003_100[[#This Row],[Yıllık Değişim_1]],4,2)</f>
        <v>5</v>
      </c>
      <c r="I124" t="str">
        <f t="shared" si="2"/>
        <v>5.,5</v>
      </c>
      <c r="K124" t="str">
        <f>+MID(Fiyat_Endeksi__Üretici_Fiyatları___2003_100[[#This Row],[Aylık Değişim_2]],1,1)</f>
        <v>-</v>
      </c>
      <c r="L124" t="str">
        <f>+MID(Fiyat_Endeksi__Üretici_Fiyatları___2003_100[[#This Row],[Aylık Değişim_2]],3,2)</f>
        <v>.4</v>
      </c>
      <c r="M124" s="214" t="str">
        <f t="shared" si="3"/>
        <v>-,.4</v>
      </c>
    </row>
    <row r="125" spans="1:13" x14ac:dyDescent="0.3">
      <c r="A125" s="209">
        <v>42278</v>
      </c>
      <c r="B125" t="s">
        <v>844</v>
      </c>
      <c r="C125" t="s">
        <v>1073</v>
      </c>
      <c r="D125" t="s">
        <v>844</v>
      </c>
      <c r="E125" t="s">
        <v>1066</v>
      </c>
      <c r="G125" t="str">
        <f>+MID(Fiyat_Endeksi__Üretici_Fiyatları___2003_100[[#This Row],[Yıllık Değişim_1]],1,2)</f>
        <v>5.</v>
      </c>
      <c r="H125" t="str">
        <f>+MID(Fiyat_Endeksi__Üretici_Fiyatları___2003_100[[#This Row],[Yıllık Değişim_1]],4,2)</f>
        <v>4</v>
      </c>
      <c r="I125" t="str">
        <f t="shared" si="2"/>
        <v>5.,4</v>
      </c>
      <c r="K125" t="str">
        <f>+MID(Fiyat_Endeksi__Üretici_Fiyatları___2003_100[[#This Row],[Aylık Değişim_2]],1,1)</f>
        <v>-</v>
      </c>
      <c r="L125" t="str">
        <f>+MID(Fiyat_Endeksi__Üretici_Fiyatları___2003_100[[#This Row],[Aylık Değişim_2]],3,2)</f>
        <v>.2</v>
      </c>
      <c r="M125" s="214" t="str">
        <f t="shared" si="3"/>
        <v>-,.2</v>
      </c>
    </row>
    <row r="126" spans="1:13" x14ac:dyDescent="0.3">
      <c r="A126" s="209">
        <v>42248</v>
      </c>
      <c r="B126" t="s">
        <v>844</v>
      </c>
      <c r="C126" t="s">
        <v>1074</v>
      </c>
      <c r="D126" t="s">
        <v>844</v>
      </c>
      <c r="E126" t="s">
        <v>1075</v>
      </c>
      <c r="G126" t="str">
        <f>+MID(Fiyat_Endeksi__Üretici_Fiyatları___2003_100[[#This Row],[Yıllık Değişim_1]],1,2)</f>
        <v>6.</v>
      </c>
      <c r="H126" t="str">
        <f>+MID(Fiyat_Endeksi__Üretici_Fiyatları___2003_100[[#This Row],[Yıllık Değişim_1]],4,2)</f>
        <v>2</v>
      </c>
      <c r="I126" t="str">
        <f t="shared" si="2"/>
        <v>6.,2</v>
      </c>
      <c r="K126" t="str">
        <f>+MID(Fiyat_Endeksi__Üretici_Fiyatları___2003_100[[#This Row],[Aylık Değişim_2]],1,1)</f>
        <v>1</v>
      </c>
      <c r="L126" t="str">
        <f>+MID(Fiyat_Endeksi__Üretici_Fiyatları___2003_100[[#This Row],[Aylık Değişim_2]],3,2)</f>
        <v>53</v>
      </c>
      <c r="M126" s="214" t="str">
        <f t="shared" si="3"/>
        <v>1,53</v>
      </c>
    </row>
    <row r="127" spans="1:13" x14ac:dyDescent="0.3">
      <c r="A127" s="209">
        <v>42217</v>
      </c>
      <c r="B127" t="s">
        <v>844</v>
      </c>
      <c r="C127" t="s">
        <v>1076</v>
      </c>
      <c r="D127" t="s">
        <v>844</v>
      </c>
      <c r="E127" t="s">
        <v>1077</v>
      </c>
      <c r="G127" t="str">
        <f>+MID(Fiyat_Endeksi__Üretici_Fiyatları___2003_100[[#This Row],[Yıllık Değişim_1]],1,2)</f>
        <v>6.</v>
      </c>
      <c r="H127" t="str">
        <f>+MID(Fiyat_Endeksi__Üretici_Fiyatları___2003_100[[#This Row],[Yıllık Değişim_1]],4,2)</f>
        <v>1</v>
      </c>
      <c r="I127" t="str">
        <f t="shared" si="2"/>
        <v>6.,1</v>
      </c>
      <c r="K127" t="str">
        <f>+MID(Fiyat_Endeksi__Üretici_Fiyatları___2003_100[[#This Row],[Aylık Değişim_2]],1,1)</f>
        <v>0</v>
      </c>
      <c r="L127" t="str">
        <f>+MID(Fiyat_Endeksi__Üretici_Fiyatları___2003_100[[#This Row],[Aylık Değişim_2]],3,2)</f>
        <v>98</v>
      </c>
      <c r="M127" s="214" t="str">
        <f t="shared" si="3"/>
        <v>0,98</v>
      </c>
    </row>
    <row r="128" spans="1:13" x14ac:dyDescent="0.3">
      <c r="A128" s="209">
        <v>42186</v>
      </c>
      <c r="B128" t="s">
        <v>844</v>
      </c>
      <c r="C128" t="s">
        <v>1078</v>
      </c>
      <c r="D128" t="s">
        <v>844</v>
      </c>
      <c r="E128" t="s">
        <v>1079</v>
      </c>
      <c r="G128" t="str">
        <f>+MID(Fiyat_Endeksi__Üretici_Fiyatları___2003_100[[#This Row],[Yıllık Değişim_1]],1,2)</f>
        <v>5.</v>
      </c>
      <c r="H128" t="str">
        <f>+MID(Fiyat_Endeksi__Üretici_Fiyatları___2003_100[[#This Row],[Yıllık Değişim_1]],4,2)</f>
        <v>2</v>
      </c>
      <c r="I128" t="str">
        <f t="shared" si="2"/>
        <v>5.,2</v>
      </c>
      <c r="K128" t="str">
        <f>+MID(Fiyat_Endeksi__Üretici_Fiyatları___2003_100[[#This Row],[Aylık Değişim_2]],1,1)</f>
        <v>-</v>
      </c>
      <c r="L128" t="str">
        <f>+MID(Fiyat_Endeksi__Üretici_Fiyatları___2003_100[[#This Row],[Aylık Değişim_2]],3,2)</f>
        <v>.3</v>
      </c>
      <c r="M128" s="214" t="str">
        <f t="shared" si="3"/>
        <v>-,.3</v>
      </c>
    </row>
    <row r="129" spans="1:13" x14ac:dyDescent="0.3">
      <c r="A129" s="209">
        <v>42156</v>
      </c>
      <c r="B129" t="s">
        <v>844</v>
      </c>
      <c r="C129" t="s">
        <v>1080</v>
      </c>
      <c r="D129" t="s">
        <v>844</v>
      </c>
      <c r="E129" t="s">
        <v>1081</v>
      </c>
      <c r="G129" t="str">
        <f>+MID(Fiyat_Endeksi__Üretici_Fiyatları___2003_100[[#This Row],[Yıllık Değişim_1]],1,2)</f>
        <v>6.</v>
      </c>
      <c r="H129" t="str">
        <f>+MID(Fiyat_Endeksi__Üretici_Fiyatları___2003_100[[#This Row],[Yıllık Değişim_1]],4,2)</f>
        <v>3</v>
      </c>
      <c r="I129" t="str">
        <f t="shared" si="2"/>
        <v>6.,3</v>
      </c>
      <c r="K129" t="str">
        <f>+MID(Fiyat_Endeksi__Üretici_Fiyatları___2003_100[[#This Row],[Aylık Değişim_2]],1,1)</f>
        <v>0</v>
      </c>
      <c r="L129" t="str">
        <f>+MID(Fiyat_Endeksi__Üretici_Fiyatları___2003_100[[#This Row],[Aylık Değişim_2]],3,2)</f>
        <v>25</v>
      </c>
      <c r="M129" s="214" t="str">
        <f t="shared" si="3"/>
        <v>0,25</v>
      </c>
    </row>
    <row r="130" spans="1:13" x14ac:dyDescent="0.3">
      <c r="A130" s="209">
        <v>42125</v>
      </c>
      <c r="B130" t="s">
        <v>844</v>
      </c>
      <c r="C130" t="s">
        <v>1082</v>
      </c>
      <c r="D130" t="s">
        <v>844</v>
      </c>
      <c r="E130" t="s">
        <v>1083</v>
      </c>
      <c r="G130" t="str">
        <f>+MID(Fiyat_Endeksi__Üretici_Fiyatları___2003_100[[#This Row],[Yıllık Değişim_1]],1,2)</f>
        <v>6.</v>
      </c>
      <c r="H130" t="str">
        <f>+MID(Fiyat_Endeksi__Üretici_Fiyatları___2003_100[[#This Row],[Yıllık Değişim_1]],4,2)</f>
        <v>2</v>
      </c>
      <c r="I130" t="str">
        <f t="shared" si="2"/>
        <v>6.,2</v>
      </c>
      <c r="K130" t="str">
        <f>+MID(Fiyat_Endeksi__Üretici_Fiyatları___2003_100[[#This Row],[Aylık Değişim_2]],1,1)</f>
        <v>1</v>
      </c>
      <c r="L130" t="str">
        <f>+MID(Fiyat_Endeksi__Üretici_Fiyatları___2003_100[[#This Row],[Aylık Değişim_2]],3,2)</f>
        <v>11</v>
      </c>
      <c r="M130" s="214" t="str">
        <f t="shared" si="3"/>
        <v>1,11</v>
      </c>
    </row>
    <row r="131" spans="1:13" x14ac:dyDescent="0.3">
      <c r="A131" s="209">
        <v>42095</v>
      </c>
      <c r="B131" t="s">
        <v>844</v>
      </c>
      <c r="C131" t="s">
        <v>1084</v>
      </c>
      <c r="D131" t="s">
        <v>844</v>
      </c>
      <c r="E131" t="s">
        <v>1085</v>
      </c>
      <c r="G131" t="str">
        <f>+MID(Fiyat_Endeksi__Üretici_Fiyatları___2003_100[[#This Row],[Yıllık Değişim_1]],1,2)</f>
        <v>4.</v>
      </c>
      <c r="H131" t="str">
        <f>+MID(Fiyat_Endeksi__Üretici_Fiyatları___2003_100[[#This Row],[Yıllık Değişim_1]],4,2)</f>
        <v>0</v>
      </c>
      <c r="I131" t="str">
        <f t="shared" si="2"/>
        <v>4.,0</v>
      </c>
      <c r="K131" t="str">
        <f>+MID(Fiyat_Endeksi__Üretici_Fiyatları___2003_100[[#This Row],[Aylık Değişim_2]],1,1)</f>
        <v>1</v>
      </c>
      <c r="L131" t="str">
        <f>+MID(Fiyat_Endeksi__Üretici_Fiyatları___2003_100[[#This Row],[Aylık Değişim_2]],3,2)</f>
        <v>43</v>
      </c>
      <c r="M131" s="214" t="str">
        <f t="shared" si="3"/>
        <v>1,43</v>
      </c>
    </row>
    <row r="132" spans="1:13" x14ac:dyDescent="0.3">
      <c r="A132" s="209">
        <v>42064</v>
      </c>
      <c r="B132" t="s">
        <v>844</v>
      </c>
      <c r="C132" t="s">
        <v>1059</v>
      </c>
      <c r="D132" t="s">
        <v>844</v>
      </c>
      <c r="E132" t="s">
        <v>1086</v>
      </c>
      <c r="G132" t="str">
        <f>+MID(Fiyat_Endeksi__Üretici_Fiyatları___2003_100[[#This Row],[Yıllık Değişim_1]],1,2)</f>
        <v>3.</v>
      </c>
      <c r="H132" t="str">
        <f>+MID(Fiyat_Endeksi__Üretici_Fiyatları___2003_100[[#This Row],[Yıllık Değişim_1]],4,2)</f>
        <v>1</v>
      </c>
      <c r="I132" t="str">
        <f t="shared" ref="I132:I144" si="4">+CONCATENATE(G132,",",H132)</f>
        <v>3.,1</v>
      </c>
      <c r="K132" t="str">
        <f>+MID(Fiyat_Endeksi__Üretici_Fiyatları___2003_100[[#This Row],[Aylık Değişim_2]],1,1)</f>
        <v>1</v>
      </c>
      <c r="L132" t="str">
        <f>+MID(Fiyat_Endeksi__Üretici_Fiyatları___2003_100[[#This Row],[Aylık Değişim_2]],3,2)</f>
        <v>05</v>
      </c>
      <c r="M132" s="214" t="str">
        <f t="shared" ref="M132:M144" si="5">+CONCATENATE(K132,",",L132)</f>
        <v>1,05</v>
      </c>
    </row>
    <row r="133" spans="1:13" x14ac:dyDescent="0.3">
      <c r="A133" s="209">
        <v>42036</v>
      </c>
      <c r="B133" t="s">
        <v>844</v>
      </c>
      <c r="C133" t="s">
        <v>1087</v>
      </c>
      <c r="D133" t="s">
        <v>844</v>
      </c>
      <c r="E133" t="s">
        <v>1088</v>
      </c>
      <c r="G133" t="str">
        <f>+MID(Fiyat_Endeksi__Üretici_Fiyatları___2003_100[[#This Row],[Yıllık Değişim_1]],1,2)</f>
        <v>3,</v>
      </c>
      <c r="H133" t="str">
        <f>+MID(Fiyat_Endeksi__Üretici_Fiyatları___2003_100[[#This Row],[Yıllık Değişim_1]],4,2)</f>
        <v>0</v>
      </c>
      <c r="I133" t="str">
        <f t="shared" si="4"/>
        <v>3,,0</v>
      </c>
      <c r="K133" t="str">
        <f>+MID(Fiyat_Endeksi__Üretici_Fiyatları___2003_100[[#This Row],[Aylık Değişim_2]],1,1)</f>
        <v>1</v>
      </c>
      <c r="L133" t="str">
        <f>+MID(Fiyat_Endeksi__Üretici_Fiyatları___2003_100[[#This Row],[Aylık Değişim_2]],3,2)</f>
        <v>20</v>
      </c>
      <c r="M133" s="214" t="str">
        <f t="shared" si="5"/>
        <v>1,20</v>
      </c>
    </row>
    <row r="134" spans="1:13" x14ac:dyDescent="0.3">
      <c r="A134" s="209">
        <v>42005</v>
      </c>
      <c r="B134" t="s">
        <v>844</v>
      </c>
      <c r="C134" t="s">
        <v>1089</v>
      </c>
      <c r="D134" t="s">
        <v>844</v>
      </c>
      <c r="E134" t="s">
        <v>1090</v>
      </c>
      <c r="G134" t="str">
        <f>+MID(Fiyat_Endeksi__Üretici_Fiyatları___2003_100[[#This Row],[Yıllık Değişim_1]],1,2)</f>
        <v>3.</v>
      </c>
      <c r="H134" t="str">
        <f>+MID(Fiyat_Endeksi__Üretici_Fiyatları___2003_100[[#This Row],[Yıllık Değişim_1]],4,2)</f>
        <v>8</v>
      </c>
      <c r="I134" t="str">
        <f t="shared" si="4"/>
        <v>3.,8</v>
      </c>
      <c r="K134" t="str">
        <f>+MID(Fiyat_Endeksi__Üretici_Fiyatları___2003_100[[#This Row],[Aylık Değişim_2]],1,1)</f>
        <v>0</v>
      </c>
      <c r="L134" t="str">
        <f>+MID(Fiyat_Endeksi__Üretici_Fiyatları___2003_100[[#This Row],[Aylık Değişim_2]],3,2)</f>
        <v>33</v>
      </c>
      <c r="M134" s="214" t="str">
        <f t="shared" si="5"/>
        <v>0,33</v>
      </c>
    </row>
    <row r="135" spans="1:13" x14ac:dyDescent="0.3">
      <c r="A135" s="209">
        <v>41974</v>
      </c>
      <c r="B135" t="s">
        <v>844</v>
      </c>
      <c r="C135" t="s">
        <v>1091</v>
      </c>
      <c r="D135" t="s">
        <v>844</v>
      </c>
      <c r="E135" t="s">
        <v>1092</v>
      </c>
      <c r="G135" t="str">
        <f>+MID(Fiyat_Endeksi__Üretici_Fiyatları___2003_100[[#This Row],[Yıllık Değişim_1]],1,2)</f>
        <v>6.</v>
      </c>
      <c r="H135" t="str">
        <f>+MID(Fiyat_Endeksi__Üretici_Fiyatları___2003_100[[#This Row],[Yıllık Değişim_1]],4,2)</f>
        <v>6</v>
      </c>
      <c r="I135" t="str">
        <f t="shared" si="4"/>
        <v>6.,6</v>
      </c>
      <c r="K135" t="str">
        <f>+MID(Fiyat_Endeksi__Üretici_Fiyatları___2003_100[[#This Row],[Aylık Değişim_2]],1,1)</f>
        <v>-</v>
      </c>
      <c r="L135" t="str">
        <f>+MID(Fiyat_Endeksi__Üretici_Fiyatları___2003_100[[#This Row],[Aylık Değişim_2]],3,2)</f>
        <v>.7</v>
      </c>
      <c r="M135" s="214" t="str">
        <f t="shared" si="5"/>
        <v>-,.7</v>
      </c>
    </row>
    <row r="136" spans="1:13" x14ac:dyDescent="0.3">
      <c r="A136" s="209">
        <v>41944</v>
      </c>
      <c r="B136" t="s">
        <v>844</v>
      </c>
      <c r="C136" t="s">
        <v>1093</v>
      </c>
      <c r="D136" t="s">
        <v>844</v>
      </c>
      <c r="E136" t="s">
        <v>1094</v>
      </c>
      <c r="G136" t="str">
        <f>+MID(Fiyat_Endeksi__Üretici_Fiyatları___2003_100[[#This Row],[Yıllık Değişim_1]],1,2)</f>
        <v>8.</v>
      </c>
      <c r="H136" t="str">
        <f>+MID(Fiyat_Endeksi__Üretici_Fiyatları___2003_100[[#This Row],[Yıllık Değişim_1]],4,2)</f>
        <v>6</v>
      </c>
      <c r="I136" t="str">
        <f t="shared" si="4"/>
        <v>8.,6</v>
      </c>
      <c r="K136" t="str">
        <f>+MID(Fiyat_Endeksi__Üretici_Fiyatları___2003_100[[#This Row],[Aylık Değişim_2]],1,1)</f>
        <v>-</v>
      </c>
      <c r="L136" t="str">
        <f>+MID(Fiyat_Endeksi__Üretici_Fiyatları___2003_100[[#This Row],[Aylık Değişim_2]],3,2)</f>
        <v>.9</v>
      </c>
      <c r="M136" s="214" t="str">
        <f t="shared" si="5"/>
        <v>-,.9</v>
      </c>
    </row>
    <row r="137" spans="1:13" x14ac:dyDescent="0.3">
      <c r="A137" s="209">
        <v>41913</v>
      </c>
      <c r="B137" t="s">
        <v>844</v>
      </c>
      <c r="C137" t="s">
        <v>1095</v>
      </c>
      <c r="D137" t="s">
        <v>844</v>
      </c>
      <c r="E137" t="s">
        <v>1096</v>
      </c>
      <c r="G137" t="str">
        <f>+MID(Fiyat_Endeksi__Üretici_Fiyatları___2003_100[[#This Row],[Yıllık Değişim_1]],1,2)</f>
        <v>10</v>
      </c>
      <c r="H137" t="str">
        <f>+MID(Fiyat_Endeksi__Üretici_Fiyatları___2003_100[[#This Row],[Yıllık Değişim_1]],4,2)</f>
        <v>10</v>
      </c>
      <c r="I137" t="str">
        <f t="shared" si="4"/>
        <v>10,10</v>
      </c>
      <c r="K137" t="str">
        <f>+MID(Fiyat_Endeksi__Üretici_Fiyatları___2003_100[[#This Row],[Aylık Değişim_2]],1,1)</f>
        <v>0</v>
      </c>
      <c r="L137" t="str">
        <f>+MID(Fiyat_Endeksi__Üretici_Fiyatları___2003_100[[#This Row],[Aylık Değişim_2]],3,2)</f>
        <v>92</v>
      </c>
      <c r="M137" s="214" t="str">
        <f t="shared" si="5"/>
        <v>0,92</v>
      </c>
    </row>
    <row r="138" spans="1:13" x14ac:dyDescent="0.3">
      <c r="A138" s="209">
        <v>41883</v>
      </c>
      <c r="B138" t="s">
        <v>844</v>
      </c>
      <c r="C138" t="s">
        <v>1097</v>
      </c>
      <c r="D138" t="s">
        <v>844</v>
      </c>
      <c r="E138" t="s">
        <v>1035</v>
      </c>
      <c r="G138" t="str">
        <f>+MID(Fiyat_Endeksi__Üretici_Fiyatları___2003_100[[#This Row],[Yıllık Değişim_1]],1,2)</f>
        <v>9.</v>
      </c>
      <c r="H138" t="str">
        <f>+MID(Fiyat_Endeksi__Üretici_Fiyatları___2003_100[[#This Row],[Yıllık Değişim_1]],4,2)</f>
        <v>4</v>
      </c>
      <c r="I138" t="str">
        <f t="shared" si="4"/>
        <v>9.,4</v>
      </c>
      <c r="K138" t="str">
        <f>+MID(Fiyat_Endeksi__Üretici_Fiyatları___2003_100[[#This Row],[Aylık Değişim_2]],1,1)</f>
        <v>0</v>
      </c>
      <c r="L138" t="str">
        <f>+MID(Fiyat_Endeksi__Üretici_Fiyatları___2003_100[[#This Row],[Aylık Değişim_2]],3,2)</f>
        <v>85</v>
      </c>
      <c r="M138" s="214" t="str">
        <f t="shared" si="5"/>
        <v>0,85</v>
      </c>
    </row>
    <row r="139" spans="1:13" x14ac:dyDescent="0.3">
      <c r="A139" s="209">
        <v>41852</v>
      </c>
      <c r="B139" t="s">
        <v>844</v>
      </c>
      <c r="C139" t="s">
        <v>1098</v>
      </c>
      <c r="D139" t="s">
        <v>844</v>
      </c>
      <c r="E139" t="s">
        <v>1099</v>
      </c>
      <c r="G139" t="str">
        <f>+MID(Fiyat_Endeksi__Üretici_Fiyatları___2003_100[[#This Row],[Yıllık Değişim_1]],1,2)</f>
        <v>9.</v>
      </c>
      <c r="H139" t="str">
        <f>+MID(Fiyat_Endeksi__Üretici_Fiyatları___2003_100[[#This Row],[Yıllık Değişim_1]],4,2)</f>
        <v>8</v>
      </c>
      <c r="I139" t="str">
        <f t="shared" si="4"/>
        <v>9.,8</v>
      </c>
      <c r="K139" t="str">
        <f>+MID(Fiyat_Endeksi__Üretici_Fiyatları___2003_100[[#This Row],[Aylık Değişim_2]],1,1)</f>
        <v>0</v>
      </c>
      <c r="L139" t="str">
        <f>+MID(Fiyat_Endeksi__Üretici_Fiyatları___2003_100[[#This Row],[Aylık Değişim_2]],3,2)</f>
        <v>42</v>
      </c>
      <c r="M139" s="214" t="str">
        <f t="shared" si="5"/>
        <v>0,42</v>
      </c>
    </row>
    <row r="140" spans="1:13" x14ac:dyDescent="0.3">
      <c r="A140" s="209">
        <v>41821</v>
      </c>
      <c r="B140" t="s">
        <v>844</v>
      </c>
      <c r="C140" t="s">
        <v>1100</v>
      </c>
      <c r="D140" t="s">
        <v>844</v>
      </c>
      <c r="E140" t="s">
        <v>1101</v>
      </c>
      <c r="G140" t="str">
        <f>+MID(Fiyat_Endeksi__Üretici_Fiyatları___2003_100[[#This Row],[Yıllık Değişim_1]],1,2)</f>
        <v>9.</v>
      </c>
      <c r="H140" t="str">
        <f>+MID(Fiyat_Endeksi__Üretici_Fiyatları___2003_100[[#This Row],[Yıllık Değişim_1]],4,2)</f>
        <v>6</v>
      </c>
      <c r="I140" t="str">
        <f t="shared" si="4"/>
        <v>9.,6</v>
      </c>
      <c r="K140" t="str">
        <f>+MID(Fiyat_Endeksi__Üretici_Fiyatları___2003_100[[#This Row],[Aylık Değişim_2]],1,1)</f>
        <v>0</v>
      </c>
      <c r="L140" t="str">
        <f>+MID(Fiyat_Endeksi__Üretici_Fiyatları___2003_100[[#This Row],[Aylık Değişim_2]],3,2)</f>
        <v>73</v>
      </c>
      <c r="M140" s="214" t="str">
        <f t="shared" si="5"/>
        <v>0,73</v>
      </c>
    </row>
    <row r="141" spans="1:13" x14ac:dyDescent="0.3">
      <c r="A141" s="209">
        <v>41791</v>
      </c>
      <c r="B141" t="s">
        <v>844</v>
      </c>
      <c r="C141" t="s">
        <v>1102</v>
      </c>
      <c r="D141" t="s">
        <v>844</v>
      </c>
      <c r="E141" t="s">
        <v>1103</v>
      </c>
      <c r="G141" t="str">
        <f>+MID(Fiyat_Endeksi__Üretici_Fiyatları___2003_100[[#This Row],[Yıllık Değişim_1]],1,2)</f>
        <v>9.</v>
      </c>
      <c r="H141" t="str">
        <f>+MID(Fiyat_Endeksi__Üretici_Fiyatları___2003_100[[#This Row],[Yıllık Değişim_1]],4,2)</f>
        <v>5</v>
      </c>
      <c r="I141" t="str">
        <f t="shared" si="4"/>
        <v>9.,5</v>
      </c>
      <c r="K141" t="str">
        <f>+MID(Fiyat_Endeksi__Üretici_Fiyatları___2003_100[[#This Row],[Aylık Değişim_2]],1,1)</f>
        <v>0</v>
      </c>
      <c r="L141" t="str">
        <f>+MID(Fiyat_Endeksi__Üretici_Fiyatları___2003_100[[#This Row],[Aylık Değişim_2]],3,2)</f>
        <v>06</v>
      </c>
      <c r="M141" s="214" t="str">
        <f t="shared" si="5"/>
        <v>0,06</v>
      </c>
    </row>
    <row r="142" spans="1:13" x14ac:dyDescent="0.3">
      <c r="A142" s="209">
        <v>41760</v>
      </c>
      <c r="B142" t="s">
        <v>844</v>
      </c>
      <c r="C142" t="s">
        <v>1104</v>
      </c>
      <c r="D142" t="s">
        <v>844</v>
      </c>
      <c r="E142" t="s">
        <v>1105</v>
      </c>
      <c r="G142" t="str">
        <f>+MID(Fiyat_Endeksi__Üretici_Fiyatları___2003_100[[#This Row],[Yıllık Değişim_1]],1,2)</f>
        <v>11</v>
      </c>
      <c r="H142" t="str">
        <f>+MID(Fiyat_Endeksi__Üretici_Fiyatları___2003_100[[#This Row],[Yıllık Değişim_1]],4,2)</f>
        <v>28</v>
      </c>
      <c r="I142" t="str">
        <f t="shared" si="4"/>
        <v>11,28</v>
      </c>
      <c r="K142" t="str">
        <f>+MID(Fiyat_Endeksi__Üretici_Fiyatları___2003_100[[#This Row],[Aylık Değişim_2]],1,1)</f>
        <v>-</v>
      </c>
      <c r="L142" t="str">
        <f>+MID(Fiyat_Endeksi__Üretici_Fiyatları___2003_100[[#This Row],[Aylık Değişim_2]],3,2)</f>
        <v>.5</v>
      </c>
      <c r="M142" s="214" t="str">
        <f t="shared" si="5"/>
        <v>-,.5</v>
      </c>
    </row>
    <row r="143" spans="1:13" x14ac:dyDescent="0.3">
      <c r="A143" s="209">
        <v>41730</v>
      </c>
      <c r="B143" t="s">
        <v>844</v>
      </c>
      <c r="C143" t="s">
        <v>1106</v>
      </c>
      <c r="D143" t="s">
        <v>844</v>
      </c>
      <c r="E143" t="s">
        <v>994</v>
      </c>
      <c r="G143" t="str">
        <f>+MID(Fiyat_Endeksi__Üretici_Fiyatları___2003_100[[#This Row],[Yıllık Değişim_1]],1,2)</f>
        <v>12</v>
      </c>
      <c r="H143" t="str">
        <f>+MID(Fiyat_Endeksi__Üretici_Fiyatları___2003_100[[#This Row],[Yıllık Değişim_1]],4,2)</f>
        <v>98</v>
      </c>
      <c r="I143" t="str">
        <f t="shared" si="4"/>
        <v>12,98</v>
      </c>
      <c r="K143" t="str">
        <f>+MID(Fiyat_Endeksi__Üretici_Fiyatları___2003_100[[#This Row],[Aylık Değişim_2]],1,1)</f>
        <v>0</v>
      </c>
      <c r="L143" t="str">
        <f>+MID(Fiyat_Endeksi__Üretici_Fiyatları___2003_100[[#This Row],[Aylık Değişim_2]],3,2)</f>
        <v>09</v>
      </c>
      <c r="M143" s="214" t="str">
        <f t="shared" si="5"/>
        <v>0,09</v>
      </c>
    </row>
    <row r="144" spans="1:13" x14ac:dyDescent="0.3">
      <c r="A144" s="209">
        <v>41699</v>
      </c>
      <c r="B144" t="s">
        <v>844</v>
      </c>
      <c r="C144" t="s">
        <v>1107</v>
      </c>
      <c r="D144" t="s">
        <v>844</v>
      </c>
      <c r="E144" t="s">
        <v>914</v>
      </c>
      <c r="G144" t="str">
        <f>+MID(Fiyat_Endeksi__Üretici_Fiyatları___2003_100[[#This Row],[Yıllık Değişim_1]],1,2)</f>
        <v>12</v>
      </c>
      <c r="H144" t="str">
        <f>+MID(Fiyat_Endeksi__Üretici_Fiyatları___2003_100[[#This Row],[Yıllık Değişim_1]],4,2)</f>
        <v>31</v>
      </c>
      <c r="I144" t="str">
        <f t="shared" si="4"/>
        <v>12,31</v>
      </c>
      <c r="K144" t="str">
        <f>+MID(Fiyat_Endeksi__Üretici_Fiyatları___2003_100[[#This Row],[Aylık Değişim_2]],1,1)</f>
        <v>0</v>
      </c>
      <c r="L144" t="str">
        <f>+MID(Fiyat_Endeksi__Üretici_Fiyatları___2003_100[[#This Row],[Aylık Değişim_2]],3,2)</f>
        <v>74</v>
      </c>
      <c r="M144" s="214" t="str">
        <f t="shared" si="5"/>
        <v>0,74</v>
      </c>
    </row>
    <row r="145" spans="1:13" x14ac:dyDescent="0.3">
      <c r="A145" s="209">
        <v>41671</v>
      </c>
      <c r="B145" t="s">
        <v>844</v>
      </c>
      <c r="C145" t="s">
        <v>1108</v>
      </c>
      <c r="D145" t="s">
        <v>844</v>
      </c>
      <c r="E145" t="s">
        <v>877</v>
      </c>
      <c r="G145" t="str">
        <f>+MID(Fiyat_Endeksi__Üretici_Fiyatları___2003_100[[#This Row],[Yıllık Değişim_1]],1,2)</f>
        <v>12</v>
      </c>
      <c r="H145" t="str">
        <f>+MID(Fiyat_Endeksi__Üretici_Fiyatları___2003_100[[#This Row],[Yıllık Değişim_1]],4,2)</f>
        <v>40</v>
      </c>
      <c r="I145" t="str">
        <f t="shared" ref="I145:I208" si="6">+CONCATENATE(G145,",",H145)</f>
        <v>12,40</v>
      </c>
      <c r="M145" s="214"/>
    </row>
    <row r="146" spans="1:13" x14ac:dyDescent="0.3">
      <c r="A146" s="209">
        <v>41640</v>
      </c>
      <c r="B146" t="s">
        <v>844</v>
      </c>
      <c r="C146" t="s">
        <v>1109</v>
      </c>
      <c r="D146" t="s">
        <v>844</v>
      </c>
      <c r="E146" t="s">
        <v>1110</v>
      </c>
      <c r="G146" t="str">
        <f>+MID(Fiyat_Endeksi__Üretici_Fiyatları___2003_100[[#This Row],[Yıllık Değişim_1]],1,2)</f>
        <v>10</v>
      </c>
      <c r="H146" t="str">
        <f>+MID(Fiyat_Endeksi__Üretici_Fiyatları___2003_100[[#This Row],[Yıllık Değişim_1]],4,2)</f>
        <v>72</v>
      </c>
      <c r="I146" t="str">
        <f t="shared" si="6"/>
        <v>10,72</v>
      </c>
    </row>
    <row r="147" spans="1:13" x14ac:dyDescent="0.3">
      <c r="A147" s="209">
        <v>41609</v>
      </c>
      <c r="B147" t="s">
        <v>1111</v>
      </c>
      <c r="C147" t="s">
        <v>844</v>
      </c>
      <c r="D147" t="s">
        <v>1083</v>
      </c>
      <c r="E147" t="s">
        <v>844</v>
      </c>
      <c r="G147" t="str">
        <f>+MID(Fiyat_Endeksi__Üretici_Fiyatları___2003_100[[#This Row],[Yıllık Değişim_1]],1,2)</f>
        <v/>
      </c>
      <c r="H147" t="str">
        <f>+MID(Fiyat_Endeksi__Üretici_Fiyatları___2003_100[[#This Row],[Yıllık Değişim_1]],4,2)</f>
        <v/>
      </c>
      <c r="I147" t="str">
        <f t="shared" si="6"/>
        <v>,</v>
      </c>
    </row>
    <row r="148" spans="1:13" x14ac:dyDescent="0.3">
      <c r="A148" s="209">
        <v>41579</v>
      </c>
      <c r="B148" t="s">
        <v>1112</v>
      </c>
      <c r="C148" t="s">
        <v>844</v>
      </c>
      <c r="D148" t="s">
        <v>1113</v>
      </c>
      <c r="E148" t="s">
        <v>844</v>
      </c>
      <c r="G148" t="str">
        <f>+MID(Fiyat_Endeksi__Üretici_Fiyatları___2003_100[[#This Row],[Yıllık Değişim_1]],1,2)</f>
        <v/>
      </c>
      <c r="H148" t="str">
        <f>+MID(Fiyat_Endeksi__Üretici_Fiyatları___2003_100[[#This Row],[Yıllık Değişim_1]],4,2)</f>
        <v/>
      </c>
      <c r="I148" t="str">
        <f t="shared" si="6"/>
        <v>,</v>
      </c>
    </row>
    <row r="149" spans="1:13" x14ac:dyDescent="0.3">
      <c r="A149" s="209">
        <v>41548</v>
      </c>
      <c r="B149" t="s">
        <v>924</v>
      </c>
      <c r="C149" t="s">
        <v>844</v>
      </c>
      <c r="D149" t="s">
        <v>971</v>
      </c>
      <c r="E149" t="s">
        <v>844</v>
      </c>
      <c r="G149" t="str">
        <f>+MID(Fiyat_Endeksi__Üretici_Fiyatları___2003_100[[#This Row],[Yıllık Değişim_1]],1,2)</f>
        <v/>
      </c>
      <c r="H149" t="str">
        <f>+MID(Fiyat_Endeksi__Üretici_Fiyatları___2003_100[[#This Row],[Yıllık Değişim_1]],4,2)</f>
        <v/>
      </c>
      <c r="I149" t="str">
        <f t="shared" si="6"/>
        <v>,</v>
      </c>
    </row>
    <row r="150" spans="1:13" x14ac:dyDescent="0.3">
      <c r="A150" s="209">
        <v>41518</v>
      </c>
      <c r="B150" t="s">
        <v>1114</v>
      </c>
      <c r="C150" t="s">
        <v>844</v>
      </c>
      <c r="D150" t="s">
        <v>1115</v>
      </c>
      <c r="E150" t="s">
        <v>844</v>
      </c>
      <c r="G150" t="str">
        <f>+MID(Fiyat_Endeksi__Üretici_Fiyatları___2003_100[[#This Row],[Yıllık Değişim_1]],1,2)</f>
        <v/>
      </c>
      <c r="H150" t="str">
        <f>+MID(Fiyat_Endeksi__Üretici_Fiyatları___2003_100[[#This Row],[Yıllık Değişim_1]],4,2)</f>
        <v/>
      </c>
      <c r="I150" t="str">
        <f t="shared" si="6"/>
        <v>,</v>
      </c>
    </row>
    <row r="151" spans="1:13" x14ac:dyDescent="0.3">
      <c r="A151" s="209">
        <v>41487</v>
      </c>
      <c r="B151" t="s">
        <v>1116</v>
      </c>
      <c r="C151" t="s">
        <v>844</v>
      </c>
      <c r="D151" t="s">
        <v>1117</v>
      </c>
      <c r="E151" t="s">
        <v>844</v>
      </c>
      <c r="G151" t="str">
        <f>+MID(Fiyat_Endeksi__Üretici_Fiyatları___2003_100[[#This Row],[Yıllık Değişim_1]],1,2)</f>
        <v/>
      </c>
      <c r="H151" t="str">
        <f>+MID(Fiyat_Endeksi__Üretici_Fiyatları___2003_100[[#This Row],[Yıllık Değişim_1]],4,2)</f>
        <v/>
      </c>
      <c r="I151" t="str">
        <f t="shared" si="6"/>
        <v>,</v>
      </c>
    </row>
    <row r="152" spans="1:13" x14ac:dyDescent="0.3">
      <c r="A152" s="209">
        <v>41456</v>
      </c>
      <c r="B152" t="s">
        <v>1118</v>
      </c>
      <c r="C152" t="s">
        <v>844</v>
      </c>
      <c r="D152" t="s">
        <v>1026</v>
      </c>
      <c r="E152" t="s">
        <v>844</v>
      </c>
      <c r="G152" t="str">
        <f>+MID(Fiyat_Endeksi__Üretici_Fiyatları___2003_100[[#This Row],[Yıllık Değişim_1]],1,2)</f>
        <v/>
      </c>
      <c r="H152" t="str">
        <f>+MID(Fiyat_Endeksi__Üretici_Fiyatları___2003_100[[#This Row],[Yıllık Değişim_1]],4,2)</f>
        <v/>
      </c>
      <c r="I152" t="str">
        <f t="shared" si="6"/>
        <v>,</v>
      </c>
    </row>
    <row r="153" spans="1:13" x14ac:dyDescent="0.3">
      <c r="A153" s="209">
        <v>41426</v>
      </c>
      <c r="B153" t="s">
        <v>1119</v>
      </c>
      <c r="C153" t="s">
        <v>844</v>
      </c>
      <c r="D153" t="s">
        <v>1120</v>
      </c>
      <c r="E153" t="s">
        <v>844</v>
      </c>
      <c r="G153" t="str">
        <f>+MID(Fiyat_Endeksi__Üretici_Fiyatları___2003_100[[#This Row],[Yıllık Değişim_1]],1,2)</f>
        <v/>
      </c>
      <c r="H153" t="str">
        <f>+MID(Fiyat_Endeksi__Üretici_Fiyatları___2003_100[[#This Row],[Yıllık Değişim_1]],4,2)</f>
        <v/>
      </c>
      <c r="I153" t="str">
        <f t="shared" si="6"/>
        <v>,</v>
      </c>
    </row>
    <row r="154" spans="1:13" x14ac:dyDescent="0.3">
      <c r="A154" s="209">
        <v>41395</v>
      </c>
      <c r="B154" t="s">
        <v>1121</v>
      </c>
      <c r="C154" t="s">
        <v>844</v>
      </c>
      <c r="D154" t="s">
        <v>1122</v>
      </c>
      <c r="E154" t="s">
        <v>844</v>
      </c>
      <c r="G154" t="str">
        <f>+MID(Fiyat_Endeksi__Üretici_Fiyatları___2003_100[[#This Row],[Yıllık Değişim_1]],1,2)</f>
        <v/>
      </c>
      <c r="H154" t="str">
        <f>+MID(Fiyat_Endeksi__Üretici_Fiyatları___2003_100[[#This Row],[Yıllık Değişim_1]],4,2)</f>
        <v/>
      </c>
      <c r="I154" t="str">
        <f t="shared" si="6"/>
        <v>,</v>
      </c>
    </row>
    <row r="155" spans="1:13" x14ac:dyDescent="0.3">
      <c r="A155" s="209">
        <v>41365</v>
      </c>
      <c r="B155" t="s">
        <v>985</v>
      </c>
      <c r="C155" t="s">
        <v>844</v>
      </c>
      <c r="D155" t="s">
        <v>1123</v>
      </c>
      <c r="E155" t="s">
        <v>844</v>
      </c>
      <c r="G155" t="str">
        <f>+MID(Fiyat_Endeksi__Üretici_Fiyatları___2003_100[[#This Row],[Yıllık Değişim_1]],1,2)</f>
        <v/>
      </c>
      <c r="H155" t="str">
        <f>+MID(Fiyat_Endeksi__Üretici_Fiyatları___2003_100[[#This Row],[Yıllık Değişim_1]],4,2)</f>
        <v/>
      </c>
      <c r="I155" t="str">
        <f t="shared" si="6"/>
        <v>,</v>
      </c>
    </row>
    <row r="156" spans="1:13" x14ac:dyDescent="0.3">
      <c r="A156" s="209">
        <v>41334</v>
      </c>
      <c r="B156" t="s">
        <v>1124</v>
      </c>
      <c r="C156" t="s">
        <v>844</v>
      </c>
      <c r="D156" t="s">
        <v>904</v>
      </c>
      <c r="E156" t="s">
        <v>844</v>
      </c>
      <c r="G156" t="str">
        <f>+MID(Fiyat_Endeksi__Üretici_Fiyatları___2003_100[[#This Row],[Yıllık Değişim_1]],1,2)</f>
        <v/>
      </c>
      <c r="H156" t="str">
        <f>+MID(Fiyat_Endeksi__Üretici_Fiyatları___2003_100[[#This Row],[Yıllık Değişim_1]],4,2)</f>
        <v/>
      </c>
      <c r="I156" t="str">
        <f t="shared" si="6"/>
        <v>,</v>
      </c>
    </row>
    <row r="157" spans="1:13" x14ac:dyDescent="0.3">
      <c r="A157" s="209">
        <v>41306</v>
      </c>
      <c r="B157" t="s">
        <v>981</v>
      </c>
      <c r="C157" t="s">
        <v>844</v>
      </c>
      <c r="D157" t="s">
        <v>1125</v>
      </c>
      <c r="E157" t="s">
        <v>844</v>
      </c>
      <c r="G157" t="str">
        <f>+MID(Fiyat_Endeksi__Üretici_Fiyatları___2003_100[[#This Row],[Yıllık Değişim_1]],1,2)</f>
        <v/>
      </c>
      <c r="H157" t="str">
        <f>+MID(Fiyat_Endeksi__Üretici_Fiyatları___2003_100[[#This Row],[Yıllık Değişim_1]],4,2)</f>
        <v/>
      </c>
      <c r="I157" t="str">
        <f t="shared" si="6"/>
        <v>,</v>
      </c>
    </row>
    <row r="158" spans="1:13" x14ac:dyDescent="0.3">
      <c r="A158" s="209">
        <v>41275</v>
      </c>
      <c r="B158" t="s">
        <v>859</v>
      </c>
      <c r="C158" t="s">
        <v>844</v>
      </c>
      <c r="D158" t="s">
        <v>1126</v>
      </c>
      <c r="E158" t="s">
        <v>844</v>
      </c>
      <c r="G158" t="str">
        <f>+MID(Fiyat_Endeksi__Üretici_Fiyatları___2003_100[[#This Row],[Yıllık Değişim_1]],1,2)</f>
        <v/>
      </c>
      <c r="H158" t="str">
        <f>+MID(Fiyat_Endeksi__Üretici_Fiyatları___2003_100[[#This Row],[Yıllık Değişim_1]],4,2)</f>
        <v/>
      </c>
      <c r="I158" t="str">
        <f t="shared" si="6"/>
        <v>,</v>
      </c>
    </row>
    <row r="159" spans="1:13" x14ac:dyDescent="0.3">
      <c r="A159" s="209">
        <v>41244</v>
      </c>
      <c r="B159" t="s">
        <v>987</v>
      </c>
      <c r="C159" t="s">
        <v>844</v>
      </c>
      <c r="D159" t="s">
        <v>1127</v>
      </c>
      <c r="E159" t="s">
        <v>844</v>
      </c>
      <c r="G159" t="str">
        <f>+MID(Fiyat_Endeksi__Üretici_Fiyatları___2003_100[[#This Row],[Yıllık Değişim_1]],1,2)</f>
        <v/>
      </c>
      <c r="H159" t="str">
        <f>+MID(Fiyat_Endeksi__Üretici_Fiyatları___2003_100[[#This Row],[Yıllık Değişim_1]],4,2)</f>
        <v/>
      </c>
      <c r="I159" t="str">
        <f t="shared" si="6"/>
        <v>,</v>
      </c>
    </row>
    <row r="160" spans="1:13" x14ac:dyDescent="0.3">
      <c r="A160" s="209">
        <v>41214</v>
      </c>
      <c r="B160" t="s">
        <v>881</v>
      </c>
      <c r="C160" t="s">
        <v>844</v>
      </c>
      <c r="D160" t="s">
        <v>1128</v>
      </c>
      <c r="E160" t="s">
        <v>844</v>
      </c>
      <c r="G160" t="str">
        <f>+MID(Fiyat_Endeksi__Üretici_Fiyatları___2003_100[[#This Row],[Yıllık Değişim_1]],1,2)</f>
        <v/>
      </c>
      <c r="H160" t="str">
        <f>+MID(Fiyat_Endeksi__Üretici_Fiyatları___2003_100[[#This Row],[Yıllık Değişim_1]],4,2)</f>
        <v/>
      </c>
      <c r="I160" t="str">
        <f t="shared" si="6"/>
        <v>,</v>
      </c>
    </row>
    <row r="161" spans="1:9" x14ac:dyDescent="0.3">
      <c r="A161" s="209">
        <v>41183</v>
      </c>
      <c r="B161" t="s">
        <v>1129</v>
      </c>
      <c r="C161" t="s">
        <v>844</v>
      </c>
      <c r="D161" t="s">
        <v>986</v>
      </c>
      <c r="E161" t="s">
        <v>844</v>
      </c>
      <c r="G161" t="str">
        <f>+MID(Fiyat_Endeksi__Üretici_Fiyatları___2003_100[[#This Row],[Yıllık Değişim_1]],1,2)</f>
        <v/>
      </c>
      <c r="H161" t="str">
        <f>+MID(Fiyat_Endeksi__Üretici_Fiyatları___2003_100[[#This Row],[Yıllık Değişim_1]],4,2)</f>
        <v/>
      </c>
      <c r="I161" t="str">
        <f t="shared" si="6"/>
        <v>,</v>
      </c>
    </row>
    <row r="162" spans="1:9" x14ac:dyDescent="0.3">
      <c r="A162" s="209">
        <v>41153</v>
      </c>
      <c r="B162" t="s">
        <v>1130</v>
      </c>
      <c r="C162" t="s">
        <v>844</v>
      </c>
      <c r="D162" t="s">
        <v>1131</v>
      </c>
      <c r="E162" t="s">
        <v>844</v>
      </c>
      <c r="G162" t="str">
        <f>+MID(Fiyat_Endeksi__Üretici_Fiyatları___2003_100[[#This Row],[Yıllık Değişim_1]],1,2)</f>
        <v/>
      </c>
      <c r="H162" t="str">
        <f>+MID(Fiyat_Endeksi__Üretici_Fiyatları___2003_100[[#This Row],[Yıllık Değişim_1]],4,2)</f>
        <v/>
      </c>
      <c r="I162" t="str">
        <f t="shared" si="6"/>
        <v>,</v>
      </c>
    </row>
    <row r="163" spans="1:9" x14ac:dyDescent="0.3">
      <c r="A163" s="209">
        <v>41122</v>
      </c>
      <c r="B163" t="s">
        <v>1132</v>
      </c>
      <c r="C163" t="s">
        <v>844</v>
      </c>
      <c r="D163" t="s">
        <v>1133</v>
      </c>
      <c r="E163" t="s">
        <v>844</v>
      </c>
      <c r="G163" t="str">
        <f>+MID(Fiyat_Endeksi__Üretici_Fiyatları___2003_100[[#This Row],[Yıllık Değişim_1]],1,2)</f>
        <v/>
      </c>
      <c r="H163" t="str">
        <f>+MID(Fiyat_Endeksi__Üretici_Fiyatları___2003_100[[#This Row],[Yıllık Değişim_1]],4,2)</f>
        <v/>
      </c>
      <c r="I163" t="str">
        <f t="shared" si="6"/>
        <v>,</v>
      </c>
    </row>
    <row r="164" spans="1:9" x14ac:dyDescent="0.3">
      <c r="A164" s="209">
        <v>41091</v>
      </c>
      <c r="B164" t="s">
        <v>1134</v>
      </c>
      <c r="C164" t="s">
        <v>844</v>
      </c>
      <c r="D164" t="s">
        <v>1135</v>
      </c>
      <c r="E164" t="s">
        <v>844</v>
      </c>
      <c r="G164" t="str">
        <f>+MID(Fiyat_Endeksi__Üretici_Fiyatları___2003_100[[#This Row],[Yıllık Değişim_1]],1,2)</f>
        <v/>
      </c>
      <c r="H164" t="str">
        <f>+MID(Fiyat_Endeksi__Üretici_Fiyatları___2003_100[[#This Row],[Yıllık Değişim_1]],4,2)</f>
        <v/>
      </c>
      <c r="I164" t="str">
        <f t="shared" si="6"/>
        <v>,</v>
      </c>
    </row>
    <row r="165" spans="1:9" x14ac:dyDescent="0.3">
      <c r="A165" s="209">
        <v>41061</v>
      </c>
      <c r="B165" t="s">
        <v>1136</v>
      </c>
      <c r="C165" t="s">
        <v>844</v>
      </c>
      <c r="D165" t="s">
        <v>1137</v>
      </c>
      <c r="E165" t="s">
        <v>844</v>
      </c>
      <c r="G165" t="str">
        <f>+MID(Fiyat_Endeksi__Üretici_Fiyatları___2003_100[[#This Row],[Yıllık Değişim_1]],1,2)</f>
        <v/>
      </c>
      <c r="H165" t="str">
        <f>+MID(Fiyat_Endeksi__Üretici_Fiyatları___2003_100[[#This Row],[Yıllık Değişim_1]],4,2)</f>
        <v/>
      </c>
      <c r="I165" t="str">
        <f t="shared" si="6"/>
        <v>,</v>
      </c>
    </row>
    <row r="166" spans="1:9" x14ac:dyDescent="0.3">
      <c r="A166" s="209">
        <v>41030</v>
      </c>
      <c r="B166" t="s">
        <v>1138</v>
      </c>
      <c r="C166" t="s">
        <v>844</v>
      </c>
      <c r="D166" t="s">
        <v>1139</v>
      </c>
      <c r="E166" t="s">
        <v>844</v>
      </c>
      <c r="G166" t="str">
        <f>+MID(Fiyat_Endeksi__Üretici_Fiyatları___2003_100[[#This Row],[Yıllık Değişim_1]],1,2)</f>
        <v/>
      </c>
      <c r="H166" t="str">
        <f>+MID(Fiyat_Endeksi__Üretici_Fiyatları___2003_100[[#This Row],[Yıllık Değişim_1]],4,2)</f>
        <v/>
      </c>
      <c r="I166" t="str">
        <f t="shared" si="6"/>
        <v>,</v>
      </c>
    </row>
    <row r="167" spans="1:9" x14ac:dyDescent="0.3">
      <c r="A167" s="209">
        <v>41000</v>
      </c>
      <c r="B167" t="s">
        <v>1140</v>
      </c>
      <c r="C167" t="s">
        <v>844</v>
      </c>
      <c r="D167" t="s">
        <v>1056</v>
      </c>
      <c r="E167" t="s">
        <v>844</v>
      </c>
      <c r="G167" t="str">
        <f>+MID(Fiyat_Endeksi__Üretici_Fiyatları___2003_100[[#This Row],[Yıllık Değişim_1]],1,2)</f>
        <v/>
      </c>
      <c r="H167" t="str">
        <f>+MID(Fiyat_Endeksi__Üretici_Fiyatları___2003_100[[#This Row],[Yıllık Değişim_1]],4,2)</f>
        <v/>
      </c>
      <c r="I167" t="str">
        <f t="shared" si="6"/>
        <v>,</v>
      </c>
    </row>
    <row r="168" spans="1:9" x14ac:dyDescent="0.3">
      <c r="A168" s="209">
        <v>40969</v>
      </c>
      <c r="B168" t="s">
        <v>1141</v>
      </c>
      <c r="C168" t="s">
        <v>844</v>
      </c>
      <c r="D168" t="s">
        <v>1142</v>
      </c>
      <c r="E168" t="s">
        <v>844</v>
      </c>
      <c r="G168" t="str">
        <f>+MID(Fiyat_Endeksi__Üretici_Fiyatları___2003_100[[#This Row],[Yıllık Değişim_1]],1,2)</f>
        <v/>
      </c>
      <c r="H168" t="str">
        <f>+MID(Fiyat_Endeksi__Üretici_Fiyatları___2003_100[[#This Row],[Yıllık Değişim_1]],4,2)</f>
        <v/>
      </c>
      <c r="I168" t="str">
        <f t="shared" si="6"/>
        <v>,</v>
      </c>
    </row>
    <row r="169" spans="1:9" x14ac:dyDescent="0.3">
      <c r="A169" s="209">
        <v>40940</v>
      </c>
      <c r="B169" t="s">
        <v>1143</v>
      </c>
      <c r="C169" t="s">
        <v>844</v>
      </c>
      <c r="D169" t="s">
        <v>1144</v>
      </c>
      <c r="E169" t="s">
        <v>844</v>
      </c>
      <c r="G169" t="str">
        <f>+MID(Fiyat_Endeksi__Üretici_Fiyatları___2003_100[[#This Row],[Yıllık Değişim_1]],1,2)</f>
        <v/>
      </c>
      <c r="H169" t="str">
        <f>+MID(Fiyat_Endeksi__Üretici_Fiyatları___2003_100[[#This Row],[Yıllık Değişim_1]],4,2)</f>
        <v/>
      </c>
      <c r="I169" t="str">
        <f t="shared" si="6"/>
        <v>,</v>
      </c>
    </row>
    <row r="170" spans="1:9" x14ac:dyDescent="0.3">
      <c r="A170" s="209">
        <v>40909</v>
      </c>
      <c r="B170" t="s">
        <v>1145</v>
      </c>
      <c r="C170" t="s">
        <v>844</v>
      </c>
      <c r="D170" t="s">
        <v>1146</v>
      </c>
      <c r="E170" t="s">
        <v>844</v>
      </c>
      <c r="G170" t="str">
        <f>+MID(Fiyat_Endeksi__Üretici_Fiyatları___2003_100[[#This Row],[Yıllık Değişim_1]],1,2)</f>
        <v/>
      </c>
      <c r="H170" t="str">
        <f>+MID(Fiyat_Endeksi__Üretici_Fiyatları___2003_100[[#This Row],[Yıllık Değişim_1]],4,2)</f>
        <v/>
      </c>
      <c r="I170" t="str">
        <f t="shared" si="6"/>
        <v>,</v>
      </c>
    </row>
    <row r="171" spans="1:9" x14ac:dyDescent="0.3">
      <c r="A171" s="209">
        <v>40878</v>
      </c>
      <c r="B171" t="s">
        <v>1147</v>
      </c>
      <c r="C171" t="s">
        <v>844</v>
      </c>
      <c r="D171" t="s">
        <v>1122</v>
      </c>
      <c r="E171" t="s">
        <v>844</v>
      </c>
      <c r="G171" t="str">
        <f>+MID(Fiyat_Endeksi__Üretici_Fiyatları___2003_100[[#This Row],[Yıllık Değişim_1]],1,2)</f>
        <v/>
      </c>
      <c r="H171" t="str">
        <f>+MID(Fiyat_Endeksi__Üretici_Fiyatları___2003_100[[#This Row],[Yıllık Değişim_1]],4,2)</f>
        <v/>
      </c>
      <c r="I171" t="str">
        <f t="shared" si="6"/>
        <v>,</v>
      </c>
    </row>
    <row r="172" spans="1:9" x14ac:dyDescent="0.3">
      <c r="A172" s="209">
        <v>40848</v>
      </c>
      <c r="B172" t="s">
        <v>1148</v>
      </c>
      <c r="C172" t="s">
        <v>844</v>
      </c>
      <c r="D172" t="s">
        <v>902</v>
      </c>
      <c r="E172" t="s">
        <v>844</v>
      </c>
      <c r="G172" t="str">
        <f>+MID(Fiyat_Endeksi__Üretici_Fiyatları___2003_100[[#This Row],[Yıllık Değişim_1]],1,2)</f>
        <v/>
      </c>
      <c r="H172" t="str">
        <f>+MID(Fiyat_Endeksi__Üretici_Fiyatları___2003_100[[#This Row],[Yıllık Değişim_1]],4,2)</f>
        <v/>
      </c>
      <c r="I172" t="str">
        <f t="shared" si="6"/>
        <v>,</v>
      </c>
    </row>
    <row r="173" spans="1:9" x14ac:dyDescent="0.3">
      <c r="A173" s="209">
        <v>40817</v>
      </c>
      <c r="B173" t="s">
        <v>1149</v>
      </c>
      <c r="C173" t="s">
        <v>844</v>
      </c>
      <c r="D173" t="s">
        <v>1150</v>
      </c>
      <c r="E173" t="s">
        <v>844</v>
      </c>
      <c r="G173" t="str">
        <f>+MID(Fiyat_Endeksi__Üretici_Fiyatları___2003_100[[#This Row],[Yıllık Değişim_1]],1,2)</f>
        <v/>
      </c>
      <c r="H173" t="str">
        <f>+MID(Fiyat_Endeksi__Üretici_Fiyatları___2003_100[[#This Row],[Yıllık Değişim_1]],4,2)</f>
        <v/>
      </c>
      <c r="I173" t="str">
        <f t="shared" si="6"/>
        <v>,</v>
      </c>
    </row>
    <row r="174" spans="1:9" x14ac:dyDescent="0.3">
      <c r="A174" s="209">
        <v>40787</v>
      </c>
      <c r="B174" t="s">
        <v>1151</v>
      </c>
      <c r="C174" t="s">
        <v>844</v>
      </c>
      <c r="D174" t="s">
        <v>942</v>
      </c>
      <c r="E174" t="s">
        <v>844</v>
      </c>
      <c r="G174" t="str">
        <f>+MID(Fiyat_Endeksi__Üretici_Fiyatları___2003_100[[#This Row],[Yıllık Değişim_1]],1,2)</f>
        <v/>
      </c>
      <c r="H174" t="str">
        <f>+MID(Fiyat_Endeksi__Üretici_Fiyatları___2003_100[[#This Row],[Yıllık Değişim_1]],4,2)</f>
        <v/>
      </c>
      <c r="I174" t="str">
        <f t="shared" si="6"/>
        <v>,</v>
      </c>
    </row>
    <row r="175" spans="1:9" x14ac:dyDescent="0.3">
      <c r="A175" s="209">
        <v>40756</v>
      </c>
      <c r="B175" t="s">
        <v>1152</v>
      </c>
      <c r="C175" t="s">
        <v>844</v>
      </c>
      <c r="D175" t="s">
        <v>1153</v>
      </c>
      <c r="E175" t="s">
        <v>844</v>
      </c>
      <c r="G175" t="str">
        <f>+MID(Fiyat_Endeksi__Üretici_Fiyatları___2003_100[[#This Row],[Yıllık Değişim_1]],1,2)</f>
        <v/>
      </c>
      <c r="H175" t="str">
        <f>+MID(Fiyat_Endeksi__Üretici_Fiyatları___2003_100[[#This Row],[Yıllık Değişim_1]],4,2)</f>
        <v/>
      </c>
      <c r="I175" t="str">
        <f t="shared" si="6"/>
        <v>,</v>
      </c>
    </row>
    <row r="176" spans="1:9" x14ac:dyDescent="0.3">
      <c r="A176" s="209">
        <v>40725</v>
      </c>
      <c r="B176" t="s">
        <v>1154</v>
      </c>
      <c r="C176" t="s">
        <v>844</v>
      </c>
      <c r="D176" t="s">
        <v>1155</v>
      </c>
      <c r="E176" t="s">
        <v>844</v>
      </c>
      <c r="G176" t="str">
        <f>+MID(Fiyat_Endeksi__Üretici_Fiyatları___2003_100[[#This Row],[Yıllık Değişim_1]],1,2)</f>
        <v/>
      </c>
      <c r="H176" t="str">
        <f>+MID(Fiyat_Endeksi__Üretici_Fiyatları___2003_100[[#This Row],[Yıllık Değişim_1]],4,2)</f>
        <v/>
      </c>
      <c r="I176" t="str">
        <f t="shared" si="6"/>
        <v>,</v>
      </c>
    </row>
    <row r="177" spans="1:9" x14ac:dyDescent="0.3">
      <c r="A177" s="209">
        <v>40695</v>
      </c>
      <c r="B177" t="s">
        <v>1156</v>
      </c>
      <c r="C177" t="s">
        <v>844</v>
      </c>
      <c r="D177" t="s">
        <v>1157</v>
      </c>
      <c r="E177" t="s">
        <v>844</v>
      </c>
      <c r="G177" t="str">
        <f>+MID(Fiyat_Endeksi__Üretici_Fiyatları___2003_100[[#This Row],[Yıllık Değişim_1]],1,2)</f>
        <v/>
      </c>
      <c r="H177" t="str">
        <f>+MID(Fiyat_Endeksi__Üretici_Fiyatları___2003_100[[#This Row],[Yıllık Değişim_1]],4,2)</f>
        <v/>
      </c>
      <c r="I177" t="str">
        <f t="shared" si="6"/>
        <v>,</v>
      </c>
    </row>
    <row r="178" spans="1:9" x14ac:dyDescent="0.3">
      <c r="A178" s="209">
        <v>40664</v>
      </c>
      <c r="B178" t="s">
        <v>1158</v>
      </c>
      <c r="C178" t="s">
        <v>844</v>
      </c>
      <c r="D178" t="s">
        <v>1159</v>
      </c>
      <c r="E178" t="s">
        <v>844</v>
      </c>
      <c r="G178" t="str">
        <f>+MID(Fiyat_Endeksi__Üretici_Fiyatları___2003_100[[#This Row],[Yıllık Değişim_1]],1,2)</f>
        <v/>
      </c>
      <c r="H178" t="str">
        <f>+MID(Fiyat_Endeksi__Üretici_Fiyatları___2003_100[[#This Row],[Yıllık Değişim_1]],4,2)</f>
        <v/>
      </c>
      <c r="I178" t="str">
        <f t="shared" si="6"/>
        <v>,</v>
      </c>
    </row>
    <row r="179" spans="1:9" x14ac:dyDescent="0.3">
      <c r="A179" s="209">
        <v>40634</v>
      </c>
      <c r="B179" t="s">
        <v>1160</v>
      </c>
      <c r="C179" t="s">
        <v>844</v>
      </c>
      <c r="D179" t="s">
        <v>1161</v>
      </c>
      <c r="E179" t="s">
        <v>844</v>
      </c>
      <c r="G179" t="str">
        <f>+MID(Fiyat_Endeksi__Üretici_Fiyatları___2003_100[[#This Row],[Yıllık Değişim_1]],1,2)</f>
        <v/>
      </c>
      <c r="H179" t="str">
        <f>+MID(Fiyat_Endeksi__Üretici_Fiyatları___2003_100[[#This Row],[Yıllık Değişim_1]],4,2)</f>
        <v/>
      </c>
      <c r="I179" t="str">
        <f t="shared" si="6"/>
        <v>,</v>
      </c>
    </row>
    <row r="180" spans="1:9" x14ac:dyDescent="0.3">
      <c r="A180" s="209">
        <v>40603</v>
      </c>
      <c r="B180" t="s">
        <v>1162</v>
      </c>
      <c r="C180" t="s">
        <v>844</v>
      </c>
      <c r="D180" t="s">
        <v>955</v>
      </c>
      <c r="E180" t="s">
        <v>844</v>
      </c>
      <c r="G180" t="str">
        <f>+MID(Fiyat_Endeksi__Üretici_Fiyatları___2003_100[[#This Row],[Yıllık Değişim_1]],1,2)</f>
        <v/>
      </c>
      <c r="H180" t="str">
        <f>+MID(Fiyat_Endeksi__Üretici_Fiyatları___2003_100[[#This Row],[Yıllık Değişim_1]],4,2)</f>
        <v/>
      </c>
      <c r="I180" t="str">
        <f t="shared" si="6"/>
        <v>,</v>
      </c>
    </row>
    <row r="181" spans="1:9" x14ac:dyDescent="0.3">
      <c r="A181" s="209">
        <v>40575</v>
      </c>
      <c r="B181" t="s">
        <v>1163</v>
      </c>
      <c r="C181" t="s">
        <v>844</v>
      </c>
      <c r="D181" t="s">
        <v>1164</v>
      </c>
      <c r="E181" t="s">
        <v>844</v>
      </c>
      <c r="G181" t="str">
        <f>+MID(Fiyat_Endeksi__Üretici_Fiyatları___2003_100[[#This Row],[Yıllık Değişim_1]],1,2)</f>
        <v/>
      </c>
      <c r="H181" t="str">
        <f>+MID(Fiyat_Endeksi__Üretici_Fiyatları___2003_100[[#This Row],[Yıllık Değişim_1]],4,2)</f>
        <v/>
      </c>
      <c r="I181" t="str">
        <f t="shared" si="6"/>
        <v>,</v>
      </c>
    </row>
    <row r="182" spans="1:9" x14ac:dyDescent="0.3">
      <c r="A182" s="209">
        <v>40544</v>
      </c>
      <c r="B182" t="s">
        <v>1165</v>
      </c>
      <c r="C182" t="s">
        <v>844</v>
      </c>
      <c r="D182" t="s">
        <v>959</v>
      </c>
      <c r="E182" t="s">
        <v>844</v>
      </c>
      <c r="G182" t="str">
        <f>+MID(Fiyat_Endeksi__Üretici_Fiyatları___2003_100[[#This Row],[Yıllık Değişim_1]],1,2)</f>
        <v/>
      </c>
      <c r="H182" t="str">
        <f>+MID(Fiyat_Endeksi__Üretici_Fiyatları___2003_100[[#This Row],[Yıllık Değişim_1]],4,2)</f>
        <v/>
      </c>
      <c r="I182" t="str">
        <f t="shared" si="6"/>
        <v>,</v>
      </c>
    </row>
    <row r="183" spans="1:9" x14ac:dyDescent="0.3">
      <c r="A183" s="209">
        <v>40513</v>
      </c>
      <c r="B183" t="s">
        <v>1166</v>
      </c>
      <c r="C183" t="s">
        <v>844</v>
      </c>
      <c r="D183" t="s">
        <v>1167</v>
      </c>
      <c r="E183" t="s">
        <v>844</v>
      </c>
      <c r="G183" t="str">
        <f>+MID(Fiyat_Endeksi__Üretici_Fiyatları___2003_100[[#This Row],[Yıllık Değişim_1]],1,2)</f>
        <v/>
      </c>
      <c r="H183" t="str">
        <f>+MID(Fiyat_Endeksi__Üretici_Fiyatları___2003_100[[#This Row],[Yıllık Değişim_1]],4,2)</f>
        <v/>
      </c>
      <c r="I183" t="str">
        <f t="shared" si="6"/>
        <v>,</v>
      </c>
    </row>
    <row r="184" spans="1:9" x14ac:dyDescent="0.3">
      <c r="A184" s="209">
        <v>40483</v>
      </c>
      <c r="B184" t="s">
        <v>1168</v>
      </c>
      <c r="C184" t="s">
        <v>844</v>
      </c>
      <c r="D184" t="s">
        <v>1135</v>
      </c>
      <c r="E184" t="s">
        <v>844</v>
      </c>
      <c r="G184" t="str">
        <f>+MID(Fiyat_Endeksi__Üretici_Fiyatları___2003_100[[#This Row],[Yıllık Değişim_1]],1,2)</f>
        <v/>
      </c>
      <c r="H184" t="str">
        <f>+MID(Fiyat_Endeksi__Üretici_Fiyatları___2003_100[[#This Row],[Yıllık Değişim_1]],4,2)</f>
        <v/>
      </c>
      <c r="I184" t="str">
        <f t="shared" si="6"/>
        <v>,</v>
      </c>
    </row>
    <row r="185" spans="1:9" x14ac:dyDescent="0.3">
      <c r="A185" s="209">
        <v>40452</v>
      </c>
      <c r="B185" t="s">
        <v>1169</v>
      </c>
      <c r="C185" t="s">
        <v>844</v>
      </c>
      <c r="D185" t="s">
        <v>1170</v>
      </c>
      <c r="E185" t="s">
        <v>844</v>
      </c>
      <c r="G185" t="str">
        <f>+MID(Fiyat_Endeksi__Üretici_Fiyatları___2003_100[[#This Row],[Yıllık Değişim_1]],1,2)</f>
        <v/>
      </c>
      <c r="H185" t="str">
        <f>+MID(Fiyat_Endeksi__Üretici_Fiyatları___2003_100[[#This Row],[Yıllık Değişim_1]],4,2)</f>
        <v/>
      </c>
      <c r="I185" t="str">
        <f t="shared" si="6"/>
        <v>,</v>
      </c>
    </row>
    <row r="186" spans="1:9" x14ac:dyDescent="0.3">
      <c r="A186" s="209">
        <v>40422</v>
      </c>
      <c r="B186" t="s">
        <v>1171</v>
      </c>
      <c r="C186" t="s">
        <v>844</v>
      </c>
      <c r="D186" t="s">
        <v>1172</v>
      </c>
      <c r="E186" t="s">
        <v>844</v>
      </c>
      <c r="G186" t="str">
        <f>+MID(Fiyat_Endeksi__Üretici_Fiyatları___2003_100[[#This Row],[Yıllık Değişim_1]],1,2)</f>
        <v/>
      </c>
      <c r="H186" t="str">
        <f>+MID(Fiyat_Endeksi__Üretici_Fiyatları___2003_100[[#This Row],[Yıllık Değişim_1]],4,2)</f>
        <v/>
      </c>
      <c r="I186" t="str">
        <f t="shared" si="6"/>
        <v>,</v>
      </c>
    </row>
    <row r="187" spans="1:9" x14ac:dyDescent="0.3">
      <c r="A187" s="209">
        <v>40391</v>
      </c>
      <c r="B187" t="s">
        <v>1173</v>
      </c>
      <c r="C187" t="s">
        <v>844</v>
      </c>
      <c r="D187" t="s">
        <v>1174</v>
      </c>
      <c r="E187" t="s">
        <v>844</v>
      </c>
      <c r="G187" t="str">
        <f>+MID(Fiyat_Endeksi__Üretici_Fiyatları___2003_100[[#This Row],[Yıllık Değişim_1]],1,2)</f>
        <v/>
      </c>
      <c r="H187" t="str">
        <f>+MID(Fiyat_Endeksi__Üretici_Fiyatları___2003_100[[#This Row],[Yıllık Değişim_1]],4,2)</f>
        <v/>
      </c>
      <c r="I187" t="str">
        <f t="shared" si="6"/>
        <v>,</v>
      </c>
    </row>
    <row r="188" spans="1:9" x14ac:dyDescent="0.3">
      <c r="A188" s="209">
        <v>40360</v>
      </c>
      <c r="B188" t="s">
        <v>1175</v>
      </c>
      <c r="C188" t="s">
        <v>844</v>
      </c>
      <c r="D188" t="s">
        <v>1176</v>
      </c>
      <c r="E188" t="s">
        <v>844</v>
      </c>
      <c r="G188" t="str">
        <f>+MID(Fiyat_Endeksi__Üretici_Fiyatları___2003_100[[#This Row],[Yıllık Değişim_1]],1,2)</f>
        <v/>
      </c>
      <c r="H188" t="str">
        <f>+MID(Fiyat_Endeksi__Üretici_Fiyatları___2003_100[[#This Row],[Yıllık Değişim_1]],4,2)</f>
        <v/>
      </c>
      <c r="I188" t="str">
        <f t="shared" si="6"/>
        <v>,</v>
      </c>
    </row>
    <row r="189" spans="1:9" x14ac:dyDescent="0.3">
      <c r="A189" s="209">
        <v>40330</v>
      </c>
      <c r="B189" t="s">
        <v>1177</v>
      </c>
      <c r="C189" t="s">
        <v>844</v>
      </c>
      <c r="D189" t="s">
        <v>1178</v>
      </c>
      <c r="E189" t="s">
        <v>844</v>
      </c>
      <c r="G189" t="str">
        <f>+MID(Fiyat_Endeksi__Üretici_Fiyatları___2003_100[[#This Row],[Yıllık Değişim_1]],1,2)</f>
        <v/>
      </c>
      <c r="H189" t="str">
        <f>+MID(Fiyat_Endeksi__Üretici_Fiyatları___2003_100[[#This Row],[Yıllık Değişim_1]],4,2)</f>
        <v/>
      </c>
      <c r="I189" t="str">
        <f t="shared" si="6"/>
        <v>,</v>
      </c>
    </row>
    <row r="190" spans="1:9" x14ac:dyDescent="0.3">
      <c r="A190" s="209">
        <v>40299</v>
      </c>
      <c r="B190" t="s">
        <v>1179</v>
      </c>
      <c r="C190" t="s">
        <v>844</v>
      </c>
      <c r="D190" t="s">
        <v>1180</v>
      </c>
      <c r="E190" t="s">
        <v>844</v>
      </c>
      <c r="G190" t="str">
        <f>+MID(Fiyat_Endeksi__Üretici_Fiyatları___2003_100[[#This Row],[Yıllık Değişim_1]],1,2)</f>
        <v/>
      </c>
      <c r="H190" t="str">
        <f>+MID(Fiyat_Endeksi__Üretici_Fiyatları___2003_100[[#This Row],[Yıllık Değişim_1]],4,2)</f>
        <v/>
      </c>
      <c r="I190" t="str">
        <f t="shared" si="6"/>
        <v>,</v>
      </c>
    </row>
    <row r="191" spans="1:9" x14ac:dyDescent="0.3">
      <c r="A191" s="209">
        <v>40269</v>
      </c>
      <c r="B191" t="s">
        <v>1181</v>
      </c>
      <c r="C191" t="s">
        <v>844</v>
      </c>
      <c r="D191" t="s">
        <v>967</v>
      </c>
      <c r="E191" t="s">
        <v>844</v>
      </c>
      <c r="G191" t="str">
        <f>+MID(Fiyat_Endeksi__Üretici_Fiyatları___2003_100[[#This Row],[Yıllık Değişim_1]],1,2)</f>
        <v/>
      </c>
      <c r="H191" t="str">
        <f>+MID(Fiyat_Endeksi__Üretici_Fiyatları___2003_100[[#This Row],[Yıllık Değişim_1]],4,2)</f>
        <v/>
      </c>
      <c r="I191" t="str">
        <f t="shared" si="6"/>
        <v>,</v>
      </c>
    </row>
    <row r="192" spans="1:9" x14ac:dyDescent="0.3">
      <c r="A192" s="209">
        <v>40238</v>
      </c>
      <c r="B192" t="s">
        <v>1182</v>
      </c>
      <c r="C192" t="s">
        <v>844</v>
      </c>
      <c r="D192" t="s">
        <v>875</v>
      </c>
      <c r="E192" t="s">
        <v>844</v>
      </c>
      <c r="G192" t="str">
        <f>+MID(Fiyat_Endeksi__Üretici_Fiyatları___2003_100[[#This Row],[Yıllık Değişim_1]],1,2)</f>
        <v/>
      </c>
      <c r="H192" t="str">
        <f>+MID(Fiyat_Endeksi__Üretici_Fiyatları___2003_100[[#This Row],[Yıllık Değişim_1]],4,2)</f>
        <v/>
      </c>
      <c r="I192" t="str">
        <f t="shared" si="6"/>
        <v>,</v>
      </c>
    </row>
    <row r="193" spans="1:9" x14ac:dyDescent="0.3">
      <c r="A193" s="209">
        <v>40210</v>
      </c>
      <c r="B193" t="s">
        <v>1183</v>
      </c>
      <c r="C193" t="s">
        <v>844</v>
      </c>
      <c r="D193" t="s">
        <v>1128</v>
      </c>
      <c r="E193" t="s">
        <v>844</v>
      </c>
      <c r="G193" t="str">
        <f>+MID(Fiyat_Endeksi__Üretici_Fiyatları___2003_100[[#This Row],[Yıllık Değişim_1]],1,2)</f>
        <v/>
      </c>
      <c r="H193" t="str">
        <f>+MID(Fiyat_Endeksi__Üretici_Fiyatları___2003_100[[#This Row],[Yıllık Değişim_1]],4,2)</f>
        <v/>
      </c>
      <c r="I193" t="str">
        <f t="shared" si="6"/>
        <v>,</v>
      </c>
    </row>
    <row r="194" spans="1:9" x14ac:dyDescent="0.3">
      <c r="A194" s="209">
        <v>40179</v>
      </c>
      <c r="B194" t="s">
        <v>1184</v>
      </c>
      <c r="C194" t="s">
        <v>844</v>
      </c>
      <c r="D194" t="s">
        <v>1185</v>
      </c>
      <c r="E194" t="s">
        <v>844</v>
      </c>
      <c r="G194" t="str">
        <f>+MID(Fiyat_Endeksi__Üretici_Fiyatları___2003_100[[#This Row],[Yıllık Değişim_1]],1,2)</f>
        <v/>
      </c>
      <c r="H194" t="str">
        <f>+MID(Fiyat_Endeksi__Üretici_Fiyatları___2003_100[[#This Row],[Yıllık Değişim_1]],4,2)</f>
        <v/>
      </c>
      <c r="I194" t="str">
        <f t="shared" si="6"/>
        <v>,</v>
      </c>
    </row>
    <row r="195" spans="1:9" x14ac:dyDescent="0.3">
      <c r="A195" s="209">
        <v>40148</v>
      </c>
      <c r="B195" t="s">
        <v>1186</v>
      </c>
      <c r="C195" t="s">
        <v>844</v>
      </c>
      <c r="D195" t="s">
        <v>867</v>
      </c>
      <c r="E195" t="s">
        <v>844</v>
      </c>
      <c r="G195" t="str">
        <f>+MID(Fiyat_Endeksi__Üretici_Fiyatları___2003_100[[#This Row],[Yıllık Değişim_1]],1,2)</f>
        <v/>
      </c>
      <c r="H195" t="str">
        <f>+MID(Fiyat_Endeksi__Üretici_Fiyatları___2003_100[[#This Row],[Yıllık Değişim_1]],4,2)</f>
        <v/>
      </c>
      <c r="I195" t="str">
        <f t="shared" si="6"/>
        <v>,</v>
      </c>
    </row>
    <row r="196" spans="1:9" x14ac:dyDescent="0.3">
      <c r="A196" s="209">
        <v>40118</v>
      </c>
      <c r="B196" t="s">
        <v>1187</v>
      </c>
      <c r="C196" t="s">
        <v>844</v>
      </c>
      <c r="D196" t="s">
        <v>869</v>
      </c>
      <c r="E196" t="s">
        <v>844</v>
      </c>
      <c r="G196" t="str">
        <f>+MID(Fiyat_Endeksi__Üretici_Fiyatları___2003_100[[#This Row],[Yıllık Değişim_1]],1,2)</f>
        <v/>
      </c>
      <c r="H196" t="str">
        <f>+MID(Fiyat_Endeksi__Üretici_Fiyatları___2003_100[[#This Row],[Yıllık Değişim_1]],4,2)</f>
        <v/>
      </c>
      <c r="I196" t="str">
        <f t="shared" si="6"/>
        <v>,</v>
      </c>
    </row>
    <row r="197" spans="1:9" x14ac:dyDescent="0.3">
      <c r="A197" s="209">
        <v>40087</v>
      </c>
      <c r="B197" t="s">
        <v>1188</v>
      </c>
      <c r="C197" t="s">
        <v>844</v>
      </c>
      <c r="D197" t="s">
        <v>1189</v>
      </c>
      <c r="E197" t="s">
        <v>844</v>
      </c>
      <c r="G197" t="str">
        <f>+MID(Fiyat_Endeksi__Üretici_Fiyatları___2003_100[[#This Row],[Yıllık Değişim_1]],1,2)</f>
        <v/>
      </c>
      <c r="H197" t="str">
        <f>+MID(Fiyat_Endeksi__Üretici_Fiyatları___2003_100[[#This Row],[Yıllık Değişim_1]],4,2)</f>
        <v/>
      </c>
      <c r="I197" t="str">
        <f t="shared" si="6"/>
        <v>,</v>
      </c>
    </row>
    <row r="198" spans="1:9" x14ac:dyDescent="0.3">
      <c r="A198" s="209">
        <v>40057</v>
      </c>
      <c r="B198" t="s">
        <v>1190</v>
      </c>
      <c r="C198" t="s">
        <v>844</v>
      </c>
      <c r="D198" t="s">
        <v>1113</v>
      </c>
      <c r="E198" t="s">
        <v>844</v>
      </c>
      <c r="G198" t="str">
        <f>+MID(Fiyat_Endeksi__Üretici_Fiyatları___2003_100[[#This Row],[Yıllık Değişim_1]],1,2)</f>
        <v/>
      </c>
      <c r="H198" t="str">
        <f>+MID(Fiyat_Endeksi__Üretici_Fiyatları___2003_100[[#This Row],[Yıllık Değişim_1]],4,2)</f>
        <v/>
      </c>
      <c r="I198" t="str">
        <f t="shared" si="6"/>
        <v>,</v>
      </c>
    </row>
    <row r="199" spans="1:9" x14ac:dyDescent="0.3">
      <c r="A199" s="209">
        <v>40026</v>
      </c>
      <c r="B199" t="s">
        <v>1191</v>
      </c>
      <c r="C199" t="s">
        <v>844</v>
      </c>
      <c r="D199" t="s">
        <v>1099</v>
      </c>
      <c r="E199" t="s">
        <v>844</v>
      </c>
      <c r="G199" t="str">
        <f>+MID(Fiyat_Endeksi__Üretici_Fiyatları___2003_100[[#This Row],[Yıllık Değişim_1]],1,2)</f>
        <v/>
      </c>
      <c r="H199" t="str">
        <f>+MID(Fiyat_Endeksi__Üretici_Fiyatları___2003_100[[#This Row],[Yıllık Değişim_1]],4,2)</f>
        <v/>
      </c>
      <c r="I199" t="str">
        <f t="shared" si="6"/>
        <v>,</v>
      </c>
    </row>
    <row r="200" spans="1:9" x14ac:dyDescent="0.3">
      <c r="A200" s="209">
        <v>39995</v>
      </c>
      <c r="B200" t="s">
        <v>1192</v>
      </c>
      <c r="C200" t="s">
        <v>844</v>
      </c>
      <c r="D200" t="s">
        <v>1193</v>
      </c>
      <c r="E200" t="s">
        <v>844</v>
      </c>
      <c r="G200" t="str">
        <f>+MID(Fiyat_Endeksi__Üretici_Fiyatları___2003_100[[#This Row],[Yıllık Değişim_1]],1,2)</f>
        <v/>
      </c>
      <c r="H200" t="str">
        <f>+MID(Fiyat_Endeksi__Üretici_Fiyatları___2003_100[[#This Row],[Yıllık Değişim_1]],4,2)</f>
        <v/>
      </c>
      <c r="I200" t="str">
        <f t="shared" si="6"/>
        <v>,</v>
      </c>
    </row>
    <row r="201" spans="1:9" x14ac:dyDescent="0.3">
      <c r="A201" s="209">
        <v>39965</v>
      </c>
      <c r="B201" t="s">
        <v>1194</v>
      </c>
      <c r="C201" t="s">
        <v>844</v>
      </c>
      <c r="D201" t="s">
        <v>1195</v>
      </c>
      <c r="E201" t="s">
        <v>844</v>
      </c>
      <c r="G201" t="str">
        <f>+MID(Fiyat_Endeksi__Üretici_Fiyatları___2003_100[[#This Row],[Yıllık Değişim_1]],1,2)</f>
        <v/>
      </c>
      <c r="H201" t="str">
        <f>+MID(Fiyat_Endeksi__Üretici_Fiyatları___2003_100[[#This Row],[Yıllık Değişim_1]],4,2)</f>
        <v/>
      </c>
      <c r="I201" t="str">
        <f t="shared" si="6"/>
        <v>,</v>
      </c>
    </row>
    <row r="202" spans="1:9" x14ac:dyDescent="0.3">
      <c r="A202" s="209">
        <v>39934</v>
      </c>
      <c r="B202" t="s">
        <v>1196</v>
      </c>
      <c r="C202" t="s">
        <v>844</v>
      </c>
      <c r="D202" t="s">
        <v>1197</v>
      </c>
      <c r="E202" t="s">
        <v>844</v>
      </c>
      <c r="G202" t="str">
        <f>+MID(Fiyat_Endeksi__Üretici_Fiyatları___2003_100[[#This Row],[Yıllık Değişim_1]],1,2)</f>
        <v/>
      </c>
      <c r="H202" t="str">
        <f>+MID(Fiyat_Endeksi__Üretici_Fiyatları___2003_100[[#This Row],[Yıllık Değişim_1]],4,2)</f>
        <v/>
      </c>
      <c r="I202" t="str">
        <f t="shared" si="6"/>
        <v>,</v>
      </c>
    </row>
    <row r="203" spans="1:9" x14ac:dyDescent="0.3">
      <c r="A203" s="209">
        <v>39904</v>
      </c>
      <c r="B203" t="s">
        <v>1198</v>
      </c>
      <c r="C203" t="s">
        <v>844</v>
      </c>
      <c r="D203" t="s">
        <v>902</v>
      </c>
      <c r="E203" t="s">
        <v>844</v>
      </c>
      <c r="G203" t="str">
        <f>+MID(Fiyat_Endeksi__Üretici_Fiyatları___2003_100[[#This Row],[Yıllık Değişim_1]],1,2)</f>
        <v/>
      </c>
      <c r="H203" t="str">
        <f>+MID(Fiyat_Endeksi__Üretici_Fiyatları___2003_100[[#This Row],[Yıllık Değişim_1]],4,2)</f>
        <v/>
      </c>
      <c r="I203" t="str">
        <f t="shared" si="6"/>
        <v>,</v>
      </c>
    </row>
    <row r="204" spans="1:9" x14ac:dyDescent="0.3">
      <c r="A204" s="209">
        <v>39873</v>
      </c>
      <c r="B204" t="s">
        <v>1199</v>
      </c>
      <c r="C204" t="s">
        <v>844</v>
      </c>
      <c r="D204" t="s">
        <v>1055</v>
      </c>
      <c r="E204" t="s">
        <v>844</v>
      </c>
      <c r="G204" t="str">
        <f>+MID(Fiyat_Endeksi__Üretici_Fiyatları___2003_100[[#This Row],[Yıllık Değişim_1]],1,2)</f>
        <v/>
      </c>
      <c r="H204" t="str">
        <f>+MID(Fiyat_Endeksi__Üretici_Fiyatları___2003_100[[#This Row],[Yıllık Değişim_1]],4,2)</f>
        <v/>
      </c>
      <c r="I204" t="str">
        <f t="shared" si="6"/>
        <v>,</v>
      </c>
    </row>
    <row r="205" spans="1:9" x14ac:dyDescent="0.3">
      <c r="A205" s="209">
        <v>39845</v>
      </c>
      <c r="B205" t="s">
        <v>1200</v>
      </c>
      <c r="C205" t="s">
        <v>844</v>
      </c>
      <c r="D205" t="s">
        <v>1201</v>
      </c>
      <c r="E205" t="s">
        <v>844</v>
      </c>
      <c r="G205" t="str">
        <f>+MID(Fiyat_Endeksi__Üretici_Fiyatları___2003_100[[#This Row],[Yıllık Değişim_1]],1,2)</f>
        <v/>
      </c>
      <c r="H205" t="str">
        <f>+MID(Fiyat_Endeksi__Üretici_Fiyatları___2003_100[[#This Row],[Yıllık Değişim_1]],4,2)</f>
        <v/>
      </c>
      <c r="I205" t="str">
        <f t="shared" si="6"/>
        <v>,</v>
      </c>
    </row>
    <row r="206" spans="1:9" x14ac:dyDescent="0.3">
      <c r="A206" s="209">
        <v>39814</v>
      </c>
      <c r="B206" t="s">
        <v>1202</v>
      </c>
      <c r="C206" t="s">
        <v>844</v>
      </c>
      <c r="D206" t="s">
        <v>1203</v>
      </c>
      <c r="E206" t="s">
        <v>844</v>
      </c>
      <c r="G206" t="str">
        <f>+MID(Fiyat_Endeksi__Üretici_Fiyatları___2003_100[[#This Row],[Yıllık Değişim_1]],1,2)</f>
        <v/>
      </c>
      <c r="H206" t="str">
        <f>+MID(Fiyat_Endeksi__Üretici_Fiyatları___2003_100[[#This Row],[Yıllık Değişim_1]],4,2)</f>
        <v/>
      </c>
      <c r="I206" t="str">
        <f t="shared" si="6"/>
        <v>,</v>
      </c>
    </row>
    <row r="207" spans="1:9" x14ac:dyDescent="0.3">
      <c r="A207" s="209">
        <v>39783</v>
      </c>
      <c r="B207" t="s">
        <v>1204</v>
      </c>
      <c r="C207" t="s">
        <v>844</v>
      </c>
      <c r="D207" t="s">
        <v>1205</v>
      </c>
      <c r="E207" t="s">
        <v>844</v>
      </c>
      <c r="G207" t="str">
        <f>+MID(Fiyat_Endeksi__Üretici_Fiyatları___2003_100[[#This Row],[Yıllık Değişim_1]],1,2)</f>
        <v/>
      </c>
      <c r="H207" t="str">
        <f>+MID(Fiyat_Endeksi__Üretici_Fiyatları___2003_100[[#This Row],[Yıllık Değişim_1]],4,2)</f>
        <v/>
      </c>
      <c r="I207" t="str">
        <f t="shared" si="6"/>
        <v>,</v>
      </c>
    </row>
    <row r="208" spans="1:9" x14ac:dyDescent="0.3">
      <c r="A208" s="209">
        <v>39753</v>
      </c>
      <c r="B208" t="s">
        <v>1206</v>
      </c>
      <c r="C208" t="s">
        <v>844</v>
      </c>
      <c r="D208" t="s">
        <v>1155</v>
      </c>
      <c r="E208" t="s">
        <v>844</v>
      </c>
      <c r="G208" t="str">
        <f>+MID(Fiyat_Endeksi__Üretici_Fiyatları___2003_100[[#This Row],[Yıllık Değişim_1]],1,2)</f>
        <v/>
      </c>
      <c r="H208" t="str">
        <f>+MID(Fiyat_Endeksi__Üretici_Fiyatları___2003_100[[#This Row],[Yıllık Değişim_1]],4,2)</f>
        <v/>
      </c>
      <c r="I208" t="str">
        <f t="shared" si="6"/>
        <v>,</v>
      </c>
    </row>
    <row r="209" spans="1:9" x14ac:dyDescent="0.3">
      <c r="A209" s="209">
        <v>39722</v>
      </c>
      <c r="B209" t="s">
        <v>1207</v>
      </c>
      <c r="C209" t="s">
        <v>844</v>
      </c>
      <c r="D209" t="s">
        <v>1208</v>
      </c>
      <c r="E209" t="s">
        <v>844</v>
      </c>
      <c r="G209" t="str">
        <f>+MID(Fiyat_Endeksi__Üretici_Fiyatları___2003_100[[#This Row],[Yıllık Değişim_1]],1,2)</f>
        <v/>
      </c>
      <c r="H209" t="str">
        <f>+MID(Fiyat_Endeksi__Üretici_Fiyatları___2003_100[[#This Row],[Yıllık Değişim_1]],4,2)</f>
        <v/>
      </c>
      <c r="I209" t="str">
        <f t="shared" ref="I209:I272" si="7">+CONCATENATE(G209,",",H209)</f>
        <v>,</v>
      </c>
    </row>
    <row r="210" spans="1:9" x14ac:dyDescent="0.3">
      <c r="A210" s="209">
        <v>39692</v>
      </c>
      <c r="B210" t="s">
        <v>1209</v>
      </c>
      <c r="C210" t="s">
        <v>844</v>
      </c>
      <c r="D210" t="s">
        <v>1210</v>
      </c>
      <c r="E210" t="s">
        <v>844</v>
      </c>
      <c r="G210" t="str">
        <f>+MID(Fiyat_Endeksi__Üretici_Fiyatları___2003_100[[#This Row],[Yıllık Değişim_1]],1,2)</f>
        <v/>
      </c>
      <c r="H210" t="str">
        <f>+MID(Fiyat_Endeksi__Üretici_Fiyatları___2003_100[[#This Row],[Yıllık Değişim_1]],4,2)</f>
        <v/>
      </c>
      <c r="I210" t="str">
        <f t="shared" si="7"/>
        <v>,</v>
      </c>
    </row>
    <row r="211" spans="1:9" x14ac:dyDescent="0.3">
      <c r="A211" s="209">
        <v>39661</v>
      </c>
      <c r="B211" t="s">
        <v>1211</v>
      </c>
      <c r="C211" t="s">
        <v>844</v>
      </c>
      <c r="D211" t="s">
        <v>1212</v>
      </c>
      <c r="E211" t="s">
        <v>844</v>
      </c>
      <c r="G211" t="str">
        <f>+MID(Fiyat_Endeksi__Üretici_Fiyatları___2003_100[[#This Row],[Yıllık Değişim_1]],1,2)</f>
        <v/>
      </c>
      <c r="H211" t="str">
        <f>+MID(Fiyat_Endeksi__Üretici_Fiyatları___2003_100[[#This Row],[Yıllık Değişim_1]],4,2)</f>
        <v/>
      </c>
      <c r="I211" t="str">
        <f t="shared" si="7"/>
        <v>,</v>
      </c>
    </row>
    <row r="212" spans="1:9" x14ac:dyDescent="0.3">
      <c r="A212" s="209">
        <v>39630</v>
      </c>
      <c r="B212" t="s">
        <v>1213</v>
      </c>
      <c r="C212" t="s">
        <v>844</v>
      </c>
      <c r="D212" t="s">
        <v>1214</v>
      </c>
      <c r="E212" t="s">
        <v>844</v>
      </c>
      <c r="G212" t="str">
        <f>+MID(Fiyat_Endeksi__Üretici_Fiyatları___2003_100[[#This Row],[Yıllık Değişim_1]],1,2)</f>
        <v/>
      </c>
      <c r="H212" t="str">
        <f>+MID(Fiyat_Endeksi__Üretici_Fiyatları___2003_100[[#This Row],[Yıllık Değişim_1]],4,2)</f>
        <v/>
      </c>
      <c r="I212" t="str">
        <f t="shared" si="7"/>
        <v>,</v>
      </c>
    </row>
    <row r="213" spans="1:9" x14ac:dyDescent="0.3">
      <c r="A213" s="209">
        <v>39600</v>
      </c>
      <c r="B213" t="s">
        <v>1215</v>
      </c>
      <c r="C213" t="s">
        <v>844</v>
      </c>
      <c r="D213" t="s">
        <v>1216</v>
      </c>
      <c r="E213" t="s">
        <v>844</v>
      </c>
      <c r="G213" t="str">
        <f>+MID(Fiyat_Endeksi__Üretici_Fiyatları___2003_100[[#This Row],[Yıllık Değişim_1]],1,2)</f>
        <v/>
      </c>
      <c r="H213" t="str">
        <f>+MID(Fiyat_Endeksi__Üretici_Fiyatları___2003_100[[#This Row],[Yıllık Değişim_1]],4,2)</f>
        <v/>
      </c>
      <c r="I213" t="str">
        <f t="shared" si="7"/>
        <v>,</v>
      </c>
    </row>
    <row r="214" spans="1:9" x14ac:dyDescent="0.3">
      <c r="A214" s="209">
        <v>39569</v>
      </c>
      <c r="B214" t="s">
        <v>1217</v>
      </c>
      <c r="C214" t="s">
        <v>844</v>
      </c>
      <c r="D214" t="s">
        <v>861</v>
      </c>
      <c r="E214" t="s">
        <v>844</v>
      </c>
      <c r="G214" t="str">
        <f>+MID(Fiyat_Endeksi__Üretici_Fiyatları___2003_100[[#This Row],[Yıllık Değişim_1]],1,2)</f>
        <v/>
      </c>
      <c r="H214" t="str">
        <f>+MID(Fiyat_Endeksi__Üretici_Fiyatları___2003_100[[#This Row],[Yıllık Değişim_1]],4,2)</f>
        <v/>
      </c>
      <c r="I214" t="str">
        <f t="shared" si="7"/>
        <v>,</v>
      </c>
    </row>
    <row r="215" spans="1:9" x14ac:dyDescent="0.3">
      <c r="A215" s="209">
        <v>39539</v>
      </c>
      <c r="B215" t="s">
        <v>1218</v>
      </c>
      <c r="C215" t="s">
        <v>844</v>
      </c>
      <c r="D215" t="s">
        <v>1219</v>
      </c>
      <c r="E215" t="s">
        <v>844</v>
      </c>
      <c r="G215" t="str">
        <f>+MID(Fiyat_Endeksi__Üretici_Fiyatları___2003_100[[#This Row],[Yıllık Değişim_1]],1,2)</f>
        <v/>
      </c>
      <c r="H215" t="str">
        <f>+MID(Fiyat_Endeksi__Üretici_Fiyatları___2003_100[[#This Row],[Yıllık Değişim_1]],4,2)</f>
        <v/>
      </c>
      <c r="I215" t="str">
        <f t="shared" si="7"/>
        <v>,</v>
      </c>
    </row>
    <row r="216" spans="1:9" x14ac:dyDescent="0.3">
      <c r="A216" s="209">
        <v>39508</v>
      </c>
      <c r="B216" t="s">
        <v>1220</v>
      </c>
      <c r="C216" t="s">
        <v>844</v>
      </c>
      <c r="D216" t="s">
        <v>1221</v>
      </c>
      <c r="E216" t="s">
        <v>844</v>
      </c>
      <c r="G216" t="str">
        <f>+MID(Fiyat_Endeksi__Üretici_Fiyatları___2003_100[[#This Row],[Yıllık Değişim_1]],1,2)</f>
        <v/>
      </c>
      <c r="H216" t="str">
        <f>+MID(Fiyat_Endeksi__Üretici_Fiyatları___2003_100[[#This Row],[Yıllık Değişim_1]],4,2)</f>
        <v/>
      </c>
      <c r="I216" t="str">
        <f t="shared" si="7"/>
        <v>,</v>
      </c>
    </row>
    <row r="217" spans="1:9" x14ac:dyDescent="0.3">
      <c r="A217" s="209">
        <v>39479</v>
      </c>
      <c r="B217" t="s">
        <v>1222</v>
      </c>
      <c r="C217" t="s">
        <v>844</v>
      </c>
      <c r="D217" t="s">
        <v>1223</v>
      </c>
      <c r="E217" t="s">
        <v>844</v>
      </c>
      <c r="G217" t="str">
        <f>+MID(Fiyat_Endeksi__Üretici_Fiyatları___2003_100[[#This Row],[Yıllık Değişim_1]],1,2)</f>
        <v/>
      </c>
      <c r="H217" t="str">
        <f>+MID(Fiyat_Endeksi__Üretici_Fiyatları___2003_100[[#This Row],[Yıllık Değişim_1]],4,2)</f>
        <v/>
      </c>
      <c r="I217" t="str">
        <f t="shared" si="7"/>
        <v>,</v>
      </c>
    </row>
    <row r="218" spans="1:9" x14ac:dyDescent="0.3">
      <c r="A218" s="209">
        <v>39448</v>
      </c>
      <c r="B218" t="s">
        <v>1136</v>
      </c>
      <c r="C218" t="s">
        <v>844</v>
      </c>
      <c r="D218" t="s">
        <v>1099</v>
      </c>
      <c r="E218" t="s">
        <v>844</v>
      </c>
      <c r="G218" t="str">
        <f>+MID(Fiyat_Endeksi__Üretici_Fiyatları___2003_100[[#This Row],[Yıllık Değişim_1]],1,2)</f>
        <v/>
      </c>
      <c r="H218" t="str">
        <f>+MID(Fiyat_Endeksi__Üretici_Fiyatları___2003_100[[#This Row],[Yıllık Değişim_1]],4,2)</f>
        <v/>
      </c>
      <c r="I218" t="str">
        <f t="shared" si="7"/>
        <v>,</v>
      </c>
    </row>
    <row r="219" spans="1:9" x14ac:dyDescent="0.3">
      <c r="A219" s="209">
        <v>39417</v>
      </c>
      <c r="B219" t="s">
        <v>1067</v>
      </c>
      <c r="C219" t="s">
        <v>844</v>
      </c>
      <c r="D219" t="s">
        <v>1159</v>
      </c>
      <c r="E219" t="s">
        <v>844</v>
      </c>
      <c r="G219" t="str">
        <f>+MID(Fiyat_Endeksi__Üretici_Fiyatları___2003_100[[#This Row],[Yıllık Değişim_1]],1,2)</f>
        <v/>
      </c>
      <c r="H219" t="str">
        <f>+MID(Fiyat_Endeksi__Üretici_Fiyatları___2003_100[[#This Row],[Yıllık Değişim_1]],4,2)</f>
        <v/>
      </c>
      <c r="I219" t="str">
        <f t="shared" si="7"/>
        <v>,</v>
      </c>
    </row>
    <row r="220" spans="1:9" x14ac:dyDescent="0.3">
      <c r="A220" s="209">
        <v>39387</v>
      </c>
      <c r="B220" t="s">
        <v>1224</v>
      </c>
      <c r="C220" t="s">
        <v>844</v>
      </c>
      <c r="D220" t="s">
        <v>1225</v>
      </c>
      <c r="E220" t="s">
        <v>844</v>
      </c>
      <c r="G220" t="str">
        <f>+MID(Fiyat_Endeksi__Üretici_Fiyatları___2003_100[[#This Row],[Yıllık Değişim_1]],1,2)</f>
        <v/>
      </c>
      <c r="H220" t="str">
        <f>+MID(Fiyat_Endeksi__Üretici_Fiyatları___2003_100[[#This Row],[Yıllık Değişim_1]],4,2)</f>
        <v/>
      </c>
      <c r="I220" t="str">
        <f t="shared" si="7"/>
        <v>,</v>
      </c>
    </row>
    <row r="221" spans="1:9" x14ac:dyDescent="0.3">
      <c r="A221" s="209">
        <v>39356</v>
      </c>
      <c r="B221" t="s">
        <v>1226</v>
      </c>
      <c r="C221" t="s">
        <v>844</v>
      </c>
      <c r="D221" t="s">
        <v>1125</v>
      </c>
      <c r="E221" t="s">
        <v>844</v>
      </c>
      <c r="G221" t="str">
        <f>+MID(Fiyat_Endeksi__Üretici_Fiyatları___2003_100[[#This Row],[Yıllık Değişim_1]],1,2)</f>
        <v/>
      </c>
      <c r="H221" t="str">
        <f>+MID(Fiyat_Endeksi__Üretici_Fiyatları___2003_100[[#This Row],[Yıllık Değişim_1]],4,2)</f>
        <v/>
      </c>
      <c r="I221" t="str">
        <f t="shared" si="7"/>
        <v>,</v>
      </c>
    </row>
    <row r="222" spans="1:9" x14ac:dyDescent="0.3">
      <c r="A222" s="209">
        <v>39326</v>
      </c>
      <c r="B222" t="s">
        <v>1227</v>
      </c>
      <c r="C222" t="s">
        <v>844</v>
      </c>
      <c r="D222" t="s">
        <v>969</v>
      </c>
      <c r="E222" t="s">
        <v>844</v>
      </c>
      <c r="G222" t="str">
        <f>+MID(Fiyat_Endeksi__Üretici_Fiyatları___2003_100[[#This Row],[Yıllık Değişim_1]],1,2)</f>
        <v/>
      </c>
      <c r="H222" t="str">
        <f>+MID(Fiyat_Endeksi__Üretici_Fiyatları___2003_100[[#This Row],[Yıllık Değişim_1]],4,2)</f>
        <v/>
      </c>
      <c r="I222" t="str">
        <f t="shared" si="7"/>
        <v>,</v>
      </c>
    </row>
    <row r="223" spans="1:9" x14ac:dyDescent="0.3">
      <c r="A223" s="209">
        <v>39295</v>
      </c>
      <c r="B223" t="s">
        <v>1228</v>
      </c>
      <c r="C223" t="s">
        <v>844</v>
      </c>
      <c r="D223" t="s">
        <v>1035</v>
      </c>
      <c r="E223" t="s">
        <v>844</v>
      </c>
      <c r="G223" t="str">
        <f>+MID(Fiyat_Endeksi__Üretici_Fiyatları___2003_100[[#This Row],[Yıllık Değişim_1]],1,2)</f>
        <v/>
      </c>
      <c r="H223" t="str">
        <f>+MID(Fiyat_Endeksi__Üretici_Fiyatları___2003_100[[#This Row],[Yıllık Değişim_1]],4,2)</f>
        <v/>
      </c>
      <c r="I223" t="str">
        <f t="shared" si="7"/>
        <v>,</v>
      </c>
    </row>
    <row r="224" spans="1:9" x14ac:dyDescent="0.3">
      <c r="A224" s="209">
        <v>39264</v>
      </c>
      <c r="B224" t="s">
        <v>1229</v>
      </c>
      <c r="C224" t="s">
        <v>844</v>
      </c>
      <c r="D224" t="s">
        <v>1103</v>
      </c>
      <c r="E224" t="s">
        <v>844</v>
      </c>
      <c r="G224" t="str">
        <f>+MID(Fiyat_Endeksi__Üretici_Fiyatları___2003_100[[#This Row],[Yıllık Değişim_1]],1,2)</f>
        <v/>
      </c>
      <c r="H224" t="str">
        <f>+MID(Fiyat_Endeksi__Üretici_Fiyatları___2003_100[[#This Row],[Yıllık Değişim_1]],4,2)</f>
        <v/>
      </c>
      <c r="I224" t="str">
        <f t="shared" si="7"/>
        <v>,</v>
      </c>
    </row>
    <row r="225" spans="1:9" x14ac:dyDescent="0.3">
      <c r="A225" s="209">
        <v>39234</v>
      </c>
      <c r="B225" t="s">
        <v>1230</v>
      </c>
      <c r="C225" t="s">
        <v>844</v>
      </c>
      <c r="D225" t="s">
        <v>1231</v>
      </c>
      <c r="E225" t="s">
        <v>844</v>
      </c>
      <c r="G225" t="str">
        <f>+MID(Fiyat_Endeksi__Üretici_Fiyatları___2003_100[[#This Row],[Yıllık Değişim_1]],1,2)</f>
        <v/>
      </c>
      <c r="H225" t="str">
        <f>+MID(Fiyat_Endeksi__Üretici_Fiyatları___2003_100[[#This Row],[Yıllık Değişim_1]],4,2)</f>
        <v/>
      </c>
      <c r="I225" t="str">
        <f t="shared" si="7"/>
        <v>,</v>
      </c>
    </row>
    <row r="226" spans="1:9" x14ac:dyDescent="0.3">
      <c r="A226" s="209">
        <v>39203</v>
      </c>
      <c r="B226" t="s">
        <v>1232</v>
      </c>
      <c r="C226" t="s">
        <v>844</v>
      </c>
      <c r="D226" t="s">
        <v>1233</v>
      </c>
      <c r="E226" t="s">
        <v>844</v>
      </c>
      <c r="G226" t="str">
        <f>+MID(Fiyat_Endeksi__Üretici_Fiyatları___2003_100[[#This Row],[Yıllık Değişim_1]],1,2)</f>
        <v/>
      </c>
      <c r="H226" t="str">
        <f>+MID(Fiyat_Endeksi__Üretici_Fiyatları___2003_100[[#This Row],[Yıllık Değişim_1]],4,2)</f>
        <v/>
      </c>
      <c r="I226" t="str">
        <f t="shared" si="7"/>
        <v>,</v>
      </c>
    </row>
    <row r="227" spans="1:9" x14ac:dyDescent="0.3">
      <c r="A227" s="209">
        <v>39173</v>
      </c>
      <c r="B227" t="s">
        <v>1234</v>
      </c>
      <c r="C227" t="s">
        <v>844</v>
      </c>
      <c r="D227" t="s">
        <v>1235</v>
      </c>
      <c r="E227" t="s">
        <v>844</v>
      </c>
      <c r="G227" t="str">
        <f>+MID(Fiyat_Endeksi__Üretici_Fiyatları___2003_100[[#This Row],[Yıllık Değişim_1]],1,2)</f>
        <v/>
      </c>
      <c r="H227" t="str">
        <f>+MID(Fiyat_Endeksi__Üretici_Fiyatları___2003_100[[#This Row],[Yıllık Değişim_1]],4,2)</f>
        <v/>
      </c>
      <c r="I227" t="str">
        <f t="shared" si="7"/>
        <v>,</v>
      </c>
    </row>
    <row r="228" spans="1:9" x14ac:dyDescent="0.3">
      <c r="A228" s="209">
        <v>39142</v>
      </c>
      <c r="B228" t="s">
        <v>1236</v>
      </c>
      <c r="C228" t="s">
        <v>844</v>
      </c>
      <c r="D228" t="s">
        <v>1237</v>
      </c>
      <c r="E228" t="s">
        <v>844</v>
      </c>
      <c r="G228" t="str">
        <f>+MID(Fiyat_Endeksi__Üretici_Fiyatları___2003_100[[#This Row],[Yıllık Değişim_1]],1,2)</f>
        <v/>
      </c>
      <c r="H228" t="str">
        <f>+MID(Fiyat_Endeksi__Üretici_Fiyatları___2003_100[[#This Row],[Yıllık Değişim_1]],4,2)</f>
        <v/>
      </c>
      <c r="I228" t="str">
        <f t="shared" si="7"/>
        <v>,</v>
      </c>
    </row>
    <row r="229" spans="1:9" x14ac:dyDescent="0.3">
      <c r="A229" s="209">
        <v>39114</v>
      </c>
      <c r="B229" t="s">
        <v>1238</v>
      </c>
      <c r="C229" t="s">
        <v>844</v>
      </c>
      <c r="D229" t="s">
        <v>1239</v>
      </c>
      <c r="E229" t="s">
        <v>844</v>
      </c>
      <c r="G229" t="str">
        <f>+MID(Fiyat_Endeksi__Üretici_Fiyatları___2003_100[[#This Row],[Yıllık Değişim_1]],1,2)</f>
        <v/>
      </c>
      <c r="H229" t="str">
        <f>+MID(Fiyat_Endeksi__Üretici_Fiyatları___2003_100[[#This Row],[Yıllık Değişim_1]],4,2)</f>
        <v/>
      </c>
      <c r="I229" t="str">
        <f t="shared" si="7"/>
        <v>,</v>
      </c>
    </row>
    <row r="230" spans="1:9" x14ac:dyDescent="0.3">
      <c r="A230" s="209">
        <v>39083</v>
      </c>
      <c r="B230" t="s">
        <v>1240</v>
      </c>
      <c r="C230" t="s">
        <v>844</v>
      </c>
      <c r="D230" t="s">
        <v>1197</v>
      </c>
      <c r="E230" t="s">
        <v>844</v>
      </c>
      <c r="G230" t="str">
        <f>+MID(Fiyat_Endeksi__Üretici_Fiyatları___2003_100[[#This Row],[Yıllık Değişim_1]],1,2)</f>
        <v/>
      </c>
      <c r="H230" t="str">
        <f>+MID(Fiyat_Endeksi__Üretici_Fiyatları___2003_100[[#This Row],[Yıllık Değişim_1]],4,2)</f>
        <v/>
      </c>
      <c r="I230" t="str">
        <f t="shared" si="7"/>
        <v>,</v>
      </c>
    </row>
    <row r="231" spans="1:9" x14ac:dyDescent="0.3">
      <c r="A231" s="209">
        <v>39052</v>
      </c>
      <c r="B231" t="s">
        <v>1241</v>
      </c>
      <c r="C231" t="s">
        <v>844</v>
      </c>
      <c r="D231" t="s">
        <v>1127</v>
      </c>
      <c r="E231" t="s">
        <v>844</v>
      </c>
      <c r="G231" t="str">
        <f>+MID(Fiyat_Endeksi__Üretici_Fiyatları___2003_100[[#This Row],[Yıllık Değişim_1]],1,2)</f>
        <v/>
      </c>
      <c r="H231" t="str">
        <f>+MID(Fiyat_Endeksi__Üretici_Fiyatları___2003_100[[#This Row],[Yıllık Değişim_1]],4,2)</f>
        <v/>
      </c>
      <c r="I231" t="str">
        <f t="shared" si="7"/>
        <v>,</v>
      </c>
    </row>
    <row r="232" spans="1:9" x14ac:dyDescent="0.3">
      <c r="A232" s="209">
        <v>39022</v>
      </c>
      <c r="B232" t="s">
        <v>1242</v>
      </c>
      <c r="C232" t="s">
        <v>844</v>
      </c>
      <c r="D232" t="s">
        <v>1243</v>
      </c>
      <c r="E232" t="s">
        <v>844</v>
      </c>
      <c r="G232" t="str">
        <f>+MID(Fiyat_Endeksi__Üretici_Fiyatları___2003_100[[#This Row],[Yıllık Değişim_1]],1,2)</f>
        <v/>
      </c>
      <c r="H232" t="str">
        <f>+MID(Fiyat_Endeksi__Üretici_Fiyatları___2003_100[[#This Row],[Yıllık Değişim_1]],4,2)</f>
        <v/>
      </c>
      <c r="I232" t="str">
        <f t="shared" si="7"/>
        <v>,</v>
      </c>
    </row>
    <row r="233" spans="1:9" x14ac:dyDescent="0.3">
      <c r="A233" s="209">
        <v>38991</v>
      </c>
      <c r="B233" t="s">
        <v>1244</v>
      </c>
      <c r="C233" t="s">
        <v>844</v>
      </c>
      <c r="D233" t="s">
        <v>1003</v>
      </c>
      <c r="E233" t="s">
        <v>844</v>
      </c>
      <c r="G233" t="str">
        <f>+MID(Fiyat_Endeksi__Üretici_Fiyatları___2003_100[[#This Row],[Yıllık Değişim_1]],1,2)</f>
        <v/>
      </c>
      <c r="H233" t="str">
        <f>+MID(Fiyat_Endeksi__Üretici_Fiyatları___2003_100[[#This Row],[Yıllık Değişim_1]],4,2)</f>
        <v/>
      </c>
      <c r="I233" t="str">
        <f t="shared" si="7"/>
        <v>,</v>
      </c>
    </row>
    <row r="234" spans="1:9" x14ac:dyDescent="0.3">
      <c r="A234" s="209">
        <v>38961</v>
      </c>
      <c r="B234" t="s">
        <v>1245</v>
      </c>
      <c r="C234" t="s">
        <v>844</v>
      </c>
      <c r="D234" t="s">
        <v>1246</v>
      </c>
      <c r="E234" t="s">
        <v>844</v>
      </c>
      <c r="G234" t="str">
        <f>+MID(Fiyat_Endeksi__Üretici_Fiyatları___2003_100[[#This Row],[Yıllık Değişim_1]],1,2)</f>
        <v/>
      </c>
      <c r="H234" t="str">
        <f>+MID(Fiyat_Endeksi__Üretici_Fiyatları___2003_100[[#This Row],[Yıllık Değişim_1]],4,2)</f>
        <v/>
      </c>
      <c r="I234" t="str">
        <f t="shared" si="7"/>
        <v>,</v>
      </c>
    </row>
    <row r="235" spans="1:9" x14ac:dyDescent="0.3">
      <c r="A235" s="209">
        <v>38930</v>
      </c>
      <c r="B235" t="s">
        <v>1247</v>
      </c>
      <c r="C235" t="s">
        <v>844</v>
      </c>
      <c r="D235" t="s">
        <v>1248</v>
      </c>
      <c r="E235" t="s">
        <v>844</v>
      </c>
      <c r="G235" t="str">
        <f>+MID(Fiyat_Endeksi__Üretici_Fiyatları___2003_100[[#This Row],[Yıllık Değişim_1]],1,2)</f>
        <v/>
      </c>
      <c r="H235" t="str">
        <f>+MID(Fiyat_Endeksi__Üretici_Fiyatları___2003_100[[#This Row],[Yıllık Değişim_1]],4,2)</f>
        <v/>
      </c>
      <c r="I235" t="str">
        <f t="shared" si="7"/>
        <v>,</v>
      </c>
    </row>
    <row r="236" spans="1:9" x14ac:dyDescent="0.3">
      <c r="A236" s="209">
        <v>38899</v>
      </c>
      <c r="B236" t="s">
        <v>1249</v>
      </c>
      <c r="C236" t="s">
        <v>844</v>
      </c>
      <c r="D236" t="s">
        <v>1250</v>
      </c>
      <c r="E236" t="s">
        <v>844</v>
      </c>
      <c r="G236" t="str">
        <f>+MID(Fiyat_Endeksi__Üretici_Fiyatları___2003_100[[#This Row],[Yıllık Değişim_1]],1,2)</f>
        <v/>
      </c>
      <c r="H236" t="str">
        <f>+MID(Fiyat_Endeksi__Üretici_Fiyatları___2003_100[[#This Row],[Yıllık Değişim_1]],4,2)</f>
        <v/>
      </c>
      <c r="I236" t="str">
        <f t="shared" si="7"/>
        <v>,</v>
      </c>
    </row>
    <row r="237" spans="1:9" x14ac:dyDescent="0.3">
      <c r="A237" s="209">
        <v>38869</v>
      </c>
      <c r="B237" t="s">
        <v>1251</v>
      </c>
      <c r="C237" t="s">
        <v>844</v>
      </c>
      <c r="D237" t="s">
        <v>1252</v>
      </c>
      <c r="E237" t="s">
        <v>844</v>
      </c>
      <c r="G237" t="str">
        <f>+MID(Fiyat_Endeksi__Üretici_Fiyatları___2003_100[[#This Row],[Yıllık Değişim_1]],1,2)</f>
        <v/>
      </c>
      <c r="H237" t="str">
        <f>+MID(Fiyat_Endeksi__Üretici_Fiyatları___2003_100[[#This Row],[Yıllık Değişim_1]],4,2)</f>
        <v/>
      </c>
      <c r="I237" t="str">
        <f t="shared" si="7"/>
        <v>,</v>
      </c>
    </row>
    <row r="238" spans="1:9" x14ac:dyDescent="0.3">
      <c r="A238" s="209">
        <v>38838</v>
      </c>
      <c r="B238" t="s">
        <v>1253</v>
      </c>
      <c r="C238" t="s">
        <v>844</v>
      </c>
      <c r="D238" t="s">
        <v>944</v>
      </c>
      <c r="E238" t="s">
        <v>844</v>
      </c>
      <c r="G238" t="str">
        <f>+MID(Fiyat_Endeksi__Üretici_Fiyatları___2003_100[[#This Row],[Yıllık Değişim_1]],1,2)</f>
        <v/>
      </c>
      <c r="H238" t="str">
        <f>+MID(Fiyat_Endeksi__Üretici_Fiyatları___2003_100[[#This Row],[Yıllık Değişim_1]],4,2)</f>
        <v/>
      </c>
      <c r="I238" t="str">
        <f t="shared" si="7"/>
        <v>,</v>
      </c>
    </row>
    <row r="239" spans="1:9" x14ac:dyDescent="0.3">
      <c r="A239" s="209">
        <v>38808</v>
      </c>
      <c r="B239" t="s">
        <v>1254</v>
      </c>
      <c r="C239" t="s">
        <v>844</v>
      </c>
      <c r="D239" t="s">
        <v>875</v>
      </c>
      <c r="E239" t="s">
        <v>844</v>
      </c>
      <c r="G239" t="str">
        <f>+MID(Fiyat_Endeksi__Üretici_Fiyatları___2003_100[[#This Row],[Yıllık Değişim_1]],1,2)</f>
        <v/>
      </c>
      <c r="H239" t="str">
        <f>+MID(Fiyat_Endeksi__Üretici_Fiyatları___2003_100[[#This Row],[Yıllık Değişim_1]],4,2)</f>
        <v/>
      </c>
      <c r="I239" t="str">
        <f t="shared" si="7"/>
        <v>,</v>
      </c>
    </row>
    <row r="240" spans="1:9" x14ac:dyDescent="0.3">
      <c r="A240" s="209">
        <v>38777</v>
      </c>
      <c r="B240" t="s">
        <v>1255</v>
      </c>
      <c r="C240" t="s">
        <v>844</v>
      </c>
      <c r="D240" t="s">
        <v>1081</v>
      </c>
      <c r="E240" t="s">
        <v>844</v>
      </c>
      <c r="G240" t="str">
        <f>+MID(Fiyat_Endeksi__Üretici_Fiyatları___2003_100[[#This Row],[Yıllık Değişim_1]],1,2)</f>
        <v/>
      </c>
      <c r="H240" t="str">
        <f>+MID(Fiyat_Endeksi__Üretici_Fiyatları___2003_100[[#This Row],[Yıllık Değişim_1]],4,2)</f>
        <v/>
      </c>
      <c r="I240" t="str">
        <f t="shared" si="7"/>
        <v>,</v>
      </c>
    </row>
    <row r="241" spans="1:9" x14ac:dyDescent="0.3">
      <c r="A241" s="209">
        <v>38749</v>
      </c>
      <c r="B241" t="s">
        <v>1256</v>
      </c>
      <c r="C241" t="s">
        <v>844</v>
      </c>
      <c r="D241" t="s">
        <v>1133</v>
      </c>
      <c r="E241" t="s">
        <v>844</v>
      </c>
      <c r="G241" t="str">
        <f>+MID(Fiyat_Endeksi__Üretici_Fiyatları___2003_100[[#This Row],[Yıllık Değişim_1]],1,2)</f>
        <v/>
      </c>
      <c r="H241" t="str">
        <f>+MID(Fiyat_Endeksi__Üretici_Fiyatları___2003_100[[#This Row],[Yıllık Değişim_1]],4,2)</f>
        <v/>
      </c>
      <c r="I241" t="str">
        <f t="shared" si="7"/>
        <v>,</v>
      </c>
    </row>
    <row r="242" spans="1:9" x14ac:dyDescent="0.3">
      <c r="A242" s="209">
        <v>38718</v>
      </c>
      <c r="B242" t="s">
        <v>1257</v>
      </c>
      <c r="C242" t="s">
        <v>844</v>
      </c>
      <c r="D242" t="s">
        <v>879</v>
      </c>
      <c r="E242" t="s">
        <v>844</v>
      </c>
      <c r="G242" t="str">
        <f>+MID(Fiyat_Endeksi__Üretici_Fiyatları___2003_100[[#This Row],[Yıllık Değişim_1]],1,2)</f>
        <v/>
      </c>
      <c r="H242" t="str">
        <f>+MID(Fiyat_Endeksi__Üretici_Fiyatları___2003_100[[#This Row],[Yıllık Değişim_1]],4,2)</f>
        <v/>
      </c>
      <c r="I242" t="str">
        <f t="shared" si="7"/>
        <v>,</v>
      </c>
    </row>
    <row r="243" spans="1:9" x14ac:dyDescent="0.3">
      <c r="A243" s="209">
        <v>38687</v>
      </c>
      <c r="B243" t="s">
        <v>957</v>
      </c>
      <c r="C243" t="s">
        <v>844</v>
      </c>
      <c r="D243" t="s">
        <v>1258</v>
      </c>
      <c r="E243" t="s">
        <v>844</v>
      </c>
      <c r="G243" t="str">
        <f>+MID(Fiyat_Endeksi__Üretici_Fiyatları___2003_100[[#This Row],[Yıllık Değişim_1]],1,2)</f>
        <v/>
      </c>
      <c r="H243" t="str">
        <f>+MID(Fiyat_Endeksi__Üretici_Fiyatları___2003_100[[#This Row],[Yıllık Değişim_1]],4,2)</f>
        <v/>
      </c>
      <c r="I243" t="str">
        <f t="shared" si="7"/>
        <v>,</v>
      </c>
    </row>
    <row r="244" spans="1:9" x14ac:dyDescent="0.3">
      <c r="A244" s="209">
        <v>38657</v>
      </c>
      <c r="B244" t="s">
        <v>1150</v>
      </c>
      <c r="C244" t="s">
        <v>844</v>
      </c>
      <c r="D244" t="s">
        <v>1259</v>
      </c>
      <c r="E244" t="s">
        <v>844</v>
      </c>
      <c r="G244" t="str">
        <f>+MID(Fiyat_Endeksi__Üretici_Fiyatları___2003_100[[#This Row],[Yıllık Değişim_1]],1,2)</f>
        <v/>
      </c>
      <c r="H244" t="str">
        <f>+MID(Fiyat_Endeksi__Üretici_Fiyatları___2003_100[[#This Row],[Yıllık Değişim_1]],4,2)</f>
        <v/>
      </c>
      <c r="I244" t="str">
        <f t="shared" si="7"/>
        <v>,</v>
      </c>
    </row>
    <row r="245" spans="1:9" x14ac:dyDescent="0.3">
      <c r="A245" s="209">
        <v>38626</v>
      </c>
      <c r="B245" t="s">
        <v>1129</v>
      </c>
      <c r="C245" t="s">
        <v>844</v>
      </c>
      <c r="D245" t="s">
        <v>1260</v>
      </c>
      <c r="E245" t="s">
        <v>844</v>
      </c>
      <c r="G245" t="str">
        <f>+MID(Fiyat_Endeksi__Üretici_Fiyatları___2003_100[[#This Row],[Yıllık Değişim_1]],1,2)</f>
        <v/>
      </c>
      <c r="H245" t="str">
        <f>+MID(Fiyat_Endeksi__Üretici_Fiyatları___2003_100[[#This Row],[Yıllık Değişim_1]],4,2)</f>
        <v/>
      </c>
      <c r="I245" t="str">
        <f t="shared" si="7"/>
        <v>,</v>
      </c>
    </row>
    <row r="246" spans="1:9" x14ac:dyDescent="0.3">
      <c r="A246" s="209">
        <v>38596</v>
      </c>
      <c r="B246" t="s">
        <v>1261</v>
      </c>
      <c r="C246" t="s">
        <v>844</v>
      </c>
      <c r="D246" t="s">
        <v>1262</v>
      </c>
      <c r="E246" t="s">
        <v>844</v>
      </c>
      <c r="G246" t="str">
        <f>+MID(Fiyat_Endeksi__Üretici_Fiyatları___2003_100[[#This Row],[Yıllık Değişim_1]],1,2)</f>
        <v/>
      </c>
      <c r="H246" t="str">
        <f>+MID(Fiyat_Endeksi__Üretici_Fiyatları___2003_100[[#This Row],[Yıllık Değişim_1]],4,2)</f>
        <v/>
      </c>
      <c r="I246" t="str">
        <f t="shared" si="7"/>
        <v>,</v>
      </c>
    </row>
    <row r="247" spans="1:9" x14ac:dyDescent="0.3">
      <c r="A247" s="209">
        <v>38565</v>
      </c>
      <c r="B247" t="s">
        <v>1263</v>
      </c>
      <c r="C247" t="s">
        <v>844</v>
      </c>
      <c r="D247" t="s">
        <v>1044</v>
      </c>
      <c r="E247" t="s">
        <v>844</v>
      </c>
      <c r="G247" t="str">
        <f>+MID(Fiyat_Endeksi__Üretici_Fiyatları___2003_100[[#This Row],[Yıllık Değişim_1]],1,2)</f>
        <v/>
      </c>
      <c r="H247" t="str">
        <f>+MID(Fiyat_Endeksi__Üretici_Fiyatları___2003_100[[#This Row],[Yıllık Değişim_1]],4,2)</f>
        <v/>
      </c>
      <c r="I247" t="str">
        <f t="shared" si="7"/>
        <v>,</v>
      </c>
    </row>
    <row r="248" spans="1:9" x14ac:dyDescent="0.3">
      <c r="A248" s="209">
        <v>38534</v>
      </c>
      <c r="B248" t="s">
        <v>983</v>
      </c>
      <c r="C248" t="s">
        <v>844</v>
      </c>
      <c r="D248" t="s">
        <v>1264</v>
      </c>
      <c r="E248" t="s">
        <v>844</v>
      </c>
      <c r="G248" t="str">
        <f>+MID(Fiyat_Endeksi__Üretici_Fiyatları___2003_100[[#This Row],[Yıllık Değişim_1]],1,2)</f>
        <v/>
      </c>
      <c r="H248" t="str">
        <f>+MID(Fiyat_Endeksi__Üretici_Fiyatları___2003_100[[#This Row],[Yıllık Değişim_1]],4,2)</f>
        <v/>
      </c>
      <c r="I248" t="str">
        <f t="shared" si="7"/>
        <v>,</v>
      </c>
    </row>
    <row r="249" spans="1:9" x14ac:dyDescent="0.3">
      <c r="A249" s="209">
        <v>38504</v>
      </c>
      <c r="B249" t="s">
        <v>1265</v>
      </c>
      <c r="C249" t="s">
        <v>844</v>
      </c>
      <c r="D249" t="s">
        <v>1266</v>
      </c>
      <c r="E249" t="s">
        <v>844</v>
      </c>
      <c r="G249" t="str">
        <f>+MID(Fiyat_Endeksi__Üretici_Fiyatları___2003_100[[#This Row],[Yıllık Değişim_1]],1,2)</f>
        <v/>
      </c>
      <c r="H249" t="str">
        <f>+MID(Fiyat_Endeksi__Üretici_Fiyatları___2003_100[[#This Row],[Yıllık Değişim_1]],4,2)</f>
        <v/>
      </c>
      <c r="I249" t="str">
        <f t="shared" si="7"/>
        <v>,</v>
      </c>
    </row>
    <row r="250" spans="1:9" x14ac:dyDescent="0.3">
      <c r="A250" s="209">
        <v>38473</v>
      </c>
      <c r="B250" t="s">
        <v>1267</v>
      </c>
      <c r="C250" t="s">
        <v>844</v>
      </c>
      <c r="D250" t="s">
        <v>1268</v>
      </c>
      <c r="E250" t="s">
        <v>844</v>
      </c>
      <c r="G250" t="str">
        <f>+MID(Fiyat_Endeksi__Üretici_Fiyatları___2003_100[[#This Row],[Yıllık Değişim_1]],1,2)</f>
        <v/>
      </c>
      <c r="H250" t="str">
        <f>+MID(Fiyat_Endeksi__Üretici_Fiyatları___2003_100[[#This Row],[Yıllık Değişim_1]],4,2)</f>
        <v/>
      </c>
      <c r="I250" t="str">
        <f t="shared" si="7"/>
        <v>,</v>
      </c>
    </row>
    <row r="251" spans="1:9" x14ac:dyDescent="0.3">
      <c r="A251" s="209">
        <v>38443</v>
      </c>
      <c r="B251" t="s">
        <v>1269</v>
      </c>
      <c r="C251" t="s">
        <v>844</v>
      </c>
      <c r="D251" t="s">
        <v>1170</v>
      </c>
      <c r="E251" t="s">
        <v>844</v>
      </c>
      <c r="G251" t="str">
        <f>+MID(Fiyat_Endeksi__Üretici_Fiyatları___2003_100[[#This Row],[Yıllık Değişim_1]],1,2)</f>
        <v/>
      </c>
      <c r="H251" t="str">
        <f>+MID(Fiyat_Endeksi__Üretici_Fiyatları___2003_100[[#This Row],[Yıllık Değişim_1]],4,2)</f>
        <v/>
      </c>
      <c r="I251" t="str">
        <f t="shared" si="7"/>
        <v>,</v>
      </c>
    </row>
    <row r="252" spans="1:9" x14ac:dyDescent="0.3">
      <c r="A252" s="209">
        <v>38412</v>
      </c>
      <c r="B252" t="s">
        <v>1270</v>
      </c>
      <c r="C252" t="s">
        <v>844</v>
      </c>
      <c r="D252" t="s">
        <v>1046</v>
      </c>
      <c r="E252" t="s">
        <v>844</v>
      </c>
      <c r="G252" t="str">
        <f>+MID(Fiyat_Endeksi__Üretici_Fiyatları___2003_100[[#This Row],[Yıllık Değişim_1]],1,2)</f>
        <v/>
      </c>
      <c r="H252" t="str">
        <f>+MID(Fiyat_Endeksi__Üretici_Fiyatları___2003_100[[#This Row],[Yıllık Değişim_1]],4,2)</f>
        <v/>
      </c>
      <c r="I252" t="str">
        <f t="shared" si="7"/>
        <v>,</v>
      </c>
    </row>
    <row r="253" spans="1:9" x14ac:dyDescent="0.3">
      <c r="A253" s="209">
        <v>38384</v>
      </c>
      <c r="B253" t="s">
        <v>1271</v>
      </c>
      <c r="C253" t="s">
        <v>844</v>
      </c>
      <c r="D253" t="s">
        <v>1272</v>
      </c>
      <c r="E253" t="s">
        <v>844</v>
      </c>
      <c r="G253" t="str">
        <f>+MID(Fiyat_Endeksi__Üretici_Fiyatları___2003_100[[#This Row],[Yıllık Değişim_1]],1,2)</f>
        <v/>
      </c>
      <c r="H253" t="str">
        <f>+MID(Fiyat_Endeksi__Üretici_Fiyatları___2003_100[[#This Row],[Yıllık Değişim_1]],4,2)</f>
        <v/>
      </c>
      <c r="I253" t="str">
        <f t="shared" si="7"/>
        <v>,</v>
      </c>
    </row>
    <row r="254" spans="1:9" x14ac:dyDescent="0.3">
      <c r="A254" s="209">
        <v>38353</v>
      </c>
      <c r="B254" t="s">
        <v>1273</v>
      </c>
      <c r="C254" t="s">
        <v>844</v>
      </c>
      <c r="D254" t="s">
        <v>1274</v>
      </c>
      <c r="E254" t="s">
        <v>844</v>
      </c>
      <c r="G254" t="str">
        <f>+MID(Fiyat_Endeksi__Üretici_Fiyatları___2003_100[[#This Row],[Yıllık Değişim_1]],1,2)</f>
        <v/>
      </c>
      <c r="H254" t="str">
        <f>+MID(Fiyat_Endeksi__Üretici_Fiyatları___2003_100[[#This Row],[Yıllık Değişim_1]],4,2)</f>
        <v/>
      </c>
      <c r="I254" t="str">
        <f t="shared" si="7"/>
        <v>,</v>
      </c>
    </row>
    <row r="255" spans="1:9" x14ac:dyDescent="0.3">
      <c r="A255" s="209">
        <v>38322</v>
      </c>
      <c r="B255" t="s">
        <v>1275</v>
      </c>
      <c r="C255" t="s">
        <v>844</v>
      </c>
      <c r="D255" t="s">
        <v>1276</v>
      </c>
      <c r="E255" t="s">
        <v>844</v>
      </c>
      <c r="G255" t="str">
        <f>+MID(Fiyat_Endeksi__Üretici_Fiyatları___2003_100[[#This Row],[Yıllık Değişim_1]],1,2)</f>
        <v/>
      </c>
      <c r="H255" t="str">
        <f>+MID(Fiyat_Endeksi__Üretici_Fiyatları___2003_100[[#This Row],[Yıllık Değişim_1]],4,2)</f>
        <v/>
      </c>
      <c r="I255" t="str">
        <f t="shared" si="7"/>
        <v>,</v>
      </c>
    </row>
    <row r="256" spans="1:9" x14ac:dyDescent="0.3">
      <c r="A256" s="209">
        <v>38292</v>
      </c>
      <c r="B256" t="s">
        <v>1277</v>
      </c>
      <c r="C256" t="s">
        <v>844</v>
      </c>
      <c r="D256" t="s">
        <v>1278</v>
      </c>
      <c r="E256" t="s">
        <v>844</v>
      </c>
      <c r="G256" t="str">
        <f>+MID(Fiyat_Endeksi__Üretici_Fiyatları___2003_100[[#This Row],[Yıllık Değişim_1]],1,2)</f>
        <v/>
      </c>
      <c r="H256" t="str">
        <f>+MID(Fiyat_Endeksi__Üretici_Fiyatları___2003_100[[#This Row],[Yıllık Değişim_1]],4,2)</f>
        <v/>
      </c>
      <c r="I256" t="str">
        <f t="shared" si="7"/>
        <v>,</v>
      </c>
    </row>
    <row r="257" spans="1:9" x14ac:dyDescent="0.3">
      <c r="A257" s="209">
        <v>38261</v>
      </c>
      <c r="B257" t="s">
        <v>1279</v>
      </c>
      <c r="C257" t="s">
        <v>844</v>
      </c>
      <c r="D257" t="s">
        <v>1280</v>
      </c>
      <c r="E257" t="s">
        <v>844</v>
      </c>
      <c r="G257" t="str">
        <f>+MID(Fiyat_Endeksi__Üretici_Fiyatları___2003_100[[#This Row],[Yıllık Değişim_1]],1,2)</f>
        <v/>
      </c>
      <c r="H257" t="str">
        <f>+MID(Fiyat_Endeksi__Üretici_Fiyatları___2003_100[[#This Row],[Yıllık Değişim_1]],4,2)</f>
        <v/>
      </c>
      <c r="I257" t="str">
        <f t="shared" si="7"/>
        <v>,</v>
      </c>
    </row>
    <row r="258" spans="1:9" x14ac:dyDescent="0.3">
      <c r="A258" s="209">
        <v>38231</v>
      </c>
      <c r="B258" t="s">
        <v>1281</v>
      </c>
      <c r="C258" t="s">
        <v>844</v>
      </c>
      <c r="D258" t="s">
        <v>1037</v>
      </c>
      <c r="E258" t="s">
        <v>844</v>
      </c>
      <c r="G258" t="str">
        <f>+MID(Fiyat_Endeksi__Üretici_Fiyatları___2003_100[[#This Row],[Yıllık Değişim_1]],1,2)</f>
        <v/>
      </c>
      <c r="H258" t="str">
        <f>+MID(Fiyat_Endeksi__Üretici_Fiyatları___2003_100[[#This Row],[Yıllık Değişim_1]],4,2)</f>
        <v/>
      </c>
      <c r="I258" t="str">
        <f t="shared" si="7"/>
        <v>,</v>
      </c>
    </row>
    <row r="259" spans="1:9" x14ac:dyDescent="0.3">
      <c r="A259" s="209">
        <v>38200</v>
      </c>
      <c r="B259" t="s">
        <v>1282</v>
      </c>
      <c r="C259" t="s">
        <v>844</v>
      </c>
      <c r="D259" t="s">
        <v>1237</v>
      </c>
      <c r="E259" t="s">
        <v>844</v>
      </c>
      <c r="G259" t="str">
        <f>+MID(Fiyat_Endeksi__Üretici_Fiyatları___2003_100[[#This Row],[Yıllık Değişim_1]],1,2)</f>
        <v/>
      </c>
      <c r="H259" t="str">
        <f>+MID(Fiyat_Endeksi__Üretici_Fiyatları___2003_100[[#This Row],[Yıllık Değişim_1]],4,2)</f>
        <v/>
      </c>
      <c r="I259" t="str">
        <f t="shared" si="7"/>
        <v>,</v>
      </c>
    </row>
    <row r="260" spans="1:9" x14ac:dyDescent="0.3">
      <c r="A260" s="209">
        <v>38169</v>
      </c>
      <c r="B260" t="s">
        <v>1283</v>
      </c>
      <c r="C260" t="s">
        <v>844</v>
      </c>
      <c r="D260" t="s">
        <v>1264</v>
      </c>
      <c r="E260" t="s">
        <v>844</v>
      </c>
      <c r="G260" t="str">
        <f>+MID(Fiyat_Endeksi__Üretici_Fiyatları___2003_100[[#This Row],[Yıllık Değişim_1]],1,2)</f>
        <v/>
      </c>
      <c r="H260" t="str">
        <f>+MID(Fiyat_Endeksi__Üretici_Fiyatları___2003_100[[#This Row],[Yıllık Değişim_1]],4,2)</f>
        <v/>
      </c>
      <c r="I260" t="str">
        <f t="shared" si="7"/>
        <v>,</v>
      </c>
    </row>
    <row r="261" spans="1:9" x14ac:dyDescent="0.3">
      <c r="A261" s="209">
        <v>38139</v>
      </c>
      <c r="B261" t="s">
        <v>1284</v>
      </c>
      <c r="C261" t="s">
        <v>844</v>
      </c>
      <c r="D261" t="s">
        <v>1235</v>
      </c>
      <c r="E261" t="s">
        <v>844</v>
      </c>
      <c r="G261" t="str">
        <f>+MID(Fiyat_Endeksi__Üretici_Fiyatları___2003_100[[#This Row],[Yıllık Değişim_1]],1,2)</f>
        <v/>
      </c>
      <c r="H261" t="str">
        <f>+MID(Fiyat_Endeksi__Üretici_Fiyatları___2003_100[[#This Row],[Yıllık Değişim_1]],4,2)</f>
        <v/>
      </c>
      <c r="I261" t="str">
        <f t="shared" si="7"/>
        <v>,</v>
      </c>
    </row>
    <row r="262" spans="1:9" x14ac:dyDescent="0.3">
      <c r="A262" s="209">
        <v>38108</v>
      </c>
      <c r="B262" t="s">
        <v>1285</v>
      </c>
      <c r="C262" t="s">
        <v>844</v>
      </c>
      <c r="D262" t="s">
        <v>1286</v>
      </c>
      <c r="E262" t="s">
        <v>844</v>
      </c>
      <c r="G262" t="str">
        <f>+MID(Fiyat_Endeksi__Üretici_Fiyatları___2003_100[[#This Row],[Yıllık Değişim_1]],1,2)</f>
        <v/>
      </c>
      <c r="H262" t="str">
        <f>+MID(Fiyat_Endeksi__Üretici_Fiyatları___2003_100[[#This Row],[Yıllık Değişim_1]],4,2)</f>
        <v/>
      </c>
      <c r="I262" t="str">
        <f t="shared" si="7"/>
        <v>,</v>
      </c>
    </row>
    <row r="263" spans="1:9" x14ac:dyDescent="0.3">
      <c r="A263" s="209">
        <v>38078</v>
      </c>
      <c r="B263" t="s">
        <v>1287</v>
      </c>
      <c r="C263" t="s">
        <v>844</v>
      </c>
      <c r="D263" t="s">
        <v>1288</v>
      </c>
      <c r="E263" t="s">
        <v>844</v>
      </c>
      <c r="G263" t="str">
        <f>+MID(Fiyat_Endeksi__Üretici_Fiyatları___2003_100[[#This Row],[Yıllık Değişim_1]],1,2)</f>
        <v/>
      </c>
      <c r="H263" t="str">
        <f>+MID(Fiyat_Endeksi__Üretici_Fiyatları___2003_100[[#This Row],[Yıllık Değişim_1]],4,2)</f>
        <v/>
      </c>
      <c r="I263" t="str">
        <f t="shared" si="7"/>
        <v>,</v>
      </c>
    </row>
    <row r="264" spans="1:9" x14ac:dyDescent="0.3">
      <c r="A264" s="209">
        <v>38047</v>
      </c>
      <c r="B264" t="s">
        <v>1289</v>
      </c>
      <c r="C264" t="s">
        <v>844</v>
      </c>
      <c r="D264" t="s">
        <v>1290</v>
      </c>
      <c r="E264" t="s">
        <v>844</v>
      </c>
      <c r="G264" t="str">
        <f>+MID(Fiyat_Endeksi__Üretici_Fiyatları___2003_100[[#This Row],[Yıllık Değişim_1]],1,2)</f>
        <v/>
      </c>
      <c r="H264" t="str">
        <f>+MID(Fiyat_Endeksi__Üretici_Fiyatları___2003_100[[#This Row],[Yıllık Değişim_1]],4,2)</f>
        <v/>
      </c>
      <c r="I264" t="str">
        <f t="shared" si="7"/>
        <v>,</v>
      </c>
    </row>
    <row r="265" spans="1:9" x14ac:dyDescent="0.3">
      <c r="A265" s="209">
        <v>38018</v>
      </c>
      <c r="B265" t="s">
        <v>1093</v>
      </c>
      <c r="C265" t="s">
        <v>844</v>
      </c>
      <c r="D265" t="s">
        <v>1058</v>
      </c>
      <c r="E265" t="s">
        <v>844</v>
      </c>
      <c r="G265" t="str">
        <f>+MID(Fiyat_Endeksi__Üretici_Fiyatları___2003_100[[#This Row],[Yıllık Değişim_1]],1,2)</f>
        <v/>
      </c>
      <c r="H265" t="str">
        <f>+MID(Fiyat_Endeksi__Üretici_Fiyatları___2003_100[[#This Row],[Yıllık Değişim_1]],4,2)</f>
        <v/>
      </c>
      <c r="I265" t="str">
        <f t="shared" si="7"/>
        <v>,</v>
      </c>
    </row>
    <row r="266" spans="1:9" x14ac:dyDescent="0.3">
      <c r="A266" s="209">
        <v>37987</v>
      </c>
      <c r="B266" t="s">
        <v>1220</v>
      </c>
      <c r="C266" t="s">
        <v>844</v>
      </c>
      <c r="D266" t="s">
        <v>1291</v>
      </c>
      <c r="E266" t="s">
        <v>844</v>
      </c>
      <c r="G266" t="str">
        <f>+MID(Fiyat_Endeksi__Üretici_Fiyatları___2003_100[[#This Row],[Yıllık Değişim_1]],1,2)</f>
        <v/>
      </c>
      <c r="H266" t="str">
        <f>+MID(Fiyat_Endeksi__Üretici_Fiyatları___2003_100[[#This Row],[Yıllık Değişim_1]],4,2)</f>
        <v/>
      </c>
      <c r="I266" t="str">
        <f t="shared" si="7"/>
        <v>,</v>
      </c>
    </row>
    <row r="267" spans="1:9" x14ac:dyDescent="0.3">
      <c r="A267" s="209">
        <v>37956</v>
      </c>
      <c r="B267" t="s">
        <v>844</v>
      </c>
      <c r="C267" t="s">
        <v>844</v>
      </c>
      <c r="D267" t="s">
        <v>1190</v>
      </c>
      <c r="E267" t="s">
        <v>844</v>
      </c>
      <c r="G267" t="str">
        <f>+MID(Fiyat_Endeksi__Üretici_Fiyatları___2003_100[[#This Row],[Yıllık Değişim_1]],1,2)</f>
        <v/>
      </c>
      <c r="H267" t="str">
        <f>+MID(Fiyat_Endeksi__Üretici_Fiyatları___2003_100[[#This Row],[Yıllık Değişim_1]],4,2)</f>
        <v/>
      </c>
      <c r="I267" t="str">
        <f t="shared" si="7"/>
        <v>,</v>
      </c>
    </row>
    <row r="268" spans="1:9" x14ac:dyDescent="0.3">
      <c r="A268" s="209">
        <v>37926</v>
      </c>
      <c r="B268" t="s">
        <v>844</v>
      </c>
      <c r="C268" t="s">
        <v>844</v>
      </c>
      <c r="D268" t="s">
        <v>861</v>
      </c>
      <c r="E268" t="s">
        <v>844</v>
      </c>
      <c r="G268" t="str">
        <f>+MID(Fiyat_Endeksi__Üretici_Fiyatları___2003_100[[#This Row],[Yıllık Değişim_1]],1,2)</f>
        <v/>
      </c>
      <c r="H268" t="str">
        <f>+MID(Fiyat_Endeksi__Üretici_Fiyatları___2003_100[[#This Row],[Yıllık Değişim_1]],4,2)</f>
        <v/>
      </c>
      <c r="I268" t="str">
        <f t="shared" si="7"/>
        <v>,</v>
      </c>
    </row>
    <row r="269" spans="1:9" x14ac:dyDescent="0.3">
      <c r="A269" s="209">
        <v>37895</v>
      </c>
      <c r="B269" t="s">
        <v>844</v>
      </c>
      <c r="C269" t="s">
        <v>844</v>
      </c>
      <c r="D269" t="s">
        <v>1292</v>
      </c>
      <c r="E269" t="s">
        <v>844</v>
      </c>
      <c r="G269" t="str">
        <f>+MID(Fiyat_Endeksi__Üretici_Fiyatları___2003_100[[#This Row],[Yıllık Değişim_1]],1,2)</f>
        <v/>
      </c>
      <c r="H269" t="str">
        <f>+MID(Fiyat_Endeksi__Üretici_Fiyatları___2003_100[[#This Row],[Yıllık Değişim_1]],4,2)</f>
        <v/>
      </c>
      <c r="I269" t="str">
        <f t="shared" si="7"/>
        <v>,</v>
      </c>
    </row>
    <row r="270" spans="1:9" x14ac:dyDescent="0.3">
      <c r="A270" s="209">
        <v>37865</v>
      </c>
      <c r="B270" t="s">
        <v>844</v>
      </c>
      <c r="C270" t="s">
        <v>844</v>
      </c>
      <c r="D270" t="s">
        <v>1144</v>
      </c>
      <c r="E270" t="s">
        <v>844</v>
      </c>
      <c r="G270" t="str">
        <f>+MID(Fiyat_Endeksi__Üretici_Fiyatları___2003_100[[#This Row],[Yıllık Değişim_1]],1,2)</f>
        <v/>
      </c>
      <c r="H270" t="str">
        <f>+MID(Fiyat_Endeksi__Üretici_Fiyatları___2003_100[[#This Row],[Yıllık Değişim_1]],4,2)</f>
        <v/>
      </c>
      <c r="I270" t="str">
        <f t="shared" si="7"/>
        <v>,</v>
      </c>
    </row>
    <row r="271" spans="1:9" x14ac:dyDescent="0.3">
      <c r="A271" s="209">
        <v>37834</v>
      </c>
      <c r="B271" t="s">
        <v>844</v>
      </c>
      <c r="C271" t="s">
        <v>844</v>
      </c>
      <c r="D271" t="s">
        <v>1293</v>
      </c>
      <c r="E271" t="s">
        <v>844</v>
      </c>
      <c r="G271" t="str">
        <f>+MID(Fiyat_Endeksi__Üretici_Fiyatları___2003_100[[#This Row],[Yıllık Değişim_1]],1,2)</f>
        <v/>
      </c>
      <c r="H271" t="str">
        <f>+MID(Fiyat_Endeksi__Üretici_Fiyatları___2003_100[[#This Row],[Yıllık Değişim_1]],4,2)</f>
        <v/>
      </c>
      <c r="I271" t="str">
        <f t="shared" si="7"/>
        <v>,</v>
      </c>
    </row>
    <row r="272" spans="1:9" x14ac:dyDescent="0.3">
      <c r="A272" s="209">
        <v>37803</v>
      </c>
      <c r="B272" t="s">
        <v>844</v>
      </c>
      <c r="C272" t="s">
        <v>844</v>
      </c>
      <c r="D272" t="s">
        <v>1142</v>
      </c>
      <c r="E272" t="s">
        <v>844</v>
      </c>
      <c r="G272" t="str">
        <f>+MID(Fiyat_Endeksi__Üretici_Fiyatları___2003_100[[#This Row],[Yıllık Değişim_1]],1,2)</f>
        <v/>
      </c>
      <c r="H272" t="str">
        <f>+MID(Fiyat_Endeksi__Üretici_Fiyatları___2003_100[[#This Row],[Yıllık Değişim_1]],4,2)</f>
        <v/>
      </c>
      <c r="I272" t="str">
        <f t="shared" si="7"/>
        <v>,</v>
      </c>
    </row>
    <row r="273" spans="1:9" x14ac:dyDescent="0.3">
      <c r="A273" s="209">
        <v>37773</v>
      </c>
      <c r="B273" t="s">
        <v>844</v>
      </c>
      <c r="C273" t="s">
        <v>844</v>
      </c>
      <c r="D273" t="s">
        <v>912</v>
      </c>
      <c r="E273" t="s">
        <v>844</v>
      </c>
      <c r="G273" t="str">
        <f>+MID(Fiyat_Endeksi__Üretici_Fiyatları___2003_100[[#This Row],[Yıllık Değişim_1]],1,2)</f>
        <v/>
      </c>
      <c r="H273" t="str">
        <f>+MID(Fiyat_Endeksi__Üretici_Fiyatları___2003_100[[#This Row],[Yıllık Değişim_1]],4,2)</f>
        <v/>
      </c>
      <c r="I273" t="str">
        <f>+CONCATENATE(G273,",",H273)</f>
        <v>,</v>
      </c>
    </row>
    <row r="274" spans="1:9" x14ac:dyDescent="0.3">
      <c r="A274" s="209">
        <v>37742</v>
      </c>
      <c r="B274" t="s">
        <v>844</v>
      </c>
      <c r="C274" t="s">
        <v>844</v>
      </c>
      <c r="D274" t="s">
        <v>1294</v>
      </c>
      <c r="E274" t="s">
        <v>844</v>
      </c>
      <c r="G274" t="str">
        <f>+MID(Fiyat_Endeksi__Üretici_Fiyatları___2003_100[[#This Row],[Yıllık Değişim_1]],1,2)</f>
        <v/>
      </c>
      <c r="H274" t="str">
        <f>+MID(Fiyat_Endeksi__Üretici_Fiyatları___2003_100[[#This Row],[Yıllık Değişim_1]],4,2)</f>
        <v/>
      </c>
      <c r="I274" t="str">
        <f>+CONCATENATE(G274,",",H274)</f>
        <v>,</v>
      </c>
    </row>
    <row r="275" spans="1:9" x14ac:dyDescent="0.3">
      <c r="A275" s="209">
        <v>37712</v>
      </c>
      <c r="B275" t="s">
        <v>844</v>
      </c>
      <c r="C275" t="s">
        <v>844</v>
      </c>
      <c r="D275" t="s">
        <v>1295</v>
      </c>
      <c r="E275" t="s">
        <v>844</v>
      </c>
      <c r="G275" t="str">
        <f>+MID(Fiyat_Endeksi__Üretici_Fiyatları___2003_100[[#This Row],[Yıllık Değişim_1]],1,2)</f>
        <v/>
      </c>
      <c r="H275" t="str">
        <f>+MID(Fiyat_Endeksi__Üretici_Fiyatları___2003_100[[#This Row],[Yıllık Değişim_1]],4,2)</f>
        <v/>
      </c>
      <c r="I275" t="str">
        <f>+CONCATENATE(G275,",",H275)</f>
        <v>,</v>
      </c>
    </row>
    <row r="276" spans="1:9" x14ac:dyDescent="0.3">
      <c r="A276" s="209">
        <v>37681</v>
      </c>
      <c r="B276" t="s">
        <v>844</v>
      </c>
      <c r="C276" t="s">
        <v>844</v>
      </c>
      <c r="D276" t="s">
        <v>852</v>
      </c>
      <c r="E276" t="s">
        <v>844</v>
      </c>
      <c r="G276" t="str">
        <f>+MID(Fiyat_Endeksi__Üretici_Fiyatları___2003_100[[#This Row],[Yıllık Değişim_1]],1,2)</f>
        <v/>
      </c>
      <c r="H276" t="str">
        <f>+MID(Fiyat_Endeksi__Üretici_Fiyatları___2003_100[[#This Row],[Yıllık Değişim_1]],4,2)</f>
        <v/>
      </c>
      <c r="I276" t="str">
        <f>+CONCATENATE(G276,",",H276)</f>
        <v>,</v>
      </c>
    </row>
    <row r="277" spans="1:9" x14ac:dyDescent="0.3">
      <c r="A277" s="209">
        <v>37653</v>
      </c>
      <c r="B277" t="s">
        <v>844</v>
      </c>
      <c r="C277" t="s">
        <v>844</v>
      </c>
      <c r="D277" t="s">
        <v>1296</v>
      </c>
      <c r="E277" t="s">
        <v>844</v>
      </c>
    </row>
    <row r="278" spans="1:9" x14ac:dyDescent="0.3">
      <c r="A278" s="209">
        <v>37622</v>
      </c>
      <c r="B278" t="s">
        <v>844</v>
      </c>
      <c r="C278" t="s">
        <v>844</v>
      </c>
      <c r="D278" t="s">
        <v>844</v>
      </c>
      <c r="E278" t="s">
        <v>844</v>
      </c>
    </row>
  </sheetData>
  <mergeCells count="3">
    <mergeCell ref="K1:M1"/>
    <mergeCell ref="G1:I1"/>
    <mergeCell ref="P3:S3"/>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6B7-868A-476E-ADF9-8F45EC4C7034}">
  <sheetPr published="0" codeName="Sayfa11"/>
  <dimension ref="A1:N14"/>
  <sheetViews>
    <sheetView workbookViewId="0">
      <selection activeCell="F17" sqref="F17"/>
    </sheetView>
  </sheetViews>
  <sheetFormatPr defaultRowHeight="14.4" x14ac:dyDescent="0.3"/>
  <cols>
    <col min="1" max="1" width="22.88671875" customWidth="1"/>
    <col min="2" max="2" width="18.88671875" customWidth="1"/>
    <col min="3" max="3" width="14.6640625" customWidth="1"/>
    <col min="4" max="4" width="36" customWidth="1"/>
    <col min="14" max="14" width="70.109375" customWidth="1"/>
  </cols>
  <sheetData>
    <row r="1" spans="1:14" x14ac:dyDescent="0.3">
      <c r="A1" s="105" t="s">
        <v>295</v>
      </c>
      <c r="B1" s="106" t="s">
        <v>98</v>
      </c>
      <c r="C1" s="107" t="s">
        <v>99</v>
      </c>
      <c r="D1" s="107" t="s">
        <v>716</v>
      </c>
      <c r="E1" s="937" t="s">
        <v>741</v>
      </c>
      <c r="F1" s="937"/>
      <c r="G1" s="937"/>
      <c r="H1" s="937"/>
      <c r="I1" s="937"/>
      <c r="J1" s="937"/>
      <c r="K1" s="937"/>
      <c r="L1" s="937"/>
      <c r="M1" s="937"/>
      <c r="N1" s="937" t="e" cm="1">
        <f t="array" ref="N1">+BelgelerMetni(A2:D14)</f>
        <v>#VALUE!</v>
      </c>
    </row>
    <row r="2" spans="1:14" x14ac:dyDescent="0.3">
      <c r="A2" s="135" t="s">
        <v>294</v>
      </c>
      <c r="B2" s="59">
        <v>41822</v>
      </c>
      <c r="C2" s="136" t="s">
        <v>734</v>
      </c>
      <c r="D2" s="1"/>
      <c r="E2" s="937"/>
      <c r="F2" s="937"/>
      <c r="G2" s="937"/>
      <c r="H2" s="937"/>
      <c r="I2" s="937"/>
      <c r="J2" s="937"/>
      <c r="K2" s="937"/>
      <c r="L2" s="937"/>
      <c r="M2" s="937"/>
      <c r="N2" s="937"/>
    </row>
    <row r="3" spans="1:14" x14ac:dyDescent="0.3">
      <c r="A3" s="135" t="s">
        <v>296</v>
      </c>
      <c r="B3" s="134">
        <v>42837</v>
      </c>
      <c r="C3" s="137" t="s">
        <v>732</v>
      </c>
      <c r="D3" s="1"/>
      <c r="E3" s="937"/>
      <c r="F3" s="937"/>
      <c r="G3" s="937"/>
      <c r="H3" s="937"/>
      <c r="I3" s="937"/>
      <c r="J3" s="937"/>
      <c r="K3" s="937"/>
      <c r="L3" s="937"/>
      <c r="M3" s="937"/>
      <c r="N3" s="937"/>
    </row>
    <row r="4" spans="1:14" x14ac:dyDescent="0.3">
      <c r="A4" s="135" t="s">
        <v>297</v>
      </c>
      <c r="B4" s="134"/>
      <c r="C4" s="137"/>
      <c r="D4" s="1"/>
      <c r="E4" s="937"/>
      <c r="F4" s="937"/>
      <c r="G4" s="937"/>
      <c r="H4" s="937"/>
      <c r="I4" s="937"/>
      <c r="J4" s="937"/>
      <c r="K4" s="937"/>
      <c r="L4" s="937"/>
      <c r="M4" s="937"/>
      <c r="N4" s="937"/>
    </row>
    <row r="5" spans="1:14" x14ac:dyDescent="0.3">
      <c r="A5" s="135"/>
      <c r="B5" s="134"/>
      <c r="C5" s="137"/>
      <c r="D5" s="1"/>
      <c r="E5" s="937"/>
      <c r="F5" s="937"/>
      <c r="G5" s="937"/>
      <c r="H5" s="937"/>
      <c r="I5" s="937"/>
      <c r="J5" s="937"/>
      <c r="K5" s="937"/>
      <c r="L5" s="937"/>
      <c r="M5" s="937"/>
      <c r="N5" s="937"/>
    </row>
    <row r="6" spans="1:14" x14ac:dyDescent="0.3">
      <c r="A6" s="135"/>
      <c r="B6" s="15"/>
      <c r="C6" s="137"/>
      <c r="D6" s="1"/>
      <c r="E6" s="937"/>
      <c r="F6" s="937"/>
      <c r="G6" s="937"/>
      <c r="H6" s="937"/>
      <c r="I6" s="937"/>
      <c r="J6" s="937"/>
      <c r="K6" s="937"/>
      <c r="L6" s="937"/>
      <c r="M6" s="937"/>
      <c r="N6" s="937"/>
    </row>
    <row r="7" spans="1:14" x14ac:dyDescent="0.3">
      <c r="A7" s="135"/>
      <c r="B7" s="15"/>
      <c r="C7" s="137"/>
      <c r="D7" s="1"/>
      <c r="E7" s="937"/>
      <c r="F7" s="937"/>
      <c r="G7" s="937"/>
      <c r="H7" s="937"/>
      <c r="I7" s="937"/>
      <c r="J7" s="937"/>
      <c r="K7" s="937"/>
      <c r="L7" s="937"/>
      <c r="M7" s="937"/>
      <c r="N7" s="937"/>
    </row>
    <row r="8" spans="1:14" x14ac:dyDescent="0.3">
      <c r="A8" s="135"/>
      <c r="B8" s="15"/>
      <c r="C8" s="137"/>
      <c r="D8" s="1"/>
      <c r="E8" s="937"/>
      <c r="F8" s="937"/>
      <c r="G8" s="937"/>
      <c r="H8" s="937"/>
      <c r="I8" s="937"/>
      <c r="J8" s="937"/>
      <c r="K8" s="937"/>
      <c r="L8" s="937"/>
      <c r="M8" s="937"/>
      <c r="N8" s="937"/>
    </row>
    <row r="9" spans="1:14" x14ac:dyDescent="0.3">
      <c r="A9" s="135"/>
      <c r="B9" s="15"/>
      <c r="C9" s="137"/>
      <c r="D9" s="1"/>
      <c r="E9" s="937"/>
      <c r="F9" s="937"/>
      <c r="G9" s="937"/>
      <c r="H9" s="937"/>
      <c r="I9" s="937"/>
      <c r="J9" s="937"/>
      <c r="K9" s="937"/>
      <c r="L9" s="937"/>
      <c r="M9" s="937"/>
      <c r="N9" s="937"/>
    </row>
    <row r="10" spans="1:14" x14ac:dyDescent="0.3">
      <c r="A10" s="135"/>
      <c r="B10" s="15"/>
      <c r="C10" s="137"/>
      <c r="D10" s="1"/>
      <c r="E10" s="937"/>
      <c r="F10" s="937"/>
      <c r="G10" s="937"/>
      <c r="H10" s="937"/>
      <c r="I10" s="937"/>
      <c r="J10" s="937"/>
      <c r="K10" s="937"/>
      <c r="L10" s="937"/>
      <c r="M10" s="937"/>
      <c r="N10" s="937"/>
    </row>
    <row r="11" spans="1:14" x14ac:dyDescent="0.3">
      <c r="A11" s="135"/>
      <c r="B11" s="15"/>
      <c r="C11" s="137"/>
      <c r="D11" s="1"/>
      <c r="E11" s="937"/>
      <c r="F11" s="937"/>
      <c r="G11" s="937"/>
      <c r="H11" s="937"/>
      <c r="I11" s="937"/>
      <c r="J11" s="937"/>
      <c r="K11" s="937"/>
      <c r="L11" s="937"/>
      <c r="M11" s="937"/>
      <c r="N11" s="937"/>
    </row>
    <row r="12" spans="1:14" x14ac:dyDescent="0.3">
      <c r="A12" s="122"/>
      <c r="B12" s="134"/>
      <c r="C12" s="137"/>
      <c r="D12" s="1"/>
      <c r="E12" s="937"/>
      <c r="F12" s="937"/>
      <c r="G12" s="937"/>
      <c r="H12" s="937"/>
      <c r="I12" s="937"/>
      <c r="J12" s="937"/>
      <c r="K12" s="937"/>
      <c r="L12" s="937"/>
      <c r="M12" s="937"/>
      <c r="N12" s="937"/>
    </row>
    <row r="13" spans="1:14" x14ac:dyDescent="0.3">
      <c r="A13" s="122"/>
      <c r="B13" s="134"/>
      <c r="C13" s="137"/>
      <c r="D13" s="1"/>
      <c r="E13" s="937"/>
      <c r="F13" s="937"/>
      <c r="G13" s="937"/>
      <c r="H13" s="937"/>
      <c r="I13" s="937"/>
      <c r="J13" s="937"/>
      <c r="K13" s="937"/>
      <c r="L13" s="937"/>
      <c r="M13" s="937"/>
      <c r="N13" s="937"/>
    </row>
    <row r="14" spans="1:14" x14ac:dyDescent="0.3">
      <c r="A14" s="122" t="s">
        <v>733</v>
      </c>
      <c r="B14" s="134">
        <v>46004</v>
      </c>
      <c r="C14" s="137" t="s">
        <v>739</v>
      </c>
      <c r="D14" s="1" t="s">
        <v>740</v>
      </c>
      <c r="E14" s="937"/>
      <c r="F14" s="937"/>
      <c r="G14" s="937"/>
      <c r="H14" s="937"/>
      <c r="I14" s="937"/>
      <c r="J14" s="937"/>
      <c r="K14" s="937"/>
      <c r="L14" s="937"/>
      <c r="M14" s="937"/>
    </row>
  </sheetData>
  <mergeCells count="2">
    <mergeCell ref="E1:M14"/>
    <mergeCell ref="N1:N13"/>
  </mergeCells>
  <dataValidations count="1">
    <dataValidation type="list" allowBlank="1" showInputMessage="1" showErrorMessage="1" sqref="A2:A11" xr:uid="{89B932A4-4B53-4C9C-96B4-80694A9AE688}">
      <formula1>RUHSATLAR</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18756-FB7E-44B8-B898-D2EC1C014F2C}">
  <sheetPr published="0" codeName="Sayfa8"/>
  <dimension ref="A1:D79"/>
  <sheetViews>
    <sheetView topLeftCell="A18" zoomScale="160" zoomScaleNormal="160" workbookViewId="0">
      <selection activeCell="C12" sqref="C12"/>
    </sheetView>
  </sheetViews>
  <sheetFormatPr defaultRowHeight="14.4" x14ac:dyDescent="0.3"/>
  <cols>
    <col min="1" max="1" width="9.33203125" customWidth="1"/>
    <col min="2" max="2" width="41.44140625" customWidth="1"/>
    <col min="3" max="3" width="87.33203125" customWidth="1"/>
    <col min="4" max="4" width="47" style="2" customWidth="1"/>
    <col min="5" max="5" width="11.5546875" customWidth="1"/>
    <col min="6" max="6" width="12.109375" customWidth="1"/>
  </cols>
  <sheetData>
    <row r="1" spans="1:4" ht="15" thickBot="1" x14ac:dyDescent="0.35">
      <c r="A1" s="256" t="s">
        <v>1361</v>
      </c>
      <c r="B1" s="257" t="s">
        <v>1362</v>
      </c>
      <c r="C1" s="257" t="s">
        <v>1363</v>
      </c>
      <c r="D1" s="261" t="s">
        <v>1442</v>
      </c>
    </row>
    <row r="2" spans="1:4" ht="33.6" customHeight="1" thickBot="1" x14ac:dyDescent="0.35">
      <c r="A2" s="258" t="s">
        <v>1364</v>
      </c>
      <c r="B2" s="273" t="s">
        <v>1365</v>
      </c>
      <c r="C2" s="273" t="s">
        <v>1366</v>
      </c>
      <c r="D2" s="262" t="str">
        <f>"[" &amp; B2 &amp; "]"</f>
        <v>[Müteahhitten Satış - Kat Karşılığı Sözleşmesiyle Doğrudan Mülkiyet Kazanımı]</v>
      </c>
    </row>
    <row r="3" spans="1:4" ht="33.6" customHeight="1" thickBot="1" x14ac:dyDescent="0.35">
      <c r="A3" s="258" t="s">
        <v>1367</v>
      </c>
      <c r="B3" s="273" t="s">
        <v>1368</v>
      </c>
      <c r="C3" s="273" t="s">
        <v>1369</v>
      </c>
      <c r="D3" s="262" t="str">
        <f>"[" &amp; B3 &amp; "]"</f>
        <v>[Müteahhitten Satış - Kat Karşılığı Sözleşmesine Bağlı Arsa Sahiplerinden Mülkiyet Kazanımı]</v>
      </c>
    </row>
    <row r="4" spans="1:4" ht="33.6" customHeight="1" thickBot="1" x14ac:dyDescent="0.35">
      <c r="A4" s="258" t="s">
        <v>1370</v>
      </c>
      <c r="B4" s="273" t="s">
        <v>1371</v>
      </c>
      <c r="C4" s="273" t="s">
        <v>1372</v>
      </c>
      <c r="D4" s="262" t="str">
        <f>"[" &amp; B4 &amp; "]"</f>
        <v>[Arsa Sahibinden Satış - Kat Karşılığı Sözleşmesine Bağlı Mülkiyet Kazanımı]</v>
      </c>
    </row>
    <row r="5" spans="1:4" ht="33.6" customHeight="1" thickBot="1" x14ac:dyDescent="0.35">
      <c r="A5" s="274">
        <v>0</v>
      </c>
      <c r="B5" s="275" t="s">
        <v>1373</v>
      </c>
      <c r="C5" s="275" t="s">
        <v>1374</v>
      </c>
      <c r="D5" s="33" t="s">
        <v>1429</v>
      </c>
    </row>
    <row r="6" spans="1:4" ht="33.6" customHeight="1" thickBot="1" x14ac:dyDescent="0.35">
      <c r="A6" s="274" t="s">
        <v>1375</v>
      </c>
      <c r="B6" s="275" t="s">
        <v>1376</v>
      </c>
      <c r="C6" s="275" t="s">
        <v>1377</v>
      </c>
      <c r="D6" s="2" t="s">
        <v>1430</v>
      </c>
    </row>
    <row r="7" spans="1:4" ht="33.6" customHeight="1" thickBot="1" x14ac:dyDescent="0.35">
      <c r="A7" s="274" t="s">
        <v>1378</v>
      </c>
      <c r="B7" s="275" t="s">
        <v>1379</v>
      </c>
      <c r="C7" s="275" t="s">
        <v>1380</v>
      </c>
      <c r="D7" s="2" t="s">
        <v>1431</v>
      </c>
    </row>
    <row r="8" spans="1:4" ht="33.6" customHeight="1" thickBot="1" x14ac:dyDescent="0.35">
      <c r="A8" s="274" t="s">
        <v>1381</v>
      </c>
      <c r="B8" s="275" t="s">
        <v>1382</v>
      </c>
      <c r="C8" s="275" t="s">
        <v>1383</v>
      </c>
      <c r="D8" s="2" t="s">
        <v>1432</v>
      </c>
    </row>
    <row r="9" spans="1:4" ht="33.6" customHeight="1" thickBot="1" x14ac:dyDescent="0.35">
      <c r="A9" s="274" t="s">
        <v>1384</v>
      </c>
      <c r="B9" s="275" t="s">
        <v>1385</v>
      </c>
      <c r="C9" s="275" t="s">
        <v>1386</v>
      </c>
      <c r="D9" s="2" t="s">
        <v>1433</v>
      </c>
    </row>
    <row r="10" spans="1:4" ht="33.6" customHeight="1" thickBot="1" x14ac:dyDescent="0.35">
      <c r="A10" s="274" t="s">
        <v>1387</v>
      </c>
      <c r="B10" s="275" t="s">
        <v>1388</v>
      </c>
      <c r="C10" s="275" t="s">
        <v>1389</v>
      </c>
    </row>
    <row r="11" spans="1:4" ht="33.6" customHeight="1" thickBot="1" x14ac:dyDescent="0.35">
      <c r="A11" s="274" t="s">
        <v>1390</v>
      </c>
      <c r="B11" s="275" t="s">
        <v>1391</v>
      </c>
      <c r="C11" s="275" t="s">
        <v>1392</v>
      </c>
    </row>
    <row r="12" spans="1:4" ht="33.6" customHeight="1" thickBot="1" x14ac:dyDescent="0.35">
      <c r="A12" s="274" t="s">
        <v>1393</v>
      </c>
      <c r="B12" s="275" t="s">
        <v>1394</v>
      </c>
      <c r="C12" s="275" t="s">
        <v>1395</v>
      </c>
    </row>
    <row r="13" spans="1:4" ht="33.6" customHeight="1" thickBot="1" x14ac:dyDescent="0.35">
      <c r="A13" s="274" t="s">
        <v>1396</v>
      </c>
      <c r="B13" s="275" t="s">
        <v>1397</v>
      </c>
      <c r="C13" s="275" t="s">
        <v>1398</v>
      </c>
    </row>
    <row r="14" spans="1:4" ht="33.6" customHeight="1" thickBot="1" x14ac:dyDescent="0.35">
      <c r="A14" s="274" t="s">
        <v>1399</v>
      </c>
      <c r="B14" s="275" t="s">
        <v>1400</v>
      </c>
      <c r="C14" s="275" t="s">
        <v>1401</v>
      </c>
    </row>
    <row r="15" spans="1:4" ht="33.6" customHeight="1" thickBot="1" x14ac:dyDescent="0.35">
      <c r="A15" s="274" t="s">
        <v>1402</v>
      </c>
      <c r="B15" s="275" t="s">
        <v>1403</v>
      </c>
      <c r="C15" s="275" t="s">
        <v>1404</v>
      </c>
      <c r="D15" s="2" t="s">
        <v>1440</v>
      </c>
    </row>
    <row r="16" spans="1:4" ht="33.6" customHeight="1" thickBot="1" x14ac:dyDescent="0.35">
      <c r="A16" s="274" t="s">
        <v>1405</v>
      </c>
      <c r="B16" s="275" t="s">
        <v>1406</v>
      </c>
      <c r="C16" s="275" t="s">
        <v>1407</v>
      </c>
      <c r="D16" s="2" t="s">
        <v>1434</v>
      </c>
    </row>
    <row r="17" spans="1:4" ht="33.6" customHeight="1" thickBot="1" x14ac:dyDescent="0.35">
      <c r="A17" s="274" t="s">
        <v>1498</v>
      </c>
      <c r="B17" s="275" t="s">
        <v>1499</v>
      </c>
      <c r="C17" s="275" t="s">
        <v>1515</v>
      </c>
    </row>
    <row r="18" spans="1:4" ht="33.6" customHeight="1" thickBot="1" x14ac:dyDescent="0.35">
      <c r="A18" s="274" t="s">
        <v>1500</v>
      </c>
      <c r="B18" s="275" t="s">
        <v>1502</v>
      </c>
      <c r="C18" s="275" t="s">
        <v>1504</v>
      </c>
    </row>
    <row r="19" spans="1:4" ht="33.6" customHeight="1" thickBot="1" x14ac:dyDescent="0.35">
      <c r="A19" s="274" t="s">
        <v>1501</v>
      </c>
      <c r="B19" s="275" t="s">
        <v>1503</v>
      </c>
      <c r="C19" s="275" t="s">
        <v>1505</v>
      </c>
    </row>
    <row r="20" spans="1:4" ht="33.6" customHeight="1" thickBot="1" x14ac:dyDescent="0.35">
      <c r="A20" s="274" t="s">
        <v>1507</v>
      </c>
      <c r="B20" s="275" t="s">
        <v>1506</v>
      </c>
      <c r="C20" s="275" t="s">
        <v>1508</v>
      </c>
    </row>
    <row r="21" spans="1:4" ht="33.6" customHeight="1" thickBot="1" x14ac:dyDescent="0.35">
      <c r="A21" s="274" t="s">
        <v>1509</v>
      </c>
      <c r="B21" s="275" t="s">
        <v>1510</v>
      </c>
      <c r="C21" s="275" t="s">
        <v>1512</v>
      </c>
    </row>
    <row r="22" spans="1:4" ht="33.6" customHeight="1" thickBot="1" x14ac:dyDescent="0.35">
      <c r="A22" s="259" t="s">
        <v>1408</v>
      </c>
      <c r="B22" s="260" t="s">
        <v>1409</v>
      </c>
      <c r="C22" s="260" t="s">
        <v>1410</v>
      </c>
    </row>
    <row r="23" spans="1:4" ht="33.6" customHeight="1" thickBot="1" x14ac:dyDescent="0.35">
      <c r="A23" s="274" t="s">
        <v>1411</v>
      </c>
      <c r="B23" s="275" t="s">
        <v>1412</v>
      </c>
      <c r="C23" s="275" t="s">
        <v>1413</v>
      </c>
      <c r="D23" s="2" t="s">
        <v>1435</v>
      </c>
    </row>
    <row r="24" spans="1:4" ht="33.6" customHeight="1" thickBot="1" x14ac:dyDescent="0.35">
      <c r="A24" s="274" t="s">
        <v>1414</v>
      </c>
      <c r="B24" s="275" t="s">
        <v>1415</v>
      </c>
      <c r="C24" s="275" t="s">
        <v>1416</v>
      </c>
      <c r="D24" s="2" t="s">
        <v>1436</v>
      </c>
    </row>
    <row r="25" spans="1:4" ht="33.6" customHeight="1" thickBot="1" x14ac:dyDescent="0.35">
      <c r="A25" s="274" t="s">
        <v>1417</v>
      </c>
      <c r="B25" s="275" t="s">
        <v>1418</v>
      </c>
      <c r="C25" s="275" t="s">
        <v>1419</v>
      </c>
      <c r="D25" s="2" t="s">
        <v>1439</v>
      </c>
    </row>
    <row r="26" spans="1:4" ht="33.6" customHeight="1" thickBot="1" x14ac:dyDescent="0.35">
      <c r="A26" s="274" t="s">
        <v>1516</v>
      </c>
      <c r="B26" s="275" t="s">
        <v>1517</v>
      </c>
      <c r="C26" s="275" t="s">
        <v>1518</v>
      </c>
      <c r="D26" s="2" t="s">
        <v>1437</v>
      </c>
    </row>
    <row r="27" spans="1:4" ht="33.6" customHeight="1" thickBot="1" x14ac:dyDescent="0.35">
      <c r="A27" s="274" t="s">
        <v>1420</v>
      </c>
      <c r="B27" s="275" t="s">
        <v>1421</v>
      </c>
      <c r="C27" s="275" t="s">
        <v>1422</v>
      </c>
      <c r="D27" s="2" t="s">
        <v>1438</v>
      </c>
    </row>
    <row r="28" spans="1:4" ht="33.6" customHeight="1" thickBot="1" x14ac:dyDescent="0.35">
      <c r="A28" s="274" t="s">
        <v>1423</v>
      </c>
      <c r="B28" s="275" t="s">
        <v>1424</v>
      </c>
      <c r="C28" s="275" t="s">
        <v>1425</v>
      </c>
      <c r="D28" s="2" t="s">
        <v>1441</v>
      </c>
    </row>
    <row r="29" spans="1:4" ht="33.6" customHeight="1" thickBot="1" x14ac:dyDescent="0.35">
      <c r="A29" s="274" t="s">
        <v>1426</v>
      </c>
      <c r="B29" s="275" t="s">
        <v>1427</v>
      </c>
      <c r="C29" s="275" t="s">
        <v>1428</v>
      </c>
    </row>
    <row r="30" spans="1:4" ht="33.6" customHeight="1" thickBot="1" x14ac:dyDescent="0.35">
      <c r="A30" s="274" t="s">
        <v>1519</v>
      </c>
      <c r="B30" s="275" t="s">
        <v>1520</v>
      </c>
      <c r="C30" s="275" t="s">
        <v>1521</v>
      </c>
    </row>
    <row r="31" spans="1:4" x14ac:dyDescent="0.3">
      <c r="D31"/>
    </row>
    <row r="32" spans="1:4" x14ac:dyDescent="0.3">
      <c r="D32"/>
    </row>
    <row r="33" spans="4:4" x14ac:dyDescent="0.3">
      <c r="D33"/>
    </row>
    <row r="34" spans="4:4" x14ac:dyDescent="0.3">
      <c r="D34"/>
    </row>
    <row r="35" spans="4:4" x14ac:dyDescent="0.3">
      <c r="D35"/>
    </row>
    <row r="36" spans="4:4" x14ac:dyDescent="0.3">
      <c r="D36"/>
    </row>
    <row r="37" spans="4:4" x14ac:dyDescent="0.3">
      <c r="D37"/>
    </row>
    <row r="38" spans="4:4" x14ac:dyDescent="0.3">
      <c r="D38"/>
    </row>
    <row r="39" spans="4:4" x14ac:dyDescent="0.3">
      <c r="D39"/>
    </row>
    <row r="40" spans="4:4" x14ac:dyDescent="0.3">
      <c r="D40"/>
    </row>
    <row r="41" spans="4:4" x14ac:dyDescent="0.3">
      <c r="D41"/>
    </row>
    <row r="42" spans="4:4" x14ac:dyDescent="0.3">
      <c r="D42"/>
    </row>
    <row r="43" spans="4:4" x14ac:dyDescent="0.3">
      <c r="D43"/>
    </row>
    <row r="44" spans="4:4" x14ac:dyDescent="0.3">
      <c r="D44"/>
    </row>
    <row r="45" spans="4:4" x14ac:dyDescent="0.3">
      <c r="D45"/>
    </row>
    <row r="46" spans="4:4" x14ac:dyDescent="0.3">
      <c r="D46"/>
    </row>
    <row r="47" spans="4:4" x14ac:dyDescent="0.3">
      <c r="D47"/>
    </row>
    <row r="48" spans="4:4" x14ac:dyDescent="0.3">
      <c r="D48"/>
    </row>
    <row r="49" spans="4:4" x14ac:dyDescent="0.3">
      <c r="D49"/>
    </row>
    <row r="50" spans="4:4" x14ac:dyDescent="0.3">
      <c r="D50"/>
    </row>
    <row r="51" spans="4:4" x14ac:dyDescent="0.3">
      <c r="D51"/>
    </row>
    <row r="52" spans="4:4" x14ac:dyDescent="0.3">
      <c r="D52"/>
    </row>
    <row r="53" spans="4:4" x14ac:dyDescent="0.3">
      <c r="D53"/>
    </row>
    <row r="54" spans="4:4" x14ac:dyDescent="0.3">
      <c r="D54"/>
    </row>
    <row r="55" spans="4:4" x14ac:dyDescent="0.3">
      <c r="D55"/>
    </row>
    <row r="56" spans="4:4" x14ac:dyDescent="0.3">
      <c r="D56"/>
    </row>
    <row r="57" spans="4:4" x14ac:dyDescent="0.3">
      <c r="D57"/>
    </row>
    <row r="58" spans="4:4" x14ac:dyDescent="0.3">
      <c r="D58"/>
    </row>
    <row r="59" spans="4:4" x14ac:dyDescent="0.3">
      <c r="D59"/>
    </row>
    <row r="60" spans="4:4" x14ac:dyDescent="0.3">
      <c r="D60"/>
    </row>
    <row r="61" spans="4:4" x14ac:dyDescent="0.3">
      <c r="D61"/>
    </row>
    <row r="62" spans="4:4" x14ac:dyDescent="0.3">
      <c r="D62"/>
    </row>
    <row r="63" spans="4:4" x14ac:dyDescent="0.3">
      <c r="D63"/>
    </row>
    <row r="64" spans="4:4" x14ac:dyDescent="0.3">
      <c r="D64"/>
    </row>
    <row r="65" spans="4:4" x14ac:dyDescent="0.3">
      <c r="D65"/>
    </row>
    <row r="66" spans="4:4" x14ac:dyDescent="0.3">
      <c r="D66"/>
    </row>
    <row r="67" spans="4:4" x14ac:dyDescent="0.3">
      <c r="D67"/>
    </row>
    <row r="68" spans="4:4" x14ac:dyDescent="0.3">
      <c r="D68"/>
    </row>
    <row r="69" spans="4:4" x14ac:dyDescent="0.3">
      <c r="D69"/>
    </row>
    <row r="70" spans="4:4" x14ac:dyDescent="0.3">
      <c r="D70"/>
    </row>
    <row r="71" spans="4:4" x14ac:dyDescent="0.3">
      <c r="D71"/>
    </row>
    <row r="72" spans="4:4" x14ac:dyDescent="0.3">
      <c r="D72"/>
    </row>
    <row r="73" spans="4:4" x14ac:dyDescent="0.3">
      <c r="D73"/>
    </row>
    <row r="74" spans="4:4" x14ac:dyDescent="0.3">
      <c r="D74"/>
    </row>
    <row r="75" spans="4:4" x14ac:dyDescent="0.3">
      <c r="D75"/>
    </row>
    <row r="76" spans="4:4" x14ac:dyDescent="0.3">
      <c r="D76"/>
    </row>
    <row r="77" spans="4:4" x14ac:dyDescent="0.3">
      <c r="D77"/>
    </row>
    <row r="78" spans="4:4" x14ac:dyDescent="0.3">
      <c r="D78"/>
    </row>
    <row r="79" spans="4:4" x14ac:dyDescent="0.3">
      <c r="D7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B0C66-7A28-4765-9EDC-8DC81285752F}">
  <sheetPr published="0" codeName="Sayfa2"/>
  <dimension ref="A1:M18"/>
  <sheetViews>
    <sheetView workbookViewId="0">
      <selection activeCell="M2" sqref="M2:M9"/>
    </sheetView>
  </sheetViews>
  <sheetFormatPr defaultRowHeight="14.4" x14ac:dyDescent="0.3"/>
  <cols>
    <col min="1" max="2" width="14.88671875" customWidth="1"/>
    <col min="7" max="8" width="0" hidden="1" customWidth="1"/>
    <col min="9" max="9" width="19.5546875" hidden="1" customWidth="1"/>
    <col min="10" max="11" width="0" hidden="1" customWidth="1"/>
    <col min="13" max="13" width="137.44140625" customWidth="1"/>
  </cols>
  <sheetData>
    <row r="1" spans="1:13" s="17" customFormat="1" ht="64.2" customHeight="1" x14ac:dyDescent="0.3">
      <c r="A1" s="4" t="s">
        <v>101</v>
      </c>
      <c r="B1" s="4" t="s">
        <v>656</v>
      </c>
      <c r="C1" s="4" t="s">
        <v>12</v>
      </c>
      <c r="D1" s="4" t="s">
        <v>653</v>
      </c>
      <c r="E1" s="4" t="s">
        <v>652</v>
      </c>
      <c r="F1" s="4" t="s">
        <v>654</v>
      </c>
      <c r="G1" s="4"/>
    </row>
    <row r="2" spans="1:13" x14ac:dyDescent="0.3">
      <c r="A2" s="122" t="s">
        <v>120</v>
      </c>
      <c r="B2" s="122" t="s">
        <v>200</v>
      </c>
      <c r="C2" s="15"/>
      <c r="D2" s="15">
        <v>2</v>
      </c>
      <c r="E2" s="15"/>
      <c r="F2" s="15">
        <v>2</v>
      </c>
      <c r="G2" s="1"/>
      <c r="H2" s="123" t="s">
        <v>103</v>
      </c>
      <c r="I2" s="1" t="str">
        <f>A2&amp;"ta "&amp;C2&amp;" adet daire bulunmaktadır."</f>
        <v>1. bodrum katta  adet daire bulunmaktadır.</v>
      </c>
      <c r="J2" s="1"/>
      <c r="K2" s="1"/>
      <c r="L2" s="1"/>
      <c r="M2" s="1056" t="str" cm="1">
        <f t="array" ref="M2">KatOzetFinalSon(A2:A17,B2:B17,C2:C17,D2:D17,E2:E17,F2:F17)</f>
        <v>1. bodrum katta otopark, 2 adet dükkan ve 2 adet depo, zemin katta 1 adet daire ve 2 adet ofis, asma katta zemin katta yer alan ofislerin devamı, 1., 2., 3., 4., 5. normal katlarda 2 şer daire, 6. normal katta 2 adet daire ve 2 adet ofis, 7. normal katta 2 adet daire, 8., 9., 10. normal katlarda 3 er daire, çatı katta Normal katta yer alan dairelerin devamı olmak üzere binada toplam 32 adet bağımsız bölüm bulunmaktadır.</v>
      </c>
    </row>
    <row r="3" spans="1:13" x14ac:dyDescent="0.3">
      <c r="A3" s="122" t="s">
        <v>72</v>
      </c>
      <c r="B3" s="122"/>
      <c r="C3" s="15">
        <v>1</v>
      </c>
      <c r="D3" s="15"/>
      <c r="E3" s="15">
        <v>2</v>
      </c>
      <c r="F3" s="15"/>
      <c r="G3" s="1"/>
      <c r="H3" s="123" t="s">
        <v>103</v>
      </c>
      <c r="I3" s="1" t="str">
        <f>A3&amp;"ta "&amp;C3&amp;" adet daire bulunmaktadır."</f>
        <v>zemin katta 1 adet daire bulunmaktadır.</v>
      </c>
      <c r="J3" s="1"/>
      <c r="K3" s="1"/>
      <c r="L3" s="1"/>
      <c r="M3" s="1056"/>
    </row>
    <row r="4" spans="1:13" x14ac:dyDescent="0.3">
      <c r="A4" s="122" t="s">
        <v>74</v>
      </c>
      <c r="B4" s="122" t="s">
        <v>655</v>
      </c>
      <c r="C4" s="15"/>
      <c r="D4" s="15"/>
      <c r="E4" s="15"/>
      <c r="F4" s="15"/>
      <c r="G4" s="1"/>
      <c r="H4" s="123"/>
      <c r="I4" s="1"/>
      <c r="J4" s="1"/>
      <c r="K4" s="1"/>
      <c r="L4" s="1"/>
      <c r="M4" s="1056"/>
    </row>
    <row r="5" spans="1:13" x14ac:dyDescent="0.3">
      <c r="A5" s="122" t="s">
        <v>121</v>
      </c>
      <c r="B5" s="122"/>
      <c r="C5" s="15">
        <v>2</v>
      </c>
      <c r="D5" s="15"/>
      <c r="E5" s="15"/>
      <c r="F5" s="15"/>
      <c r="G5" s="1"/>
      <c r="H5" s="123"/>
      <c r="I5" s="1"/>
      <c r="J5" s="1"/>
      <c r="K5" s="1"/>
      <c r="L5" s="1"/>
      <c r="M5" s="1056"/>
    </row>
    <row r="6" spans="1:13" x14ac:dyDescent="0.3">
      <c r="A6" s="122" t="s">
        <v>122</v>
      </c>
      <c r="B6" s="122"/>
      <c r="C6" s="15">
        <v>2</v>
      </c>
      <c r="D6" s="15"/>
      <c r="E6" s="15"/>
      <c r="F6" s="15"/>
      <c r="G6" s="1"/>
      <c r="H6" s="123"/>
      <c r="I6" s="1"/>
      <c r="J6" s="1"/>
      <c r="K6" s="1"/>
      <c r="L6" s="1"/>
      <c r="M6" s="1056"/>
    </row>
    <row r="7" spans="1:13" x14ac:dyDescent="0.3">
      <c r="A7" s="122" t="s">
        <v>123</v>
      </c>
      <c r="B7" s="122"/>
      <c r="C7" s="15">
        <v>2</v>
      </c>
      <c r="D7" s="15"/>
      <c r="E7" s="15"/>
      <c r="F7" s="15"/>
      <c r="G7" s="1"/>
      <c r="H7" s="123"/>
      <c r="I7" s="1"/>
      <c r="J7" s="1"/>
      <c r="K7" s="1"/>
      <c r="L7" s="1"/>
      <c r="M7" s="1056"/>
    </row>
    <row r="8" spans="1:13" x14ac:dyDescent="0.3">
      <c r="A8" s="122" t="s">
        <v>124</v>
      </c>
      <c r="B8" s="122"/>
      <c r="C8" s="15">
        <v>2</v>
      </c>
      <c r="D8" s="15"/>
      <c r="E8" s="15"/>
      <c r="F8" s="15"/>
      <c r="G8" s="1"/>
      <c r="H8" s="123"/>
      <c r="I8" s="1"/>
      <c r="J8" s="1"/>
      <c r="K8" s="1"/>
      <c r="L8" s="1"/>
      <c r="M8" s="1056"/>
    </row>
    <row r="9" spans="1:13" x14ac:dyDescent="0.3">
      <c r="A9" s="122" t="s">
        <v>125</v>
      </c>
      <c r="B9" s="122"/>
      <c r="C9" s="15">
        <v>2</v>
      </c>
      <c r="D9" s="15"/>
      <c r="E9" s="15"/>
      <c r="F9" s="15"/>
      <c r="G9" s="1"/>
      <c r="H9" s="123"/>
      <c r="I9" s="1"/>
      <c r="J9" s="1"/>
      <c r="K9" s="1"/>
      <c r="L9" s="1"/>
      <c r="M9" s="1056"/>
    </row>
    <row r="10" spans="1:13" x14ac:dyDescent="0.3">
      <c r="A10" s="122" t="s">
        <v>126</v>
      </c>
      <c r="B10" s="122"/>
      <c r="C10" s="15">
        <v>2</v>
      </c>
      <c r="D10" s="15"/>
      <c r="E10" s="15">
        <v>2</v>
      </c>
      <c r="F10" s="15"/>
      <c r="G10" s="1"/>
      <c r="H10" s="123"/>
      <c r="I10" s="1"/>
      <c r="J10" s="1"/>
      <c r="K10" s="1"/>
      <c r="L10" s="1"/>
      <c r="M10" s="1057"/>
    </row>
    <row r="11" spans="1:13" x14ac:dyDescent="0.3">
      <c r="A11" s="122" t="s">
        <v>127</v>
      </c>
      <c r="B11" s="122"/>
      <c r="C11" s="15">
        <v>2</v>
      </c>
      <c r="D11" s="15"/>
      <c r="E11" s="15"/>
      <c r="F11" s="15"/>
      <c r="G11" s="1"/>
      <c r="H11" s="123"/>
      <c r="I11" s="1"/>
      <c r="J11" s="1"/>
      <c r="K11" s="1"/>
      <c r="L11" s="1"/>
      <c r="M11" s="1057"/>
    </row>
    <row r="12" spans="1:13" x14ac:dyDescent="0.3">
      <c r="A12" s="122" t="s">
        <v>128</v>
      </c>
      <c r="B12" s="122"/>
      <c r="C12" s="15">
        <v>3</v>
      </c>
      <c r="D12" s="15"/>
      <c r="E12" s="15"/>
      <c r="F12" s="15"/>
      <c r="G12" s="1"/>
      <c r="H12" s="123"/>
      <c r="I12" s="1"/>
      <c r="J12" s="1"/>
      <c r="K12" s="1"/>
      <c r="L12" s="1"/>
      <c r="M12" s="1057"/>
    </row>
    <row r="13" spans="1:13" x14ac:dyDescent="0.3">
      <c r="A13" s="122" t="s">
        <v>129</v>
      </c>
      <c r="B13" s="122"/>
      <c r="C13" s="15">
        <v>3</v>
      </c>
      <c r="D13" s="15"/>
      <c r="E13" s="15"/>
      <c r="F13" s="15"/>
      <c r="G13" s="1"/>
      <c r="H13" s="123"/>
      <c r="I13" s="1"/>
      <c r="J13" s="1"/>
      <c r="K13" s="1"/>
      <c r="L13" s="1"/>
      <c r="M13" s="1057"/>
    </row>
    <row r="14" spans="1:13" x14ac:dyDescent="0.3">
      <c r="A14" s="122" t="s">
        <v>130</v>
      </c>
      <c r="B14" s="122"/>
      <c r="C14" s="15">
        <v>3</v>
      </c>
      <c r="D14" s="15"/>
      <c r="E14" s="15"/>
      <c r="F14" s="15"/>
      <c r="G14" s="1"/>
      <c r="H14" s="123"/>
      <c r="I14" s="1"/>
      <c r="J14" s="1"/>
      <c r="K14" s="1"/>
      <c r="L14" s="1"/>
      <c r="M14" s="1057"/>
    </row>
    <row r="15" spans="1:13" x14ac:dyDescent="0.3">
      <c r="A15" s="122" t="s">
        <v>131</v>
      </c>
      <c r="B15" s="122"/>
      <c r="C15" s="15"/>
      <c r="D15" s="15"/>
      <c r="E15" s="15"/>
      <c r="F15" s="15"/>
      <c r="G15" s="1"/>
      <c r="H15" s="123"/>
      <c r="I15" s="1"/>
      <c r="J15" s="1"/>
      <c r="K15" s="1"/>
      <c r="L15" s="1"/>
      <c r="M15" s="1057"/>
    </row>
    <row r="16" spans="1:13" x14ac:dyDescent="0.3">
      <c r="A16" s="122" t="s">
        <v>132</v>
      </c>
      <c r="B16" s="122"/>
      <c r="C16" s="15"/>
      <c r="D16" s="15"/>
      <c r="E16" s="15"/>
      <c r="F16" s="15"/>
      <c r="G16" s="1"/>
      <c r="H16" s="123"/>
      <c r="I16" s="1"/>
      <c r="J16" s="1"/>
      <c r="K16" s="1"/>
      <c r="L16" s="1"/>
      <c r="M16" s="1057"/>
    </row>
    <row r="17" spans="1:13" x14ac:dyDescent="0.3">
      <c r="A17" s="122" t="s">
        <v>76</v>
      </c>
      <c r="B17" s="122" t="s">
        <v>750</v>
      </c>
      <c r="C17" s="15"/>
      <c r="D17" s="15"/>
      <c r="E17" s="15"/>
      <c r="F17" s="15"/>
      <c r="G17" s="1"/>
      <c r="H17" s="123"/>
      <c r="I17" s="1"/>
      <c r="J17" s="1"/>
      <c r="K17" s="1"/>
      <c r="L17" s="1"/>
      <c r="M17" s="1057"/>
    </row>
    <row r="18" spans="1:13" ht="22.2" customHeight="1" x14ac:dyDescent="0.3">
      <c r="C18" s="34">
        <f>SUM(C2:C17)</f>
        <v>24</v>
      </c>
      <c r="D18" s="34">
        <f t="shared" ref="D18:L18" si="0">SUM(D2:D17)</f>
        <v>2</v>
      </c>
      <c r="E18" s="34">
        <f t="shared" si="0"/>
        <v>4</v>
      </c>
      <c r="F18" s="34">
        <f t="shared" si="0"/>
        <v>2</v>
      </c>
      <c r="G18" s="34">
        <f t="shared" si="0"/>
        <v>0</v>
      </c>
      <c r="H18" s="34">
        <f t="shared" si="0"/>
        <v>0</v>
      </c>
      <c r="I18" s="34">
        <f t="shared" si="0"/>
        <v>0</v>
      </c>
      <c r="J18" s="34">
        <f t="shared" si="0"/>
        <v>0</v>
      </c>
      <c r="K18" s="34">
        <f t="shared" si="0"/>
        <v>0</v>
      </c>
      <c r="L18" s="34">
        <f t="shared" si="0"/>
        <v>0</v>
      </c>
    </row>
  </sheetData>
  <mergeCells count="2">
    <mergeCell ref="M2:M9"/>
    <mergeCell ref="M10:M17"/>
  </mergeCells>
  <phoneticPr fontId="3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8E931-C86E-441F-B724-8178B8315746}">
  <sheetPr published="0" codeName="Sayfa9"/>
  <dimension ref="A1:I944"/>
  <sheetViews>
    <sheetView topLeftCell="A923" workbookViewId="0">
      <selection activeCell="C935" sqref="C935"/>
    </sheetView>
  </sheetViews>
  <sheetFormatPr defaultRowHeight="14.4" x14ac:dyDescent="0.3"/>
  <cols>
    <col min="1" max="1" width="17.6640625" style="34" bestFit="1" customWidth="1"/>
    <col min="2" max="2" width="33" style="34" bestFit="1" customWidth="1"/>
    <col min="3" max="3" width="10.6640625" style="34" bestFit="1" customWidth="1"/>
  </cols>
  <sheetData>
    <row r="1" spans="1:9" x14ac:dyDescent="0.3">
      <c r="A1" s="287" t="s">
        <v>1828</v>
      </c>
      <c r="B1" s="287" t="s">
        <v>1829</v>
      </c>
      <c r="C1" s="287" t="s">
        <v>1830</v>
      </c>
    </row>
    <row r="2" spans="1:9" x14ac:dyDescent="0.3">
      <c r="A2" s="34" t="s">
        <v>308</v>
      </c>
      <c r="B2" s="34" t="s">
        <v>1957</v>
      </c>
      <c r="C2" s="34">
        <v>16230</v>
      </c>
    </row>
    <row r="3" spans="1:9" x14ac:dyDescent="0.3">
      <c r="A3" s="34" t="s">
        <v>308</v>
      </c>
      <c r="B3" s="34" t="s">
        <v>1958</v>
      </c>
      <c r="C3" s="34">
        <v>16230</v>
      </c>
      <c r="I3" t="str" cm="1">
        <f t="array" ref="I3">IFERROR(_xlfn.UNIQUE(_xlfn._xlws.FILTER(PK!$B:$B,PK!$A:$A=ILCE)),"")</f>
        <v/>
      </c>
    </row>
    <row r="4" spans="1:9" x14ac:dyDescent="0.3">
      <c r="A4" s="34" t="s">
        <v>308</v>
      </c>
      <c r="B4" s="34" t="s">
        <v>1959</v>
      </c>
      <c r="C4" s="34">
        <v>16235</v>
      </c>
    </row>
    <row r="5" spans="1:9" x14ac:dyDescent="0.3">
      <c r="A5" s="34" t="s">
        <v>308</v>
      </c>
      <c r="B5" s="34" t="s">
        <v>1960</v>
      </c>
      <c r="C5" s="34">
        <v>16280</v>
      </c>
      <c r="G5" t="e" cm="1">
        <f t="array" ref="G5">_xlfn.UNIQUE(_xlfn._xlws.FILTER(PK!$B:$B,PK!$A:$A=ILCE))</f>
        <v>#NAME?</v>
      </c>
    </row>
    <row r="6" spans="1:9" x14ac:dyDescent="0.3">
      <c r="A6" s="34" t="s">
        <v>308</v>
      </c>
      <c r="B6" s="34" t="s">
        <v>1961</v>
      </c>
      <c r="C6" s="34">
        <v>16225</v>
      </c>
    </row>
    <row r="7" spans="1:9" x14ac:dyDescent="0.3">
      <c r="A7" s="34" t="s">
        <v>308</v>
      </c>
      <c r="B7" s="34" t="s">
        <v>1962</v>
      </c>
      <c r="C7" s="34">
        <v>16250</v>
      </c>
    </row>
    <row r="8" spans="1:9" x14ac:dyDescent="0.3">
      <c r="A8" s="34" t="s">
        <v>308</v>
      </c>
      <c r="B8" s="34" t="s">
        <v>1963</v>
      </c>
      <c r="C8" s="34">
        <v>16285</v>
      </c>
    </row>
    <row r="9" spans="1:9" x14ac:dyDescent="0.3">
      <c r="A9" s="34" t="s">
        <v>308</v>
      </c>
      <c r="B9" s="34" t="s">
        <v>1964</v>
      </c>
      <c r="C9" s="34">
        <v>16230</v>
      </c>
    </row>
    <row r="10" spans="1:9" x14ac:dyDescent="0.3">
      <c r="A10" s="34" t="s">
        <v>308</v>
      </c>
      <c r="B10" s="34" t="s">
        <v>1965</v>
      </c>
      <c r="C10" s="34">
        <v>16210</v>
      </c>
    </row>
    <row r="11" spans="1:9" x14ac:dyDescent="0.3">
      <c r="A11" s="34" t="s">
        <v>308</v>
      </c>
      <c r="B11" s="34" t="s">
        <v>1966</v>
      </c>
      <c r="C11" s="34">
        <v>16290</v>
      </c>
    </row>
    <row r="12" spans="1:9" x14ac:dyDescent="0.3">
      <c r="A12" s="34" t="s">
        <v>308</v>
      </c>
      <c r="B12" s="34" t="s">
        <v>1967</v>
      </c>
      <c r="C12" s="34">
        <v>16290</v>
      </c>
    </row>
    <row r="13" spans="1:9" x14ac:dyDescent="0.3">
      <c r="A13" s="34" t="s">
        <v>308</v>
      </c>
      <c r="B13" s="34" t="s">
        <v>1968</v>
      </c>
      <c r="C13" s="34">
        <v>16290</v>
      </c>
    </row>
    <row r="14" spans="1:9" x14ac:dyDescent="0.3">
      <c r="A14" s="34" t="s">
        <v>308</v>
      </c>
      <c r="B14" s="34" t="s">
        <v>1969</v>
      </c>
      <c r="C14" s="34">
        <v>16225</v>
      </c>
    </row>
    <row r="15" spans="1:9" x14ac:dyDescent="0.3">
      <c r="A15" s="34" t="s">
        <v>308</v>
      </c>
      <c r="B15" s="34" t="s">
        <v>1970</v>
      </c>
      <c r="C15" s="34">
        <v>16225</v>
      </c>
    </row>
    <row r="16" spans="1:9" x14ac:dyDescent="0.3">
      <c r="A16" s="34" t="s">
        <v>308</v>
      </c>
      <c r="B16" s="34" t="s">
        <v>1971</v>
      </c>
      <c r="C16" s="34">
        <v>16240</v>
      </c>
    </row>
    <row r="17" spans="1:3" x14ac:dyDescent="0.3">
      <c r="A17" s="34" t="s">
        <v>308</v>
      </c>
      <c r="B17" s="34" t="s">
        <v>1972</v>
      </c>
      <c r="C17" s="34">
        <v>16210</v>
      </c>
    </row>
    <row r="18" spans="1:3" x14ac:dyDescent="0.3">
      <c r="A18" s="34" t="s">
        <v>308</v>
      </c>
      <c r="B18" s="34" t="s">
        <v>1973</v>
      </c>
      <c r="C18" s="34">
        <v>16290</v>
      </c>
    </row>
    <row r="19" spans="1:3" x14ac:dyDescent="0.3">
      <c r="A19" s="34" t="s">
        <v>308</v>
      </c>
      <c r="B19" s="34" t="s">
        <v>1974</v>
      </c>
      <c r="C19" s="34">
        <v>16260</v>
      </c>
    </row>
    <row r="20" spans="1:3" x14ac:dyDescent="0.3">
      <c r="A20" s="34" t="s">
        <v>308</v>
      </c>
      <c r="B20" s="34" t="s">
        <v>1975</v>
      </c>
      <c r="C20" s="34">
        <v>16250</v>
      </c>
    </row>
    <row r="21" spans="1:3" x14ac:dyDescent="0.3">
      <c r="A21" s="34" t="s">
        <v>308</v>
      </c>
      <c r="B21" s="34" t="s">
        <v>1976</v>
      </c>
      <c r="C21" s="34">
        <v>16275</v>
      </c>
    </row>
    <row r="22" spans="1:3" x14ac:dyDescent="0.3">
      <c r="A22" s="34" t="s">
        <v>308</v>
      </c>
      <c r="B22" s="34" t="s">
        <v>1977</v>
      </c>
      <c r="C22" s="34">
        <v>16260</v>
      </c>
    </row>
    <row r="23" spans="1:3" x14ac:dyDescent="0.3">
      <c r="A23" s="34" t="s">
        <v>308</v>
      </c>
      <c r="B23" s="34" t="s">
        <v>1978</v>
      </c>
      <c r="C23" s="34">
        <v>16290</v>
      </c>
    </row>
    <row r="24" spans="1:3" x14ac:dyDescent="0.3">
      <c r="A24" s="34" t="s">
        <v>308</v>
      </c>
      <c r="B24" s="34" t="s">
        <v>1979</v>
      </c>
      <c r="C24" s="34">
        <v>16290</v>
      </c>
    </row>
    <row r="25" spans="1:3" x14ac:dyDescent="0.3">
      <c r="A25" s="34" t="s">
        <v>308</v>
      </c>
      <c r="B25" s="34" t="s">
        <v>1823</v>
      </c>
      <c r="C25" s="34">
        <v>16210</v>
      </c>
    </row>
    <row r="26" spans="1:3" x14ac:dyDescent="0.3">
      <c r="A26" s="34" t="s">
        <v>308</v>
      </c>
      <c r="B26" s="34" t="s">
        <v>1980</v>
      </c>
      <c r="C26" s="34">
        <v>16290</v>
      </c>
    </row>
    <row r="27" spans="1:3" x14ac:dyDescent="0.3">
      <c r="A27" s="34" t="s">
        <v>308</v>
      </c>
      <c r="B27" s="34" t="s">
        <v>1981</v>
      </c>
      <c r="C27" s="34">
        <v>16270</v>
      </c>
    </row>
    <row r="28" spans="1:3" x14ac:dyDescent="0.3">
      <c r="A28" s="34" t="s">
        <v>308</v>
      </c>
      <c r="B28" s="34" t="s">
        <v>1982</v>
      </c>
      <c r="C28" s="34">
        <v>16250</v>
      </c>
    </row>
    <row r="29" spans="1:3" x14ac:dyDescent="0.3">
      <c r="A29" s="34" t="s">
        <v>308</v>
      </c>
      <c r="B29" s="34" t="s">
        <v>1983</v>
      </c>
      <c r="C29" s="34">
        <v>16240</v>
      </c>
    </row>
    <row r="30" spans="1:3" x14ac:dyDescent="0.3">
      <c r="A30" s="34" t="s">
        <v>308</v>
      </c>
      <c r="B30" s="34" t="s">
        <v>1984</v>
      </c>
      <c r="C30" s="34">
        <v>16235</v>
      </c>
    </row>
    <row r="31" spans="1:3" x14ac:dyDescent="0.3">
      <c r="A31" s="34" t="s">
        <v>308</v>
      </c>
      <c r="B31" s="34" t="s">
        <v>1985</v>
      </c>
      <c r="C31" s="34">
        <v>16200</v>
      </c>
    </row>
    <row r="32" spans="1:3" x14ac:dyDescent="0.3">
      <c r="A32" s="34" t="s">
        <v>308</v>
      </c>
      <c r="B32" s="34" t="s">
        <v>1986</v>
      </c>
      <c r="C32" s="34">
        <v>16290</v>
      </c>
    </row>
    <row r="33" spans="1:3" x14ac:dyDescent="0.3">
      <c r="A33" s="34" t="s">
        <v>308</v>
      </c>
      <c r="B33" s="34" t="s">
        <v>1987</v>
      </c>
      <c r="C33" s="34">
        <v>16210</v>
      </c>
    </row>
    <row r="34" spans="1:3" x14ac:dyDescent="0.3">
      <c r="A34" s="34" t="s">
        <v>308</v>
      </c>
      <c r="B34" s="34" t="s">
        <v>1988</v>
      </c>
      <c r="C34" s="34">
        <v>16215</v>
      </c>
    </row>
    <row r="35" spans="1:3" x14ac:dyDescent="0.3">
      <c r="A35" s="34" t="s">
        <v>308</v>
      </c>
      <c r="B35" s="34" t="s">
        <v>1989</v>
      </c>
      <c r="C35" s="34">
        <v>16250</v>
      </c>
    </row>
    <row r="36" spans="1:3" x14ac:dyDescent="0.3">
      <c r="A36" s="34" t="s">
        <v>308</v>
      </c>
      <c r="B36" s="34" t="s">
        <v>1990</v>
      </c>
      <c r="C36" s="34">
        <v>16250</v>
      </c>
    </row>
    <row r="37" spans="1:3" x14ac:dyDescent="0.3">
      <c r="A37" s="34" t="s">
        <v>308</v>
      </c>
      <c r="B37" s="34" t="s">
        <v>1991</v>
      </c>
      <c r="C37" s="34">
        <v>16240</v>
      </c>
    </row>
    <row r="38" spans="1:3" x14ac:dyDescent="0.3">
      <c r="A38" s="34" t="s">
        <v>308</v>
      </c>
      <c r="B38" s="34" t="s">
        <v>1992</v>
      </c>
      <c r="C38" s="34">
        <v>16260</v>
      </c>
    </row>
    <row r="39" spans="1:3" x14ac:dyDescent="0.3">
      <c r="A39" s="34" t="s">
        <v>308</v>
      </c>
      <c r="B39" s="34" t="s">
        <v>1993</v>
      </c>
      <c r="C39" s="34">
        <v>16290</v>
      </c>
    </row>
    <row r="40" spans="1:3" x14ac:dyDescent="0.3">
      <c r="A40" s="34" t="s">
        <v>308</v>
      </c>
      <c r="B40" s="34" t="s">
        <v>1994</v>
      </c>
      <c r="C40" s="34">
        <v>16280</v>
      </c>
    </row>
    <row r="41" spans="1:3" x14ac:dyDescent="0.3">
      <c r="A41" s="34" t="s">
        <v>308</v>
      </c>
      <c r="B41" s="34" t="s">
        <v>1995</v>
      </c>
      <c r="C41" s="34">
        <v>16280</v>
      </c>
    </row>
    <row r="42" spans="1:3" x14ac:dyDescent="0.3">
      <c r="A42" s="34" t="s">
        <v>308</v>
      </c>
      <c r="B42" s="34" t="s">
        <v>1996</v>
      </c>
      <c r="C42" s="34">
        <v>16200</v>
      </c>
    </row>
    <row r="43" spans="1:3" x14ac:dyDescent="0.3">
      <c r="A43" s="34" t="s">
        <v>308</v>
      </c>
      <c r="B43" s="34" t="s">
        <v>1997</v>
      </c>
      <c r="C43" s="34">
        <v>16290</v>
      </c>
    </row>
    <row r="44" spans="1:3" x14ac:dyDescent="0.3">
      <c r="A44" s="34" t="s">
        <v>308</v>
      </c>
      <c r="B44" s="34" t="s">
        <v>1998</v>
      </c>
      <c r="C44" s="34">
        <v>16250</v>
      </c>
    </row>
    <row r="45" spans="1:3" x14ac:dyDescent="0.3">
      <c r="A45" s="34" t="s">
        <v>308</v>
      </c>
      <c r="B45" s="34" t="s">
        <v>1999</v>
      </c>
      <c r="C45" s="34">
        <v>16215</v>
      </c>
    </row>
    <row r="46" spans="1:3" x14ac:dyDescent="0.3">
      <c r="A46" s="34" t="s">
        <v>308</v>
      </c>
      <c r="B46" s="34" t="s">
        <v>2000</v>
      </c>
      <c r="C46" s="34">
        <v>16215</v>
      </c>
    </row>
    <row r="47" spans="1:3" x14ac:dyDescent="0.3">
      <c r="A47" s="34" t="s">
        <v>308</v>
      </c>
      <c r="B47" s="34" t="s">
        <v>2001</v>
      </c>
      <c r="C47" s="34">
        <v>16290</v>
      </c>
    </row>
    <row r="48" spans="1:3" x14ac:dyDescent="0.3">
      <c r="A48" s="34" t="s">
        <v>308</v>
      </c>
      <c r="B48" s="34" t="s">
        <v>2002</v>
      </c>
      <c r="C48" s="34">
        <v>16290</v>
      </c>
    </row>
    <row r="49" spans="1:3" x14ac:dyDescent="0.3">
      <c r="A49" s="34" t="s">
        <v>308</v>
      </c>
      <c r="B49" s="34" t="s">
        <v>2003</v>
      </c>
      <c r="C49" s="34">
        <v>16200</v>
      </c>
    </row>
    <row r="50" spans="1:3" x14ac:dyDescent="0.3">
      <c r="A50" s="34" t="s">
        <v>308</v>
      </c>
      <c r="B50" s="34" t="s">
        <v>2004</v>
      </c>
      <c r="C50" s="34">
        <v>16280</v>
      </c>
    </row>
    <row r="51" spans="1:3" x14ac:dyDescent="0.3">
      <c r="A51" s="34" t="s">
        <v>308</v>
      </c>
      <c r="B51" s="34" t="s">
        <v>2005</v>
      </c>
      <c r="C51" s="34">
        <v>16280</v>
      </c>
    </row>
    <row r="52" spans="1:3" x14ac:dyDescent="0.3">
      <c r="A52" s="34" t="s">
        <v>308</v>
      </c>
      <c r="B52" s="34" t="s">
        <v>2006</v>
      </c>
      <c r="C52" s="34">
        <v>16265</v>
      </c>
    </row>
    <row r="53" spans="1:3" x14ac:dyDescent="0.3">
      <c r="A53" s="34" t="s">
        <v>308</v>
      </c>
      <c r="B53" s="34" t="s">
        <v>2007</v>
      </c>
      <c r="C53" s="34">
        <v>16250</v>
      </c>
    </row>
    <row r="54" spans="1:3" x14ac:dyDescent="0.3">
      <c r="A54" s="34" t="s">
        <v>308</v>
      </c>
      <c r="B54" s="34" t="s">
        <v>2008</v>
      </c>
      <c r="C54" s="34">
        <v>16290</v>
      </c>
    </row>
    <row r="55" spans="1:3" x14ac:dyDescent="0.3">
      <c r="A55" s="34" t="s">
        <v>308</v>
      </c>
      <c r="B55" s="34" t="s">
        <v>2009</v>
      </c>
      <c r="C55" s="34">
        <v>16265</v>
      </c>
    </row>
    <row r="56" spans="1:3" x14ac:dyDescent="0.3">
      <c r="A56" s="34" t="s">
        <v>308</v>
      </c>
      <c r="B56" s="34" t="s">
        <v>1873</v>
      </c>
      <c r="C56" s="34">
        <v>16240</v>
      </c>
    </row>
    <row r="57" spans="1:3" x14ac:dyDescent="0.3">
      <c r="A57" s="34" t="s">
        <v>308</v>
      </c>
      <c r="B57" s="34" t="s">
        <v>2010</v>
      </c>
      <c r="C57" s="34">
        <v>16290</v>
      </c>
    </row>
    <row r="58" spans="1:3" x14ac:dyDescent="0.3">
      <c r="A58" s="34" t="s">
        <v>308</v>
      </c>
      <c r="B58" s="34" t="s">
        <v>2011</v>
      </c>
      <c r="C58" s="34">
        <v>16290</v>
      </c>
    </row>
    <row r="59" spans="1:3" x14ac:dyDescent="0.3">
      <c r="A59" s="34" t="s">
        <v>308</v>
      </c>
      <c r="B59" s="34" t="s">
        <v>2012</v>
      </c>
      <c r="C59" s="34">
        <v>16220</v>
      </c>
    </row>
    <row r="60" spans="1:3" x14ac:dyDescent="0.3">
      <c r="A60" s="34" t="s">
        <v>308</v>
      </c>
      <c r="B60" s="34" t="s">
        <v>2013</v>
      </c>
      <c r="C60" s="34">
        <v>16220</v>
      </c>
    </row>
    <row r="61" spans="1:3" x14ac:dyDescent="0.3">
      <c r="A61" s="34" t="s">
        <v>308</v>
      </c>
      <c r="B61" s="34" t="s">
        <v>2014</v>
      </c>
      <c r="C61" s="34">
        <v>16220</v>
      </c>
    </row>
    <row r="62" spans="1:3" x14ac:dyDescent="0.3">
      <c r="A62" s="34" t="s">
        <v>308</v>
      </c>
      <c r="B62" s="34" t="s">
        <v>2015</v>
      </c>
      <c r="C62" s="34">
        <v>16265</v>
      </c>
    </row>
    <row r="63" spans="1:3" x14ac:dyDescent="0.3">
      <c r="A63" s="34" t="s">
        <v>308</v>
      </c>
      <c r="B63" s="34" t="s">
        <v>2016</v>
      </c>
      <c r="C63" s="34">
        <v>16235</v>
      </c>
    </row>
    <row r="64" spans="1:3" x14ac:dyDescent="0.3">
      <c r="A64" s="34" t="s">
        <v>308</v>
      </c>
      <c r="B64" s="34" t="s">
        <v>2017</v>
      </c>
      <c r="C64" s="34">
        <v>16280</v>
      </c>
    </row>
    <row r="65" spans="1:3" x14ac:dyDescent="0.3">
      <c r="A65" s="34" t="s">
        <v>308</v>
      </c>
      <c r="B65" s="34" t="s">
        <v>2018</v>
      </c>
      <c r="C65" s="34">
        <v>16270</v>
      </c>
    </row>
    <row r="66" spans="1:3" x14ac:dyDescent="0.3">
      <c r="A66" s="34" t="s">
        <v>308</v>
      </c>
      <c r="B66" s="34" t="s">
        <v>2019</v>
      </c>
      <c r="C66" s="34">
        <v>16290</v>
      </c>
    </row>
    <row r="67" spans="1:3" x14ac:dyDescent="0.3">
      <c r="A67" s="34" t="s">
        <v>308</v>
      </c>
      <c r="B67" s="34" t="s">
        <v>2020</v>
      </c>
      <c r="C67" s="34">
        <v>16290</v>
      </c>
    </row>
    <row r="68" spans="1:3" x14ac:dyDescent="0.3">
      <c r="A68" s="34" t="s">
        <v>308</v>
      </c>
      <c r="B68" s="34" t="s">
        <v>2021</v>
      </c>
      <c r="C68" s="34">
        <v>16285</v>
      </c>
    </row>
    <row r="69" spans="1:3" x14ac:dyDescent="0.3">
      <c r="A69" s="34" t="s">
        <v>308</v>
      </c>
      <c r="B69" s="34" t="s">
        <v>2022</v>
      </c>
      <c r="C69" s="34">
        <v>16280</v>
      </c>
    </row>
    <row r="70" spans="1:3" x14ac:dyDescent="0.3">
      <c r="A70" s="34" t="s">
        <v>308</v>
      </c>
      <c r="B70" s="34" t="s">
        <v>2023</v>
      </c>
      <c r="C70" s="34">
        <v>16250</v>
      </c>
    </row>
    <row r="71" spans="1:3" x14ac:dyDescent="0.3">
      <c r="A71" s="34" t="s">
        <v>308</v>
      </c>
      <c r="B71" s="34" t="s">
        <v>2024</v>
      </c>
      <c r="C71" s="34">
        <v>16235</v>
      </c>
    </row>
    <row r="72" spans="1:3" x14ac:dyDescent="0.3">
      <c r="A72" s="34" t="s">
        <v>34</v>
      </c>
      <c r="B72" s="34" t="s">
        <v>2025</v>
      </c>
      <c r="C72" s="34">
        <v>16160</v>
      </c>
    </row>
    <row r="73" spans="1:3" x14ac:dyDescent="0.3">
      <c r="A73" s="34" t="s">
        <v>34</v>
      </c>
      <c r="B73" s="34" t="s">
        <v>2026</v>
      </c>
      <c r="C73" s="34">
        <v>16190</v>
      </c>
    </row>
    <row r="74" spans="1:3" x14ac:dyDescent="0.3">
      <c r="A74" s="34" t="s">
        <v>34</v>
      </c>
      <c r="B74" s="34" t="s">
        <v>2027</v>
      </c>
      <c r="C74" s="34">
        <v>16050</v>
      </c>
    </row>
    <row r="75" spans="1:3" x14ac:dyDescent="0.3">
      <c r="A75" s="34" t="s">
        <v>34</v>
      </c>
      <c r="B75" s="34" t="s">
        <v>2028</v>
      </c>
      <c r="C75" s="34">
        <v>16180</v>
      </c>
    </row>
    <row r="76" spans="1:3" x14ac:dyDescent="0.3">
      <c r="A76" s="34" t="s">
        <v>34</v>
      </c>
      <c r="B76" s="34" t="s">
        <v>2029</v>
      </c>
      <c r="C76" s="34">
        <v>16190</v>
      </c>
    </row>
    <row r="77" spans="1:3" x14ac:dyDescent="0.3">
      <c r="A77" s="34" t="s">
        <v>34</v>
      </c>
      <c r="B77" s="34" t="s">
        <v>2030</v>
      </c>
      <c r="C77" s="34">
        <v>16050</v>
      </c>
    </row>
    <row r="78" spans="1:3" x14ac:dyDescent="0.3">
      <c r="A78" s="34" t="s">
        <v>34</v>
      </c>
      <c r="B78" s="34" t="s">
        <v>2031</v>
      </c>
      <c r="C78" s="34">
        <v>16020</v>
      </c>
    </row>
    <row r="79" spans="1:3" x14ac:dyDescent="0.3">
      <c r="A79" s="34" t="s">
        <v>34</v>
      </c>
      <c r="B79" s="34" t="s">
        <v>2032</v>
      </c>
      <c r="C79" s="34">
        <v>16020</v>
      </c>
    </row>
    <row r="80" spans="1:3" x14ac:dyDescent="0.3">
      <c r="A80" s="34" t="s">
        <v>34</v>
      </c>
      <c r="B80" s="34" t="s">
        <v>2033</v>
      </c>
      <c r="C80" s="34">
        <v>16030</v>
      </c>
    </row>
    <row r="81" spans="1:3" x14ac:dyDescent="0.3">
      <c r="A81" s="34" t="s">
        <v>34</v>
      </c>
      <c r="B81" s="34" t="s">
        <v>2034</v>
      </c>
      <c r="C81" s="34">
        <v>16100</v>
      </c>
    </row>
    <row r="82" spans="1:3" x14ac:dyDescent="0.3">
      <c r="A82" s="34" t="s">
        <v>34</v>
      </c>
      <c r="B82" s="34" t="s">
        <v>2035</v>
      </c>
      <c r="C82" s="34">
        <v>16150</v>
      </c>
    </row>
    <row r="83" spans="1:3" x14ac:dyDescent="0.3">
      <c r="A83" s="34" t="s">
        <v>34</v>
      </c>
      <c r="B83" s="34" t="s">
        <v>2036</v>
      </c>
      <c r="C83" s="34">
        <v>16020</v>
      </c>
    </row>
    <row r="84" spans="1:3" x14ac:dyDescent="0.3">
      <c r="A84" s="34" t="s">
        <v>34</v>
      </c>
      <c r="B84" s="34" t="s">
        <v>2037</v>
      </c>
      <c r="C84" s="34">
        <v>16090</v>
      </c>
    </row>
    <row r="85" spans="1:3" x14ac:dyDescent="0.3">
      <c r="A85" s="34" t="s">
        <v>34</v>
      </c>
      <c r="B85" s="34" t="s">
        <v>2038</v>
      </c>
      <c r="C85" s="34">
        <v>16050</v>
      </c>
    </row>
    <row r="86" spans="1:3" x14ac:dyDescent="0.3">
      <c r="A86" s="34" t="s">
        <v>34</v>
      </c>
      <c r="B86" s="34" t="s">
        <v>2039</v>
      </c>
      <c r="C86" s="34">
        <v>16150</v>
      </c>
    </row>
    <row r="87" spans="1:3" x14ac:dyDescent="0.3">
      <c r="A87" s="34" t="s">
        <v>34</v>
      </c>
      <c r="B87" s="34" t="s">
        <v>2040</v>
      </c>
      <c r="C87" s="34">
        <v>16080</v>
      </c>
    </row>
    <row r="88" spans="1:3" x14ac:dyDescent="0.3">
      <c r="A88" s="34" t="s">
        <v>34</v>
      </c>
      <c r="B88" s="34" t="s">
        <v>2041</v>
      </c>
      <c r="C88" s="34">
        <v>16190</v>
      </c>
    </row>
    <row r="89" spans="1:3" x14ac:dyDescent="0.3">
      <c r="A89" s="34" t="s">
        <v>34</v>
      </c>
      <c r="B89" s="34" t="s">
        <v>2042</v>
      </c>
      <c r="C89" s="34">
        <v>16170</v>
      </c>
    </row>
    <row r="90" spans="1:3" x14ac:dyDescent="0.3">
      <c r="A90" s="34" t="s">
        <v>34</v>
      </c>
      <c r="B90" s="34" t="s">
        <v>2043</v>
      </c>
      <c r="C90" s="34">
        <v>16190</v>
      </c>
    </row>
    <row r="91" spans="1:3" x14ac:dyDescent="0.3">
      <c r="A91" s="34" t="s">
        <v>34</v>
      </c>
      <c r="B91" s="34" t="s">
        <v>2044</v>
      </c>
      <c r="C91" s="34">
        <v>16080</v>
      </c>
    </row>
    <row r="92" spans="1:3" x14ac:dyDescent="0.3">
      <c r="A92" s="34" t="s">
        <v>34</v>
      </c>
      <c r="B92" s="34" t="s">
        <v>2045</v>
      </c>
      <c r="C92" s="34">
        <v>16090</v>
      </c>
    </row>
    <row r="93" spans="1:3" x14ac:dyDescent="0.3">
      <c r="A93" s="34" t="s">
        <v>34</v>
      </c>
      <c r="B93" s="34" t="s">
        <v>2046</v>
      </c>
      <c r="C93" s="34">
        <v>16190</v>
      </c>
    </row>
    <row r="94" spans="1:3" x14ac:dyDescent="0.3">
      <c r="A94" s="34" t="s">
        <v>34</v>
      </c>
      <c r="B94" s="34" t="s">
        <v>2047</v>
      </c>
      <c r="C94" s="34">
        <v>16190</v>
      </c>
    </row>
    <row r="95" spans="1:3" x14ac:dyDescent="0.3">
      <c r="A95" s="34" t="s">
        <v>34</v>
      </c>
      <c r="B95" s="34" t="s">
        <v>2048</v>
      </c>
      <c r="C95" s="34">
        <v>16190</v>
      </c>
    </row>
    <row r="96" spans="1:3" x14ac:dyDescent="0.3">
      <c r="A96" s="34" t="s">
        <v>34</v>
      </c>
      <c r="B96" s="34" t="s">
        <v>2049</v>
      </c>
      <c r="C96" s="34">
        <v>16070</v>
      </c>
    </row>
    <row r="97" spans="1:3" x14ac:dyDescent="0.3">
      <c r="A97" s="34" t="s">
        <v>34</v>
      </c>
      <c r="B97" s="34" t="s">
        <v>2050</v>
      </c>
      <c r="C97" s="34">
        <v>16150</v>
      </c>
    </row>
    <row r="98" spans="1:3" x14ac:dyDescent="0.3">
      <c r="A98" s="34" t="s">
        <v>34</v>
      </c>
      <c r="B98" s="34" t="s">
        <v>2051</v>
      </c>
      <c r="C98" s="34">
        <v>16140</v>
      </c>
    </row>
    <row r="99" spans="1:3" x14ac:dyDescent="0.3">
      <c r="A99" s="34" t="s">
        <v>34</v>
      </c>
      <c r="B99" s="34" t="s">
        <v>2052</v>
      </c>
      <c r="C99" s="34">
        <v>16140</v>
      </c>
    </row>
    <row r="100" spans="1:3" x14ac:dyDescent="0.3">
      <c r="A100" s="34" t="s">
        <v>34</v>
      </c>
      <c r="B100" s="34" t="s">
        <v>2053</v>
      </c>
      <c r="C100" s="34">
        <v>16050</v>
      </c>
    </row>
    <row r="101" spans="1:3" x14ac:dyDescent="0.3">
      <c r="A101" s="34" t="s">
        <v>34</v>
      </c>
      <c r="B101" s="34" t="s">
        <v>2054</v>
      </c>
      <c r="C101" s="34">
        <v>16150</v>
      </c>
    </row>
    <row r="102" spans="1:3" x14ac:dyDescent="0.3">
      <c r="A102" s="34" t="s">
        <v>34</v>
      </c>
      <c r="B102" s="34" t="s">
        <v>2055</v>
      </c>
      <c r="C102" s="34">
        <v>16190</v>
      </c>
    </row>
    <row r="103" spans="1:3" x14ac:dyDescent="0.3">
      <c r="A103" s="34" t="s">
        <v>34</v>
      </c>
      <c r="B103" s="34" t="s">
        <v>2056</v>
      </c>
      <c r="C103" s="34">
        <v>16020</v>
      </c>
    </row>
    <row r="104" spans="1:3" x14ac:dyDescent="0.3">
      <c r="A104" s="34" t="s">
        <v>34</v>
      </c>
      <c r="B104" s="34" t="s">
        <v>2057</v>
      </c>
      <c r="C104" s="34">
        <v>16120</v>
      </c>
    </row>
    <row r="105" spans="1:3" x14ac:dyDescent="0.3">
      <c r="A105" s="34" t="s">
        <v>34</v>
      </c>
      <c r="B105" s="34" t="s">
        <v>2058</v>
      </c>
      <c r="C105" s="34">
        <v>16120</v>
      </c>
    </row>
    <row r="106" spans="1:3" x14ac:dyDescent="0.3">
      <c r="A106" s="34" t="s">
        <v>34</v>
      </c>
      <c r="B106" s="34" t="s">
        <v>2059</v>
      </c>
      <c r="C106" s="34">
        <v>16120</v>
      </c>
    </row>
    <row r="107" spans="1:3" x14ac:dyDescent="0.3">
      <c r="A107" s="34" t="s">
        <v>34</v>
      </c>
      <c r="B107" s="34" t="s">
        <v>2060</v>
      </c>
      <c r="C107" s="34">
        <v>16110</v>
      </c>
    </row>
    <row r="108" spans="1:3" x14ac:dyDescent="0.3">
      <c r="A108" s="34" t="s">
        <v>34</v>
      </c>
      <c r="B108" s="34" t="s">
        <v>2061</v>
      </c>
      <c r="C108" s="34">
        <v>16120</v>
      </c>
    </row>
    <row r="109" spans="1:3" x14ac:dyDescent="0.3">
      <c r="A109" s="34" t="s">
        <v>34</v>
      </c>
      <c r="B109" s="34" t="s">
        <v>2062</v>
      </c>
      <c r="C109" s="34">
        <v>16040</v>
      </c>
    </row>
    <row r="110" spans="1:3" x14ac:dyDescent="0.3">
      <c r="A110" s="34" t="s">
        <v>34</v>
      </c>
      <c r="B110" s="34" t="s">
        <v>2063</v>
      </c>
      <c r="C110" s="34">
        <v>16165</v>
      </c>
    </row>
    <row r="111" spans="1:3" x14ac:dyDescent="0.3">
      <c r="A111" s="34" t="s">
        <v>34</v>
      </c>
      <c r="B111" s="34" t="s">
        <v>2064</v>
      </c>
      <c r="C111" s="34">
        <v>16060</v>
      </c>
    </row>
    <row r="112" spans="1:3" x14ac:dyDescent="0.3">
      <c r="A112" s="34" t="s">
        <v>34</v>
      </c>
      <c r="B112" s="34" t="s">
        <v>2065</v>
      </c>
      <c r="C112" s="34">
        <v>16060</v>
      </c>
    </row>
    <row r="113" spans="1:3" x14ac:dyDescent="0.3">
      <c r="A113" s="34" t="s">
        <v>34</v>
      </c>
      <c r="B113" s="34" t="s">
        <v>2066</v>
      </c>
      <c r="C113" s="34">
        <v>16040</v>
      </c>
    </row>
    <row r="114" spans="1:3" x14ac:dyDescent="0.3">
      <c r="A114" s="34" t="s">
        <v>34</v>
      </c>
      <c r="B114" s="34" t="s">
        <v>2067</v>
      </c>
      <c r="C114" s="34">
        <v>16190</v>
      </c>
    </row>
    <row r="115" spans="1:3" x14ac:dyDescent="0.3">
      <c r="A115" s="34" t="s">
        <v>34</v>
      </c>
      <c r="B115" s="34" t="s">
        <v>2068</v>
      </c>
      <c r="C115" s="34">
        <v>16100</v>
      </c>
    </row>
    <row r="116" spans="1:3" x14ac:dyDescent="0.3">
      <c r="A116" s="34" t="s">
        <v>34</v>
      </c>
      <c r="B116" s="34" t="s">
        <v>2069</v>
      </c>
      <c r="C116" s="34">
        <v>16190</v>
      </c>
    </row>
    <row r="117" spans="1:3" x14ac:dyDescent="0.3">
      <c r="A117" s="34" t="s">
        <v>34</v>
      </c>
      <c r="B117" s="34" t="s">
        <v>2070</v>
      </c>
      <c r="C117" s="34">
        <v>16030</v>
      </c>
    </row>
    <row r="118" spans="1:3" x14ac:dyDescent="0.3">
      <c r="A118" s="34" t="s">
        <v>34</v>
      </c>
      <c r="B118" s="34" t="s">
        <v>2071</v>
      </c>
      <c r="C118" s="34">
        <v>16190</v>
      </c>
    </row>
    <row r="119" spans="1:3" x14ac:dyDescent="0.3">
      <c r="A119" s="34" t="s">
        <v>34</v>
      </c>
      <c r="B119" s="34" t="s">
        <v>2072</v>
      </c>
      <c r="C119" s="34">
        <v>16040</v>
      </c>
    </row>
    <row r="120" spans="1:3" x14ac:dyDescent="0.3">
      <c r="A120" s="34" t="s">
        <v>34</v>
      </c>
      <c r="B120" s="34" t="s">
        <v>2073</v>
      </c>
      <c r="C120" s="34">
        <v>16180</v>
      </c>
    </row>
    <row r="121" spans="1:3" x14ac:dyDescent="0.3">
      <c r="A121" s="34" t="s">
        <v>34</v>
      </c>
      <c r="B121" s="34" t="s">
        <v>2074</v>
      </c>
      <c r="C121" s="34">
        <v>16180</v>
      </c>
    </row>
    <row r="122" spans="1:3" x14ac:dyDescent="0.3">
      <c r="A122" s="34" t="s">
        <v>34</v>
      </c>
      <c r="B122" s="34" t="s">
        <v>2075</v>
      </c>
      <c r="C122" s="34">
        <v>16180</v>
      </c>
    </row>
    <row r="123" spans="1:3" x14ac:dyDescent="0.3">
      <c r="A123" s="34" t="s">
        <v>34</v>
      </c>
      <c r="B123" s="34" t="s">
        <v>2076</v>
      </c>
      <c r="C123" s="34">
        <v>16140</v>
      </c>
    </row>
    <row r="124" spans="1:3" x14ac:dyDescent="0.3">
      <c r="A124" s="34" t="s">
        <v>34</v>
      </c>
      <c r="B124" s="34" t="s">
        <v>2077</v>
      </c>
      <c r="C124" s="34">
        <v>16150</v>
      </c>
    </row>
    <row r="125" spans="1:3" x14ac:dyDescent="0.3">
      <c r="A125" s="34" t="s">
        <v>34</v>
      </c>
      <c r="B125" s="34" t="s">
        <v>2078</v>
      </c>
      <c r="C125" s="34">
        <v>16180</v>
      </c>
    </row>
    <row r="126" spans="1:3" x14ac:dyDescent="0.3">
      <c r="A126" s="34" t="s">
        <v>34</v>
      </c>
      <c r="B126" s="34" t="s">
        <v>2079</v>
      </c>
      <c r="C126" s="34">
        <v>16190</v>
      </c>
    </row>
    <row r="127" spans="1:3" x14ac:dyDescent="0.3">
      <c r="A127" s="34" t="s">
        <v>34</v>
      </c>
      <c r="B127" s="34" t="s">
        <v>2080</v>
      </c>
      <c r="C127" s="34">
        <v>16080</v>
      </c>
    </row>
    <row r="128" spans="1:3" x14ac:dyDescent="0.3">
      <c r="A128" s="34" t="s">
        <v>34</v>
      </c>
      <c r="B128" s="34" t="s">
        <v>2081</v>
      </c>
      <c r="C128" s="34">
        <v>16190</v>
      </c>
    </row>
    <row r="129" spans="1:3" x14ac:dyDescent="0.3">
      <c r="A129" s="34" t="s">
        <v>34</v>
      </c>
      <c r="B129" s="34" t="s">
        <v>2082</v>
      </c>
      <c r="C129" s="34">
        <v>16165</v>
      </c>
    </row>
    <row r="130" spans="1:3" x14ac:dyDescent="0.3">
      <c r="A130" s="34" t="s">
        <v>34</v>
      </c>
      <c r="B130" s="34" t="s">
        <v>2083</v>
      </c>
      <c r="C130" s="34">
        <v>16190</v>
      </c>
    </row>
    <row r="131" spans="1:3" x14ac:dyDescent="0.3">
      <c r="A131" s="34" t="s">
        <v>34</v>
      </c>
      <c r="B131" s="34" t="s">
        <v>2084</v>
      </c>
      <c r="C131" s="34">
        <v>16190</v>
      </c>
    </row>
    <row r="132" spans="1:3" x14ac:dyDescent="0.3">
      <c r="A132" s="34" t="s">
        <v>34</v>
      </c>
      <c r="B132" s="34" t="s">
        <v>2085</v>
      </c>
      <c r="C132" s="34">
        <v>16040</v>
      </c>
    </row>
    <row r="133" spans="1:3" x14ac:dyDescent="0.3">
      <c r="A133" s="34" t="s">
        <v>34</v>
      </c>
      <c r="B133" s="34" t="s">
        <v>1822</v>
      </c>
      <c r="C133" s="34">
        <v>16175</v>
      </c>
    </row>
    <row r="134" spans="1:3" x14ac:dyDescent="0.3">
      <c r="A134" s="34" t="s">
        <v>34</v>
      </c>
      <c r="B134" s="34" t="s">
        <v>2086</v>
      </c>
      <c r="C134" s="34">
        <v>16020</v>
      </c>
    </row>
    <row r="135" spans="1:3" x14ac:dyDescent="0.3">
      <c r="A135" s="34" t="s">
        <v>34</v>
      </c>
      <c r="B135" s="34" t="s">
        <v>2087</v>
      </c>
      <c r="C135" s="34">
        <v>16010</v>
      </c>
    </row>
    <row r="136" spans="1:3" x14ac:dyDescent="0.3">
      <c r="A136" s="34" t="s">
        <v>34</v>
      </c>
      <c r="B136" s="34" t="s">
        <v>2088</v>
      </c>
      <c r="C136" s="34">
        <v>16050</v>
      </c>
    </row>
    <row r="137" spans="1:3" x14ac:dyDescent="0.3">
      <c r="A137" s="34" t="s">
        <v>34</v>
      </c>
      <c r="B137" s="34" t="s">
        <v>2089</v>
      </c>
      <c r="C137" s="34">
        <v>16060</v>
      </c>
    </row>
    <row r="138" spans="1:3" x14ac:dyDescent="0.3">
      <c r="A138" s="34" t="s">
        <v>34</v>
      </c>
      <c r="B138" s="34" t="s">
        <v>2090</v>
      </c>
      <c r="C138" s="34">
        <v>16160</v>
      </c>
    </row>
    <row r="139" spans="1:3" x14ac:dyDescent="0.3">
      <c r="A139" s="34" t="s">
        <v>34</v>
      </c>
      <c r="B139" s="34" t="s">
        <v>2091</v>
      </c>
      <c r="C139" s="34">
        <v>16190</v>
      </c>
    </row>
    <row r="140" spans="1:3" x14ac:dyDescent="0.3">
      <c r="A140" s="34" t="s">
        <v>34</v>
      </c>
      <c r="B140" s="34" t="s">
        <v>2092</v>
      </c>
      <c r="C140" s="34">
        <v>16010</v>
      </c>
    </row>
    <row r="141" spans="1:3" x14ac:dyDescent="0.3">
      <c r="A141" s="34" t="s">
        <v>34</v>
      </c>
      <c r="B141" s="34" t="s">
        <v>2093</v>
      </c>
      <c r="C141" s="34">
        <v>16190</v>
      </c>
    </row>
    <row r="142" spans="1:3" x14ac:dyDescent="0.3">
      <c r="A142" s="34" t="s">
        <v>34</v>
      </c>
      <c r="B142" s="34" t="s">
        <v>2094</v>
      </c>
      <c r="C142" s="34">
        <v>16050</v>
      </c>
    </row>
    <row r="143" spans="1:3" x14ac:dyDescent="0.3">
      <c r="A143" s="34" t="s">
        <v>34</v>
      </c>
      <c r="B143" s="34" t="s">
        <v>2095</v>
      </c>
      <c r="C143" s="34">
        <v>16100</v>
      </c>
    </row>
    <row r="144" spans="1:3" x14ac:dyDescent="0.3">
      <c r="A144" s="34" t="s">
        <v>34</v>
      </c>
      <c r="B144" s="34" t="s">
        <v>2096</v>
      </c>
      <c r="C144" s="34">
        <v>16160</v>
      </c>
    </row>
    <row r="145" spans="1:3" x14ac:dyDescent="0.3">
      <c r="A145" s="34" t="s">
        <v>34</v>
      </c>
      <c r="B145" s="34" t="s">
        <v>2097</v>
      </c>
      <c r="C145" s="34">
        <v>16020</v>
      </c>
    </row>
    <row r="146" spans="1:3" x14ac:dyDescent="0.3">
      <c r="A146" s="34" t="s">
        <v>34</v>
      </c>
      <c r="B146" s="34" t="s">
        <v>2098</v>
      </c>
      <c r="C146" s="34">
        <v>16190</v>
      </c>
    </row>
    <row r="147" spans="1:3" x14ac:dyDescent="0.3">
      <c r="A147" s="34" t="s">
        <v>34</v>
      </c>
      <c r="B147" s="34" t="s">
        <v>2099</v>
      </c>
      <c r="C147" s="34">
        <v>16190</v>
      </c>
    </row>
    <row r="148" spans="1:3" x14ac:dyDescent="0.3">
      <c r="A148" s="34" t="s">
        <v>34</v>
      </c>
      <c r="B148" s="34" t="s">
        <v>2100</v>
      </c>
      <c r="C148" s="34">
        <v>16020</v>
      </c>
    </row>
    <row r="149" spans="1:3" x14ac:dyDescent="0.3">
      <c r="A149" s="34" t="s">
        <v>34</v>
      </c>
      <c r="B149" s="34" t="s">
        <v>2101</v>
      </c>
      <c r="C149" s="34">
        <v>16010</v>
      </c>
    </row>
    <row r="150" spans="1:3" x14ac:dyDescent="0.3">
      <c r="A150" s="34" t="s">
        <v>34</v>
      </c>
      <c r="B150" s="34" t="s">
        <v>2102</v>
      </c>
      <c r="C150" s="34">
        <v>16080</v>
      </c>
    </row>
    <row r="151" spans="1:3" x14ac:dyDescent="0.3">
      <c r="A151" s="34" t="s">
        <v>34</v>
      </c>
      <c r="B151" s="34" t="s">
        <v>2103</v>
      </c>
      <c r="C151" s="34">
        <v>16190</v>
      </c>
    </row>
    <row r="152" spans="1:3" x14ac:dyDescent="0.3">
      <c r="A152" s="34" t="s">
        <v>34</v>
      </c>
      <c r="B152" s="34" t="s">
        <v>2104</v>
      </c>
      <c r="C152" s="34">
        <v>16040</v>
      </c>
    </row>
    <row r="153" spans="1:3" x14ac:dyDescent="0.3">
      <c r="A153" s="34" t="s">
        <v>34</v>
      </c>
      <c r="B153" s="34" t="s">
        <v>2105</v>
      </c>
      <c r="C153" s="34">
        <v>16040</v>
      </c>
    </row>
    <row r="154" spans="1:3" x14ac:dyDescent="0.3">
      <c r="A154" s="34" t="s">
        <v>34</v>
      </c>
      <c r="B154" s="34" t="s">
        <v>2106</v>
      </c>
      <c r="C154" s="34">
        <v>16020</v>
      </c>
    </row>
    <row r="155" spans="1:3" x14ac:dyDescent="0.3">
      <c r="A155" s="34" t="s">
        <v>34</v>
      </c>
      <c r="B155" s="34" t="s">
        <v>2107</v>
      </c>
      <c r="C155" s="34">
        <v>16080</v>
      </c>
    </row>
    <row r="156" spans="1:3" x14ac:dyDescent="0.3">
      <c r="A156" s="34" t="s">
        <v>34</v>
      </c>
      <c r="B156" s="34" t="s">
        <v>2108</v>
      </c>
      <c r="C156" s="34">
        <v>16090</v>
      </c>
    </row>
    <row r="157" spans="1:3" x14ac:dyDescent="0.3">
      <c r="A157" s="34" t="s">
        <v>34</v>
      </c>
      <c r="B157" s="34" t="s">
        <v>2109</v>
      </c>
      <c r="C157" s="34">
        <v>16190</v>
      </c>
    </row>
    <row r="158" spans="1:3" x14ac:dyDescent="0.3">
      <c r="A158" s="34" t="s">
        <v>34</v>
      </c>
      <c r="B158" s="34" t="s">
        <v>2110</v>
      </c>
      <c r="C158" s="34">
        <v>16070</v>
      </c>
    </row>
    <row r="159" spans="1:3" x14ac:dyDescent="0.3">
      <c r="A159" s="34" t="s">
        <v>34</v>
      </c>
      <c r="B159" s="34" t="s">
        <v>2111</v>
      </c>
      <c r="C159" s="34">
        <v>16140</v>
      </c>
    </row>
    <row r="160" spans="1:3" x14ac:dyDescent="0.3">
      <c r="A160" s="34" t="s">
        <v>34</v>
      </c>
      <c r="B160" s="34" t="s">
        <v>2010</v>
      </c>
      <c r="C160" s="34">
        <v>16050</v>
      </c>
    </row>
    <row r="161" spans="1:3" x14ac:dyDescent="0.3">
      <c r="A161" s="34" t="s">
        <v>34</v>
      </c>
      <c r="B161" s="34" t="s">
        <v>2112</v>
      </c>
      <c r="C161" s="34">
        <v>16010</v>
      </c>
    </row>
    <row r="162" spans="1:3" x14ac:dyDescent="0.3">
      <c r="A162" s="34" t="s">
        <v>34</v>
      </c>
      <c r="B162" s="34" t="s">
        <v>2113</v>
      </c>
      <c r="C162" s="34">
        <v>16150</v>
      </c>
    </row>
    <row r="163" spans="1:3" x14ac:dyDescent="0.3">
      <c r="A163" s="34" t="s">
        <v>34</v>
      </c>
      <c r="B163" s="34" t="s">
        <v>2114</v>
      </c>
      <c r="C163" s="34">
        <v>16020</v>
      </c>
    </row>
    <row r="164" spans="1:3" x14ac:dyDescent="0.3">
      <c r="A164" s="34" t="s">
        <v>34</v>
      </c>
      <c r="B164" s="34" t="s">
        <v>2115</v>
      </c>
      <c r="C164" s="34">
        <v>16020</v>
      </c>
    </row>
    <row r="165" spans="1:3" x14ac:dyDescent="0.3">
      <c r="A165" s="34" t="s">
        <v>34</v>
      </c>
      <c r="B165" s="34" t="s">
        <v>2116</v>
      </c>
      <c r="C165" s="34">
        <v>16020</v>
      </c>
    </row>
    <row r="166" spans="1:3" x14ac:dyDescent="0.3">
      <c r="A166" s="34" t="s">
        <v>34</v>
      </c>
      <c r="B166" s="34" t="s">
        <v>2117</v>
      </c>
      <c r="C166" s="34">
        <v>16190</v>
      </c>
    </row>
    <row r="167" spans="1:3" x14ac:dyDescent="0.3">
      <c r="A167" s="34" t="s">
        <v>34</v>
      </c>
      <c r="B167" s="34" t="s">
        <v>2118</v>
      </c>
      <c r="C167" s="34">
        <v>16010</v>
      </c>
    </row>
    <row r="168" spans="1:3" x14ac:dyDescent="0.3">
      <c r="A168" s="34" t="s">
        <v>34</v>
      </c>
      <c r="B168" s="34" t="s">
        <v>2119</v>
      </c>
      <c r="C168" s="34">
        <v>16080</v>
      </c>
    </row>
    <row r="169" spans="1:3" x14ac:dyDescent="0.3">
      <c r="A169" s="34" t="s">
        <v>34</v>
      </c>
      <c r="B169" s="34" t="s">
        <v>2120</v>
      </c>
      <c r="C169" s="34">
        <v>16180</v>
      </c>
    </row>
    <row r="170" spans="1:3" x14ac:dyDescent="0.3">
      <c r="A170" s="34" t="s">
        <v>34</v>
      </c>
      <c r="B170" s="34" t="s">
        <v>2121</v>
      </c>
      <c r="C170" s="34">
        <v>16010</v>
      </c>
    </row>
    <row r="171" spans="1:3" x14ac:dyDescent="0.3">
      <c r="A171" s="34" t="s">
        <v>34</v>
      </c>
      <c r="B171" s="34" t="s">
        <v>34</v>
      </c>
      <c r="C171" s="34">
        <v>16020</v>
      </c>
    </row>
    <row r="172" spans="1:3" x14ac:dyDescent="0.3">
      <c r="A172" s="34" t="s">
        <v>34</v>
      </c>
      <c r="B172" s="34" t="s">
        <v>2122</v>
      </c>
      <c r="C172" s="34">
        <v>16130</v>
      </c>
    </row>
    <row r="173" spans="1:3" x14ac:dyDescent="0.3">
      <c r="A173" s="34" t="s">
        <v>34</v>
      </c>
      <c r="B173" s="34" t="s">
        <v>2123</v>
      </c>
      <c r="C173" s="34">
        <v>16130</v>
      </c>
    </row>
    <row r="174" spans="1:3" x14ac:dyDescent="0.3">
      <c r="A174" s="34" t="s">
        <v>34</v>
      </c>
      <c r="B174" s="34" t="s">
        <v>2124</v>
      </c>
      <c r="C174" s="34">
        <v>16130</v>
      </c>
    </row>
    <row r="175" spans="1:3" x14ac:dyDescent="0.3">
      <c r="A175" s="34" t="s">
        <v>34</v>
      </c>
      <c r="B175" s="34" t="s">
        <v>2125</v>
      </c>
      <c r="C175" s="34">
        <v>16130</v>
      </c>
    </row>
    <row r="176" spans="1:3" x14ac:dyDescent="0.3">
      <c r="A176" s="34" t="s">
        <v>34</v>
      </c>
      <c r="B176" s="34" t="s">
        <v>2126</v>
      </c>
      <c r="C176" s="34">
        <v>16100</v>
      </c>
    </row>
    <row r="177" spans="1:3" x14ac:dyDescent="0.3">
      <c r="A177" s="34" t="s">
        <v>34</v>
      </c>
      <c r="B177" s="34" t="s">
        <v>2127</v>
      </c>
      <c r="C177" s="34">
        <v>16020</v>
      </c>
    </row>
    <row r="178" spans="1:3" x14ac:dyDescent="0.3">
      <c r="A178" s="34" t="s">
        <v>34</v>
      </c>
      <c r="B178" s="34" t="s">
        <v>2128</v>
      </c>
      <c r="C178" s="34">
        <v>16030</v>
      </c>
    </row>
    <row r="179" spans="1:3" x14ac:dyDescent="0.3">
      <c r="A179" s="34" t="s">
        <v>34</v>
      </c>
      <c r="B179" s="34" t="s">
        <v>2129</v>
      </c>
      <c r="C179" s="34">
        <v>16040</v>
      </c>
    </row>
    <row r="180" spans="1:3" x14ac:dyDescent="0.3">
      <c r="A180" s="34" t="s">
        <v>34</v>
      </c>
      <c r="B180" s="34" t="s">
        <v>2130</v>
      </c>
      <c r="C180" s="34">
        <v>16140</v>
      </c>
    </row>
    <row r="181" spans="1:3" x14ac:dyDescent="0.3">
      <c r="A181" s="34" t="s">
        <v>34</v>
      </c>
      <c r="B181" s="34" t="s">
        <v>2131</v>
      </c>
      <c r="C181" s="34">
        <v>16190</v>
      </c>
    </row>
    <row r="182" spans="1:3" x14ac:dyDescent="0.3">
      <c r="A182" s="34" t="s">
        <v>34</v>
      </c>
      <c r="B182" s="34" t="s">
        <v>2132</v>
      </c>
      <c r="C182" s="34">
        <v>16190</v>
      </c>
    </row>
    <row r="183" spans="1:3" x14ac:dyDescent="0.3">
      <c r="A183" s="34" t="s">
        <v>34</v>
      </c>
      <c r="B183" s="34" t="s">
        <v>2133</v>
      </c>
      <c r="C183" s="34">
        <v>16050</v>
      </c>
    </row>
    <row r="184" spans="1:3" x14ac:dyDescent="0.3">
      <c r="A184" s="34" t="s">
        <v>34</v>
      </c>
      <c r="B184" s="34" t="s">
        <v>2134</v>
      </c>
      <c r="C184" s="34">
        <v>16030</v>
      </c>
    </row>
    <row r="185" spans="1:3" x14ac:dyDescent="0.3">
      <c r="A185" s="34" t="s">
        <v>34</v>
      </c>
      <c r="B185" s="34" t="s">
        <v>2135</v>
      </c>
      <c r="C185" s="34">
        <v>16080</v>
      </c>
    </row>
    <row r="186" spans="1:3" x14ac:dyDescent="0.3">
      <c r="A186" s="34" t="s">
        <v>34</v>
      </c>
      <c r="B186" s="34" t="s">
        <v>2136</v>
      </c>
      <c r="C186" s="34">
        <v>16190</v>
      </c>
    </row>
    <row r="187" spans="1:3" x14ac:dyDescent="0.3">
      <c r="A187" s="34" t="s">
        <v>34</v>
      </c>
      <c r="B187" s="34" t="s">
        <v>2137</v>
      </c>
      <c r="C187" s="34">
        <v>16050</v>
      </c>
    </row>
    <row r="188" spans="1:3" x14ac:dyDescent="0.3">
      <c r="A188" s="34" t="s">
        <v>34</v>
      </c>
      <c r="B188" s="34" t="s">
        <v>2138</v>
      </c>
      <c r="C188" s="34">
        <v>16150</v>
      </c>
    </row>
    <row r="189" spans="1:3" x14ac:dyDescent="0.3">
      <c r="A189" s="34" t="s">
        <v>34</v>
      </c>
      <c r="B189" s="34" t="s">
        <v>2139</v>
      </c>
      <c r="C189" s="34">
        <v>16150</v>
      </c>
    </row>
    <row r="190" spans="1:3" x14ac:dyDescent="0.3">
      <c r="A190" s="34" t="s">
        <v>34</v>
      </c>
      <c r="B190" s="34" t="s">
        <v>2140</v>
      </c>
      <c r="C190" s="34">
        <v>16160</v>
      </c>
    </row>
    <row r="191" spans="1:3" x14ac:dyDescent="0.3">
      <c r="A191" s="34" t="s">
        <v>34</v>
      </c>
      <c r="B191" s="34" t="s">
        <v>2141</v>
      </c>
      <c r="C191" s="34">
        <v>16190</v>
      </c>
    </row>
    <row r="192" spans="1:3" x14ac:dyDescent="0.3">
      <c r="A192" s="34" t="s">
        <v>34</v>
      </c>
      <c r="B192" s="34" t="s">
        <v>2142</v>
      </c>
      <c r="C192" s="34">
        <v>16020</v>
      </c>
    </row>
    <row r="193" spans="1:3" x14ac:dyDescent="0.3">
      <c r="A193" s="34" t="s">
        <v>34</v>
      </c>
      <c r="B193" s="34" t="s">
        <v>2143</v>
      </c>
      <c r="C193" s="34">
        <v>16040</v>
      </c>
    </row>
    <row r="194" spans="1:3" x14ac:dyDescent="0.3">
      <c r="A194" s="34" t="s">
        <v>34</v>
      </c>
      <c r="B194" s="34" t="s">
        <v>2144</v>
      </c>
      <c r="C194" s="34">
        <v>16140</v>
      </c>
    </row>
    <row r="195" spans="1:3" x14ac:dyDescent="0.3">
      <c r="A195" s="34" t="s">
        <v>34</v>
      </c>
      <c r="B195" s="34" t="s">
        <v>2145</v>
      </c>
      <c r="C195" s="34">
        <v>16190</v>
      </c>
    </row>
    <row r="196" spans="1:3" x14ac:dyDescent="0.3">
      <c r="A196" s="34" t="s">
        <v>34</v>
      </c>
      <c r="B196" s="34" t="s">
        <v>2146</v>
      </c>
      <c r="C196" s="34">
        <v>16030</v>
      </c>
    </row>
    <row r="197" spans="1:3" x14ac:dyDescent="0.3">
      <c r="A197" s="34" t="s">
        <v>34</v>
      </c>
      <c r="B197" s="34" t="s">
        <v>2147</v>
      </c>
      <c r="C197" s="34">
        <v>16040</v>
      </c>
    </row>
    <row r="198" spans="1:3" x14ac:dyDescent="0.3">
      <c r="A198" s="34" t="s">
        <v>34</v>
      </c>
      <c r="B198" s="34" t="s">
        <v>2148</v>
      </c>
      <c r="C198" s="34">
        <v>16190</v>
      </c>
    </row>
    <row r="199" spans="1:3" x14ac:dyDescent="0.3">
      <c r="A199" s="34" t="s">
        <v>34</v>
      </c>
      <c r="B199" s="34" t="s">
        <v>2149</v>
      </c>
      <c r="C199" s="34">
        <v>16090</v>
      </c>
    </row>
    <row r="200" spans="1:3" x14ac:dyDescent="0.3">
      <c r="A200" s="34" t="s">
        <v>34</v>
      </c>
      <c r="B200" s="34" t="s">
        <v>2150</v>
      </c>
      <c r="C200" s="34">
        <v>16050</v>
      </c>
    </row>
    <row r="201" spans="1:3" x14ac:dyDescent="0.3">
      <c r="A201" s="34" t="s">
        <v>34</v>
      </c>
      <c r="B201" s="34" t="s">
        <v>2151</v>
      </c>
      <c r="C201" s="34">
        <v>16175</v>
      </c>
    </row>
    <row r="202" spans="1:3" x14ac:dyDescent="0.3">
      <c r="A202" s="34" t="s">
        <v>34</v>
      </c>
      <c r="B202" s="34" t="s">
        <v>2152</v>
      </c>
      <c r="C202" s="34">
        <v>16150</v>
      </c>
    </row>
    <row r="203" spans="1:3" x14ac:dyDescent="0.3">
      <c r="A203" s="34" t="s">
        <v>34</v>
      </c>
      <c r="B203" s="34" t="s">
        <v>2153</v>
      </c>
      <c r="C203" s="34">
        <v>16160</v>
      </c>
    </row>
    <row r="204" spans="1:3" x14ac:dyDescent="0.3">
      <c r="A204" s="34" t="s">
        <v>34</v>
      </c>
      <c r="B204" s="34" t="s">
        <v>2154</v>
      </c>
      <c r="C204" s="34">
        <v>16175</v>
      </c>
    </row>
    <row r="205" spans="1:3" x14ac:dyDescent="0.3">
      <c r="A205" s="34" t="s">
        <v>34</v>
      </c>
      <c r="B205" s="34" t="s">
        <v>2155</v>
      </c>
      <c r="C205" s="34">
        <v>16090</v>
      </c>
    </row>
    <row r="206" spans="1:3" x14ac:dyDescent="0.3">
      <c r="A206" s="34" t="s">
        <v>34</v>
      </c>
      <c r="B206" s="34" t="s">
        <v>2156</v>
      </c>
      <c r="C206" s="34">
        <v>16190</v>
      </c>
    </row>
    <row r="207" spans="1:3" x14ac:dyDescent="0.3">
      <c r="A207" s="34" t="s">
        <v>34</v>
      </c>
      <c r="B207" s="34" t="s">
        <v>2157</v>
      </c>
      <c r="C207" s="34">
        <v>16165</v>
      </c>
    </row>
    <row r="208" spans="1:3" x14ac:dyDescent="0.3">
      <c r="A208" s="34" t="s">
        <v>34</v>
      </c>
      <c r="B208" s="34" t="s">
        <v>1877</v>
      </c>
      <c r="C208" s="34">
        <v>16080</v>
      </c>
    </row>
    <row r="209" spans="1:3" x14ac:dyDescent="0.3">
      <c r="A209" s="34" t="s">
        <v>306</v>
      </c>
      <c r="B209" s="34" t="s">
        <v>2158</v>
      </c>
      <c r="C209" s="34">
        <v>16320</v>
      </c>
    </row>
    <row r="210" spans="1:3" x14ac:dyDescent="0.3">
      <c r="A210" s="34" t="s">
        <v>306</v>
      </c>
      <c r="B210" s="34" t="s">
        <v>2159</v>
      </c>
      <c r="C210" s="34">
        <v>16300</v>
      </c>
    </row>
    <row r="211" spans="1:3" x14ac:dyDescent="0.3">
      <c r="A211" s="34" t="s">
        <v>306</v>
      </c>
      <c r="B211" s="34" t="s">
        <v>2160</v>
      </c>
      <c r="C211" s="34">
        <v>16340</v>
      </c>
    </row>
    <row r="212" spans="1:3" x14ac:dyDescent="0.3">
      <c r="A212" s="34" t="s">
        <v>306</v>
      </c>
      <c r="B212" s="34" t="s">
        <v>2161</v>
      </c>
      <c r="C212" s="34">
        <v>16370</v>
      </c>
    </row>
    <row r="213" spans="1:3" x14ac:dyDescent="0.3">
      <c r="A213" s="34" t="s">
        <v>306</v>
      </c>
      <c r="B213" s="34" t="s">
        <v>1834</v>
      </c>
      <c r="C213" s="34">
        <v>16330</v>
      </c>
    </row>
    <row r="214" spans="1:3" x14ac:dyDescent="0.3">
      <c r="A214" s="34" t="s">
        <v>306</v>
      </c>
      <c r="B214" s="34" t="s">
        <v>2162</v>
      </c>
      <c r="C214" s="34">
        <v>16300</v>
      </c>
    </row>
    <row r="215" spans="1:3" x14ac:dyDescent="0.3">
      <c r="A215" s="34" t="s">
        <v>306</v>
      </c>
      <c r="B215" s="34" t="s">
        <v>2163</v>
      </c>
      <c r="C215" s="34">
        <v>16310</v>
      </c>
    </row>
    <row r="216" spans="1:3" x14ac:dyDescent="0.3">
      <c r="A216" s="34" t="s">
        <v>306</v>
      </c>
      <c r="B216" s="34" t="s">
        <v>2164</v>
      </c>
      <c r="C216" s="34">
        <v>16320</v>
      </c>
    </row>
    <row r="217" spans="1:3" x14ac:dyDescent="0.3">
      <c r="A217" s="34" t="s">
        <v>306</v>
      </c>
      <c r="B217" s="34" t="s">
        <v>1831</v>
      </c>
      <c r="C217" s="34">
        <v>16320</v>
      </c>
    </row>
    <row r="218" spans="1:3" x14ac:dyDescent="0.3">
      <c r="A218" s="34" t="s">
        <v>306</v>
      </c>
      <c r="B218" s="34" t="s">
        <v>2165</v>
      </c>
      <c r="C218" s="34">
        <v>16330</v>
      </c>
    </row>
    <row r="219" spans="1:3" x14ac:dyDescent="0.3">
      <c r="A219" s="34" t="s">
        <v>306</v>
      </c>
      <c r="B219" s="34" t="s">
        <v>2166</v>
      </c>
      <c r="C219" s="34">
        <v>16330</v>
      </c>
    </row>
    <row r="220" spans="1:3" x14ac:dyDescent="0.3">
      <c r="A220" s="34" t="s">
        <v>306</v>
      </c>
      <c r="B220" s="34" t="s">
        <v>2167</v>
      </c>
      <c r="C220" s="34">
        <v>16300</v>
      </c>
    </row>
    <row r="221" spans="1:3" x14ac:dyDescent="0.3">
      <c r="A221" s="34" t="s">
        <v>306</v>
      </c>
      <c r="B221" s="34" t="s">
        <v>2168</v>
      </c>
      <c r="C221" s="34">
        <v>16350</v>
      </c>
    </row>
    <row r="222" spans="1:3" x14ac:dyDescent="0.3">
      <c r="A222" s="34" t="s">
        <v>306</v>
      </c>
      <c r="B222" s="34" t="s">
        <v>1833</v>
      </c>
      <c r="C222" s="34">
        <v>16340</v>
      </c>
    </row>
    <row r="223" spans="1:3" x14ac:dyDescent="0.3">
      <c r="A223" s="34" t="s">
        <v>306</v>
      </c>
      <c r="B223" s="34" t="s">
        <v>2169</v>
      </c>
      <c r="C223" s="34">
        <v>16320</v>
      </c>
    </row>
    <row r="224" spans="1:3" x14ac:dyDescent="0.3">
      <c r="A224" s="34" t="s">
        <v>306</v>
      </c>
      <c r="B224" s="34" t="s">
        <v>2170</v>
      </c>
      <c r="C224" s="34">
        <v>16300</v>
      </c>
    </row>
    <row r="225" spans="1:3" x14ac:dyDescent="0.3">
      <c r="A225" s="34" t="s">
        <v>306</v>
      </c>
      <c r="B225" s="34" t="s">
        <v>2171</v>
      </c>
      <c r="C225" s="34">
        <v>16330</v>
      </c>
    </row>
    <row r="226" spans="1:3" x14ac:dyDescent="0.3">
      <c r="A226" s="34" t="s">
        <v>306</v>
      </c>
      <c r="B226" s="34" t="s">
        <v>2172</v>
      </c>
      <c r="C226" s="34">
        <v>16370</v>
      </c>
    </row>
    <row r="227" spans="1:3" x14ac:dyDescent="0.3">
      <c r="A227" s="34" t="s">
        <v>306</v>
      </c>
      <c r="B227" s="34" t="s">
        <v>2173</v>
      </c>
      <c r="C227" s="34">
        <v>16320</v>
      </c>
    </row>
    <row r="228" spans="1:3" x14ac:dyDescent="0.3">
      <c r="A228" s="34" t="s">
        <v>306</v>
      </c>
      <c r="B228" s="34" t="s">
        <v>2174</v>
      </c>
      <c r="C228" s="34">
        <v>16360</v>
      </c>
    </row>
    <row r="229" spans="1:3" x14ac:dyDescent="0.3">
      <c r="A229" s="34" t="s">
        <v>306</v>
      </c>
      <c r="B229" s="34" t="s">
        <v>2175</v>
      </c>
      <c r="C229" s="34">
        <v>16300</v>
      </c>
    </row>
    <row r="230" spans="1:3" x14ac:dyDescent="0.3">
      <c r="A230" s="34" t="s">
        <v>306</v>
      </c>
      <c r="B230" s="34" t="s">
        <v>2176</v>
      </c>
      <c r="C230" s="34">
        <v>16310</v>
      </c>
    </row>
    <row r="231" spans="1:3" x14ac:dyDescent="0.3">
      <c r="A231" s="34" t="s">
        <v>306</v>
      </c>
      <c r="B231" s="34" t="s">
        <v>1832</v>
      </c>
      <c r="C231" s="34">
        <v>16300</v>
      </c>
    </row>
    <row r="232" spans="1:3" x14ac:dyDescent="0.3">
      <c r="A232" s="34" t="s">
        <v>306</v>
      </c>
      <c r="B232" s="34" t="s">
        <v>2177</v>
      </c>
      <c r="C232" s="34">
        <v>16300</v>
      </c>
    </row>
    <row r="233" spans="1:3" x14ac:dyDescent="0.3">
      <c r="A233" s="34" t="s">
        <v>306</v>
      </c>
      <c r="B233" s="34" t="s">
        <v>2178</v>
      </c>
      <c r="C233" s="34">
        <v>16310</v>
      </c>
    </row>
    <row r="234" spans="1:3" x14ac:dyDescent="0.3">
      <c r="A234" s="34" t="s">
        <v>306</v>
      </c>
      <c r="B234" s="34" t="s">
        <v>2179</v>
      </c>
      <c r="C234" s="34">
        <v>16350</v>
      </c>
    </row>
    <row r="235" spans="1:3" x14ac:dyDescent="0.3">
      <c r="A235" s="34" t="s">
        <v>306</v>
      </c>
      <c r="B235" s="34" t="s">
        <v>2180</v>
      </c>
      <c r="C235" s="34">
        <v>16330</v>
      </c>
    </row>
    <row r="236" spans="1:3" x14ac:dyDescent="0.3">
      <c r="A236" s="34" t="s">
        <v>306</v>
      </c>
      <c r="B236" s="34" t="s">
        <v>2181</v>
      </c>
      <c r="C236" s="34">
        <v>16300</v>
      </c>
    </row>
    <row r="237" spans="1:3" x14ac:dyDescent="0.3">
      <c r="A237" s="34" t="s">
        <v>306</v>
      </c>
      <c r="B237" s="34" t="s">
        <v>2182</v>
      </c>
      <c r="C237" s="34">
        <v>16360</v>
      </c>
    </row>
    <row r="238" spans="1:3" x14ac:dyDescent="0.3">
      <c r="A238" s="34" t="s">
        <v>306</v>
      </c>
      <c r="B238" s="34" t="s">
        <v>2183</v>
      </c>
      <c r="C238" s="34">
        <v>16330</v>
      </c>
    </row>
    <row r="239" spans="1:3" x14ac:dyDescent="0.3">
      <c r="A239" s="34" t="s">
        <v>306</v>
      </c>
      <c r="B239" s="34" t="s">
        <v>2184</v>
      </c>
      <c r="C239" s="34">
        <v>16310</v>
      </c>
    </row>
    <row r="240" spans="1:3" x14ac:dyDescent="0.3">
      <c r="A240" s="34" t="s">
        <v>306</v>
      </c>
      <c r="B240" s="34" t="s">
        <v>2185</v>
      </c>
      <c r="C240" s="34">
        <v>16360</v>
      </c>
    </row>
    <row r="241" spans="1:3" x14ac:dyDescent="0.3">
      <c r="A241" s="34" t="s">
        <v>306</v>
      </c>
      <c r="B241" s="34" t="s">
        <v>2186</v>
      </c>
      <c r="C241" s="34">
        <v>16360</v>
      </c>
    </row>
    <row r="242" spans="1:3" x14ac:dyDescent="0.3">
      <c r="A242" s="34" t="s">
        <v>306</v>
      </c>
      <c r="B242" s="34" t="s">
        <v>2187</v>
      </c>
      <c r="C242" s="34">
        <v>16300</v>
      </c>
    </row>
    <row r="243" spans="1:3" x14ac:dyDescent="0.3">
      <c r="A243" s="34" t="s">
        <v>306</v>
      </c>
      <c r="B243" s="34" t="s">
        <v>2188</v>
      </c>
      <c r="C243" s="34">
        <v>16370</v>
      </c>
    </row>
    <row r="244" spans="1:3" x14ac:dyDescent="0.3">
      <c r="A244" s="34" t="s">
        <v>306</v>
      </c>
      <c r="B244" s="34" t="s">
        <v>2189</v>
      </c>
      <c r="C244" s="34">
        <v>16360</v>
      </c>
    </row>
    <row r="245" spans="1:3" x14ac:dyDescent="0.3">
      <c r="A245" s="34" t="s">
        <v>306</v>
      </c>
      <c r="B245" s="34" t="s">
        <v>2190</v>
      </c>
      <c r="C245" s="34">
        <v>16340</v>
      </c>
    </row>
    <row r="246" spans="1:3" x14ac:dyDescent="0.3">
      <c r="A246" s="34" t="s">
        <v>306</v>
      </c>
      <c r="B246" s="34" t="s">
        <v>2191</v>
      </c>
      <c r="C246" s="34">
        <v>16320</v>
      </c>
    </row>
    <row r="247" spans="1:3" x14ac:dyDescent="0.3">
      <c r="A247" s="34" t="s">
        <v>306</v>
      </c>
      <c r="B247" s="34" t="s">
        <v>2192</v>
      </c>
      <c r="C247" s="34">
        <v>16330</v>
      </c>
    </row>
    <row r="248" spans="1:3" x14ac:dyDescent="0.3">
      <c r="A248" s="34" t="s">
        <v>306</v>
      </c>
      <c r="B248" s="34" t="s">
        <v>2193</v>
      </c>
      <c r="C248" s="34">
        <v>16360</v>
      </c>
    </row>
    <row r="249" spans="1:3" x14ac:dyDescent="0.3">
      <c r="A249" s="34" t="s">
        <v>306</v>
      </c>
      <c r="B249" s="34" t="s">
        <v>2194</v>
      </c>
      <c r="C249" s="34">
        <v>16370</v>
      </c>
    </row>
    <row r="250" spans="1:3" x14ac:dyDescent="0.3">
      <c r="A250" s="34" t="s">
        <v>306</v>
      </c>
      <c r="B250" s="34" t="s">
        <v>2195</v>
      </c>
      <c r="C250" s="34">
        <v>16310</v>
      </c>
    </row>
    <row r="251" spans="1:3" x14ac:dyDescent="0.3">
      <c r="A251" s="34" t="s">
        <v>306</v>
      </c>
      <c r="B251" s="34" t="s">
        <v>2196</v>
      </c>
      <c r="C251" s="34">
        <v>16360</v>
      </c>
    </row>
    <row r="252" spans="1:3" x14ac:dyDescent="0.3">
      <c r="A252" s="34" t="s">
        <v>306</v>
      </c>
      <c r="B252" s="34" t="s">
        <v>2197</v>
      </c>
      <c r="C252" s="34">
        <v>16340</v>
      </c>
    </row>
    <row r="253" spans="1:3" x14ac:dyDescent="0.3">
      <c r="A253" s="34" t="s">
        <v>306</v>
      </c>
      <c r="B253" s="34" t="s">
        <v>2198</v>
      </c>
      <c r="C253" s="34">
        <v>16360</v>
      </c>
    </row>
    <row r="254" spans="1:3" x14ac:dyDescent="0.3">
      <c r="A254" s="34" t="s">
        <v>306</v>
      </c>
      <c r="B254" s="34" t="s">
        <v>1835</v>
      </c>
      <c r="C254" s="34">
        <v>16310</v>
      </c>
    </row>
    <row r="255" spans="1:3" x14ac:dyDescent="0.3">
      <c r="A255" s="34" t="s">
        <v>306</v>
      </c>
      <c r="B255" s="34" t="s">
        <v>2199</v>
      </c>
      <c r="C255" s="34">
        <v>16340</v>
      </c>
    </row>
    <row r="256" spans="1:3" x14ac:dyDescent="0.3">
      <c r="A256" s="34" t="s">
        <v>306</v>
      </c>
      <c r="B256" s="34" t="s">
        <v>2129</v>
      </c>
      <c r="C256" s="34">
        <v>16370</v>
      </c>
    </row>
    <row r="257" spans="1:3" x14ac:dyDescent="0.3">
      <c r="A257" s="34" t="s">
        <v>306</v>
      </c>
      <c r="B257" s="34" t="s">
        <v>2200</v>
      </c>
      <c r="C257" s="34">
        <v>16370</v>
      </c>
    </row>
    <row r="258" spans="1:3" x14ac:dyDescent="0.3">
      <c r="A258" s="34" t="s">
        <v>306</v>
      </c>
      <c r="B258" s="34" t="s">
        <v>2201</v>
      </c>
      <c r="C258" s="34">
        <v>16310</v>
      </c>
    </row>
    <row r="259" spans="1:3" x14ac:dyDescent="0.3">
      <c r="A259" s="34" t="s">
        <v>306</v>
      </c>
      <c r="B259" s="34" t="s">
        <v>2202</v>
      </c>
      <c r="C259" s="34">
        <v>16350</v>
      </c>
    </row>
    <row r="260" spans="1:3" x14ac:dyDescent="0.3">
      <c r="A260" s="34" t="s">
        <v>306</v>
      </c>
      <c r="B260" s="34" t="s">
        <v>2203</v>
      </c>
      <c r="C260" s="34">
        <v>16350</v>
      </c>
    </row>
    <row r="261" spans="1:3" x14ac:dyDescent="0.3">
      <c r="A261" s="34" t="s">
        <v>306</v>
      </c>
      <c r="B261" s="34" t="s">
        <v>2204</v>
      </c>
      <c r="C261" s="34">
        <v>16340</v>
      </c>
    </row>
    <row r="262" spans="1:3" x14ac:dyDescent="0.3">
      <c r="A262" s="34" t="s">
        <v>306</v>
      </c>
      <c r="B262" s="34" t="s">
        <v>2205</v>
      </c>
      <c r="C262" s="34">
        <v>16330</v>
      </c>
    </row>
    <row r="263" spans="1:3" x14ac:dyDescent="0.3">
      <c r="A263" s="34" t="s">
        <v>306</v>
      </c>
      <c r="B263" s="34" t="s">
        <v>2206</v>
      </c>
      <c r="C263" s="34">
        <v>16310</v>
      </c>
    </row>
    <row r="264" spans="1:3" x14ac:dyDescent="0.3">
      <c r="A264" s="34" t="s">
        <v>306</v>
      </c>
      <c r="B264" s="34" t="s">
        <v>2207</v>
      </c>
      <c r="C264" s="34">
        <v>16320</v>
      </c>
    </row>
    <row r="265" spans="1:3" x14ac:dyDescent="0.3">
      <c r="A265" s="34" t="s">
        <v>306</v>
      </c>
      <c r="B265" s="34" t="s">
        <v>2208</v>
      </c>
      <c r="C265" s="34">
        <v>16360</v>
      </c>
    </row>
    <row r="266" spans="1:3" x14ac:dyDescent="0.3">
      <c r="A266" s="34" t="s">
        <v>306</v>
      </c>
      <c r="B266" s="34" t="s">
        <v>2209</v>
      </c>
      <c r="C266" s="34">
        <v>16330</v>
      </c>
    </row>
    <row r="267" spans="1:3" x14ac:dyDescent="0.3">
      <c r="A267" s="34" t="s">
        <v>306</v>
      </c>
      <c r="B267" s="34" t="s">
        <v>1911</v>
      </c>
      <c r="C267" s="34">
        <v>16360</v>
      </c>
    </row>
    <row r="268" spans="1:3" x14ac:dyDescent="0.3">
      <c r="A268" s="34" t="s">
        <v>306</v>
      </c>
      <c r="B268" s="34" t="s">
        <v>2210</v>
      </c>
      <c r="C268" s="34">
        <v>16330</v>
      </c>
    </row>
    <row r="269" spans="1:3" x14ac:dyDescent="0.3">
      <c r="A269" s="34" t="s">
        <v>306</v>
      </c>
      <c r="B269" s="34" t="s">
        <v>2211</v>
      </c>
      <c r="C269" s="34">
        <v>16370</v>
      </c>
    </row>
    <row r="270" spans="1:3" x14ac:dyDescent="0.3">
      <c r="A270" s="34" t="s">
        <v>306</v>
      </c>
      <c r="B270" s="34" t="s">
        <v>2212</v>
      </c>
      <c r="C270" s="34">
        <v>16330</v>
      </c>
    </row>
    <row r="271" spans="1:3" x14ac:dyDescent="0.3">
      <c r="A271" s="34" t="s">
        <v>306</v>
      </c>
      <c r="B271" s="34" t="s">
        <v>2213</v>
      </c>
      <c r="C271" s="34">
        <v>16340</v>
      </c>
    </row>
    <row r="272" spans="1:3" x14ac:dyDescent="0.3">
      <c r="A272" s="34" t="s">
        <v>306</v>
      </c>
      <c r="B272" s="34" t="s">
        <v>2214</v>
      </c>
      <c r="C272" s="34">
        <v>16360</v>
      </c>
    </row>
    <row r="273" spans="1:3" x14ac:dyDescent="0.3">
      <c r="A273" s="34" t="s">
        <v>306</v>
      </c>
      <c r="B273" s="34" t="s">
        <v>2215</v>
      </c>
      <c r="C273" s="34">
        <v>16360</v>
      </c>
    </row>
    <row r="274" spans="1:3" x14ac:dyDescent="0.3">
      <c r="A274" s="34" t="s">
        <v>306</v>
      </c>
      <c r="B274" s="34" t="s">
        <v>2216</v>
      </c>
      <c r="C274" s="34">
        <v>16320</v>
      </c>
    </row>
    <row r="275" spans="1:3" x14ac:dyDescent="0.3">
      <c r="A275" s="34" t="s">
        <v>306</v>
      </c>
      <c r="B275" s="34" t="s">
        <v>2217</v>
      </c>
      <c r="C275" s="34">
        <v>16300</v>
      </c>
    </row>
    <row r="276" spans="1:3" x14ac:dyDescent="0.3">
      <c r="A276" s="34" t="s">
        <v>306</v>
      </c>
      <c r="B276" s="34" t="s">
        <v>306</v>
      </c>
      <c r="C276" s="34">
        <v>16350</v>
      </c>
    </row>
    <row r="277" spans="1:3" x14ac:dyDescent="0.3">
      <c r="A277" s="34" t="s">
        <v>306</v>
      </c>
      <c r="B277" s="34" t="s">
        <v>1860</v>
      </c>
      <c r="C277" s="34">
        <v>16370</v>
      </c>
    </row>
    <row r="278" spans="1:3" x14ac:dyDescent="0.3">
      <c r="A278" s="34" t="s">
        <v>306</v>
      </c>
      <c r="B278" s="34" t="s">
        <v>2218</v>
      </c>
      <c r="C278" s="34">
        <v>16310</v>
      </c>
    </row>
    <row r="279" spans="1:3" x14ac:dyDescent="0.3">
      <c r="A279" s="34" t="s">
        <v>306</v>
      </c>
      <c r="B279" s="34" t="s">
        <v>2219</v>
      </c>
      <c r="C279" s="34">
        <v>16340</v>
      </c>
    </row>
    <row r="280" spans="1:3" x14ac:dyDescent="0.3">
      <c r="A280" s="34" t="s">
        <v>318</v>
      </c>
      <c r="B280" s="34" t="s">
        <v>2220</v>
      </c>
      <c r="C280" s="34" t="s">
        <v>1836</v>
      </c>
    </row>
    <row r="281" spans="1:3" x14ac:dyDescent="0.3">
      <c r="A281" s="34" t="s">
        <v>318</v>
      </c>
      <c r="B281" s="34" t="s">
        <v>2221</v>
      </c>
      <c r="C281" s="34" t="s">
        <v>1836</v>
      </c>
    </row>
    <row r="282" spans="1:3" x14ac:dyDescent="0.3">
      <c r="A282" s="34" t="s">
        <v>318</v>
      </c>
      <c r="B282" s="34" t="s">
        <v>2222</v>
      </c>
      <c r="C282" s="34" t="s">
        <v>1836</v>
      </c>
    </row>
    <row r="283" spans="1:3" x14ac:dyDescent="0.3">
      <c r="A283" s="34" t="s">
        <v>318</v>
      </c>
      <c r="B283" s="34" t="s">
        <v>2223</v>
      </c>
      <c r="C283" s="34" t="s">
        <v>1836</v>
      </c>
    </row>
    <row r="284" spans="1:3" x14ac:dyDescent="0.3">
      <c r="A284" s="34" t="s">
        <v>318</v>
      </c>
      <c r="B284" s="34" t="s">
        <v>1913</v>
      </c>
      <c r="C284" s="34" t="s">
        <v>1836</v>
      </c>
    </row>
    <row r="285" spans="1:3" x14ac:dyDescent="0.3">
      <c r="A285" s="34" t="s">
        <v>318</v>
      </c>
      <c r="B285" s="34" t="s">
        <v>2224</v>
      </c>
      <c r="C285" s="34" t="s">
        <v>1836</v>
      </c>
    </row>
    <row r="286" spans="1:3" x14ac:dyDescent="0.3">
      <c r="A286" s="34" t="s">
        <v>318</v>
      </c>
      <c r="B286" s="34" t="s">
        <v>2225</v>
      </c>
      <c r="C286" s="34" t="s">
        <v>1836</v>
      </c>
    </row>
    <row r="287" spans="1:3" x14ac:dyDescent="0.3">
      <c r="A287" s="34" t="s">
        <v>318</v>
      </c>
      <c r="B287" s="34" t="s">
        <v>1973</v>
      </c>
      <c r="C287" s="34" t="s">
        <v>1836</v>
      </c>
    </row>
    <row r="288" spans="1:3" x14ac:dyDescent="0.3">
      <c r="A288" s="34" t="s">
        <v>318</v>
      </c>
      <c r="B288" s="34" t="s">
        <v>2226</v>
      </c>
      <c r="C288" s="34" t="s">
        <v>1836</v>
      </c>
    </row>
    <row r="289" spans="1:3" x14ac:dyDescent="0.3">
      <c r="A289" s="34" t="s">
        <v>318</v>
      </c>
      <c r="B289" s="34" t="s">
        <v>2227</v>
      </c>
      <c r="C289" s="34" t="s">
        <v>1836</v>
      </c>
    </row>
    <row r="290" spans="1:3" x14ac:dyDescent="0.3">
      <c r="A290" s="34" t="s">
        <v>318</v>
      </c>
      <c r="B290" s="34" t="s">
        <v>2228</v>
      </c>
      <c r="C290" s="34" t="s">
        <v>1836</v>
      </c>
    </row>
    <row r="291" spans="1:3" x14ac:dyDescent="0.3">
      <c r="A291" s="34" t="s">
        <v>318</v>
      </c>
      <c r="B291" s="34" t="s">
        <v>2229</v>
      </c>
      <c r="C291" s="34" t="s">
        <v>1836</v>
      </c>
    </row>
    <row r="292" spans="1:3" x14ac:dyDescent="0.3">
      <c r="A292" s="34" t="s">
        <v>318</v>
      </c>
      <c r="B292" s="34" t="s">
        <v>2230</v>
      </c>
      <c r="C292" s="34" t="s">
        <v>1836</v>
      </c>
    </row>
    <row r="293" spans="1:3" x14ac:dyDescent="0.3">
      <c r="A293" s="34" t="s">
        <v>318</v>
      </c>
      <c r="B293" s="34" t="s">
        <v>2231</v>
      </c>
      <c r="C293" s="34" t="s">
        <v>1836</v>
      </c>
    </row>
    <row r="294" spans="1:3" x14ac:dyDescent="0.3">
      <c r="A294" s="34" t="s">
        <v>318</v>
      </c>
      <c r="B294" s="34" t="s">
        <v>2232</v>
      </c>
      <c r="C294" s="34" t="s">
        <v>1836</v>
      </c>
    </row>
    <row r="295" spans="1:3" x14ac:dyDescent="0.3">
      <c r="A295" s="34" t="s">
        <v>318</v>
      </c>
      <c r="B295" s="34" t="s">
        <v>2233</v>
      </c>
      <c r="C295" s="34" t="s">
        <v>1836</v>
      </c>
    </row>
    <row r="296" spans="1:3" x14ac:dyDescent="0.3">
      <c r="A296" s="34" t="s">
        <v>318</v>
      </c>
      <c r="B296" s="34" t="s">
        <v>2234</v>
      </c>
      <c r="C296" s="34" t="s">
        <v>1836</v>
      </c>
    </row>
    <row r="297" spans="1:3" x14ac:dyDescent="0.3">
      <c r="A297" s="34" t="s">
        <v>318</v>
      </c>
      <c r="B297" s="34" t="s">
        <v>2235</v>
      </c>
      <c r="C297" s="34" t="s">
        <v>1836</v>
      </c>
    </row>
    <row r="298" spans="1:3" x14ac:dyDescent="0.3">
      <c r="A298" s="34" t="s">
        <v>318</v>
      </c>
      <c r="B298" s="34" t="s">
        <v>2236</v>
      </c>
      <c r="C298" s="34" t="s">
        <v>1836</v>
      </c>
    </row>
    <row r="299" spans="1:3" x14ac:dyDescent="0.3">
      <c r="A299" s="34" t="s">
        <v>318</v>
      </c>
      <c r="B299" s="34" t="s">
        <v>2237</v>
      </c>
      <c r="C299" s="34" t="s">
        <v>1836</v>
      </c>
    </row>
    <row r="300" spans="1:3" x14ac:dyDescent="0.3">
      <c r="A300" s="34" t="s">
        <v>318</v>
      </c>
      <c r="B300" s="34" t="s">
        <v>2238</v>
      </c>
      <c r="C300" s="34" t="s">
        <v>1836</v>
      </c>
    </row>
    <row r="301" spans="1:3" x14ac:dyDescent="0.3">
      <c r="A301" s="34" t="s">
        <v>318</v>
      </c>
      <c r="B301" s="34" t="s">
        <v>1985</v>
      </c>
      <c r="C301" s="34" t="s">
        <v>1836</v>
      </c>
    </row>
    <row r="302" spans="1:3" x14ac:dyDescent="0.3">
      <c r="A302" s="34" t="s">
        <v>318</v>
      </c>
      <c r="B302" s="34" t="s">
        <v>2239</v>
      </c>
      <c r="C302" s="34" t="s">
        <v>1836</v>
      </c>
    </row>
    <row r="303" spans="1:3" x14ac:dyDescent="0.3">
      <c r="A303" s="34" t="s">
        <v>318</v>
      </c>
      <c r="B303" s="34" t="s">
        <v>2240</v>
      </c>
      <c r="C303" s="34" t="s">
        <v>1836</v>
      </c>
    </row>
    <row r="304" spans="1:3" x14ac:dyDescent="0.3">
      <c r="A304" s="34" t="s">
        <v>318</v>
      </c>
      <c r="B304" s="34" t="s">
        <v>2241</v>
      </c>
      <c r="C304" s="34" t="s">
        <v>1836</v>
      </c>
    </row>
    <row r="305" spans="1:3" x14ac:dyDescent="0.3">
      <c r="A305" s="34" t="s">
        <v>318</v>
      </c>
      <c r="B305" s="34" t="s">
        <v>2242</v>
      </c>
      <c r="C305" s="34" t="s">
        <v>1836</v>
      </c>
    </row>
    <row r="306" spans="1:3" x14ac:dyDescent="0.3">
      <c r="A306" s="34" t="s">
        <v>318</v>
      </c>
      <c r="B306" s="34" t="s">
        <v>2243</v>
      </c>
      <c r="C306" s="34" t="s">
        <v>1836</v>
      </c>
    </row>
    <row r="307" spans="1:3" x14ac:dyDescent="0.3">
      <c r="A307" s="34" t="s">
        <v>318</v>
      </c>
      <c r="B307" s="34" t="s">
        <v>2244</v>
      </c>
      <c r="C307" s="34" t="s">
        <v>1836</v>
      </c>
    </row>
    <row r="308" spans="1:3" x14ac:dyDescent="0.3">
      <c r="A308" s="34" t="s">
        <v>318</v>
      </c>
      <c r="B308" s="34" t="s">
        <v>2245</v>
      </c>
      <c r="C308" s="34" t="s">
        <v>1836</v>
      </c>
    </row>
    <row r="309" spans="1:3" x14ac:dyDescent="0.3">
      <c r="A309" s="34" t="s">
        <v>318</v>
      </c>
      <c r="B309" s="34" t="s">
        <v>2246</v>
      </c>
      <c r="C309" s="34" t="s">
        <v>1836</v>
      </c>
    </row>
    <row r="310" spans="1:3" x14ac:dyDescent="0.3">
      <c r="A310" s="34" t="s">
        <v>318</v>
      </c>
      <c r="B310" s="34" t="s">
        <v>2247</v>
      </c>
      <c r="C310" s="34" t="s">
        <v>1836</v>
      </c>
    </row>
    <row r="311" spans="1:3" x14ac:dyDescent="0.3">
      <c r="A311" s="34" t="s">
        <v>318</v>
      </c>
      <c r="B311" s="34" t="s">
        <v>2248</v>
      </c>
      <c r="C311" s="34" t="s">
        <v>1836</v>
      </c>
    </row>
    <row r="312" spans="1:3" x14ac:dyDescent="0.3">
      <c r="A312" s="34" t="s">
        <v>318</v>
      </c>
      <c r="B312" s="34" t="s">
        <v>2249</v>
      </c>
      <c r="C312" s="34" t="s">
        <v>1836</v>
      </c>
    </row>
    <row r="313" spans="1:3" x14ac:dyDescent="0.3">
      <c r="A313" s="34" t="s">
        <v>318</v>
      </c>
      <c r="B313" s="34" t="s">
        <v>2250</v>
      </c>
      <c r="C313" s="34" t="s">
        <v>1836</v>
      </c>
    </row>
    <row r="314" spans="1:3" x14ac:dyDescent="0.3">
      <c r="A314" s="34" t="s">
        <v>318</v>
      </c>
      <c r="B314" s="34" t="s">
        <v>2251</v>
      </c>
      <c r="C314" s="34" t="s">
        <v>1836</v>
      </c>
    </row>
    <row r="315" spans="1:3" x14ac:dyDescent="0.3">
      <c r="A315" s="34" t="s">
        <v>318</v>
      </c>
      <c r="B315" s="34" t="s">
        <v>2252</v>
      </c>
      <c r="C315" s="34" t="s">
        <v>1836</v>
      </c>
    </row>
    <row r="316" spans="1:3" x14ac:dyDescent="0.3">
      <c r="A316" s="34" t="s">
        <v>318</v>
      </c>
      <c r="B316" s="34" t="s">
        <v>2253</v>
      </c>
      <c r="C316" s="34" t="s">
        <v>1836</v>
      </c>
    </row>
    <row r="317" spans="1:3" x14ac:dyDescent="0.3">
      <c r="A317" s="34" t="s">
        <v>318</v>
      </c>
      <c r="B317" s="34" t="s">
        <v>2254</v>
      </c>
      <c r="C317" s="34" t="s">
        <v>1836</v>
      </c>
    </row>
    <row r="318" spans="1:3" x14ac:dyDescent="0.3">
      <c r="A318" s="34" t="s">
        <v>318</v>
      </c>
      <c r="B318" s="34" t="s">
        <v>2255</v>
      </c>
      <c r="C318" s="34" t="s">
        <v>1836</v>
      </c>
    </row>
    <row r="319" spans="1:3" x14ac:dyDescent="0.3">
      <c r="A319" s="34" t="s">
        <v>318</v>
      </c>
      <c r="B319" s="34" t="s">
        <v>2256</v>
      </c>
      <c r="C319" s="34" t="s">
        <v>1836</v>
      </c>
    </row>
    <row r="320" spans="1:3" x14ac:dyDescent="0.3">
      <c r="A320" s="34" t="s">
        <v>318</v>
      </c>
      <c r="B320" s="34" t="s">
        <v>2257</v>
      </c>
      <c r="C320" s="34" t="s">
        <v>1836</v>
      </c>
    </row>
    <row r="321" spans="1:3" x14ac:dyDescent="0.3">
      <c r="A321" s="34" t="s">
        <v>318</v>
      </c>
      <c r="B321" s="34" t="s">
        <v>2258</v>
      </c>
      <c r="C321" s="34" t="s">
        <v>1836</v>
      </c>
    </row>
    <row r="322" spans="1:3" x14ac:dyDescent="0.3">
      <c r="A322" s="34" t="s">
        <v>318</v>
      </c>
      <c r="B322" s="34" t="s">
        <v>2259</v>
      </c>
      <c r="C322" s="34" t="s">
        <v>1836</v>
      </c>
    </row>
    <row r="323" spans="1:3" x14ac:dyDescent="0.3">
      <c r="A323" s="34" t="s">
        <v>318</v>
      </c>
      <c r="B323" s="34" t="s">
        <v>2260</v>
      </c>
      <c r="C323" s="34" t="s">
        <v>1836</v>
      </c>
    </row>
    <row r="324" spans="1:3" x14ac:dyDescent="0.3">
      <c r="A324" s="34" t="s">
        <v>318</v>
      </c>
      <c r="B324" s="34" t="s">
        <v>2261</v>
      </c>
      <c r="C324" s="34" t="s">
        <v>1836</v>
      </c>
    </row>
    <row r="325" spans="1:3" x14ac:dyDescent="0.3">
      <c r="A325" s="34" t="s">
        <v>318</v>
      </c>
      <c r="B325" s="34" t="s">
        <v>2262</v>
      </c>
      <c r="C325" s="34" t="s">
        <v>1836</v>
      </c>
    </row>
    <row r="326" spans="1:3" x14ac:dyDescent="0.3">
      <c r="A326" s="34" t="s">
        <v>318</v>
      </c>
      <c r="B326" s="34" t="s">
        <v>2263</v>
      </c>
      <c r="C326" s="34" t="s">
        <v>1836</v>
      </c>
    </row>
    <row r="327" spans="1:3" x14ac:dyDescent="0.3">
      <c r="A327" s="34" t="s">
        <v>318</v>
      </c>
      <c r="B327" s="34" t="s">
        <v>2264</v>
      </c>
      <c r="C327" s="34" t="s">
        <v>1836</v>
      </c>
    </row>
    <row r="328" spans="1:3" x14ac:dyDescent="0.3">
      <c r="A328" s="34" t="s">
        <v>318</v>
      </c>
      <c r="B328" s="34" t="s">
        <v>2265</v>
      </c>
      <c r="C328" s="34" t="s">
        <v>1836</v>
      </c>
    </row>
    <row r="329" spans="1:3" x14ac:dyDescent="0.3">
      <c r="A329" s="34" t="s">
        <v>318</v>
      </c>
      <c r="B329" s="34" t="s">
        <v>2266</v>
      </c>
      <c r="C329" s="34" t="s">
        <v>1836</v>
      </c>
    </row>
    <row r="330" spans="1:3" x14ac:dyDescent="0.3">
      <c r="A330" s="34" t="s">
        <v>318</v>
      </c>
      <c r="B330" s="34" t="s">
        <v>2267</v>
      </c>
      <c r="C330" s="34" t="s">
        <v>1836</v>
      </c>
    </row>
    <row r="331" spans="1:3" x14ac:dyDescent="0.3">
      <c r="A331" s="34" t="s">
        <v>318</v>
      </c>
      <c r="B331" s="34" t="s">
        <v>2268</v>
      </c>
      <c r="C331" s="34" t="s">
        <v>1836</v>
      </c>
    </row>
    <row r="332" spans="1:3" x14ac:dyDescent="0.3">
      <c r="A332" s="34" t="s">
        <v>318</v>
      </c>
      <c r="B332" s="34" t="s">
        <v>2269</v>
      </c>
      <c r="C332" s="34" t="s">
        <v>1836</v>
      </c>
    </row>
    <row r="333" spans="1:3" x14ac:dyDescent="0.3">
      <c r="A333" s="34" t="s">
        <v>318</v>
      </c>
      <c r="B333" s="34" t="s">
        <v>1910</v>
      </c>
      <c r="C333" s="34" t="s">
        <v>1836</v>
      </c>
    </row>
    <row r="334" spans="1:3" x14ac:dyDescent="0.3">
      <c r="A334" s="34" t="s">
        <v>318</v>
      </c>
      <c r="B334" s="34" t="s">
        <v>2270</v>
      </c>
      <c r="C334" s="34" t="s">
        <v>1836</v>
      </c>
    </row>
    <row r="335" spans="1:3" x14ac:dyDescent="0.3">
      <c r="A335" s="34" t="s">
        <v>318</v>
      </c>
      <c r="B335" s="34" t="s">
        <v>2271</v>
      </c>
      <c r="C335" s="34" t="s">
        <v>1836</v>
      </c>
    </row>
    <row r="336" spans="1:3" x14ac:dyDescent="0.3">
      <c r="A336" s="34" t="s">
        <v>318</v>
      </c>
      <c r="B336" s="34" t="s">
        <v>2272</v>
      </c>
      <c r="C336" s="34" t="s">
        <v>1836</v>
      </c>
    </row>
    <row r="337" spans="1:3" x14ac:dyDescent="0.3">
      <c r="A337" s="34" t="s">
        <v>318</v>
      </c>
      <c r="B337" s="34" t="s">
        <v>2273</v>
      </c>
      <c r="C337" s="34" t="s">
        <v>1836</v>
      </c>
    </row>
    <row r="338" spans="1:3" x14ac:dyDescent="0.3">
      <c r="A338" s="34" t="s">
        <v>318</v>
      </c>
      <c r="B338" s="34" t="s">
        <v>2274</v>
      </c>
      <c r="C338" s="34" t="s">
        <v>1836</v>
      </c>
    </row>
    <row r="339" spans="1:3" x14ac:dyDescent="0.3">
      <c r="A339" s="34" t="s">
        <v>318</v>
      </c>
      <c r="B339" s="34" t="s">
        <v>2275</v>
      </c>
      <c r="C339" s="34" t="s">
        <v>1836</v>
      </c>
    </row>
    <row r="340" spans="1:3" x14ac:dyDescent="0.3">
      <c r="A340" s="34" t="s">
        <v>318</v>
      </c>
      <c r="B340" s="34" t="s">
        <v>2276</v>
      </c>
      <c r="C340" s="34" t="s">
        <v>1836</v>
      </c>
    </row>
    <row r="341" spans="1:3" x14ac:dyDescent="0.3">
      <c r="A341" s="34" t="s">
        <v>319</v>
      </c>
      <c r="B341" s="34" t="s">
        <v>2277</v>
      </c>
      <c r="C341" s="34" t="s">
        <v>1837</v>
      </c>
    </row>
    <row r="342" spans="1:3" x14ac:dyDescent="0.3">
      <c r="A342" s="34" t="s">
        <v>319</v>
      </c>
      <c r="B342" s="34" t="s">
        <v>2278</v>
      </c>
      <c r="C342" s="34" t="s">
        <v>1837</v>
      </c>
    </row>
    <row r="343" spans="1:3" x14ac:dyDescent="0.3">
      <c r="A343" s="34" t="s">
        <v>319</v>
      </c>
      <c r="B343" s="34" t="s">
        <v>2279</v>
      </c>
      <c r="C343" s="34" t="s">
        <v>1837</v>
      </c>
    </row>
    <row r="344" spans="1:3" x14ac:dyDescent="0.3">
      <c r="A344" s="34" t="s">
        <v>319</v>
      </c>
      <c r="B344" s="34" t="s">
        <v>2280</v>
      </c>
      <c r="C344" s="34" t="s">
        <v>1837</v>
      </c>
    </row>
    <row r="345" spans="1:3" x14ac:dyDescent="0.3">
      <c r="A345" s="34" t="s">
        <v>319</v>
      </c>
      <c r="B345" s="34" t="s">
        <v>2281</v>
      </c>
      <c r="C345" s="34" t="s">
        <v>1837</v>
      </c>
    </row>
    <row r="346" spans="1:3" x14ac:dyDescent="0.3">
      <c r="A346" s="34" t="s">
        <v>319</v>
      </c>
      <c r="B346" s="34" t="s">
        <v>2282</v>
      </c>
      <c r="C346" s="34" t="s">
        <v>1837</v>
      </c>
    </row>
    <row r="347" spans="1:3" x14ac:dyDescent="0.3">
      <c r="A347" s="34" t="s">
        <v>319</v>
      </c>
      <c r="B347" s="34" t="s">
        <v>2283</v>
      </c>
      <c r="C347" s="34" t="s">
        <v>1837</v>
      </c>
    </row>
    <row r="348" spans="1:3" x14ac:dyDescent="0.3">
      <c r="A348" s="34" t="s">
        <v>319</v>
      </c>
      <c r="B348" s="34" t="s">
        <v>2284</v>
      </c>
      <c r="C348" s="34" t="s">
        <v>1837</v>
      </c>
    </row>
    <row r="349" spans="1:3" x14ac:dyDescent="0.3">
      <c r="A349" s="34" t="s">
        <v>319</v>
      </c>
      <c r="B349" s="34" t="s">
        <v>2285</v>
      </c>
      <c r="C349" s="34" t="s">
        <v>1837</v>
      </c>
    </row>
    <row r="350" spans="1:3" x14ac:dyDescent="0.3">
      <c r="A350" s="34" t="s">
        <v>319</v>
      </c>
      <c r="B350" s="34" t="s">
        <v>2286</v>
      </c>
      <c r="C350" s="34" t="s">
        <v>1837</v>
      </c>
    </row>
    <row r="351" spans="1:3" x14ac:dyDescent="0.3">
      <c r="A351" s="34" t="s">
        <v>319</v>
      </c>
      <c r="B351" s="34" t="s">
        <v>2287</v>
      </c>
      <c r="C351" s="34" t="s">
        <v>1837</v>
      </c>
    </row>
    <row r="352" spans="1:3" x14ac:dyDescent="0.3">
      <c r="A352" s="34" t="s">
        <v>319</v>
      </c>
      <c r="B352" s="34" t="s">
        <v>2288</v>
      </c>
      <c r="C352" s="34" t="s">
        <v>1837</v>
      </c>
    </row>
    <row r="353" spans="1:3" x14ac:dyDescent="0.3">
      <c r="A353" s="34" t="s">
        <v>319</v>
      </c>
      <c r="B353" s="34" t="s">
        <v>2289</v>
      </c>
      <c r="C353" s="34" t="s">
        <v>1837</v>
      </c>
    </row>
    <row r="354" spans="1:3" x14ac:dyDescent="0.3">
      <c r="A354" s="34" t="s">
        <v>319</v>
      </c>
      <c r="B354" s="34" t="s">
        <v>2290</v>
      </c>
      <c r="C354" s="34" t="s">
        <v>1837</v>
      </c>
    </row>
    <row r="355" spans="1:3" x14ac:dyDescent="0.3">
      <c r="A355" s="34" t="s">
        <v>319</v>
      </c>
      <c r="B355" s="34" t="s">
        <v>2291</v>
      </c>
      <c r="C355" s="34" t="s">
        <v>1837</v>
      </c>
    </row>
    <row r="356" spans="1:3" x14ac:dyDescent="0.3">
      <c r="A356" s="34" t="s">
        <v>319</v>
      </c>
      <c r="B356" s="34" t="s">
        <v>2292</v>
      </c>
      <c r="C356" s="34" t="s">
        <v>1837</v>
      </c>
    </row>
    <row r="357" spans="1:3" x14ac:dyDescent="0.3">
      <c r="A357" s="34" t="s">
        <v>319</v>
      </c>
      <c r="B357" s="34" t="s">
        <v>2293</v>
      </c>
      <c r="C357" s="34" t="s">
        <v>1837</v>
      </c>
    </row>
    <row r="358" spans="1:3" x14ac:dyDescent="0.3">
      <c r="A358" s="34" t="s">
        <v>319</v>
      </c>
      <c r="B358" s="34" t="s">
        <v>2294</v>
      </c>
      <c r="C358" s="34" t="s">
        <v>1837</v>
      </c>
    </row>
    <row r="359" spans="1:3" x14ac:dyDescent="0.3">
      <c r="A359" s="34" t="s">
        <v>319</v>
      </c>
      <c r="B359" s="34" t="s">
        <v>2295</v>
      </c>
      <c r="C359" s="34" t="s">
        <v>1837</v>
      </c>
    </row>
    <row r="360" spans="1:3" x14ac:dyDescent="0.3">
      <c r="A360" s="34" t="s">
        <v>319</v>
      </c>
      <c r="B360" s="34" t="s">
        <v>2296</v>
      </c>
      <c r="C360" s="34" t="s">
        <v>1837</v>
      </c>
    </row>
    <row r="361" spans="1:3" x14ac:dyDescent="0.3">
      <c r="A361" s="34" t="s">
        <v>319</v>
      </c>
      <c r="B361" s="34" t="s">
        <v>2297</v>
      </c>
      <c r="C361" s="34" t="s">
        <v>1837</v>
      </c>
    </row>
    <row r="362" spans="1:3" x14ac:dyDescent="0.3">
      <c r="A362" s="34" t="s">
        <v>319</v>
      </c>
      <c r="B362" s="34" t="s">
        <v>2298</v>
      </c>
      <c r="C362" s="34" t="s">
        <v>1837</v>
      </c>
    </row>
    <row r="363" spans="1:3" x14ac:dyDescent="0.3">
      <c r="A363" s="34" t="s">
        <v>319</v>
      </c>
      <c r="B363" s="34" t="s">
        <v>2299</v>
      </c>
      <c r="C363" s="34" t="s">
        <v>1837</v>
      </c>
    </row>
    <row r="364" spans="1:3" x14ac:dyDescent="0.3">
      <c r="A364" s="34" t="s">
        <v>319</v>
      </c>
      <c r="B364" s="34" t="s">
        <v>2300</v>
      </c>
      <c r="C364" s="34" t="s">
        <v>1837</v>
      </c>
    </row>
    <row r="365" spans="1:3" x14ac:dyDescent="0.3">
      <c r="A365" s="34" t="s">
        <v>319</v>
      </c>
      <c r="B365" s="34" t="s">
        <v>2301</v>
      </c>
      <c r="C365" s="34" t="s">
        <v>1837</v>
      </c>
    </row>
    <row r="366" spans="1:3" x14ac:dyDescent="0.3">
      <c r="A366" s="34" t="s">
        <v>319</v>
      </c>
      <c r="B366" s="34" t="s">
        <v>2302</v>
      </c>
      <c r="C366" s="34" t="s">
        <v>1837</v>
      </c>
    </row>
    <row r="367" spans="1:3" x14ac:dyDescent="0.3">
      <c r="A367" s="34" t="s">
        <v>319</v>
      </c>
      <c r="B367" s="34" t="s">
        <v>2303</v>
      </c>
      <c r="C367" s="34" t="s">
        <v>1837</v>
      </c>
    </row>
    <row r="368" spans="1:3" x14ac:dyDescent="0.3">
      <c r="A368" s="34" t="s">
        <v>319</v>
      </c>
      <c r="B368" s="34" t="s">
        <v>2304</v>
      </c>
      <c r="C368" s="34" t="s">
        <v>1837</v>
      </c>
    </row>
    <row r="369" spans="1:3" x14ac:dyDescent="0.3">
      <c r="A369" s="34" t="s">
        <v>319</v>
      </c>
      <c r="B369" s="34" t="s">
        <v>2305</v>
      </c>
      <c r="C369" s="34" t="s">
        <v>1837</v>
      </c>
    </row>
    <row r="370" spans="1:3" x14ac:dyDescent="0.3">
      <c r="A370" s="34" t="s">
        <v>319</v>
      </c>
      <c r="B370" s="34" t="s">
        <v>2306</v>
      </c>
      <c r="C370" s="34" t="s">
        <v>1837</v>
      </c>
    </row>
    <row r="371" spans="1:3" x14ac:dyDescent="0.3">
      <c r="A371" s="34" t="s">
        <v>319</v>
      </c>
      <c r="B371" s="34" t="s">
        <v>2307</v>
      </c>
      <c r="C371" s="34" t="s">
        <v>1837</v>
      </c>
    </row>
    <row r="372" spans="1:3" x14ac:dyDescent="0.3">
      <c r="A372" s="34" t="s">
        <v>319</v>
      </c>
      <c r="B372" s="34" t="s">
        <v>2308</v>
      </c>
      <c r="C372" s="34" t="s">
        <v>1837</v>
      </c>
    </row>
    <row r="373" spans="1:3" x14ac:dyDescent="0.3">
      <c r="A373" s="34" t="s">
        <v>319</v>
      </c>
      <c r="B373" s="34" t="s">
        <v>2309</v>
      </c>
      <c r="C373" s="34" t="s">
        <v>1837</v>
      </c>
    </row>
    <row r="374" spans="1:3" x14ac:dyDescent="0.3">
      <c r="A374" s="34" t="s">
        <v>319</v>
      </c>
      <c r="B374" s="34" t="s">
        <v>2310</v>
      </c>
      <c r="C374" s="34" t="s">
        <v>1837</v>
      </c>
    </row>
    <row r="375" spans="1:3" x14ac:dyDescent="0.3">
      <c r="A375" s="34" t="s">
        <v>319</v>
      </c>
      <c r="B375" s="34" t="s">
        <v>2311</v>
      </c>
      <c r="C375" s="34" t="s">
        <v>1837</v>
      </c>
    </row>
    <row r="376" spans="1:3" x14ac:dyDescent="0.3">
      <c r="A376" s="34" t="s">
        <v>319</v>
      </c>
      <c r="B376" s="34" t="s">
        <v>2312</v>
      </c>
      <c r="C376" s="34" t="s">
        <v>1837</v>
      </c>
    </row>
    <row r="377" spans="1:3" x14ac:dyDescent="0.3">
      <c r="A377" s="34" t="s">
        <v>319</v>
      </c>
      <c r="B377" s="34" t="s">
        <v>2313</v>
      </c>
      <c r="C377" s="34" t="s">
        <v>1837</v>
      </c>
    </row>
    <row r="378" spans="1:3" x14ac:dyDescent="0.3">
      <c r="A378" s="34" t="s">
        <v>319</v>
      </c>
      <c r="B378" s="34" t="s">
        <v>2314</v>
      </c>
      <c r="C378" s="34" t="s">
        <v>1837</v>
      </c>
    </row>
    <row r="379" spans="1:3" x14ac:dyDescent="0.3">
      <c r="A379" s="34" t="s">
        <v>319</v>
      </c>
      <c r="B379" s="34" t="s">
        <v>2315</v>
      </c>
      <c r="C379" s="34" t="s">
        <v>1837</v>
      </c>
    </row>
    <row r="380" spans="1:3" x14ac:dyDescent="0.3">
      <c r="A380" s="34" t="s">
        <v>319</v>
      </c>
      <c r="B380" s="34" t="s">
        <v>2316</v>
      </c>
      <c r="C380" s="34" t="s">
        <v>1837</v>
      </c>
    </row>
    <row r="381" spans="1:3" x14ac:dyDescent="0.3">
      <c r="A381" s="34" t="s">
        <v>319</v>
      </c>
      <c r="B381" s="34" t="s">
        <v>1854</v>
      </c>
      <c r="C381" s="34" t="s">
        <v>1837</v>
      </c>
    </row>
    <row r="382" spans="1:3" x14ac:dyDescent="0.3">
      <c r="A382" s="34" t="s">
        <v>319</v>
      </c>
      <c r="B382" s="34" t="s">
        <v>2317</v>
      </c>
      <c r="C382" s="34" t="s">
        <v>1837</v>
      </c>
    </row>
    <row r="383" spans="1:3" x14ac:dyDescent="0.3">
      <c r="A383" s="34" t="s">
        <v>321</v>
      </c>
      <c r="B383" s="34" t="s">
        <v>2318</v>
      </c>
      <c r="C383" s="34" t="s">
        <v>1838</v>
      </c>
    </row>
    <row r="384" spans="1:3" x14ac:dyDescent="0.3">
      <c r="A384" s="34" t="s">
        <v>321</v>
      </c>
      <c r="B384" s="34" t="s">
        <v>2319</v>
      </c>
      <c r="C384" s="34" t="s">
        <v>1838</v>
      </c>
    </row>
    <row r="385" spans="1:3" x14ac:dyDescent="0.3">
      <c r="A385" s="34" t="s">
        <v>321</v>
      </c>
      <c r="B385" s="34" t="s">
        <v>2320</v>
      </c>
      <c r="C385" s="34" t="s">
        <v>1838</v>
      </c>
    </row>
    <row r="386" spans="1:3" x14ac:dyDescent="0.3">
      <c r="A386" s="34" t="s">
        <v>321</v>
      </c>
      <c r="B386" s="34" t="s">
        <v>2321</v>
      </c>
      <c r="C386" s="34" t="s">
        <v>1838</v>
      </c>
    </row>
    <row r="387" spans="1:3" x14ac:dyDescent="0.3">
      <c r="A387" s="34" t="s">
        <v>321</v>
      </c>
      <c r="B387" s="34" t="s">
        <v>2322</v>
      </c>
      <c r="C387" s="34" t="s">
        <v>1838</v>
      </c>
    </row>
    <row r="388" spans="1:3" x14ac:dyDescent="0.3">
      <c r="A388" s="34" t="s">
        <v>321</v>
      </c>
      <c r="B388" s="34" t="s">
        <v>2323</v>
      </c>
      <c r="C388" s="34" t="s">
        <v>1838</v>
      </c>
    </row>
    <row r="389" spans="1:3" x14ac:dyDescent="0.3">
      <c r="A389" s="34" t="s">
        <v>321</v>
      </c>
      <c r="B389" s="34" t="s">
        <v>2324</v>
      </c>
      <c r="C389" s="34" t="s">
        <v>1838</v>
      </c>
    </row>
    <row r="390" spans="1:3" x14ac:dyDescent="0.3">
      <c r="A390" s="34" t="s">
        <v>321</v>
      </c>
      <c r="B390" s="34" t="s">
        <v>2325</v>
      </c>
      <c r="C390" s="34" t="s">
        <v>1838</v>
      </c>
    </row>
    <row r="391" spans="1:3" x14ac:dyDescent="0.3">
      <c r="A391" s="34" t="s">
        <v>321</v>
      </c>
      <c r="B391" s="34" t="s">
        <v>2326</v>
      </c>
      <c r="C391" s="34" t="s">
        <v>1838</v>
      </c>
    </row>
    <row r="392" spans="1:3" x14ac:dyDescent="0.3">
      <c r="A392" s="34" t="s">
        <v>321</v>
      </c>
      <c r="B392" s="34" t="s">
        <v>2327</v>
      </c>
      <c r="C392" s="34" t="s">
        <v>1838</v>
      </c>
    </row>
    <row r="393" spans="1:3" x14ac:dyDescent="0.3">
      <c r="A393" s="34" t="s">
        <v>321</v>
      </c>
      <c r="B393" s="34" t="s">
        <v>2328</v>
      </c>
      <c r="C393" s="34" t="s">
        <v>1838</v>
      </c>
    </row>
    <row r="394" spans="1:3" x14ac:dyDescent="0.3">
      <c r="A394" s="34" t="s">
        <v>321</v>
      </c>
      <c r="B394" s="34" t="s">
        <v>2329</v>
      </c>
      <c r="C394" s="34" t="s">
        <v>1838</v>
      </c>
    </row>
    <row r="395" spans="1:3" x14ac:dyDescent="0.3">
      <c r="A395" s="34" t="s">
        <v>321</v>
      </c>
      <c r="B395" s="34" t="s">
        <v>2330</v>
      </c>
      <c r="C395" s="34" t="s">
        <v>1838</v>
      </c>
    </row>
    <row r="396" spans="1:3" x14ac:dyDescent="0.3">
      <c r="A396" s="34" t="s">
        <v>321</v>
      </c>
      <c r="B396" s="34" t="s">
        <v>2331</v>
      </c>
      <c r="C396" s="34" t="s">
        <v>1838</v>
      </c>
    </row>
    <row r="397" spans="1:3" x14ac:dyDescent="0.3">
      <c r="A397" s="34" t="s">
        <v>321</v>
      </c>
      <c r="B397" s="34" t="s">
        <v>2332</v>
      </c>
      <c r="C397" s="34" t="s">
        <v>1838</v>
      </c>
    </row>
    <row r="398" spans="1:3" x14ac:dyDescent="0.3">
      <c r="A398" s="34" t="s">
        <v>321</v>
      </c>
      <c r="B398" s="34" t="s">
        <v>2333</v>
      </c>
      <c r="C398" s="34" t="s">
        <v>1838</v>
      </c>
    </row>
    <row r="399" spans="1:3" x14ac:dyDescent="0.3">
      <c r="A399" s="34" t="s">
        <v>321</v>
      </c>
      <c r="B399" s="34" t="s">
        <v>2334</v>
      </c>
      <c r="C399" s="34" t="s">
        <v>1838</v>
      </c>
    </row>
    <row r="400" spans="1:3" x14ac:dyDescent="0.3">
      <c r="A400" s="34" t="s">
        <v>321</v>
      </c>
      <c r="B400" s="34" t="s">
        <v>2335</v>
      </c>
      <c r="C400" s="34" t="s">
        <v>1838</v>
      </c>
    </row>
    <row r="401" spans="1:3" x14ac:dyDescent="0.3">
      <c r="A401" s="34" t="s">
        <v>321</v>
      </c>
      <c r="B401" s="34" t="s">
        <v>2336</v>
      </c>
      <c r="C401" s="34" t="s">
        <v>1838</v>
      </c>
    </row>
    <row r="402" spans="1:3" x14ac:dyDescent="0.3">
      <c r="A402" s="34" t="s">
        <v>321</v>
      </c>
      <c r="B402" s="34" t="s">
        <v>2337</v>
      </c>
      <c r="C402" s="34" t="s">
        <v>1838</v>
      </c>
    </row>
    <row r="403" spans="1:3" x14ac:dyDescent="0.3">
      <c r="A403" s="34" t="s">
        <v>321</v>
      </c>
      <c r="B403" s="34" t="s">
        <v>2338</v>
      </c>
      <c r="C403" s="34" t="s">
        <v>1838</v>
      </c>
    </row>
    <row r="404" spans="1:3" x14ac:dyDescent="0.3">
      <c r="A404" s="34" t="s">
        <v>321</v>
      </c>
      <c r="B404" s="34" t="s">
        <v>2339</v>
      </c>
      <c r="C404" s="34" t="s">
        <v>1838</v>
      </c>
    </row>
    <row r="405" spans="1:3" x14ac:dyDescent="0.3">
      <c r="A405" s="34" t="s">
        <v>321</v>
      </c>
      <c r="B405" s="34" t="s">
        <v>2340</v>
      </c>
      <c r="C405" s="34" t="s">
        <v>1838</v>
      </c>
    </row>
    <row r="406" spans="1:3" x14ac:dyDescent="0.3">
      <c r="A406" s="34" t="s">
        <v>321</v>
      </c>
      <c r="B406" s="34" t="s">
        <v>2341</v>
      </c>
      <c r="C406" s="34" t="s">
        <v>1838</v>
      </c>
    </row>
    <row r="407" spans="1:3" x14ac:dyDescent="0.3">
      <c r="A407" s="34" t="s">
        <v>321</v>
      </c>
      <c r="B407" s="34" t="s">
        <v>2342</v>
      </c>
      <c r="C407" s="34" t="s">
        <v>1838</v>
      </c>
    </row>
    <row r="408" spans="1:3" x14ac:dyDescent="0.3">
      <c r="A408" s="34" t="s">
        <v>321</v>
      </c>
      <c r="B408" s="34" t="s">
        <v>2343</v>
      </c>
      <c r="C408" s="34" t="s">
        <v>1838</v>
      </c>
    </row>
    <row r="409" spans="1:3" x14ac:dyDescent="0.3">
      <c r="A409" s="34" t="s">
        <v>321</v>
      </c>
      <c r="B409" s="34" t="s">
        <v>2344</v>
      </c>
      <c r="C409" s="34" t="s">
        <v>1838</v>
      </c>
    </row>
    <row r="410" spans="1:3" x14ac:dyDescent="0.3">
      <c r="A410" s="34" t="s">
        <v>321</v>
      </c>
      <c r="B410" s="34" t="s">
        <v>2345</v>
      </c>
      <c r="C410" s="34" t="s">
        <v>1838</v>
      </c>
    </row>
    <row r="411" spans="1:3" x14ac:dyDescent="0.3">
      <c r="A411" s="34" t="s">
        <v>321</v>
      </c>
      <c r="B411" s="34" t="s">
        <v>2346</v>
      </c>
      <c r="C411" s="34" t="s">
        <v>1838</v>
      </c>
    </row>
    <row r="412" spans="1:3" x14ac:dyDescent="0.3">
      <c r="A412" s="34" t="s">
        <v>321</v>
      </c>
      <c r="B412" s="34" t="s">
        <v>2347</v>
      </c>
      <c r="C412" s="34" t="s">
        <v>1838</v>
      </c>
    </row>
    <row r="413" spans="1:3" x14ac:dyDescent="0.3">
      <c r="A413" s="34" t="s">
        <v>321</v>
      </c>
      <c r="B413" s="34" t="s">
        <v>2348</v>
      </c>
      <c r="C413" s="34" t="s">
        <v>1838</v>
      </c>
    </row>
    <row r="414" spans="1:3" x14ac:dyDescent="0.3">
      <c r="A414" s="34" t="s">
        <v>320</v>
      </c>
      <c r="B414" s="34" t="s">
        <v>2349</v>
      </c>
      <c r="C414" s="34" t="s">
        <v>1839</v>
      </c>
    </row>
    <row r="415" spans="1:3" x14ac:dyDescent="0.3">
      <c r="A415" s="34" t="s">
        <v>320</v>
      </c>
      <c r="B415" s="34" t="s">
        <v>2350</v>
      </c>
      <c r="C415" s="34" t="s">
        <v>1839</v>
      </c>
    </row>
    <row r="416" spans="1:3" x14ac:dyDescent="0.3">
      <c r="A416" s="34" t="s">
        <v>320</v>
      </c>
      <c r="B416" s="34" t="s">
        <v>2351</v>
      </c>
      <c r="C416" s="34" t="s">
        <v>1839</v>
      </c>
    </row>
    <row r="417" spans="1:3" x14ac:dyDescent="0.3">
      <c r="A417" s="34" t="s">
        <v>320</v>
      </c>
      <c r="B417" s="34" t="s">
        <v>2352</v>
      </c>
      <c r="C417" s="34" t="s">
        <v>1839</v>
      </c>
    </row>
    <row r="418" spans="1:3" x14ac:dyDescent="0.3">
      <c r="A418" s="34" t="s">
        <v>320</v>
      </c>
      <c r="B418" s="34" t="s">
        <v>2163</v>
      </c>
      <c r="C418" s="34" t="s">
        <v>1839</v>
      </c>
    </row>
    <row r="419" spans="1:3" x14ac:dyDescent="0.3">
      <c r="A419" s="34" t="s">
        <v>320</v>
      </c>
      <c r="B419" s="34" t="s">
        <v>2353</v>
      </c>
      <c r="C419" s="34" t="s">
        <v>1839</v>
      </c>
    </row>
    <row r="420" spans="1:3" x14ac:dyDescent="0.3">
      <c r="A420" s="34" t="s">
        <v>320</v>
      </c>
      <c r="B420" s="34" t="s">
        <v>2354</v>
      </c>
      <c r="C420" s="34" t="s">
        <v>1839</v>
      </c>
    </row>
    <row r="421" spans="1:3" x14ac:dyDescent="0.3">
      <c r="A421" s="34" t="s">
        <v>320</v>
      </c>
      <c r="B421" s="34" t="s">
        <v>2355</v>
      </c>
      <c r="C421" s="34" t="s">
        <v>1839</v>
      </c>
    </row>
    <row r="422" spans="1:3" x14ac:dyDescent="0.3">
      <c r="A422" s="34" t="s">
        <v>320</v>
      </c>
      <c r="B422" s="34" t="s">
        <v>2356</v>
      </c>
      <c r="C422" s="34" t="s">
        <v>1839</v>
      </c>
    </row>
    <row r="423" spans="1:3" x14ac:dyDescent="0.3">
      <c r="A423" s="34" t="s">
        <v>320</v>
      </c>
      <c r="B423" s="34" t="s">
        <v>1884</v>
      </c>
      <c r="C423" s="34" t="s">
        <v>1839</v>
      </c>
    </row>
    <row r="424" spans="1:3" x14ac:dyDescent="0.3">
      <c r="A424" s="34" t="s">
        <v>320</v>
      </c>
      <c r="B424" s="34" t="s">
        <v>2357</v>
      </c>
      <c r="C424" s="34" t="s">
        <v>1839</v>
      </c>
    </row>
    <row r="425" spans="1:3" x14ac:dyDescent="0.3">
      <c r="A425" s="34" t="s">
        <v>320</v>
      </c>
      <c r="B425" s="34" t="s">
        <v>2358</v>
      </c>
      <c r="C425" s="34" t="s">
        <v>1839</v>
      </c>
    </row>
    <row r="426" spans="1:3" x14ac:dyDescent="0.3">
      <c r="A426" s="34" t="s">
        <v>320</v>
      </c>
      <c r="B426" s="34" t="s">
        <v>2359</v>
      </c>
      <c r="C426" s="34" t="s">
        <v>1839</v>
      </c>
    </row>
    <row r="427" spans="1:3" x14ac:dyDescent="0.3">
      <c r="A427" s="34" t="s">
        <v>320</v>
      </c>
      <c r="B427" s="34" t="s">
        <v>2360</v>
      </c>
      <c r="C427" s="34" t="s">
        <v>1839</v>
      </c>
    </row>
    <row r="428" spans="1:3" x14ac:dyDescent="0.3">
      <c r="A428" s="34" t="s">
        <v>320</v>
      </c>
      <c r="B428" s="34" t="s">
        <v>2361</v>
      </c>
      <c r="C428" s="34" t="s">
        <v>1839</v>
      </c>
    </row>
    <row r="429" spans="1:3" x14ac:dyDescent="0.3">
      <c r="A429" s="34" t="s">
        <v>320</v>
      </c>
      <c r="B429" s="34" t="s">
        <v>2362</v>
      </c>
      <c r="C429" s="34" t="s">
        <v>1839</v>
      </c>
    </row>
    <row r="430" spans="1:3" x14ac:dyDescent="0.3">
      <c r="A430" s="34" t="s">
        <v>320</v>
      </c>
      <c r="B430" s="34" t="s">
        <v>2363</v>
      </c>
      <c r="C430" s="34" t="s">
        <v>1839</v>
      </c>
    </row>
    <row r="431" spans="1:3" x14ac:dyDescent="0.3">
      <c r="A431" s="34" t="s">
        <v>320</v>
      </c>
      <c r="B431" s="34" t="s">
        <v>2364</v>
      </c>
      <c r="C431" s="34" t="s">
        <v>1839</v>
      </c>
    </row>
    <row r="432" spans="1:3" x14ac:dyDescent="0.3">
      <c r="A432" s="34" t="s">
        <v>320</v>
      </c>
      <c r="B432" s="34" t="s">
        <v>2365</v>
      </c>
      <c r="C432" s="34" t="s">
        <v>1839</v>
      </c>
    </row>
    <row r="433" spans="1:3" x14ac:dyDescent="0.3">
      <c r="A433" s="34" t="s">
        <v>320</v>
      </c>
      <c r="B433" s="34" t="s">
        <v>2366</v>
      </c>
      <c r="C433" s="34" t="s">
        <v>1839</v>
      </c>
    </row>
    <row r="434" spans="1:3" x14ac:dyDescent="0.3">
      <c r="A434" s="34" t="s">
        <v>320</v>
      </c>
      <c r="B434" s="34" t="s">
        <v>2367</v>
      </c>
      <c r="C434" s="34" t="s">
        <v>1839</v>
      </c>
    </row>
    <row r="435" spans="1:3" x14ac:dyDescent="0.3">
      <c r="A435" s="34" t="s">
        <v>320</v>
      </c>
      <c r="B435" s="34" t="s">
        <v>2368</v>
      </c>
      <c r="C435" s="34" t="s">
        <v>1839</v>
      </c>
    </row>
    <row r="436" spans="1:3" x14ac:dyDescent="0.3">
      <c r="A436" s="34" t="s">
        <v>320</v>
      </c>
      <c r="B436" s="34" t="s">
        <v>2369</v>
      </c>
      <c r="C436" s="34" t="s">
        <v>1839</v>
      </c>
    </row>
    <row r="437" spans="1:3" x14ac:dyDescent="0.3">
      <c r="A437" s="34" t="s">
        <v>320</v>
      </c>
      <c r="B437" s="34" t="s">
        <v>2370</v>
      </c>
      <c r="C437" s="34" t="s">
        <v>1839</v>
      </c>
    </row>
    <row r="438" spans="1:3" x14ac:dyDescent="0.3">
      <c r="A438" s="34" t="s">
        <v>320</v>
      </c>
      <c r="B438" s="34" t="s">
        <v>2371</v>
      </c>
      <c r="C438" s="34" t="s">
        <v>1839</v>
      </c>
    </row>
    <row r="439" spans="1:3" x14ac:dyDescent="0.3">
      <c r="A439" s="34" t="s">
        <v>320</v>
      </c>
      <c r="B439" s="34" t="s">
        <v>2372</v>
      </c>
      <c r="C439" s="34" t="s">
        <v>1839</v>
      </c>
    </row>
    <row r="440" spans="1:3" x14ac:dyDescent="0.3">
      <c r="A440" s="34" t="s">
        <v>320</v>
      </c>
      <c r="B440" s="34" t="s">
        <v>2373</v>
      </c>
      <c r="C440" s="34" t="s">
        <v>1839</v>
      </c>
    </row>
    <row r="441" spans="1:3" x14ac:dyDescent="0.3">
      <c r="A441" s="34" t="s">
        <v>320</v>
      </c>
      <c r="B441" s="34" t="s">
        <v>2374</v>
      </c>
      <c r="C441" s="34" t="s">
        <v>1839</v>
      </c>
    </row>
    <row r="442" spans="1:3" x14ac:dyDescent="0.3">
      <c r="A442" s="34" t="s">
        <v>320</v>
      </c>
      <c r="B442" s="34" t="s">
        <v>2004</v>
      </c>
      <c r="C442" s="34" t="s">
        <v>1839</v>
      </c>
    </row>
    <row r="443" spans="1:3" x14ac:dyDescent="0.3">
      <c r="A443" s="34" t="s">
        <v>320</v>
      </c>
      <c r="B443" s="34" t="s">
        <v>2375</v>
      </c>
      <c r="C443" s="34" t="s">
        <v>1839</v>
      </c>
    </row>
    <row r="444" spans="1:3" x14ac:dyDescent="0.3">
      <c r="A444" s="34" t="s">
        <v>320</v>
      </c>
      <c r="B444" s="34" t="s">
        <v>2376</v>
      </c>
      <c r="C444" s="34" t="s">
        <v>1839</v>
      </c>
    </row>
    <row r="445" spans="1:3" x14ac:dyDescent="0.3">
      <c r="A445" s="34" t="s">
        <v>320</v>
      </c>
      <c r="B445" s="34" t="s">
        <v>2377</v>
      </c>
      <c r="C445" s="34" t="s">
        <v>1839</v>
      </c>
    </row>
    <row r="446" spans="1:3" x14ac:dyDescent="0.3">
      <c r="A446" s="34" t="s">
        <v>320</v>
      </c>
      <c r="B446" s="34" t="s">
        <v>2378</v>
      </c>
      <c r="C446" s="34" t="s">
        <v>1839</v>
      </c>
    </row>
    <row r="447" spans="1:3" x14ac:dyDescent="0.3">
      <c r="A447" s="34" t="s">
        <v>320</v>
      </c>
      <c r="B447" s="34" t="s">
        <v>2379</v>
      </c>
      <c r="C447" s="34" t="s">
        <v>1839</v>
      </c>
    </row>
    <row r="448" spans="1:3" x14ac:dyDescent="0.3">
      <c r="A448" s="34" t="s">
        <v>320</v>
      </c>
      <c r="B448" s="34" t="s">
        <v>2380</v>
      </c>
      <c r="C448" s="34" t="s">
        <v>1839</v>
      </c>
    </row>
    <row r="449" spans="1:3" x14ac:dyDescent="0.3">
      <c r="A449" s="34" t="s">
        <v>320</v>
      </c>
      <c r="B449" s="34" t="s">
        <v>2016</v>
      </c>
      <c r="C449" s="34" t="s">
        <v>1839</v>
      </c>
    </row>
    <row r="450" spans="1:3" x14ac:dyDescent="0.3">
      <c r="A450" s="34" t="s">
        <v>320</v>
      </c>
      <c r="B450" s="34" t="s">
        <v>2381</v>
      </c>
      <c r="C450" s="34" t="s">
        <v>1839</v>
      </c>
    </row>
    <row r="451" spans="1:3" x14ac:dyDescent="0.3">
      <c r="A451" s="34" t="s">
        <v>320</v>
      </c>
      <c r="B451" s="34" t="s">
        <v>2382</v>
      </c>
      <c r="C451" s="34" t="s">
        <v>1839</v>
      </c>
    </row>
    <row r="452" spans="1:3" x14ac:dyDescent="0.3">
      <c r="A452" s="34" t="s">
        <v>320</v>
      </c>
      <c r="B452" s="34" t="s">
        <v>2383</v>
      </c>
      <c r="C452" s="34" t="s">
        <v>1839</v>
      </c>
    </row>
    <row r="453" spans="1:3" x14ac:dyDescent="0.3">
      <c r="A453" s="34" t="s">
        <v>320</v>
      </c>
      <c r="B453" s="34" t="s">
        <v>2384</v>
      </c>
      <c r="C453" s="34" t="s">
        <v>1839</v>
      </c>
    </row>
    <row r="454" spans="1:3" x14ac:dyDescent="0.3">
      <c r="A454" s="34" t="s">
        <v>320</v>
      </c>
      <c r="B454" s="34" t="s">
        <v>2385</v>
      </c>
      <c r="C454" s="34" t="s">
        <v>1839</v>
      </c>
    </row>
    <row r="455" spans="1:3" x14ac:dyDescent="0.3">
      <c r="A455" s="34" t="s">
        <v>320</v>
      </c>
      <c r="B455" s="34" t="s">
        <v>1854</v>
      </c>
      <c r="C455" s="34" t="s">
        <v>1839</v>
      </c>
    </row>
    <row r="456" spans="1:3" x14ac:dyDescent="0.3">
      <c r="A456" s="34" t="s">
        <v>320</v>
      </c>
      <c r="B456" s="34" t="s">
        <v>2386</v>
      </c>
      <c r="C456" s="34" t="s">
        <v>1839</v>
      </c>
    </row>
    <row r="457" spans="1:3" x14ac:dyDescent="0.3">
      <c r="A457" s="34" t="s">
        <v>313</v>
      </c>
      <c r="B457" s="34" t="s">
        <v>2387</v>
      </c>
      <c r="C457" s="34" t="s">
        <v>1840</v>
      </c>
    </row>
    <row r="458" spans="1:3" x14ac:dyDescent="0.3">
      <c r="A458" s="34" t="s">
        <v>313</v>
      </c>
      <c r="B458" s="34" t="s">
        <v>2388</v>
      </c>
      <c r="C458" s="34" t="s">
        <v>1840</v>
      </c>
    </row>
    <row r="459" spans="1:3" x14ac:dyDescent="0.3">
      <c r="A459" s="34" t="s">
        <v>313</v>
      </c>
      <c r="B459" s="34" t="s">
        <v>2277</v>
      </c>
      <c r="C459" s="34" t="s">
        <v>1840</v>
      </c>
    </row>
    <row r="460" spans="1:3" x14ac:dyDescent="0.3">
      <c r="A460" s="34" t="s">
        <v>313</v>
      </c>
      <c r="B460" s="34" t="s">
        <v>2389</v>
      </c>
      <c r="C460" s="34" t="s">
        <v>1840</v>
      </c>
    </row>
    <row r="461" spans="1:3" x14ac:dyDescent="0.3">
      <c r="A461" s="34" t="s">
        <v>313</v>
      </c>
      <c r="B461" s="34" t="s">
        <v>2390</v>
      </c>
      <c r="C461" s="34" t="s">
        <v>1840</v>
      </c>
    </row>
    <row r="462" spans="1:3" x14ac:dyDescent="0.3">
      <c r="A462" s="34" t="s">
        <v>313</v>
      </c>
      <c r="B462" s="34" t="s">
        <v>2391</v>
      </c>
      <c r="C462" s="34" t="s">
        <v>1840</v>
      </c>
    </row>
    <row r="463" spans="1:3" x14ac:dyDescent="0.3">
      <c r="A463" s="34" t="s">
        <v>313</v>
      </c>
      <c r="B463" s="34" t="s">
        <v>2392</v>
      </c>
      <c r="C463" s="34" t="s">
        <v>1840</v>
      </c>
    </row>
    <row r="464" spans="1:3" x14ac:dyDescent="0.3">
      <c r="A464" s="34" t="s">
        <v>313</v>
      </c>
      <c r="B464" s="34" t="s">
        <v>2393</v>
      </c>
      <c r="C464" s="34" t="s">
        <v>1840</v>
      </c>
    </row>
    <row r="465" spans="1:3" x14ac:dyDescent="0.3">
      <c r="A465" s="34" t="s">
        <v>313</v>
      </c>
      <c r="B465" s="34" t="s">
        <v>2394</v>
      </c>
      <c r="C465" s="34" t="s">
        <v>1840</v>
      </c>
    </row>
    <row r="466" spans="1:3" x14ac:dyDescent="0.3">
      <c r="A466" s="34" t="s">
        <v>313</v>
      </c>
      <c r="B466" s="34" t="s">
        <v>2395</v>
      </c>
      <c r="C466" s="34" t="s">
        <v>1840</v>
      </c>
    </row>
    <row r="467" spans="1:3" x14ac:dyDescent="0.3">
      <c r="A467" s="34" t="s">
        <v>313</v>
      </c>
      <c r="B467" s="34" t="s">
        <v>2396</v>
      </c>
      <c r="C467" s="34" t="s">
        <v>1840</v>
      </c>
    </row>
    <row r="468" spans="1:3" x14ac:dyDescent="0.3">
      <c r="A468" s="34" t="s">
        <v>313</v>
      </c>
      <c r="B468" s="34" t="s">
        <v>2397</v>
      </c>
      <c r="C468" s="34" t="s">
        <v>1840</v>
      </c>
    </row>
    <row r="469" spans="1:3" x14ac:dyDescent="0.3">
      <c r="A469" s="34" t="s">
        <v>313</v>
      </c>
      <c r="B469" s="34" t="s">
        <v>2398</v>
      </c>
      <c r="C469" s="34" t="s">
        <v>1840</v>
      </c>
    </row>
    <row r="470" spans="1:3" x14ac:dyDescent="0.3">
      <c r="A470" s="34" t="s">
        <v>313</v>
      </c>
      <c r="B470" s="34" t="s">
        <v>2399</v>
      </c>
      <c r="C470" s="34" t="s">
        <v>1840</v>
      </c>
    </row>
    <row r="471" spans="1:3" x14ac:dyDescent="0.3">
      <c r="A471" s="34" t="s">
        <v>313</v>
      </c>
      <c r="B471" s="34" t="s">
        <v>2400</v>
      </c>
      <c r="C471" s="34" t="s">
        <v>1840</v>
      </c>
    </row>
    <row r="472" spans="1:3" x14ac:dyDescent="0.3">
      <c r="A472" s="34" t="s">
        <v>313</v>
      </c>
      <c r="B472" s="34" t="s">
        <v>2401</v>
      </c>
      <c r="C472" s="34" t="s">
        <v>1840</v>
      </c>
    </row>
    <row r="473" spans="1:3" x14ac:dyDescent="0.3">
      <c r="A473" s="34" t="s">
        <v>313</v>
      </c>
      <c r="B473" s="34" t="s">
        <v>2402</v>
      </c>
      <c r="C473" s="34" t="s">
        <v>1840</v>
      </c>
    </row>
    <row r="474" spans="1:3" x14ac:dyDescent="0.3">
      <c r="A474" s="34" t="s">
        <v>313</v>
      </c>
      <c r="B474" s="34" t="s">
        <v>2403</v>
      </c>
      <c r="C474" s="34" t="s">
        <v>1840</v>
      </c>
    </row>
    <row r="475" spans="1:3" x14ac:dyDescent="0.3">
      <c r="A475" s="34" t="s">
        <v>313</v>
      </c>
      <c r="B475" s="34" t="s">
        <v>2404</v>
      </c>
      <c r="C475" s="34" t="s">
        <v>1840</v>
      </c>
    </row>
    <row r="476" spans="1:3" x14ac:dyDescent="0.3">
      <c r="A476" s="34" t="s">
        <v>313</v>
      </c>
      <c r="B476" s="34" t="s">
        <v>1924</v>
      </c>
      <c r="C476" s="34" t="s">
        <v>1840</v>
      </c>
    </row>
    <row r="477" spans="1:3" x14ac:dyDescent="0.3">
      <c r="A477" s="34" t="s">
        <v>313</v>
      </c>
      <c r="B477" s="34" t="s">
        <v>2405</v>
      </c>
      <c r="C477" s="34" t="s">
        <v>1840</v>
      </c>
    </row>
    <row r="478" spans="1:3" x14ac:dyDescent="0.3">
      <c r="A478" s="34" t="s">
        <v>313</v>
      </c>
      <c r="B478" s="34" t="s">
        <v>1925</v>
      </c>
      <c r="C478" s="34" t="s">
        <v>1840</v>
      </c>
    </row>
    <row r="479" spans="1:3" x14ac:dyDescent="0.3">
      <c r="A479" s="34" t="s">
        <v>313</v>
      </c>
      <c r="B479" s="34" t="s">
        <v>2406</v>
      </c>
      <c r="C479" s="34" t="s">
        <v>1840</v>
      </c>
    </row>
    <row r="480" spans="1:3" x14ac:dyDescent="0.3">
      <c r="A480" s="34" t="s">
        <v>313</v>
      </c>
      <c r="B480" s="34" t="s">
        <v>2407</v>
      </c>
      <c r="C480" s="34" t="s">
        <v>1840</v>
      </c>
    </row>
    <row r="481" spans="1:3" x14ac:dyDescent="0.3">
      <c r="A481" s="34" t="s">
        <v>313</v>
      </c>
      <c r="B481" s="34" t="s">
        <v>2408</v>
      </c>
      <c r="C481" s="34" t="s">
        <v>1840</v>
      </c>
    </row>
    <row r="482" spans="1:3" x14ac:dyDescent="0.3">
      <c r="A482" s="34" t="s">
        <v>313</v>
      </c>
      <c r="B482" s="34" t="s">
        <v>2409</v>
      </c>
      <c r="C482" s="34" t="s">
        <v>1840</v>
      </c>
    </row>
    <row r="483" spans="1:3" x14ac:dyDescent="0.3">
      <c r="A483" s="34" t="s">
        <v>313</v>
      </c>
      <c r="B483" s="34" t="s">
        <v>2410</v>
      </c>
      <c r="C483" s="34" t="s">
        <v>1840</v>
      </c>
    </row>
    <row r="484" spans="1:3" x14ac:dyDescent="0.3">
      <c r="A484" s="34" t="s">
        <v>313</v>
      </c>
      <c r="B484" s="34" t="s">
        <v>2411</v>
      </c>
      <c r="C484" s="34" t="s">
        <v>1840</v>
      </c>
    </row>
    <row r="485" spans="1:3" x14ac:dyDescent="0.3">
      <c r="A485" s="34" t="s">
        <v>313</v>
      </c>
      <c r="B485" s="34" t="s">
        <v>2412</v>
      </c>
      <c r="C485" s="34" t="s">
        <v>1840</v>
      </c>
    </row>
    <row r="486" spans="1:3" x14ac:dyDescent="0.3">
      <c r="A486" s="34" t="s">
        <v>313</v>
      </c>
      <c r="B486" s="34" t="s">
        <v>2413</v>
      </c>
      <c r="C486" s="34" t="s">
        <v>1840</v>
      </c>
    </row>
    <row r="487" spans="1:3" x14ac:dyDescent="0.3">
      <c r="A487" s="34" t="s">
        <v>313</v>
      </c>
      <c r="B487" s="34" t="s">
        <v>2414</v>
      </c>
      <c r="C487" s="34" t="s">
        <v>1840</v>
      </c>
    </row>
    <row r="488" spans="1:3" x14ac:dyDescent="0.3">
      <c r="A488" s="34" t="s">
        <v>313</v>
      </c>
      <c r="B488" s="34" t="s">
        <v>2415</v>
      </c>
      <c r="C488" s="34" t="s">
        <v>1840</v>
      </c>
    </row>
    <row r="489" spans="1:3" x14ac:dyDescent="0.3">
      <c r="A489" s="34" t="s">
        <v>313</v>
      </c>
      <c r="B489" s="34" t="s">
        <v>1898</v>
      </c>
      <c r="C489" s="34" t="s">
        <v>1840</v>
      </c>
    </row>
    <row r="490" spans="1:3" x14ac:dyDescent="0.3">
      <c r="A490" s="34" t="s">
        <v>313</v>
      </c>
      <c r="B490" s="34" t="s">
        <v>2416</v>
      </c>
      <c r="C490" s="34" t="s">
        <v>1840</v>
      </c>
    </row>
    <row r="491" spans="1:3" x14ac:dyDescent="0.3">
      <c r="A491" s="34" t="s">
        <v>313</v>
      </c>
      <c r="B491" s="34" t="s">
        <v>2417</v>
      </c>
      <c r="C491" s="34" t="s">
        <v>1840</v>
      </c>
    </row>
    <row r="492" spans="1:3" x14ac:dyDescent="0.3">
      <c r="A492" s="34" t="s">
        <v>313</v>
      </c>
      <c r="B492" s="34" t="s">
        <v>2418</v>
      </c>
      <c r="C492" s="34" t="s">
        <v>1840</v>
      </c>
    </row>
    <row r="493" spans="1:3" x14ac:dyDescent="0.3">
      <c r="A493" s="34" t="s">
        <v>313</v>
      </c>
      <c r="B493" s="34" t="s">
        <v>2419</v>
      </c>
      <c r="C493" s="34" t="s">
        <v>1840</v>
      </c>
    </row>
    <row r="494" spans="1:3" x14ac:dyDescent="0.3">
      <c r="A494" s="34" t="s">
        <v>313</v>
      </c>
      <c r="B494" s="34" t="s">
        <v>2420</v>
      </c>
      <c r="C494" s="34" t="s">
        <v>1840</v>
      </c>
    </row>
    <row r="495" spans="1:3" x14ac:dyDescent="0.3">
      <c r="A495" s="34" t="s">
        <v>313</v>
      </c>
      <c r="B495" s="34" t="s">
        <v>2421</v>
      </c>
      <c r="C495" s="34" t="s">
        <v>1840</v>
      </c>
    </row>
    <row r="496" spans="1:3" x14ac:dyDescent="0.3">
      <c r="A496" s="34" t="s">
        <v>313</v>
      </c>
      <c r="B496" s="34" t="s">
        <v>2422</v>
      </c>
      <c r="C496" s="34" t="s">
        <v>1840</v>
      </c>
    </row>
    <row r="497" spans="1:3" x14ac:dyDescent="0.3">
      <c r="A497" s="34" t="s">
        <v>313</v>
      </c>
      <c r="B497" s="34" t="s">
        <v>2423</v>
      </c>
      <c r="C497" s="34" t="s">
        <v>1840</v>
      </c>
    </row>
    <row r="498" spans="1:3" x14ac:dyDescent="0.3">
      <c r="A498" s="34" t="s">
        <v>313</v>
      </c>
      <c r="B498" s="34" t="s">
        <v>2424</v>
      </c>
      <c r="C498" s="34" t="s">
        <v>1840</v>
      </c>
    </row>
    <row r="499" spans="1:3" x14ac:dyDescent="0.3">
      <c r="A499" s="34" t="s">
        <v>313</v>
      </c>
      <c r="B499" s="34" t="s">
        <v>2425</v>
      </c>
      <c r="C499" s="34" t="s">
        <v>1840</v>
      </c>
    </row>
    <row r="500" spans="1:3" x14ac:dyDescent="0.3">
      <c r="A500" s="34" t="s">
        <v>313</v>
      </c>
      <c r="B500" s="34" t="s">
        <v>1873</v>
      </c>
      <c r="C500" s="34" t="s">
        <v>1840</v>
      </c>
    </row>
    <row r="501" spans="1:3" x14ac:dyDescent="0.3">
      <c r="A501" s="34" t="s">
        <v>313</v>
      </c>
      <c r="B501" s="34" t="s">
        <v>2426</v>
      </c>
      <c r="C501" s="34" t="s">
        <v>1840</v>
      </c>
    </row>
    <row r="502" spans="1:3" x14ac:dyDescent="0.3">
      <c r="A502" s="34" t="s">
        <v>313</v>
      </c>
      <c r="B502" s="34" t="s">
        <v>2427</v>
      </c>
      <c r="C502" s="34" t="s">
        <v>1840</v>
      </c>
    </row>
    <row r="503" spans="1:3" x14ac:dyDescent="0.3">
      <c r="A503" s="34" t="s">
        <v>313</v>
      </c>
      <c r="B503" s="34" t="s">
        <v>2428</v>
      </c>
      <c r="C503" s="34" t="s">
        <v>1840</v>
      </c>
    </row>
    <row r="504" spans="1:3" x14ac:dyDescent="0.3">
      <c r="A504" s="34" t="s">
        <v>313</v>
      </c>
      <c r="B504" s="34" t="s">
        <v>2310</v>
      </c>
      <c r="C504" s="34" t="s">
        <v>1840</v>
      </c>
    </row>
    <row r="505" spans="1:3" x14ac:dyDescent="0.3">
      <c r="A505" s="34" t="s">
        <v>313</v>
      </c>
      <c r="B505" s="34" t="s">
        <v>1907</v>
      </c>
      <c r="C505" s="34" t="s">
        <v>1840</v>
      </c>
    </row>
    <row r="506" spans="1:3" x14ac:dyDescent="0.3">
      <c r="A506" s="34" t="s">
        <v>313</v>
      </c>
      <c r="B506" s="34" t="s">
        <v>1908</v>
      </c>
      <c r="C506" s="34" t="s">
        <v>1840</v>
      </c>
    </row>
    <row r="507" spans="1:3" x14ac:dyDescent="0.3">
      <c r="A507" s="34" t="s">
        <v>313</v>
      </c>
      <c r="B507" s="34" t="s">
        <v>2429</v>
      </c>
      <c r="C507" s="34" t="s">
        <v>1840</v>
      </c>
    </row>
    <row r="508" spans="1:3" x14ac:dyDescent="0.3">
      <c r="A508" s="34" t="s">
        <v>313</v>
      </c>
      <c r="B508" s="34" t="s">
        <v>2430</v>
      </c>
      <c r="C508" s="34" t="s">
        <v>1840</v>
      </c>
    </row>
    <row r="509" spans="1:3" x14ac:dyDescent="0.3">
      <c r="A509" s="34" t="s">
        <v>313</v>
      </c>
      <c r="B509" s="34" t="s">
        <v>2431</v>
      </c>
      <c r="C509" s="34" t="s">
        <v>1840</v>
      </c>
    </row>
    <row r="510" spans="1:3" x14ac:dyDescent="0.3">
      <c r="A510" s="34" t="s">
        <v>313</v>
      </c>
      <c r="B510" s="34" t="s">
        <v>2432</v>
      </c>
      <c r="C510" s="34" t="s">
        <v>1840</v>
      </c>
    </row>
    <row r="511" spans="1:3" x14ac:dyDescent="0.3">
      <c r="A511" s="34" t="s">
        <v>313</v>
      </c>
      <c r="B511" s="34" t="s">
        <v>2433</v>
      </c>
      <c r="C511" s="34" t="s">
        <v>1840</v>
      </c>
    </row>
    <row r="512" spans="1:3" x14ac:dyDescent="0.3">
      <c r="A512" s="34" t="s">
        <v>313</v>
      </c>
      <c r="B512" s="34" t="s">
        <v>2434</v>
      </c>
      <c r="C512" s="34" t="s">
        <v>1840</v>
      </c>
    </row>
    <row r="513" spans="1:3" x14ac:dyDescent="0.3">
      <c r="A513" s="34" t="s">
        <v>313</v>
      </c>
      <c r="B513" s="34" t="s">
        <v>2435</v>
      </c>
      <c r="C513" s="34" t="s">
        <v>1840</v>
      </c>
    </row>
    <row r="514" spans="1:3" x14ac:dyDescent="0.3">
      <c r="A514" s="34" t="s">
        <v>313</v>
      </c>
      <c r="B514" s="34" t="s">
        <v>2436</v>
      </c>
      <c r="C514" s="34" t="s">
        <v>1840</v>
      </c>
    </row>
    <row r="515" spans="1:3" x14ac:dyDescent="0.3">
      <c r="A515" s="34" t="s">
        <v>313</v>
      </c>
      <c r="B515" s="34" t="s">
        <v>2437</v>
      </c>
      <c r="C515" s="34" t="s">
        <v>1840</v>
      </c>
    </row>
    <row r="516" spans="1:3" x14ac:dyDescent="0.3">
      <c r="A516" s="34" t="s">
        <v>313</v>
      </c>
      <c r="B516" s="34" t="s">
        <v>2438</v>
      </c>
      <c r="C516" s="34" t="s">
        <v>1840</v>
      </c>
    </row>
    <row r="517" spans="1:3" x14ac:dyDescent="0.3">
      <c r="A517" s="34" t="s">
        <v>313</v>
      </c>
      <c r="B517" s="34" t="s">
        <v>2439</v>
      </c>
      <c r="C517" s="34" t="s">
        <v>1840</v>
      </c>
    </row>
    <row r="518" spans="1:3" x14ac:dyDescent="0.3">
      <c r="A518" s="34" t="s">
        <v>313</v>
      </c>
      <c r="B518" s="34" t="s">
        <v>2440</v>
      </c>
      <c r="C518" s="34" t="s">
        <v>1840</v>
      </c>
    </row>
    <row r="519" spans="1:3" x14ac:dyDescent="0.3">
      <c r="A519" s="34" t="s">
        <v>313</v>
      </c>
      <c r="B519" s="34" t="s">
        <v>2441</v>
      </c>
      <c r="C519" s="34" t="s">
        <v>1840</v>
      </c>
    </row>
    <row r="520" spans="1:3" x14ac:dyDescent="0.3">
      <c r="A520" s="34" t="s">
        <v>313</v>
      </c>
      <c r="B520" s="34" t="s">
        <v>2442</v>
      </c>
      <c r="C520" s="34" t="s">
        <v>1840</v>
      </c>
    </row>
    <row r="521" spans="1:3" x14ac:dyDescent="0.3">
      <c r="A521" s="34" t="s">
        <v>313</v>
      </c>
      <c r="B521" s="34" t="s">
        <v>1853</v>
      </c>
      <c r="C521" s="34" t="s">
        <v>1840</v>
      </c>
    </row>
    <row r="522" spans="1:3" x14ac:dyDescent="0.3">
      <c r="A522" s="34" t="s">
        <v>313</v>
      </c>
      <c r="B522" s="34" t="s">
        <v>2443</v>
      </c>
      <c r="C522" s="34" t="s">
        <v>1840</v>
      </c>
    </row>
    <row r="523" spans="1:3" x14ac:dyDescent="0.3">
      <c r="A523" s="34" t="s">
        <v>313</v>
      </c>
      <c r="B523" s="34" t="s">
        <v>1856</v>
      </c>
      <c r="C523" s="34" t="s">
        <v>1840</v>
      </c>
    </row>
    <row r="524" spans="1:3" x14ac:dyDescent="0.3">
      <c r="A524" s="34" t="s">
        <v>313</v>
      </c>
      <c r="B524" s="34" t="s">
        <v>2444</v>
      </c>
      <c r="C524" s="34" t="s">
        <v>1840</v>
      </c>
    </row>
    <row r="525" spans="1:3" x14ac:dyDescent="0.3">
      <c r="A525" s="34" t="s">
        <v>313</v>
      </c>
      <c r="B525" s="34" t="s">
        <v>2445</v>
      </c>
      <c r="C525" s="34" t="s">
        <v>1840</v>
      </c>
    </row>
    <row r="526" spans="1:3" x14ac:dyDescent="0.3">
      <c r="A526" s="34" t="s">
        <v>313</v>
      </c>
      <c r="B526" s="34" t="s">
        <v>2446</v>
      </c>
      <c r="C526" s="34" t="s">
        <v>1840</v>
      </c>
    </row>
    <row r="527" spans="1:3" x14ac:dyDescent="0.3">
      <c r="A527" s="34" t="s">
        <v>313</v>
      </c>
      <c r="B527" s="34" t="s">
        <v>2447</v>
      </c>
      <c r="C527" s="34" t="s">
        <v>1840</v>
      </c>
    </row>
    <row r="528" spans="1:3" x14ac:dyDescent="0.3">
      <c r="A528" s="34" t="s">
        <v>315</v>
      </c>
      <c r="B528" s="34" t="s">
        <v>2448</v>
      </c>
      <c r="C528" s="34" t="s">
        <v>1841</v>
      </c>
    </row>
    <row r="529" spans="1:3" x14ac:dyDescent="0.3">
      <c r="A529" s="34" t="s">
        <v>315</v>
      </c>
      <c r="B529" s="34" t="s">
        <v>2449</v>
      </c>
      <c r="C529" s="34" t="s">
        <v>1841</v>
      </c>
    </row>
    <row r="530" spans="1:3" x14ac:dyDescent="0.3">
      <c r="A530" s="34" t="s">
        <v>315</v>
      </c>
      <c r="B530" s="34" t="s">
        <v>2450</v>
      </c>
      <c r="C530" s="34" t="s">
        <v>1841</v>
      </c>
    </row>
    <row r="531" spans="1:3" x14ac:dyDescent="0.3">
      <c r="A531" s="34" t="s">
        <v>315</v>
      </c>
      <c r="B531" s="34" t="s">
        <v>2451</v>
      </c>
      <c r="C531" s="34" t="s">
        <v>1841</v>
      </c>
    </row>
    <row r="532" spans="1:3" x14ac:dyDescent="0.3">
      <c r="A532" s="34" t="s">
        <v>315</v>
      </c>
      <c r="B532" s="34" t="s">
        <v>2452</v>
      </c>
      <c r="C532" s="34" t="s">
        <v>1841</v>
      </c>
    </row>
    <row r="533" spans="1:3" x14ac:dyDescent="0.3">
      <c r="A533" s="34" t="s">
        <v>315</v>
      </c>
      <c r="B533" s="34" t="s">
        <v>2401</v>
      </c>
      <c r="C533" s="34" t="s">
        <v>1841</v>
      </c>
    </row>
    <row r="534" spans="1:3" x14ac:dyDescent="0.3">
      <c r="A534" s="34" t="s">
        <v>315</v>
      </c>
      <c r="B534" s="34" t="s">
        <v>2453</v>
      </c>
      <c r="C534" s="34" t="s">
        <v>1841</v>
      </c>
    </row>
    <row r="535" spans="1:3" x14ac:dyDescent="0.3">
      <c r="A535" s="34" t="s">
        <v>315</v>
      </c>
      <c r="B535" s="34" t="s">
        <v>2328</v>
      </c>
      <c r="C535" s="34" t="s">
        <v>1841</v>
      </c>
    </row>
    <row r="536" spans="1:3" x14ac:dyDescent="0.3">
      <c r="A536" s="34" t="s">
        <v>315</v>
      </c>
      <c r="B536" s="34" t="s">
        <v>2454</v>
      </c>
      <c r="C536" s="34" t="s">
        <v>1841</v>
      </c>
    </row>
    <row r="537" spans="1:3" x14ac:dyDescent="0.3">
      <c r="A537" s="34" t="s">
        <v>315</v>
      </c>
      <c r="B537" s="34" t="s">
        <v>2455</v>
      </c>
      <c r="C537" s="34" t="s">
        <v>1841</v>
      </c>
    </row>
    <row r="538" spans="1:3" x14ac:dyDescent="0.3">
      <c r="A538" s="34" t="s">
        <v>315</v>
      </c>
      <c r="B538" s="34" t="s">
        <v>2456</v>
      </c>
      <c r="C538" s="34" t="s">
        <v>1841</v>
      </c>
    </row>
    <row r="539" spans="1:3" x14ac:dyDescent="0.3">
      <c r="A539" s="34" t="s">
        <v>315</v>
      </c>
      <c r="B539" s="34" t="s">
        <v>2457</v>
      </c>
      <c r="C539" s="34" t="s">
        <v>1841</v>
      </c>
    </row>
    <row r="540" spans="1:3" x14ac:dyDescent="0.3">
      <c r="A540" s="34" t="s">
        <v>315</v>
      </c>
      <c r="B540" s="34" t="s">
        <v>2458</v>
      </c>
      <c r="C540" s="34" t="s">
        <v>1841</v>
      </c>
    </row>
    <row r="541" spans="1:3" x14ac:dyDescent="0.3">
      <c r="A541" s="34" t="s">
        <v>315</v>
      </c>
      <c r="B541" s="34" t="s">
        <v>2459</v>
      </c>
      <c r="C541" s="34" t="s">
        <v>1841</v>
      </c>
    </row>
    <row r="542" spans="1:3" x14ac:dyDescent="0.3">
      <c r="A542" s="34" t="s">
        <v>315</v>
      </c>
      <c r="B542" s="34" t="s">
        <v>2460</v>
      </c>
      <c r="C542" s="34" t="s">
        <v>1841</v>
      </c>
    </row>
    <row r="543" spans="1:3" x14ac:dyDescent="0.3">
      <c r="A543" s="34" t="s">
        <v>315</v>
      </c>
      <c r="B543" s="34" t="s">
        <v>2461</v>
      </c>
      <c r="C543" s="34" t="s">
        <v>1841</v>
      </c>
    </row>
    <row r="544" spans="1:3" x14ac:dyDescent="0.3">
      <c r="A544" s="34" t="s">
        <v>315</v>
      </c>
      <c r="B544" s="34" t="s">
        <v>2462</v>
      </c>
      <c r="C544" s="34" t="s">
        <v>1841</v>
      </c>
    </row>
    <row r="545" spans="1:3" x14ac:dyDescent="0.3">
      <c r="A545" s="34" t="s">
        <v>315</v>
      </c>
      <c r="B545" s="34" t="s">
        <v>2463</v>
      </c>
      <c r="C545" s="34" t="s">
        <v>1841</v>
      </c>
    </row>
    <row r="546" spans="1:3" x14ac:dyDescent="0.3">
      <c r="A546" s="34" t="s">
        <v>315</v>
      </c>
      <c r="B546" s="34" t="s">
        <v>2464</v>
      </c>
      <c r="C546" s="34" t="s">
        <v>1841</v>
      </c>
    </row>
    <row r="547" spans="1:3" x14ac:dyDescent="0.3">
      <c r="A547" s="34" t="s">
        <v>315</v>
      </c>
      <c r="B547" s="34" t="s">
        <v>2426</v>
      </c>
      <c r="C547" s="34" t="s">
        <v>1841</v>
      </c>
    </row>
    <row r="548" spans="1:3" x14ac:dyDescent="0.3">
      <c r="A548" s="34" t="s">
        <v>315</v>
      </c>
      <c r="B548" s="34" t="s">
        <v>2465</v>
      </c>
      <c r="C548" s="34" t="s">
        <v>1841</v>
      </c>
    </row>
    <row r="549" spans="1:3" x14ac:dyDescent="0.3">
      <c r="A549" s="34" t="s">
        <v>315</v>
      </c>
      <c r="B549" s="34" t="s">
        <v>2466</v>
      </c>
      <c r="C549" s="34" t="s">
        <v>1841</v>
      </c>
    </row>
    <row r="550" spans="1:3" x14ac:dyDescent="0.3">
      <c r="A550" s="34" t="s">
        <v>315</v>
      </c>
      <c r="B550" s="34" t="s">
        <v>2467</v>
      </c>
      <c r="C550" s="34" t="s">
        <v>1841</v>
      </c>
    </row>
    <row r="551" spans="1:3" x14ac:dyDescent="0.3">
      <c r="A551" s="34" t="s">
        <v>315</v>
      </c>
      <c r="B551" s="34" t="s">
        <v>2468</v>
      </c>
      <c r="C551" s="34" t="s">
        <v>1841</v>
      </c>
    </row>
    <row r="552" spans="1:3" x14ac:dyDescent="0.3">
      <c r="A552" s="34" t="s">
        <v>315</v>
      </c>
      <c r="B552" s="34" t="s">
        <v>2469</v>
      </c>
      <c r="C552" s="34" t="s">
        <v>1841</v>
      </c>
    </row>
    <row r="553" spans="1:3" x14ac:dyDescent="0.3">
      <c r="A553" s="34" t="s">
        <v>315</v>
      </c>
      <c r="B553" s="34" t="s">
        <v>2470</v>
      </c>
      <c r="C553" s="34" t="s">
        <v>1841</v>
      </c>
    </row>
    <row r="554" spans="1:3" x14ac:dyDescent="0.3">
      <c r="A554" s="34" t="s">
        <v>315</v>
      </c>
      <c r="B554" s="34" t="s">
        <v>2471</v>
      </c>
      <c r="C554" s="34" t="s">
        <v>1841</v>
      </c>
    </row>
    <row r="555" spans="1:3" x14ac:dyDescent="0.3">
      <c r="A555" s="34" t="s">
        <v>315</v>
      </c>
      <c r="B555" s="34" t="s">
        <v>2472</v>
      </c>
      <c r="C555" s="34" t="s">
        <v>1841</v>
      </c>
    </row>
    <row r="556" spans="1:3" x14ac:dyDescent="0.3">
      <c r="A556" s="34" t="s">
        <v>315</v>
      </c>
      <c r="B556" s="34" t="s">
        <v>2473</v>
      </c>
      <c r="C556" s="34" t="s">
        <v>1841</v>
      </c>
    </row>
    <row r="557" spans="1:3" x14ac:dyDescent="0.3">
      <c r="A557" s="34" t="s">
        <v>315</v>
      </c>
      <c r="B557" s="34" t="s">
        <v>1856</v>
      </c>
      <c r="C557" s="34" t="s">
        <v>1841</v>
      </c>
    </row>
    <row r="558" spans="1:3" x14ac:dyDescent="0.3">
      <c r="A558" s="34" t="s">
        <v>315</v>
      </c>
      <c r="B558" s="34" t="s">
        <v>2474</v>
      </c>
      <c r="C558" s="34" t="s">
        <v>1841</v>
      </c>
    </row>
    <row r="559" spans="1:3" x14ac:dyDescent="0.3">
      <c r="A559" s="34" t="s">
        <v>1842</v>
      </c>
      <c r="B559" s="34" t="s">
        <v>1861</v>
      </c>
      <c r="C559" s="34" t="s">
        <v>1843</v>
      </c>
    </row>
    <row r="560" spans="1:3" x14ac:dyDescent="0.3">
      <c r="A560" s="34" t="s">
        <v>1842</v>
      </c>
      <c r="B560" s="34" t="s">
        <v>2025</v>
      </c>
      <c r="C560" s="34" t="s">
        <v>1843</v>
      </c>
    </row>
    <row r="561" spans="1:3" x14ac:dyDescent="0.3">
      <c r="A561" s="34" t="s">
        <v>1842</v>
      </c>
      <c r="B561" s="34" t="s">
        <v>2475</v>
      </c>
      <c r="C561" s="34" t="s">
        <v>1843</v>
      </c>
    </row>
    <row r="562" spans="1:3" x14ac:dyDescent="0.3">
      <c r="A562" s="34" t="s">
        <v>1842</v>
      </c>
      <c r="B562" s="34" t="s">
        <v>2476</v>
      </c>
      <c r="C562" s="34" t="s">
        <v>1843</v>
      </c>
    </row>
    <row r="563" spans="1:3" x14ac:dyDescent="0.3">
      <c r="A563" s="34" t="s">
        <v>1842</v>
      </c>
      <c r="B563" s="34" t="s">
        <v>2277</v>
      </c>
      <c r="C563" s="34" t="s">
        <v>1843</v>
      </c>
    </row>
    <row r="564" spans="1:3" x14ac:dyDescent="0.3">
      <c r="A564" s="34" t="s">
        <v>1842</v>
      </c>
      <c r="B564" s="34" t="s">
        <v>2477</v>
      </c>
      <c r="C564" s="34" t="s">
        <v>1843</v>
      </c>
    </row>
    <row r="565" spans="1:3" x14ac:dyDescent="0.3">
      <c r="A565" s="34" t="s">
        <v>1842</v>
      </c>
      <c r="B565" s="34" t="s">
        <v>2478</v>
      </c>
      <c r="C565" s="34" t="s">
        <v>1843</v>
      </c>
    </row>
    <row r="566" spans="1:3" x14ac:dyDescent="0.3">
      <c r="A566" s="34" t="s">
        <v>1842</v>
      </c>
      <c r="B566" s="34" t="s">
        <v>2278</v>
      </c>
      <c r="C566" s="34" t="s">
        <v>1843</v>
      </c>
    </row>
    <row r="567" spans="1:3" x14ac:dyDescent="0.3">
      <c r="A567" s="34" t="s">
        <v>1842</v>
      </c>
      <c r="B567" s="34" t="s">
        <v>2479</v>
      </c>
      <c r="C567" s="34" t="s">
        <v>1843</v>
      </c>
    </row>
    <row r="568" spans="1:3" x14ac:dyDescent="0.3">
      <c r="A568" s="34" t="s">
        <v>1842</v>
      </c>
      <c r="B568" s="34" t="s">
        <v>2480</v>
      </c>
      <c r="C568" s="34" t="s">
        <v>1843</v>
      </c>
    </row>
    <row r="569" spans="1:3" x14ac:dyDescent="0.3">
      <c r="A569" s="34" t="s">
        <v>1842</v>
      </c>
      <c r="B569" s="34" t="s">
        <v>2481</v>
      </c>
      <c r="C569" s="34" t="s">
        <v>1843</v>
      </c>
    </row>
    <row r="570" spans="1:3" x14ac:dyDescent="0.3">
      <c r="A570" s="34" t="s">
        <v>1842</v>
      </c>
      <c r="B570" s="34" t="s">
        <v>2482</v>
      </c>
      <c r="C570" s="34" t="s">
        <v>1843</v>
      </c>
    </row>
    <row r="571" spans="1:3" x14ac:dyDescent="0.3">
      <c r="A571" s="34" t="s">
        <v>1842</v>
      </c>
      <c r="B571" s="34" t="s">
        <v>2391</v>
      </c>
      <c r="C571" s="34" t="s">
        <v>1843</v>
      </c>
    </row>
    <row r="572" spans="1:3" x14ac:dyDescent="0.3">
      <c r="A572" s="34" t="s">
        <v>1842</v>
      </c>
      <c r="B572" s="34" t="s">
        <v>2483</v>
      </c>
      <c r="C572" s="34" t="s">
        <v>1843</v>
      </c>
    </row>
    <row r="573" spans="1:3" x14ac:dyDescent="0.3">
      <c r="A573" s="34" t="s">
        <v>1842</v>
      </c>
      <c r="B573" s="34" t="s">
        <v>2484</v>
      </c>
      <c r="C573" s="34" t="s">
        <v>1843</v>
      </c>
    </row>
    <row r="574" spans="1:3" x14ac:dyDescent="0.3">
      <c r="A574" s="34" t="s">
        <v>1842</v>
      </c>
      <c r="B574" s="34" t="s">
        <v>2485</v>
      </c>
      <c r="C574" s="34" t="s">
        <v>1843</v>
      </c>
    </row>
    <row r="575" spans="1:3" x14ac:dyDescent="0.3">
      <c r="A575" s="34" t="s">
        <v>1842</v>
      </c>
      <c r="B575" s="34" t="s">
        <v>2486</v>
      </c>
      <c r="C575" s="34" t="s">
        <v>1843</v>
      </c>
    </row>
    <row r="576" spans="1:3" x14ac:dyDescent="0.3">
      <c r="A576" s="34" t="s">
        <v>1842</v>
      </c>
      <c r="B576" s="34" t="s">
        <v>2487</v>
      </c>
      <c r="C576" s="34" t="s">
        <v>1843</v>
      </c>
    </row>
    <row r="577" spans="1:3" x14ac:dyDescent="0.3">
      <c r="A577" s="34" t="s">
        <v>1842</v>
      </c>
      <c r="B577" s="34" t="s">
        <v>2488</v>
      </c>
      <c r="C577" s="34" t="s">
        <v>1843</v>
      </c>
    </row>
    <row r="578" spans="1:3" x14ac:dyDescent="0.3">
      <c r="A578" s="34" t="s">
        <v>1842</v>
      </c>
      <c r="B578" s="34" t="s">
        <v>2489</v>
      </c>
      <c r="C578" s="34" t="s">
        <v>1843</v>
      </c>
    </row>
    <row r="579" spans="1:3" x14ac:dyDescent="0.3">
      <c r="A579" s="34" t="s">
        <v>1842</v>
      </c>
      <c r="B579" s="34" t="s">
        <v>2490</v>
      </c>
      <c r="C579" s="34" t="s">
        <v>1843</v>
      </c>
    </row>
    <row r="580" spans="1:3" x14ac:dyDescent="0.3">
      <c r="A580" s="34" t="s">
        <v>1842</v>
      </c>
      <c r="B580" s="34" t="s">
        <v>2491</v>
      </c>
      <c r="C580" s="34" t="s">
        <v>1843</v>
      </c>
    </row>
    <row r="581" spans="1:3" x14ac:dyDescent="0.3">
      <c r="A581" s="34" t="s">
        <v>1842</v>
      </c>
      <c r="B581" s="34" t="s">
        <v>2492</v>
      </c>
      <c r="C581" s="34" t="s">
        <v>1843</v>
      </c>
    </row>
    <row r="582" spans="1:3" x14ac:dyDescent="0.3">
      <c r="A582" s="34" t="s">
        <v>1842</v>
      </c>
      <c r="B582" s="34" t="s">
        <v>2493</v>
      </c>
      <c r="C582" s="34" t="s">
        <v>1843</v>
      </c>
    </row>
    <row r="583" spans="1:3" x14ac:dyDescent="0.3">
      <c r="A583" s="34" t="s">
        <v>1842</v>
      </c>
      <c r="B583" s="34" t="s">
        <v>2494</v>
      </c>
      <c r="C583" s="34" t="s">
        <v>1843</v>
      </c>
    </row>
    <row r="584" spans="1:3" x14ac:dyDescent="0.3">
      <c r="A584" s="34" t="s">
        <v>1842</v>
      </c>
      <c r="B584" s="34" t="s">
        <v>2401</v>
      </c>
      <c r="C584" s="34" t="s">
        <v>1843</v>
      </c>
    </row>
    <row r="585" spans="1:3" x14ac:dyDescent="0.3">
      <c r="A585" s="34" t="s">
        <v>1842</v>
      </c>
      <c r="B585" s="34" t="s">
        <v>2495</v>
      </c>
      <c r="C585" s="34" t="s">
        <v>1843</v>
      </c>
    </row>
    <row r="586" spans="1:3" x14ac:dyDescent="0.3">
      <c r="A586" s="34" t="s">
        <v>1842</v>
      </c>
      <c r="B586" s="34" t="s">
        <v>2496</v>
      </c>
      <c r="C586" s="34" t="s">
        <v>1843</v>
      </c>
    </row>
    <row r="587" spans="1:3" x14ac:dyDescent="0.3">
      <c r="A587" s="34" t="s">
        <v>1842</v>
      </c>
      <c r="B587" s="34" t="s">
        <v>2497</v>
      </c>
      <c r="C587" s="34" t="s">
        <v>1843</v>
      </c>
    </row>
    <row r="588" spans="1:3" x14ac:dyDescent="0.3">
      <c r="A588" s="34" t="s">
        <v>1842</v>
      </c>
      <c r="B588" s="34" t="s">
        <v>2498</v>
      </c>
      <c r="C588" s="34" t="s">
        <v>1843</v>
      </c>
    </row>
    <row r="589" spans="1:3" x14ac:dyDescent="0.3">
      <c r="A589" s="34" t="s">
        <v>1842</v>
      </c>
      <c r="B589" s="34" t="s">
        <v>1884</v>
      </c>
      <c r="C589" s="34" t="s">
        <v>1843</v>
      </c>
    </row>
    <row r="590" spans="1:3" x14ac:dyDescent="0.3">
      <c r="A590" s="34" t="s">
        <v>1842</v>
      </c>
      <c r="B590" s="34" t="s">
        <v>2499</v>
      </c>
      <c r="C590" s="34" t="s">
        <v>1843</v>
      </c>
    </row>
    <row r="591" spans="1:3" x14ac:dyDescent="0.3">
      <c r="A591" s="34" t="s">
        <v>1842</v>
      </c>
      <c r="B591" s="34" t="s">
        <v>2500</v>
      </c>
      <c r="C591" s="34" t="s">
        <v>1843</v>
      </c>
    </row>
    <row r="592" spans="1:3" x14ac:dyDescent="0.3">
      <c r="A592" s="34" t="s">
        <v>1842</v>
      </c>
      <c r="B592" s="34" t="s">
        <v>2501</v>
      </c>
      <c r="C592" s="34" t="s">
        <v>1843</v>
      </c>
    </row>
    <row r="593" spans="1:3" x14ac:dyDescent="0.3">
      <c r="A593" s="34" t="s">
        <v>1842</v>
      </c>
      <c r="B593" s="34" t="s">
        <v>2235</v>
      </c>
      <c r="C593" s="34" t="s">
        <v>1843</v>
      </c>
    </row>
    <row r="594" spans="1:3" x14ac:dyDescent="0.3">
      <c r="A594" s="34" t="s">
        <v>1842</v>
      </c>
      <c r="B594" s="34" t="s">
        <v>2360</v>
      </c>
      <c r="C594" s="34" t="s">
        <v>1843</v>
      </c>
    </row>
    <row r="595" spans="1:3" x14ac:dyDescent="0.3">
      <c r="A595" s="34" t="s">
        <v>1842</v>
      </c>
      <c r="B595" s="34" t="s">
        <v>2502</v>
      </c>
      <c r="C595" s="34" t="s">
        <v>1843</v>
      </c>
    </row>
    <row r="596" spans="1:3" x14ac:dyDescent="0.3">
      <c r="A596" s="34" t="s">
        <v>1842</v>
      </c>
      <c r="B596" s="34" t="s">
        <v>2503</v>
      </c>
      <c r="C596" s="34" t="s">
        <v>1843</v>
      </c>
    </row>
    <row r="597" spans="1:3" x14ac:dyDescent="0.3">
      <c r="A597" s="34" t="s">
        <v>1842</v>
      </c>
      <c r="B597" s="34" t="s">
        <v>2504</v>
      </c>
      <c r="C597" s="34" t="s">
        <v>1843</v>
      </c>
    </row>
    <row r="598" spans="1:3" x14ac:dyDescent="0.3">
      <c r="A598" s="34" t="s">
        <v>1842</v>
      </c>
      <c r="B598" s="34" t="s">
        <v>2505</v>
      </c>
      <c r="C598" s="34" t="s">
        <v>1843</v>
      </c>
    </row>
    <row r="599" spans="1:3" x14ac:dyDescent="0.3">
      <c r="A599" s="34" t="s">
        <v>1842</v>
      </c>
      <c r="B599" s="34" t="s">
        <v>2506</v>
      </c>
      <c r="C599" s="34" t="s">
        <v>1843</v>
      </c>
    </row>
    <row r="600" spans="1:3" x14ac:dyDescent="0.3">
      <c r="A600" s="34" t="s">
        <v>1842</v>
      </c>
      <c r="B600" s="34" t="s">
        <v>2507</v>
      </c>
      <c r="C600" s="34" t="s">
        <v>1843</v>
      </c>
    </row>
    <row r="601" spans="1:3" x14ac:dyDescent="0.3">
      <c r="A601" s="34" t="s">
        <v>1842</v>
      </c>
      <c r="B601" s="34" t="s">
        <v>2508</v>
      </c>
      <c r="C601" s="34" t="s">
        <v>1843</v>
      </c>
    </row>
    <row r="602" spans="1:3" x14ac:dyDescent="0.3">
      <c r="A602" s="34" t="s">
        <v>1842</v>
      </c>
      <c r="B602" s="34" t="s">
        <v>2509</v>
      </c>
      <c r="C602" s="34" t="s">
        <v>1843</v>
      </c>
    </row>
    <row r="603" spans="1:3" x14ac:dyDescent="0.3">
      <c r="A603" s="34" t="s">
        <v>1842</v>
      </c>
      <c r="B603" s="34" t="s">
        <v>2510</v>
      </c>
      <c r="C603" s="34" t="s">
        <v>1843</v>
      </c>
    </row>
    <row r="604" spans="1:3" x14ac:dyDescent="0.3">
      <c r="A604" s="34" t="s">
        <v>1842</v>
      </c>
      <c r="B604" s="34" t="s">
        <v>2511</v>
      </c>
      <c r="C604" s="34" t="s">
        <v>1843</v>
      </c>
    </row>
    <row r="605" spans="1:3" x14ac:dyDescent="0.3">
      <c r="A605" s="34" t="s">
        <v>1842</v>
      </c>
      <c r="B605" s="34" t="s">
        <v>1890</v>
      </c>
      <c r="C605" s="34" t="s">
        <v>1843</v>
      </c>
    </row>
    <row r="606" spans="1:3" x14ac:dyDescent="0.3">
      <c r="A606" s="34" t="s">
        <v>1842</v>
      </c>
      <c r="B606" s="34" t="s">
        <v>2512</v>
      </c>
      <c r="C606" s="34" t="s">
        <v>1843</v>
      </c>
    </row>
    <row r="607" spans="1:3" x14ac:dyDescent="0.3">
      <c r="A607" s="34" t="s">
        <v>1842</v>
      </c>
      <c r="B607" s="34" t="s">
        <v>2513</v>
      </c>
      <c r="C607" s="34" t="s">
        <v>1843</v>
      </c>
    </row>
    <row r="608" spans="1:3" x14ac:dyDescent="0.3">
      <c r="A608" s="34" t="s">
        <v>1842</v>
      </c>
      <c r="B608" s="34" t="s">
        <v>2514</v>
      </c>
      <c r="C608" s="34" t="s">
        <v>1843</v>
      </c>
    </row>
    <row r="609" spans="1:3" x14ac:dyDescent="0.3">
      <c r="A609" s="34" t="s">
        <v>1842</v>
      </c>
      <c r="B609" s="34" t="s">
        <v>2081</v>
      </c>
      <c r="C609" s="34" t="s">
        <v>1843</v>
      </c>
    </row>
    <row r="610" spans="1:3" x14ac:dyDescent="0.3">
      <c r="A610" s="34" t="s">
        <v>1842</v>
      </c>
      <c r="B610" s="34" t="s">
        <v>2515</v>
      </c>
      <c r="C610" s="34" t="s">
        <v>1843</v>
      </c>
    </row>
    <row r="611" spans="1:3" x14ac:dyDescent="0.3">
      <c r="A611" s="34" t="s">
        <v>1842</v>
      </c>
      <c r="B611" s="34" t="s">
        <v>2516</v>
      </c>
      <c r="C611" s="34" t="s">
        <v>1843</v>
      </c>
    </row>
    <row r="612" spans="1:3" x14ac:dyDescent="0.3">
      <c r="A612" s="34" t="s">
        <v>1842</v>
      </c>
      <c r="B612" s="34" t="s">
        <v>2517</v>
      </c>
      <c r="C612" s="34" t="s">
        <v>1843</v>
      </c>
    </row>
    <row r="613" spans="1:3" x14ac:dyDescent="0.3">
      <c r="A613" s="34" t="s">
        <v>1842</v>
      </c>
      <c r="B613" s="34" t="s">
        <v>2518</v>
      </c>
      <c r="C613" s="34" t="s">
        <v>1843</v>
      </c>
    </row>
    <row r="614" spans="1:3" x14ac:dyDescent="0.3">
      <c r="A614" s="34" t="s">
        <v>1842</v>
      </c>
      <c r="B614" s="34" t="s">
        <v>1894</v>
      </c>
      <c r="C614" s="34" t="s">
        <v>1843</v>
      </c>
    </row>
    <row r="615" spans="1:3" x14ac:dyDescent="0.3">
      <c r="A615" s="34" t="s">
        <v>1842</v>
      </c>
      <c r="B615" s="34" t="s">
        <v>1895</v>
      </c>
      <c r="C615" s="34" t="s">
        <v>1843</v>
      </c>
    </row>
    <row r="616" spans="1:3" x14ac:dyDescent="0.3">
      <c r="A616" s="34" t="s">
        <v>1842</v>
      </c>
      <c r="B616" s="34" t="s">
        <v>2086</v>
      </c>
      <c r="C616" s="34" t="s">
        <v>1843</v>
      </c>
    </row>
    <row r="617" spans="1:3" x14ac:dyDescent="0.3">
      <c r="A617" s="34" t="s">
        <v>1842</v>
      </c>
      <c r="B617" s="34" t="s">
        <v>2519</v>
      </c>
      <c r="C617" s="34" t="s">
        <v>1843</v>
      </c>
    </row>
    <row r="618" spans="1:3" x14ac:dyDescent="0.3">
      <c r="A618" s="34" t="s">
        <v>1842</v>
      </c>
      <c r="B618" s="34" t="s">
        <v>2520</v>
      </c>
      <c r="C618" s="34" t="s">
        <v>1843</v>
      </c>
    </row>
    <row r="619" spans="1:3" x14ac:dyDescent="0.3">
      <c r="A619" s="34" t="s">
        <v>1842</v>
      </c>
      <c r="B619" s="34" t="s">
        <v>2521</v>
      </c>
      <c r="C619" s="34" t="s">
        <v>1843</v>
      </c>
    </row>
    <row r="620" spans="1:3" x14ac:dyDescent="0.3">
      <c r="A620" s="34" t="s">
        <v>1842</v>
      </c>
      <c r="B620" s="34" t="s">
        <v>2522</v>
      </c>
      <c r="C620" s="34" t="s">
        <v>1843</v>
      </c>
    </row>
    <row r="621" spans="1:3" x14ac:dyDescent="0.3">
      <c r="A621" s="34" t="s">
        <v>1842</v>
      </c>
      <c r="B621" s="34" t="s">
        <v>2523</v>
      </c>
      <c r="C621" s="34" t="s">
        <v>1843</v>
      </c>
    </row>
    <row r="622" spans="1:3" x14ac:dyDescent="0.3">
      <c r="A622" s="34" t="s">
        <v>1842</v>
      </c>
      <c r="B622" s="34" t="s">
        <v>2524</v>
      </c>
      <c r="C622" s="34" t="s">
        <v>1843</v>
      </c>
    </row>
    <row r="623" spans="1:3" x14ac:dyDescent="0.3">
      <c r="A623" s="34" t="s">
        <v>1842</v>
      </c>
      <c r="B623" s="34" t="s">
        <v>2525</v>
      </c>
      <c r="C623" s="34" t="s">
        <v>1843</v>
      </c>
    </row>
    <row r="624" spans="1:3" x14ac:dyDescent="0.3">
      <c r="A624" s="34" t="s">
        <v>1842</v>
      </c>
      <c r="B624" s="34" t="s">
        <v>2526</v>
      </c>
      <c r="C624" s="34" t="s">
        <v>1843</v>
      </c>
    </row>
    <row r="625" spans="1:3" x14ac:dyDescent="0.3">
      <c r="A625" s="34" t="s">
        <v>1842</v>
      </c>
      <c r="B625" s="34" t="s">
        <v>2416</v>
      </c>
      <c r="C625" s="34" t="s">
        <v>1843</v>
      </c>
    </row>
    <row r="626" spans="1:3" x14ac:dyDescent="0.3">
      <c r="A626" s="34" t="s">
        <v>1842</v>
      </c>
      <c r="B626" s="34" t="s">
        <v>2527</v>
      </c>
      <c r="C626" s="34" t="s">
        <v>1843</v>
      </c>
    </row>
    <row r="627" spans="1:3" x14ac:dyDescent="0.3">
      <c r="A627" s="34" t="s">
        <v>1842</v>
      </c>
      <c r="B627" s="34" t="s">
        <v>2528</v>
      </c>
      <c r="C627" s="34" t="s">
        <v>1843</v>
      </c>
    </row>
    <row r="628" spans="1:3" x14ac:dyDescent="0.3">
      <c r="A628" s="34" t="s">
        <v>1842</v>
      </c>
      <c r="B628" s="34" t="s">
        <v>2529</v>
      </c>
      <c r="C628" s="34" t="s">
        <v>1843</v>
      </c>
    </row>
    <row r="629" spans="1:3" x14ac:dyDescent="0.3">
      <c r="A629" s="34" t="s">
        <v>1842</v>
      </c>
      <c r="B629" s="34" t="s">
        <v>2530</v>
      </c>
      <c r="C629" s="34" t="s">
        <v>1843</v>
      </c>
    </row>
    <row r="630" spans="1:3" x14ac:dyDescent="0.3">
      <c r="A630" s="34" t="s">
        <v>1842</v>
      </c>
      <c r="B630" s="34" t="s">
        <v>2531</v>
      </c>
      <c r="C630" s="34" t="s">
        <v>1843</v>
      </c>
    </row>
    <row r="631" spans="1:3" x14ac:dyDescent="0.3">
      <c r="A631" s="34" t="s">
        <v>1842</v>
      </c>
      <c r="B631" s="34" t="s">
        <v>2532</v>
      </c>
      <c r="C631" s="34" t="s">
        <v>1843</v>
      </c>
    </row>
    <row r="632" spans="1:3" x14ac:dyDescent="0.3">
      <c r="A632" s="34" t="s">
        <v>1842</v>
      </c>
      <c r="B632" s="34" t="s">
        <v>2533</v>
      </c>
      <c r="C632" s="34" t="s">
        <v>1843</v>
      </c>
    </row>
    <row r="633" spans="1:3" x14ac:dyDescent="0.3">
      <c r="A633" s="34" t="s">
        <v>1842</v>
      </c>
      <c r="B633" s="34" t="s">
        <v>2534</v>
      </c>
      <c r="C633" s="34" t="s">
        <v>1843</v>
      </c>
    </row>
    <row r="634" spans="1:3" x14ac:dyDescent="0.3">
      <c r="A634" s="34" t="s">
        <v>1842</v>
      </c>
      <c r="B634" s="34" t="s">
        <v>1825</v>
      </c>
      <c r="C634" s="34" t="s">
        <v>1843</v>
      </c>
    </row>
    <row r="635" spans="1:3" x14ac:dyDescent="0.3">
      <c r="A635" s="34" t="s">
        <v>1842</v>
      </c>
      <c r="B635" s="34" t="s">
        <v>2535</v>
      </c>
      <c r="C635" s="34" t="s">
        <v>1843</v>
      </c>
    </row>
    <row r="636" spans="1:3" x14ac:dyDescent="0.3">
      <c r="A636" s="34" t="s">
        <v>1842</v>
      </c>
      <c r="B636" s="34" t="s">
        <v>2536</v>
      </c>
      <c r="C636" s="34" t="s">
        <v>1843</v>
      </c>
    </row>
    <row r="637" spans="1:3" x14ac:dyDescent="0.3">
      <c r="A637" s="34" t="s">
        <v>1842</v>
      </c>
      <c r="B637" s="34" t="s">
        <v>2537</v>
      </c>
      <c r="C637" s="34" t="s">
        <v>1843</v>
      </c>
    </row>
    <row r="638" spans="1:3" x14ac:dyDescent="0.3">
      <c r="A638" s="34" t="s">
        <v>1842</v>
      </c>
      <c r="B638" s="34" t="s">
        <v>2538</v>
      </c>
      <c r="C638" s="34" t="s">
        <v>1843</v>
      </c>
    </row>
    <row r="639" spans="1:3" x14ac:dyDescent="0.3">
      <c r="A639" s="34" t="s">
        <v>1842</v>
      </c>
      <c r="B639" s="34" t="s">
        <v>2539</v>
      </c>
      <c r="C639" s="34" t="s">
        <v>1843</v>
      </c>
    </row>
    <row r="640" spans="1:3" x14ac:dyDescent="0.3">
      <c r="A640" s="34" t="s">
        <v>1842</v>
      </c>
      <c r="B640" s="34" t="s">
        <v>2540</v>
      </c>
      <c r="C640" s="34" t="s">
        <v>1843</v>
      </c>
    </row>
    <row r="641" spans="1:3" x14ac:dyDescent="0.3">
      <c r="A641" s="34" t="s">
        <v>1842</v>
      </c>
      <c r="B641" s="34" t="s">
        <v>1903</v>
      </c>
      <c r="C641" s="34" t="s">
        <v>1843</v>
      </c>
    </row>
    <row r="642" spans="1:3" x14ac:dyDescent="0.3">
      <c r="A642" s="34" t="s">
        <v>1842</v>
      </c>
      <c r="B642" s="34" t="s">
        <v>2541</v>
      </c>
      <c r="C642" s="34" t="s">
        <v>1843</v>
      </c>
    </row>
    <row r="643" spans="1:3" x14ac:dyDescent="0.3">
      <c r="A643" s="34" t="s">
        <v>1842</v>
      </c>
      <c r="B643" s="34" t="s">
        <v>2542</v>
      </c>
      <c r="C643" s="34" t="s">
        <v>1843</v>
      </c>
    </row>
    <row r="644" spans="1:3" x14ac:dyDescent="0.3">
      <c r="A644" s="34" t="s">
        <v>1842</v>
      </c>
      <c r="B644" s="34" t="s">
        <v>2543</v>
      </c>
      <c r="C644" s="34" t="s">
        <v>1843</v>
      </c>
    </row>
    <row r="645" spans="1:3" x14ac:dyDescent="0.3">
      <c r="A645" s="34" t="s">
        <v>1842</v>
      </c>
      <c r="B645" s="34" t="s">
        <v>2544</v>
      </c>
      <c r="C645" s="34" t="s">
        <v>1843</v>
      </c>
    </row>
    <row r="646" spans="1:3" x14ac:dyDescent="0.3">
      <c r="A646" s="34" t="s">
        <v>1842</v>
      </c>
      <c r="B646" s="34" t="s">
        <v>2545</v>
      </c>
      <c r="C646" s="34" t="s">
        <v>1843</v>
      </c>
    </row>
    <row r="647" spans="1:3" x14ac:dyDescent="0.3">
      <c r="A647" s="34" t="s">
        <v>1842</v>
      </c>
      <c r="B647" s="34" t="s">
        <v>2546</v>
      </c>
      <c r="C647" s="34" t="s">
        <v>1843</v>
      </c>
    </row>
    <row r="648" spans="1:3" x14ac:dyDescent="0.3">
      <c r="A648" s="34" t="s">
        <v>1842</v>
      </c>
      <c r="B648" s="34" t="s">
        <v>2547</v>
      </c>
      <c r="C648" s="34" t="s">
        <v>1843</v>
      </c>
    </row>
    <row r="649" spans="1:3" x14ac:dyDescent="0.3">
      <c r="A649" s="34" t="s">
        <v>1842</v>
      </c>
      <c r="B649" s="34" t="s">
        <v>1907</v>
      </c>
      <c r="C649" s="34" t="s">
        <v>1843</v>
      </c>
    </row>
    <row r="650" spans="1:3" x14ac:dyDescent="0.3">
      <c r="A650" s="34" t="s">
        <v>1842</v>
      </c>
      <c r="B650" s="34" t="s">
        <v>2548</v>
      </c>
      <c r="C650" s="34" t="s">
        <v>1843</v>
      </c>
    </row>
    <row r="651" spans="1:3" x14ac:dyDescent="0.3">
      <c r="A651" s="34" t="s">
        <v>1842</v>
      </c>
      <c r="B651" s="34" t="s">
        <v>2263</v>
      </c>
      <c r="C651" s="34" t="s">
        <v>1843</v>
      </c>
    </row>
    <row r="652" spans="1:3" x14ac:dyDescent="0.3">
      <c r="A652" s="34" t="s">
        <v>1842</v>
      </c>
      <c r="B652" s="34" t="s">
        <v>1908</v>
      </c>
      <c r="C652" s="34" t="s">
        <v>1843</v>
      </c>
    </row>
    <row r="653" spans="1:3" x14ac:dyDescent="0.3">
      <c r="A653" s="34" t="s">
        <v>1842</v>
      </c>
      <c r="B653" s="34" t="s">
        <v>2549</v>
      </c>
      <c r="C653" s="34" t="s">
        <v>1843</v>
      </c>
    </row>
    <row r="654" spans="1:3" x14ac:dyDescent="0.3">
      <c r="A654" s="34" t="s">
        <v>1842</v>
      </c>
      <c r="B654" s="34" t="s">
        <v>2550</v>
      </c>
      <c r="C654" s="34" t="s">
        <v>1843</v>
      </c>
    </row>
    <row r="655" spans="1:3" x14ac:dyDescent="0.3">
      <c r="A655" s="34" t="s">
        <v>1842</v>
      </c>
      <c r="B655" s="34" t="s">
        <v>2551</v>
      </c>
      <c r="C655" s="34" t="s">
        <v>1843</v>
      </c>
    </row>
    <row r="656" spans="1:3" x14ac:dyDescent="0.3">
      <c r="A656" s="34" t="s">
        <v>1842</v>
      </c>
      <c r="B656" s="34" t="s">
        <v>2552</v>
      </c>
      <c r="C656" s="34" t="s">
        <v>1843</v>
      </c>
    </row>
    <row r="657" spans="1:3" x14ac:dyDescent="0.3">
      <c r="A657" s="34" t="s">
        <v>1842</v>
      </c>
      <c r="B657" s="34" t="s">
        <v>2553</v>
      </c>
      <c r="C657" s="34" t="s">
        <v>1843</v>
      </c>
    </row>
    <row r="658" spans="1:3" x14ac:dyDescent="0.3">
      <c r="A658" s="34" t="s">
        <v>1842</v>
      </c>
      <c r="B658" s="34" t="s">
        <v>2432</v>
      </c>
      <c r="C658" s="34" t="s">
        <v>1843</v>
      </c>
    </row>
    <row r="659" spans="1:3" x14ac:dyDescent="0.3">
      <c r="A659" s="34" t="s">
        <v>1842</v>
      </c>
      <c r="B659" s="34" t="s">
        <v>2554</v>
      </c>
      <c r="C659" s="34" t="s">
        <v>1843</v>
      </c>
    </row>
    <row r="660" spans="1:3" x14ac:dyDescent="0.3">
      <c r="A660" s="34" t="s">
        <v>1842</v>
      </c>
      <c r="B660" s="34" t="s">
        <v>2555</v>
      </c>
      <c r="C660" s="34" t="s">
        <v>1843</v>
      </c>
    </row>
    <row r="661" spans="1:3" x14ac:dyDescent="0.3">
      <c r="A661" s="34" t="s">
        <v>1842</v>
      </c>
      <c r="B661" s="34" t="s">
        <v>2556</v>
      </c>
      <c r="C661" s="34" t="s">
        <v>1843</v>
      </c>
    </row>
    <row r="662" spans="1:3" x14ac:dyDescent="0.3">
      <c r="A662" s="34" t="s">
        <v>1842</v>
      </c>
      <c r="B662" s="34" t="s">
        <v>2557</v>
      </c>
      <c r="C662" s="34" t="s">
        <v>1843</v>
      </c>
    </row>
    <row r="663" spans="1:3" x14ac:dyDescent="0.3">
      <c r="A663" s="34" t="s">
        <v>1842</v>
      </c>
      <c r="B663" s="34" t="s">
        <v>2558</v>
      </c>
      <c r="C663" s="34" t="s">
        <v>1843</v>
      </c>
    </row>
    <row r="664" spans="1:3" x14ac:dyDescent="0.3">
      <c r="A664" s="34" t="s">
        <v>1842</v>
      </c>
      <c r="B664" s="34" t="s">
        <v>2559</v>
      </c>
      <c r="C664" s="34" t="s">
        <v>1843</v>
      </c>
    </row>
    <row r="665" spans="1:3" x14ac:dyDescent="0.3">
      <c r="A665" s="34" t="s">
        <v>1842</v>
      </c>
      <c r="B665" s="34" t="s">
        <v>2560</v>
      </c>
      <c r="C665" s="34" t="s">
        <v>1843</v>
      </c>
    </row>
    <row r="666" spans="1:3" x14ac:dyDescent="0.3">
      <c r="A666" s="34" t="s">
        <v>1842</v>
      </c>
      <c r="B666" s="34" t="s">
        <v>2561</v>
      </c>
      <c r="C666" s="34" t="s">
        <v>1843</v>
      </c>
    </row>
    <row r="667" spans="1:3" x14ac:dyDescent="0.3">
      <c r="A667" s="34" t="s">
        <v>1842</v>
      </c>
      <c r="B667" s="34" t="s">
        <v>2562</v>
      </c>
      <c r="C667" s="34" t="s">
        <v>1843</v>
      </c>
    </row>
    <row r="668" spans="1:3" x14ac:dyDescent="0.3">
      <c r="A668" s="34" t="s">
        <v>1842</v>
      </c>
      <c r="B668" s="34" t="s">
        <v>2563</v>
      </c>
      <c r="C668" s="34" t="s">
        <v>1843</v>
      </c>
    </row>
    <row r="669" spans="1:3" x14ac:dyDescent="0.3">
      <c r="A669" s="34" t="s">
        <v>1842</v>
      </c>
      <c r="B669" s="34" t="s">
        <v>2564</v>
      </c>
      <c r="C669" s="34" t="s">
        <v>1843</v>
      </c>
    </row>
    <row r="670" spans="1:3" x14ac:dyDescent="0.3">
      <c r="A670" s="34" t="s">
        <v>1842</v>
      </c>
      <c r="B670" s="34" t="s">
        <v>2271</v>
      </c>
      <c r="C670" s="34" t="s">
        <v>1843</v>
      </c>
    </row>
    <row r="671" spans="1:3" x14ac:dyDescent="0.3">
      <c r="A671" s="34" t="s">
        <v>1842</v>
      </c>
      <c r="B671" s="34" t="s">
        <v>2565</v>
      </c>
      <c r="C671" s="34" t="s">
        <v>1843</v>
      </c>
    </row>
    <row r="672" spans="1:3" x14ac:dyDescent="0.3">
      <c r="A672" s="34" t="s">
        <v>1842</v>
      </c>
      <c r="B672" s="34" t="s">
        <v>2566</v>
      </c>
      <c r="C672" s="34" t="s">
        <v>1843</v>
      </c>
    </row>
    <row r="673" spans="1:3" x14ac:dyDescent="0.3">
      <c r="A673" s="34" t="s">
        <v>1842</v>
      </c>
      <c r="B673" s="34" t="s">
        <v>2567</v>
      </c>
      <c r="C673" s="34" t="s">
        <v>1843</v>
      </c>
    </row>
    <row r="674" spans="1:3" x14ac:dyDescent="0.3">
      <c r="A674" s="34" t="s">
        <v>1842</v>
      </c>
      <c r="B674" s="34" t="s">
        <v>2568</v>
      </c>
      <c r="C674" s="34" t="s">
        <v>1843</v>
      </c>
    </row>
    <row r="675" spans="1:3" x14ac:dyDescent="0.3">
      <c r="A675" s="34" t="s">
        <v>1842</v>
      </c>
      <c r="B675" s="34" t="s">
        <v>2569</v>
      </c>
      <c r="C675" s="34" t="s">
        <v>1843</v>
      </c>
    </row>
    <row r="676" spans="1:3" x14ac:dyDescent="0.3">
      <c r="A676" s="34" t="s">
        <v>1842</v>
      </c>
      <c r="B676" s="34" t="s">
        <v>2570</v>
      </c>
      <c r="C676" s="34" t="s">
        <v>1843</v>
      </c>
    </row>
    <row r="677" spans="1:3" x14ac:dyDescent="0.3">
      <c r="A677" s="34" t="s">
        <v>1842</v>
      </c>
      <c r="B677" s="34" t="s">
        <v>2571</v>
      </c>
      <c r="C677" s="34" t="s">
        <v>1843</v>
      </c>
    </row>
    <row r="678" spans="1:3" x14ac:dyDescent="0.3">
      <c r="A678" s="34" t="s">
        <v>1842</v>
      </c>
      <c r="B678" s="34" t="s">
        <v>2572</v>
      </c>
      <c r="C678" s="34" t="s">
        <v>1843</v>
      </c>
    </row>
    <row r="679" spans="1:3" x14ac:dyDescent="0.3">
      <c r="A679" s="34" t="s">
        <v>1842</v>
      </c>
      <c r="B679" s="34" t="s">
        <v>2573</v>
      </c>
      <c r="C679" s="34" t="s">
        <v>1843</v>
      </c>
    </row>
    <row r="680" spans="1:3" x14ac:dyDescent="0.3">
      <c r="A680" s="34" t="s">
        <v>1842</v>
      </c>
      <c r="B680" s="34" t="s">
        <v>1854</v>
      </c>
      <c r="C680" s="34" t="s">
        <v>1843</v>
      </c>
    </row>
    <row r="681" spans="1:3" x14ac:dyDescent="0.3">
      <c r="A681" s="34" t="s">
        <v>1842</v>
      </c>
      <c r="B681" s="34" t="s">
        <v>2574</v>
      </c>
      <c r="C681" s="34" t="s">
        <v>1843</v>
      </c>
    </row>
    <row r="682" spans="1:3" x14ac:dyDescent="0.3">
      <c r="A682" s="34" t="s">
        <v>1842</v>
      </c>
      <c r="B682" s="34" t="s">
        <v>2575</v>
      </c>
      <c r="C682" s="34" t="s">
        <v>1843</v>
      </c>
    </row>
    <row r="683" spans="1:3" x14ac:dyDescent="0.3">
      <c r="A683" s="34" t="s">
        <v>1842</v>
      </c>
      <c r="B683" s="34" t="s">
        <v>2576</v>
      </c>
      <c r="C683" s="34" t="s">
        <v>1843</v>
      </c>
    </row>
    <row r="684" spans="1:3" x14ac:dyDescent="0.3">
      <c r="A684" s="34" t="s">
        <v>1842</v>
      </c>
      <c r="B684" s="34" t="s">
        <v>2577</v>
      </c>
      <c r="C684" s="34" t="s">
        <v>1843</v>
      </c>
    </row>
    <row r="685" spans="1:3" x14ac:dyDescent="0.3">
      <c r="A685" s="34" t="s">
        <v>1842</v>
      </c>
      <c r="B685" s="34" t="s">
        <v>2578</v>
      </c>
      <c r="C685" s="34" t="s">
        <v>1843</v>
      </c>
    </row>
    <row r="686" spans="1:3" x14ac:dyDescent="0.3">
      <c r="A686" s="34" t="s">
        <v>1842</v>
      </c>
      <c r="B686" s="34" t="s">
        <v>2579</v>
      </c>
      <c r="C686" s="34" t="s">
        <v>1843</v>
      </c>
    </row>
    <row r="687" spans="1:3" x14ac:dyDescent="0.3">
      <c r="A687" s="34" t="s">
        <v>1842</v>
      </c>
      <c r="B687" s="34" t="s">
        <v>2580</v>
      </c>
      <c r="C687" s="34" t="s">
        <v>1843</v>
      </c>
    </row>
    <row r="688" spans="1:3" x14ac:dyDescent="0.3">
      <c r="A688" s="34" t="s">
        <v>1842</v>
      </c>
      <c r="B688" s="34" t="s">
        <v>2581</v>
      </c>
      <c r="C688" s="34" t="s">
        <v>1843</v>
      </c>
    </row>
    <row r="689" spans="1:3" x14ac:dyDescent="0.3">
      <c r="A689" s="34" t="s">
        <v>1842</v>
      </c>
      <c r="B689" s="34" t="s">
        <v>2582</v>
      </c>
      <c r="C689" s="34" t="s">
        <v>1843</v>
      </c>
    </row>
    <row r="690" spans="1:3" x14ac:dyDescent="0.3">
      <c r="A690" s="34" t="s">
        <v>311</v>
      </c>
      <c r="B690" s="34" t="s">
        <v>2583</v>
      </c>
      <c r="C690" s="34" t="s">
        <v>1844</v>
      </c>
    </row>
    <row r="691" spans="1:3" x14ac:dyDescent="0.3">
      <c r="A691" s="34" t="s">
        <v>311</v>
      </c>
      <c r="B691" s="34" t="s">
        <v>2584</v>
      </c>
      <c r="C691" s="34" t="s">
        <v>1844</v>
      </c>
    </row>
    <row r="692" spans="1:3" x14ac:dyDescent="0.3">
      <c r="A692" s="34" t="s">
        <v>311</v>
      </c>
      <c r="B692" s="34" t="s">
        <v>2585</v>
      </c>
      <c r="C692" s="34" t="s">
        <v>1844</v>
      </c>
    </row>
    <row r="693" spans="1:3" x14ac:dyDescent="0.3">
      <c r="A693" s="34" t="s">
        <v>311</v>
      </c>
      <c r="B693" s="34" t="s">
        <v>2586</v>
      </c>
      <c r="C693" s="34" t="s">
        <v>1844</v>
      </c>
    </row>
    <row r="694" spans="1:3" x14ac:dyDescent="0.3">
      <c r="A694" s="34" t="s">
        <v>311</v>
      </c>
      <c r="B694" s="34" t="s">
        <v>2587</v>
      </c>
      <c r="C694" s="34" t="s">
        <v>1844</v>
      </c>
    </row>
    <row r="695" spans="1:3" x14ac:dyDescent="0.3">
      <c r="A695" s="34" t="s">
        <v>311</v>
      </c>
      <c r="B695" s="34" t="s">
        <v>2588</v>
      </c>
      <c r="C695" s="34" t="s">
        <v>1844</v>
      </c>
    </row>
    <row r="696" spans="1:3" x14ac:dyDescent="0.3">
      <c r="A696" s="34" t="s">
        <v>311</v>
      </c>
      <c r="B696" s="34" t="s">
        <v>2589</v>
      </c>
      <c r="C696" s="34" t="s">
        <v>1844</v>
      </c>
    </row>
    <row r="697" spans="1:3" x14ac:dyDescent="0.3">
      <c r="A697" s="34" t="s">
        <v>311</v>
      </c>
      <c r="B697" s="34" t="s">
        <v>2590</v>
      </c>
      <c r="C697" s="34" t="s">
        <v>1844</v>
      </c>
    </row>
    <row r="698" spans="1:3" x14ac:dyDescent="0.3">
      <c r="A698" s="34" t="s">
        <v>311</v>
      </c>
      <c r="B698" s="34" t="s">
        <v>2591</v>
      </c>
      <c r="C698" s="34" t="s">
        <v>1844</v>
      </c>
    </row>
    <row r="699" spans="1:3" x14ac:dyDescent="0.3">
      <c r="A699" s="34" t="s">
        <v>311</v>
      </c>
      <c r="B699" s="34" t="s">
        <v>2592</v>
      </c>
      <c r="C699" s="34" t="s">
        <v>1844</v>
      </c>
    </row>
    <row r="700" spans="1:3" x14ac:dyDescent="0.3">
      <c r="A700" s="34" t="s">
        <v>311</v>
      </c>
      <c r="B700" s="34" t="s">
        <v>2593</v>
      </c>
      <c r="C700" s="34" t="s">
        <v>1844</v>
      </c>
    </row>
    <row r="701" spans="1:3" x14ac:dyDescent="0.3">
      <c r="A701" s="34" t="s">
        <v>311</v>
      </c>
      <c r="B701" s="34" t="s">
        <v>2594</v>
      </c>
      <c r="C701" s="34" t="s">
        <v>1844</v>
      </c>
    </row>
    <row r="702" spans="1:3" x14ac:dyDescent="0.3">
      <c r="A702" s="34" t="s">
        <v>311</v>
      </c>
      <c r="B702" s="34" t="s">
        <v>2595</v>
      </c>
      <c r="C702" s="34" t="s">
        <v>1844</v>
      </c>
    </row>
    <row r="703" spans="1:3" x14ac:dyDescent="0.3">
      <c r="A703" s="34" t="s">
        <v>311</v>
      </c>
      <c r="B703" s="34" t="s">
        <v>1985</v>
      </c>
      <c r="C703" s="34" t="s">
        <v>1844</v>
      </c>
    </row>
    <row r="704" spans="1:3" x14ac:dyDescent="0.3">
      <c r="A704" s="34" t="s">
        <v>311</v>
      </c>
      <c r="B704" s="34" t="s">
        <v>2596</v>
      </c>
      <c r="C704" s="34" t="s">
        <v>1844</v>
      </c>
    </row>
    <row r="705" spans="1:3" x14ac:dyDescent="0.3">
      <c r="A705" s="34" t="s">
        <v>311</v>
      </c>
      <c r="B705" s="34" t="s">
        <v>2597</v>
      </c>
      <c r="C705" s="34" t="s">
        <v>1844</v>
      </c>
    </row>
    <row r="706" spans="1:3" x14ac:dyDescent="0.3">
      <c r="A706" s="34" t="s">
        <v>311</v>
      </c>
      <c r="B706" s="34" t="s">
        <v>2598</v>
      </c>
      <c r="C706" s="34" t="s">
        <v>1844</v>
      </c>
    </row>
    <row r="707" spans="1:3" x14ac:dyDescent="0.3">
      <c r="A707" s="34" t="s">
        <v>311</v>
      </c>
      <c r="B707" s="34" t="s">
        <v>2599</v>
      </c>
      <c r="C707" s="34" t="s">
        <v>1844</v>
      </c>
    </row>
    <row r="708" spans="1:3" x14ac:dyDescent="0.3">
      <c r="A708" s="34" t="s">
        <v>311</v>
      </c>
      <c r="B708" s="34" t="s">
        <v>2600</v>
      </c>
      <c r="C708" s="34" t="s">
        <v>1844</v>
      </c>
    </row>
    <row r="709" spans="1:3" x14ac:dyDescent="0.3">
      <c r="A709" s="34" t="s">
        <v>311</v>
      </c>
      <c r="B709" s="34" t="s">
        <v>2601</v>
      </c>
      <c r="C709" s="34" t="s">
        <v>1844</v>
      </c>
    </row>
    <row r="710" spans="1:3" x14ac:dyDescent="0.3">
      <c r="A710" s="34" t="s">
        <v>311</v>
      </c>
      <c r="B710" s="34" t="s">
        <v>2602</v>
      </c>
      <c r="C710" s="34" t="s">
        <v>1844</v>
      </c>
    </row>
    <row r="711" spans="1:3" x14ac:dyDescent="0.3">
      <c r="A711" s="34" t="s">
        <v>311</v>
      </c>
      <c r="B711" s="34" t="s">
        <v>2542</v>
      </c>
      <c r="C711" s="34" t="s">
        <v>1844</v>
      </c>
    </row>
    <row r="712" spans="1:3" x14ac:dyDescent="0.3">
      <c r="A712" s="34" t="s">
        <v>311</v>
      </c>
      <c r="B712" s="34" t="s">
        <v>2603</v>
      </c>
      <c r="C712" s="34" t="s">
        <v>1844</v>
      </c>
    </row>
    <row r="713" spans="1:3" x14ac:dyDescent="0.3">
      <c r="A713" s="34" t="s">
        <v>311</v>
      </c>
      <c r="B713" s="34" t="s">
        <v>2604</v>
      </c>
      <c r="C713" s="34" t="s">
        <v>1844</v>
      </c>
    </row>
    <row r="714" spans="1:3" x14ac:dyDescent="0.3">
      <c r="A714" s="34" t="s">
        <v>311</v>
      </c>
      <c r="B714" s="34" t="s">
        <v>1907</v>
      </c>
      <c r="C714" s="34" t="s">
        <v>1844</v>
      </c>
    </row>
    <row r="715" spans="1:3" x14ac:dyDescent="0.3">
      <c r="A715" s="34" t="s">
        <v>311</v>
      </c>
      <c r="B715" s="34" t="s">
        <v>1908</v>
      </c>
      <c r="C715" s="34" t="s">
        <v>1844</v>
      </c>
    </row>
    <row r="716" spans="1:3" x14ac:dyDescent="0.3">
      <c r="A716" s="34" t="s">
        <v>311</v>
      </c>
      <c r="B716" s="34" t="s">
        <v>2605</v>
      </c>
      <c r="C716" s="34" t="s">
        <v>1844</v>
      </c>
    </row>
    <row r="717" spans="1:3" x14ac:dyDescent="0.3">
      <c r="A717" s="34" t="s">
        <v>311</v>
      </c>
      <c r="B717" s="34" t="s">
        <v>2606</v>
      </c>
      <c r="C717" s="34" t="s">
        <v>1844</v>
      </c>
    </row>
    <row r="718" spans="1:3" x14ac:dyDescent="0.3">
      <c r="A718" s="34" t="s">
        <v>311</v>
      </c>
      <c r="B718" s="34" t="s">
        <v>2607</v>
      </c>
      <c r="C718" s="34" t="s">
        <v>1844</v>
      </c>
    </row>
    <row r="719" spans="1:3" x14ac:dyDescent="0.3">
      <c r="A719" s="34" t="s">
        <v>311</v>
      </c>
      <c r="B719" s="34" t="s">
        <v>2555</v>
      </c>
      <c r="C719" s="34" t="s">
        <v>1844</v>
      </c>
    </row>
    <row r="720" spans="1:3" x14ac:dyDescent="0.3">
      <c r="A720" s="34" t="s">
        <v>311</v>
      </c>
      <c r="B720" s="34" t="s">
        <v>2608</v>
      </c>
      <c r="C720" s="34" t="s">
        <v>1844</v>
      </c>
    </row>
    <row r="721" spans="1:3" x14ac:dyDescent="0.3">
      <c r="A721" s="34" t="s">
        <v>311</v>
      </c>
      <c r="B721" s="34" t="s">
        <v>2609</v>
      </c>
      <c r="C721" s="34" t="s">
        <v>1844</v>
      </c>
    </row>
    <row r="722" spans="1:3" x14ac:dyDescent="0.3">
      <c r="A722" s="34" t="s">
        <v>311</v>
      </c>
      <c r="B722" s="34" t="s">
        <v>2610</v>
      </c>
      <c r="C722" s="34" t="s">
        <v>1844</v>
      </c>
    </row>
    <row r="723" spans="1:3" x14ac:dyDescent="0.3">
      <c r="A723" s="34" t="s">
        <v>311</v>
      </c>
      <c r="B723" s="34" t="s">
        <v>2611</v>
      </c>
      <c r="C723" s="34" t="s">
        <v>1844</v>
      </c>
    </row>
    <row r="724" spans="1:3" x14ac:dyDescent="0.3">
      <c r="A724" s="34" t="s">
        <v>311</v>
      </c>
      <c r="B724" s="34" t="s">
        <v>2612</v>
      </c>
      <c r="C724" s="34" t="s">
        <v>1844</v>
      </c>
    </row>
    <row r="725" spans="1:3" x14ac:dyDescent="0.3">
      <c r="A725" s="34" t="s">
        <v>311</v>
      </c>
      <c r="B725" s="34" t="s">
        <v>2613</v>
      </c>
      <c r="C725" s="34" t="s">
        <v>1844</v>
      </c>
    </row>
    <row r="726" spans="1:3" x14ac:dyDescent="0.3">
      <c r="A726" s="34" t="s">
        <v>311</v>
      </c>
      <c r="B726" s="34" t="s">
        <v>1853</v>
      </c>
      <c r="C726" s="34" t="s">
        <v>1844</v>
      </c>
    </row>
    <row r="727" spans="1:3" x14ac:dyDescent="0.3">
      <c r="A727" s="34" t="s">
        <v>312</v>
      </c>
      <c r="B727" s="34" t="s">
        <v>2614</v>
      </c>
      <c r="C727" s="34" t="s">
        <v>1845</v>
      </c>
    </row>
    <row r="728" spans="1:3" x14ac:dyDescent="0.3">
      <c r="A728" s="34" t="s">
        <v>312</v>
      </c>
      <c r="B728" s="34" t="s">
        <v>2615</v>
      </c>
      <c r="C728" s="34" t="s">
        <v>1845</v>
      </c>
    </row>
    <row r="729" spans="1:3" x14ac:dyDescent="0.3">
      <c r="A729" s="34" t="s">
        <v>312</v>
      </c>
      <c r="B729" s="34" t="s">
        <v>2616</v>
      </c>
      <c r="C729" s="34" t="s">
        <v>1845</v>
      </c>
    </row>
    <row r="730" spans="1:3" x14ac:dyDescent="0.3">
      <c r="A730" s="34" t="s">
        <v>312</v>
      </c>
      <c r="B730" s="34" t="s">
        <v>2617</v>
      </c>
      <c r="C730" s="34" t="s">
        <v>1845</v>
      </c>
    </row>
    <row r="731" spans="1:3" x14ac:dyDescent="0.3">
      <c r="A731" s="34" t="s">
        <v>312</v>
      </c>
      <c r="B731" s="34" t="s">
        <v>2618</v>
      </c>
      <c r="C731" s="34" t="s">
        <v>1845</v>
      </c>
    </row>
    <row r="732" spans="1:3" x14ac:dyDescent="0.3">
      <c r="A732" s="34" t="s">
        <v>312</v>
      </c>
      <c r="B732" s="34" t="s">
        <v>2619</v>
      </c>
      <c r="C732" s="34" t="s">
        <v>1845</v>
      </c>
    </row>
    <row r="733" spans="1:3" x14ac:dyDescent="0.3">
      <c r="A733" s="34" t="s">
        <v>312</v>
      </c>
      <c r="B733" s="34" t="s">
        <v>2483</v>
      </c>
      <c r="C733" s="34" t="s">
        <v>1845</v>
      </c>
    </row>
    <row r="734" spans="1:3" x14ac:dyDescent="0.3">
      <c r="A734" s="34" t="s">
        <v>312</v>
      </c>
      <c r="B734" s="34" t="s">
        <v>2620</v>
      </c>
      <c r="C734" s="34" t="s">
        <v>1845</v>
      </c>
    </row>
    <row r="735" spans="1:3" x14ac:dyDescent="0.3">
      <c r="A735" s="34" t="s">
        <v>312</v>
      </c>
      <c r="B735" s="34" t="s">
        <v>2621</v>
      </c>
      <c r="C735" s="34" t="s">
        <v>1845</v>
      </c>
    </row>
    <row r="736" spans="1:3" x14ac:dyDescent="0.3">
      <c r="A736" s="34" t="s">
        <v>312</v>
      </c>
      <c r="B736" s="34" t="s">
        <v>2622</v>
      </c>
      <c r="C736" s="34" t="s">
        <v>1845</v>
      </c>
    </row>
    <row r="737" spans="1:3" x14ac:dyDescent="0.3">
      <c r="A737" s="34" t="s">
        <v>312</v>
      </c>
      <c r="B737" s="34" t="s">
        <v>2623</v>
      </c>
      <c r="C737" s="34" t="s">
        <v>1845</v>
      </c>
    </row>
    <row r="738" spans="1:3" x14ac:dyDescent="0.3">
      <c r="A738" s="34" t="s">
        <v>312</v>
      </c>
      <c r="B738" s="34" t="s">
        <v>2624</v>
      </c>
      <c r="C738" s="34" t="s">
        <v>1845</v>
      </c>
    </row>
    <row r="739" spans="1:3" x14ac:dyDescent="0.3">
      <c r="A739" s="34" t="s">
        <v>312</v>
      </c>
      <c r="B739" s="34" t="s">
        <v>2591</v>
      </c>
      <c r="C739" s="34" t="s">
        <v>1845</v>
      </c>
    </row>
    <row r="740" spans="1:3" x14ac:dyDescent="0.3">
      <c r="A740" s="34" t="s">
        <v>312</v>
      </c>
      <c r="B740" s="34" t="s">
        <v>2625</v>
      </c>
      <c r="C740" s="34" t="s">
        <v>1845</v>
      </c>
    </row>
    <row r="741" spans="1:3" x14ac:dyDescent="0.3">
      <c r="A741" s="34" t="s">
        <v>312</v>
      </c>
      <c r="B741" s="34" t="s">
        <v>2626</v>
      </c>
      <c r="C741" s="34" t="s">
        <v>1845</v>
      </c>
    </row>
    <row r="742" spans="1:3" x14ac:dyDescent="0.3">
      <c r="A742" s="34" t="s">
        <v>312</v>
      </c>
      <c r="B742" s="34" t="s">
        <v>2627</v>
      </c>
      <c r="C742" s="34" t="s">
        <v>1845</v>
      </c>
    </row>
    <row r="743" spans="1:3" x14ac:dyDescent="0.3">
      <c r="A743" s="34" t="s">
        <v>312</v>
      </c>
      <c r="B743" s="34" t="s">
        <v>2401</v>
      </c>
      <c r="C743" s="34" t="s">
        <v>1845</v>
      </c>
    </row>
    <row r="744" spans="1:3" x14ac:dyDescent="0.3">
      <c r="A744" s="34" t="s">
        <v>312</v>
      </c>
      <c r="B744" s="34" t="s">
        <v>2628</v>
      </c>
      <c r="C744" s="34" t="s">
        <v>1845</v>
      </c>
    </row>
    <row r="745" spans="1:3" x14ac:dyDescent="0.3">
      <c r="A745" s="34" t="s">
        <v>312</v>
      </c>
      <c r="B745" s="34" t="s">
        <v>2629</v>
      </c>
      <c r="C745" s="34" t="s">
        <v>1845</v>
      </c>
    </row>
    <row r="746" spans="1:3" x14ac:dyDescent="0.3">
      <c r="A746" s="34" t="s">
        <v>312</v>
      </c>
      <c r="B746" s="34" t="s">
        <v>2630</v>
      </c>
      <c r="C746" s="34" t="s">
        <v>1845</v>
      </c>
    </row>
    <row r="747" spans="1:3" x14ac:dyDescent="0.3">
      <c r="A747" s="34" t="s">
        <v>312</v>
      </c>
      <c r="B747" s="34" t="s">
        <v>2631</v>
      </c>
      <c r="C747" s="34" t="s">
        <v>1845</v>
      </c>
    </row>
    <row r="748" spans="1:3" x14ac:dyDescent="0.3">
      <c r="A748" s="34" t="s">
        <v>312</v>
      </c>
      <c r="B748" s="34" t="s">
        <v>2285</v>
      </c>
      <c r="C748" s="34" t="s">
        <v>1845</v>
      </c>
    </row>
    <row r="749" spans="1:3" x14ac:dyDescent="0.3">
      <c r="A749" s="34" t="s">
        <v>312</v>
      </c>
      <c r="B749" s="34" t="s">
        <v>1884</v>
      </c>
      <c r="C749" s="34" t="s">
        <v>1845</v>
      </c>
    </row>
    <row r="750" spans="1:3" x14ac:dyDescent="0.3">
      <c r="A750" s="34" t="s">
        <v>312</v>
      </c>
      <c r="B750" s="34" t="s">
        <v>2632</v>
      </c>
      <c r="C750" s="34" t="s">
        <v>1845</v>
      </c>
    </row>
    <row r="751" spans="1:3" x14ac:dyDescent="0.3">
      <c r="A751" s="34" t="s">
        <v>312</v>
      </c>
      <c r="B751" s="34" t="s">
        <v>2633</v>
      </c>
      <c r="C751" s="34" t="s">
        <v>1845</v>
      </c>
    </row>
    <row r="752" spans="1:3" x14ac:dyDescent="0.3">
      <c r="A752" s="34" t="s">
        <v>312</v>
      </c>
      <c r="B752" s="34" t="s">
        <v>2634</v>
      </c>
      <c r="C752" s="34" t="s">
        <v>1845</v>
      </c>
    </row>
    <row r="753" spans="1:3" x14ac:dyDescent="0.3">
      <c r="A753" s="34" t="s">
        <v>312</v>
      </c>
      <c r="B753" s="34" t="s">
        <v>2635</v>
      </c>
      <c r="C753" s="34" t="s">
        <v>1845</v>
      </c>
    </row>
    <row r="754" spans="1:3" x14ac:dyDescent="0.3">
      <c r="A754" s="34" t="s">
        <v>312</v>
      </c>
      <c r="B754" s="34" t="s">
        <v>2636</v>
      </c>
      <c r="C754" s="34" t="s">
        <v>1845</v>
      </c>
    </row>
    <row r="755" spans="1:3" x14ac:dyDescent="0.3">
      <c r="A755" s="34" t="s">
        <v>312</v>
      </c>
      <c r="B755" s="34" t="s">
        <v>2637</v>
      </c>
      <c r="C755" s="34" t="s">
        <v>1845</v>
      </c>
    </row>
    <row r="756" spans="1:3" x14ac:dyDescent="0.3">
      <c r="A756" s="34" t="s">
        <v>312</v>
      </c>
      <c r="B756" s="34" t="s">
        <v>2295</v>
      </c>
      <c r="C756" s="34" t="s">
        <v>1845</v>
      </c>
    </row>
    <row r="757" spans="1:3" x14ac:dyDescent="0.3">
      <c r="A757" s="34" t="s">
        <v>312</v>
      </c>
      <c r="B757" s="34" t="s">
        <v>2638</v>
      </c>
      <c r="C757" s="34" t="s">
        <v>1845</v>
      </c>
    </row>
    <row r="758" spans="1:3" x14ac:dyDescent="0.3">
      <c r="A758" s="34" t="s">
        <v>312</v>
      </c>
      <c r="B758" s="34" t="s">
        <v>1985</v>
      </c>
      <c r="C758" s="34" t="s">
        <v>1845</v>
      </c>
    </row>
    <row r="759" spans="1:3" x14ac:dyDescent="0.3">
      <c r="A759" s="34" t="s">
        <v>312</v>
      </c>
      <c r="B759" s="34" t="s">
        <v>2639</v>
      </c>
      <c r="C759" s="34" t="s">
        <v>1845</v>
      </c>
    </row>
    <row r="760" spans="1:3" x14ac:dyDescent="0.3">
      <c r="A760" s="34" t="s">
        <v>312</v>
      </c>
      <c r="B760" s="34" t="s">
        <v>2640</v>
      </c>
      <c r="C760" s="34" t="s">
        <v>1845</v>
      </c>
    </row>
    <row r="761" spans="1:3" x14ac:dyDescent="0.3">
      <c r="A761" s="34" t="s">
        <v>312</v>
      </c>
      <c r="B761" s="34" t="s">
        <v>2641</v>
      </c>
      <c r="C761" s="34" t="s">
        <v>1845</v>
      </c>
    </row>
    <row r="762" spans="1:3" x14ac:dyDescent="0.3">
      <c r="A762" s="34" t="s">
        <v>312</v>
      </c>
      <c r="B762" s="34" t="s">
        <v>2642</v>
      </c>
      <c r="C762" s="34" t="s">
        <v>1845</v>
      </c>
    </row>
    <row r="763" spans="1:3" x14ac:dyDescent="0.3">
      <c r="A763" s="34" t="s">
        <v>312</v>
      </c>
      <c r="B763" s="34" t="s">
        <v>2454</v>
      </c>
      <c r="C763" s="34" t="s">
        <v>1845</v>
      </c>
    </row>
    <row r="764" spans="1:3" x14ac:dyDescent="0.3">
      <c r="A764" s="34" t="s">
        <v>312</v>
      </c>
      <c r="B764" s="34" t="s">
        <v>2643</v>
      </c>
      <c r="C764" s="34" t="s">
        <v>1845</v>
      </c>
    </row>
    <row r="765" spans="1:3" x14ac:dyDescent="0.3">
      <c r="A765" s="34" t="s">
        <v>312</v>
      </c>
      <c r="B765" s="34" t="s">
        <v>2644</v>
      </c>
      <c r="C765" s="34" t="s">
        <v>1845</v>
      </c>
    </row>
    <row r="766" spans="1:3" x14ac:dyDescent="0.3">
      <c r="A766" s="34" t="s">
        <v>312</v>
      </c>
      <c r="B766" s="34" t="s">
        <v>2645</v>
      </c>
      <c r="C766" s="34" t="s">
        <v>1845</v>
      </c>
    </row>
    <row r="767" spans="1:3" x14ac:dyDescent="0.3">
      <c r="A767" s="34" t="s">
        <v>312</v>
      </c>
      <c r="B767" s="34" t="s">
        <v>2080</v>
      </c>
      <c r="C767" s="34" t="s">
        <v>1845</v>
      </c>
    </row>
    <row r="768" spans="1:3" x14ac:dyDescent="0.3">
      <c r="A768" s="34" t="s">
        <v>312</v>
      </c>
      <c r="B768" s="34" t="s">
        <v>2646</v>
      </c>
      <c r="C768" s="34" t="s">
        <v>1845</v>
      </c>
    </row>
    <row r="769" spans="1:3" x14ac:dyDescent="0.3">
      <c r="A769" s="34" t="s">
        <v>312</v>
      </c>
      <c r="B769" s="34" t="s">
        <v>2647</v>
      </c>
      <c r="C769" s="34" t="s">
        <v>1845</v>
      </c>
    </row>
    <row r="770" spans="1:3" x14ac:dyDescent="0.3">
      <c r="A770" s="34" t="s">
        <v>312</v>
      </c>
      <c r="B770" s="34" t="s">
        <v>2648</v>
      </c>
      <c r="C770" s="34" t="s">
        <v>1845</v>
      </c>
    </row>
    <row r="771" spans="1:3" x14ac:dyDescent="0.3">
      <c r="A771" s="34" t="s">
        <v>312</v>
      </c>
      <c r="B771" s="34" t="s">
        <v>2649</v>
      </c>
      <c r="C771" s="34" t="s">
        <v>1845</v>
      </c>
    </row>
    <row r="772" spans="1:3" x14ac:dyDescent="0.3">
      <c r="A772" s="34" t="s">
        <v>312</v>
      </c>
      <c r="B772" s="34" t="s">
        <v>2650</v>
      </c>
      <c r="C772" s="34" t="s">
        <v>1845</v>
      </c>
    </row>
    <row r="773" spans="1:3" x14ac:dyDescent="0.3">
      <c r="A773" s="34" t="s">
        <v>312</v>
      </c>
      <c r="B773" s="34" t="s">
        <v>2651</v>
      </c>
      <c r="C773" s="34" t="s">
        <v>1845</v>
      </c>
    </row>
    <row r="774" spans="1:3" x14ac:dyDescent="0.3">
      <c r="A774" s="34" t="s">
        <v>312</v>
      </c>
      <c r="B774" s="34" t="s">
        <v>1894</v>
      </c>
      <c r="C774" s="34" t="s">
        <v>1845</v>
      </c>
    </row>
    <row r="775" spans="1:3" x14ac:dyDescent="0.3">
      <c r="A775" s="34" t="s">
        <v>312</v>
      </c>
      <c r="B775" s="34" t="s">
        <v>2652</v>
      </c>
      <c r="C775" s="34" t="s">
        <v>1845</v>
      </c>
    </row>
    <row r="776" spans="1:3" x14ac:dyDescent="0.3">
      <c r="A776" s="34" t="s">
        <v>312</v>
      </c>
      <c r="B776" s="34" t="s">
        <v>2086</v>
      </c>
      <c r="C776" s="34" t="s">
        <v>1845</v>
      </c>
    </row>
    <row r="777" spans="1:3" x14ac:dyDescent="0.3">
      <c r="A777" s="34" t="s">
        <v>312</v>
      </c>
      <c r="B777" s="34" t="s">
        <v>2653</v>
      </c>
      <c r="C777" s="34" t="s">
        <v>1845</v>
      </c>
    </row>
    <row r="778" spans="1:3" x14ac:dyDescent="0.3">
      <c r="A778" s="34" t="s">
        <v>312</v>
      </c>
      <c r="B778" s="34" t="s">
        <v>2654</v>
      </c>
      <c r="C778" s="34" t="s">
        <v>1845</v>
      </c>
    </row>
    <row r="779" spans="1:3" x14ac:dyDescent="0.3">
      <c r="A779" s="34" t="s">
        <v>312</v>
      </c>
      <c r="B779" s="34" t="s">
        <v>2410</v>
      </c>
      <c r="C779" s="34" t="s">
        <v>1845</v>
      </c>
    </row>
    <row r="780" spans="1:3" x14ac:dyDescent="0.3">
      <c r="A780" s="34" t="s">
        <v>312</v>
      </c>
      <c r="B780" s="34" t="s">
        <v>2655</v>
      </c>
      <c r="C780" s="34" t="s">
        <v>1845</v>
      </c>
    </row>
    <row r="781" spans="1:3" x14ac:dyDescent="0.3">
      <c r="A781" s="34" t="s">
        <v>312</v>
      </c>
      <c r="B781" s="34" t="s">
        <v>2656</v>
      </c>
      <c r="C781" s="34" t="s">
        <v>1845</v>
      </c>
    </row>
    <row r="782" spans="1:3" x14ac:dyDescent="0.3">
      <c r="A782" s="34" t="s">
        <v>312</v>
      </c>
      <c r="B782" s="34" t="s">
        <v>2657</v>
      </c>
      <c r="C782" s="34" t="s">
        <v>1845</v>
      </c>
    </row>
    <row r="783" spans="1:3" x14ac:dyDescent="0.3">
      <c r="A783" s="34" t="s">
        <v>312</v>
      </c>
      <c r="B783" s="34" t="s">
        <v>2658</v>
      </c>
      <c r="C783" s="34" t="s">
        <v>1845</v>
      </c>
    </row>
    <row r="784" spans="1:3" x14ac:dyDescent="0.3">
      <c r="A784" s="34" t="s">
        <v>312</v>
      </c>
      <c r="B784" s="34" t="s">
        <v>2659</v>
      </c>
      <c r="C784" s="34" t="s">
        <v>1845</v>
      </c>
    </row>
    <row r="785" spans="1:3" x14ac:dyDescent="0.3">
      <c r="A785" s="34" t="s">
        <v>312</v>
      </c>
      <c r="B785" s="34" t="s">
        <v>2660</v>
      </c>
      <c r="C785" s="34" t="s">
        <v>1845</v>
      </c>
    </row>
    <row r="786" spans="1:3" x14ac:dyDescent="0.3">
      <c r="A786" s="34" t="s">
        <v>312</v>
      </c>
      <c r="B786" s="34" t="s">
        <v>2661</v>
      </c>
      <c r="C786" s="34" t="s">
        <v>1845</v>
      </c>
    </row>
    <row r="787" spans="1:3" x14ac:dyDescent="0.3">
      <c r="A787" s="34" t="s">
        <v>312</v>
      </c>
      <c r="B787" s="34" t="s">
        <v>2662</v>
      </c>
      <c r="C787" s="34" t="s">
        <v>1845</v>
      </c>
    </row>
    <row r="788" spans="1:3" x14ac:dyDescent="0.3">
      <c r="A788" s="34" t="s">
        <v>312</v>
      </c>
      <c r="B788" s="34" t="s">
        <v>2663</v>
      </c>
      <c r="C788" s="34" t="s">
        <v>1845</v>
      </c>
    </row>
    <row r="789" spans="1:3" x14ac:dyDescent="0.3">
      <c r="A789" s="34" t="s">
        <v>312</v>
      </c>
      <c r="B789" s="34" t="s">
        <v>2374</v>
      </c>
      <c r="C789" s="34" t="s">
        <v>1845</v>
      </c>
    </row>
    <row r="790" spans="1:3" x14ac:dyDescent="0.3">
      <c r="A790" s="34" t="s">
        <v>312</v>
      </c>
      <c r="B790" s="34" t="s">
        <v>2664</v>
      </c>
      <c r="C790" s="34" t="s">
        <v>1845</v>
      </c>
    </row>
    <row r="791" spans="1:3" x14ac:dyDescent="0.3">
      <c r="A791" s="34" t="s">
        <v>312</v>
      </c>
      <c r="B791" s="34" t="s">
        <v>2665</v>
      </c>
      <c r="C791" s="34" t="s">
        <v>1845</v>
      </c>
    </row>
    <row r="792" spans="1:3" x14ac:dyDescent="0.3">
      <c r="A792" s="34" t="s">
        <v>312</v>
      </c>
      <c r="B792" s="34" t="s">
        <v>2666</v>
      </c>
      <c r="C792" s="34" t="s">
        <v>1845</v>
      </c>
    </row>
    <row r="793" spans="1:3" x14ac:dyDescent="0.3">
      <c r="A793" s="34" t="s">
        <v>312</v>
      </c>
      <c r="B793" s="34" t="s">
        <v>2375</v>
      </c>
      <c r="C793" s="34" t="s">
        <v>1845</v>
      </c>
    </row>
    <row r="794" spans="1:3" x14ac:dyDescent="0.3">
      <c r="A794" s="34" t="s">
        <v>312</v>
      </c>
      <c r="B794" s="34" t="s">
        <v>2667</v>
      </c>
      <c r="C794" s="34" t="s">
        <v>1845</v>
      </c>
    </row>
    <row r="795" spans="1:3" x14ac:dyDescent="0.3">
      <c r="A795" s="34" t="s">
        <v>312</v>
      </c>
      <c r="B795" s="34" t="s">
        <v>2668</v>
      </c>
      <c r="C795" s="34" t="s">
        <v>1845</v>
      </c>
    </row>
    <row r="796" spans="1:3" x14ac:dyDescent="0.3">
      <c r="A796" s="34" t="s">
        <v>312</v>
      </c>
      <c r="B796" s="34" t="s">
        <v>2669</v>
      </c>
      <c r="C796" s="34" t="s">
        <v>1845</v>
      </c>
    </row>
    <row r="797" spans="1:3" x14ac:dyDescent="0.3">
      <c r="A797" s="34" t="s">
        <v>312</v>
      </c>
      <c r="B797" s="34" t="s">
        <v>2342</v>
      </c>
      <c r="C797" s="34" t="s">
        <v>1845</v>
      </c>
    </row>
    <row r="798" spans="1:3" x14ac:dyDescent="0.3">
      <c r="A798" s="34" t="s">
        <v>312</v>
      </c>
      <c r="B798" s="34" t="s">
        <v>1941</v>
      </c>
      <c r="C798" s="34" t="s">
        <v>1845</v>
      </c>
    </row>
    <row r="799" spans="1:3" x14ac:dyDescent="0.3">
      <c r="A799" s="34" t="s">
        <v>312</v>
      </c>
      <c r="B799" s="34" t="s">
        <v>2670</v>
      </c>
      <c r="C799" s="34" t="s">
        <v>1845</v>
      </c>
    </row>
    <row r="800" spans="1:3" x14ac:dyDescent="0.3">
      <c r="A800" s="34" t="s">
        <v>312</v>
      </c>
      <c r="B800" s="34" t="s">
        <v>1903</v>
      </c>
      <c r="C800" s="34" t="s">
        <v>1845</v>
      </c>
    </row>
    <row r="801" spans="1:3" x14ac:dyDescent="0.3">
      <c r="A801" s="34" t="s">
        <v>312</v>
      </c>
      <c r="B801" s="34" t="s">
        <v>2542</v>
      </c>
      <c r="C801" s="34" t="s">
        <v>1845</v>
      </c>
    </row>
    <row r="802" spans="1:3" x14ac:dyDescent="0.3">
      <c r="A802" s="34" t="s">
        <v>312</v>
      </c>
      <c r="B802" s="34" t="s">
        <v>2671</v>
      </c>
      <c r="C802" s="34" t="s">
        <v>1845</v>
      </c>
    </row>
    <row r="803" spans="1:3" x14ac:dyDescent="0.3">
      <c r="A803" s="34" t="s">
        <v>312</v>
      </c>
      <c r="B803" s="34" t="s">
        <v>2426</v>
      </c>
      <c r="C803" s="34" t="s">
        <v>1845</v>
      </c>
    </row>
    <row r="804" spans="1:3" x14ac:dyDescent="0.3">
      <c r="A804" s="34" t="s">
        <v>312</v>
      </c>
      <c r="B804" s="34" t="s">
        <v>1943</v>
      </c>
      <c r="C804" s="34" t="s">
        <v>1845</v>
      </c>
    </row>
    <row r="805" spans="1:3" x14ac:dyDescent="0.3">
      <c r="A805" s="34" t="s">
        <v>312</v>
      </c>
      <c r="B805" s="34" t="s">
        <v>2672</v>
      </c>
      <c r="C805" s="34" t="s">
        <v>1845</v>
      </c>
    </row>
    <row r="806" spans="1:3" x14ac:dyDescent="0.3">
      <c r="A806" s="34" t="s">
        <v>312</v>
      </c>
      <c r="B806" s="34" t="s">
        <v>2673</v>
      </c>
      <c r="C806" s="34" t="s">
        <v>1845</v>
      </c>
    </row>
    <row r="807" spans="1:3" x14ac:dyDescent="0.3">
      <c r="A807" s="34" t="s">
        <v>312</v>
      </c>
      <c r="B807" s="34" t="s">
        <v>2674</v>
      </c>
      <c r="C807" s="34" t="s">
        <v>1845</v>
      </c>
    </row>
    <row r="808" spans="1:3" x14ac:dyDescent="0.3">
      <c r="A808" s="34" t="s">
        <v>312</v>
      </c>
      <c r="B808" s="34" t="s">
        <v>1907</v>
      </c>
      <c r="C808" s="34" t="s">
        <v>1845</v>
      </c>
    </row>
    <row r="809" spans="1:3" x14ac:dyDescent="0.3">
      <c r="A809" s="34" t="s">
        <v>312</v>
      </c>
      <c r="B809" s="34" t="s">
        <v>2468</v>
      </c>
      <c r="C809" s="34" t="s">
        <v>1845</v>
      </c>
    </row>
    <row r="810" spans="1:3" x14ac:dyDescent="0.3">
      <c r="A810" s="34" t="s">
        <v>312</v>
      </c>
      <c r="B810" s="34" t="s">
        <v>1908</v>
      </c>
      <c r="C810" s="34" t="s">
        <v>1845</v>
      </c>
    </row>
    <row r="811" spans="1:3" x14ac:dyDescent="0.3">
      <c r="A811" s="34" t="s">
        <v>312</v>
      </c>
      <c r="B811" s="34" t="s">
        <v>2675</v>
      </c>
      <c r="C811" s="34" t="s">
        <v>1845</v>
      </c>
    </row>
    <row r="812" spans="1:3" x14ac:dyDescent="0.3">
      <c r="A812" s="34" t="s">
        <v>312</v>
      </c>
      <c r="B812" s="34" t="s">
        <v>2016</v>
      </c>
      <c r="C812" s="34" t="s">
        <v>1845</v>
      </c>
    </row>
    <row r="813" spans="1:3" x14ac:dyDescent="0.3">
      <c r="A813" s="34" t="s">
        <v>312</v>
      </c>
      <c r="B813" s="34" t="s">
        <v>2676</v>
      </c>
      <c r="C813" s="34" t="s">
        <v>1845</v>
      </c>
    </row>
    <row r="814" spans="1:3" x14ac:dyDescent="0.3">
      <c r="A814" s="34" t="s">
        <v>312</v>
      </c>
      <c r="B814" s="34" t="s">
        <v>2677</v>
      </c>
      <c r="C814" s="34" t="s">
        <v>1845</v>
      </c>
    </row>
    <row r="815" spans="1:3" x14ac:dyDescent="0.3">
      <c r="A815" s="34" t="s">
        <v>312</v>
      </c>
      <c r="B815" s="34" t="s">
        <v>2678</v>
      </c>
      <c r="C815" s="34" t="s">
        <v>1845</v>
      </c>
    </row>
    <row r="816" spans="1:3" x14ac:dyDescent="0.3">
      <c r="A816" s="34" t="s">
        <v>312</v>
      </c>
      <c r="B816" s="34" t="s">
        <v>2679</v>
      </c>
      <c r="C816" s="34" t="s">
        <v>1845</v>
      </c>
    </row>
    <row r="817" spans="1:3" x14ac:dyDescent="0.3">
      <c r="A817" s="34" t="s">
        <v>312</v>
      </c>
      <c r="B817" s="34" t="s">
        <v>2680</v>
      </c>
      <c r="C817" s="34" t="s">
        <v>1845</v>
      </c>
    </row>
    <row r="818" spans="1:3" x14ac:dyDescent="0.3">
      <c r="A818" s="34" t="s">
        <v>312</v>
      </c>
      <c r="B818" s="34" t="s">
        <v>2681</v>
      </c>
      <c r="C818" s="34" t="s">
        <v>1845</v>
      </c>
    </row>
    <row r="819" spans="1:3" x14ac:dyDescent="0.3">
      <c r="A819" s="34" t="s">
        <v>312</v>
      </c>
      <c r="B819" s="34" t="s">
        <v>2682</v>
      </c>
      <c r="C819" s="34" t="s">
        <v>1845</v>
      </c>
    </row>
    <row r="820" spans="1:3" x14ac:dyDescent="0.3">
      <c r="A820" s="34" t="s">
        <v>312</v>
      </c>
      <c r="B820" s="34" t="s">
        <v>2683</v>
      </c>
      <c r="C820" s="34" t="s">
        <v>1845</v>
      </c>
    </row>
    <row r="821" spans="1:3" x14ac:dyDescent="0.3">
      <c r="A821" s="34" t="s">
        <v>312</v>
      </c>
      <c r="B821" s="34" t="s">
        <v>2684</v>
      </c>
      <c r="C821" s="34" t="s">
        <v>1845</v>
      </c>
    </row>
    <row r="822" spans="1:3" x14ac:dyDescent="0.3">
      <c r="A822" s="34" t="s">
        <v>312</v>
      </c>
      <c r="B822" s="34" t="s">
        <v>2435</v>
      </c>
      <c r="C822" s="34" t="s">
        <v>1845</v>
      </c>
    </row>
    <row r="823" spans="1:3" x14ac:dyDescent="0.3">
      <c r="A823" s="34" t="s">
        <v>312</v>
      </c>
      <c r="B823" s="34" t="s">
        <v>2685</v>
      </c>
      <c r="C823" s="34" t="s">
        <v>1845</v>
      </c>
    </row>
    <row r="824" spans="1:3" x14ac:dyDescent="0.3">
      <c r="A824" s="34" t="s">
        <v>312</v>
      </c>
      <c r="B824" s="34" t="s">
        <v>2686</v>
      </c>
      <c r="C824" s="34" t="s">
        <v>1845</v>
      </c>
    </row>
    <row r="825" spans="1:3" x14ac:dyDescent="0.3">
      <c r="A825" s="34" t="s">
        <v>312</v>
      </c>
      <c r="B825" s="34" t="s">
        <v>2687</v>
      </c>
      <c r="C825" s="34" t="s">
        <v>1845</v>
      </c>
    </row>
    <row r="826" spans="1:3" x14ac:dyDescent="0.3">
      <c r="A826" s="34" t="s">
        <v>312</v>
      </c>
      <c r="B826" s="34" t="s">
        <v>2688</v>
      </c>
      <c r="C826" s="34" t="s">
        <v>1845</v>
      </c>
    </row>
    <row r="827" spans="1:3" x14ac:dyDescent="0.3">
      <c r="A827" s="34" t="s">
        <v>312</v>
      </c>
      <c r="B827" s="34" t="s">
        <v>2689</v>
      </c>
      <c r="C827" s="34" t="s">
        <v>1845</v>
      </c>
    </row>
    <row r="828" spans="1:3" x14ac:dyDescent="0.3">
      <c r="A828" s="34" t="s">
        <v>312</v>
      </c>
      <c r="B828" s="34" t="s">
        <v>2690</v>
      </c>
      <c r="C828" s="34" t="s">
        <v>1845</v>
      </c>
    </row>
    <row r="829" spans="1:3" x14ac:dyDescent="0.3">
      <c r="A829" s="34" t="s">
        <v>312</v>
      </c>
      <c r="B829" s="34" t="s">
        <v>2691</v>
      </c>
      <c r="C829" s="34" t="s">
        <v>1845</v>
      </c>
    </row>
    <row r="830" spans="1:3" x14ac:dyDescent="0.3">
      <c r="A830" s="34" t="s">
        <v>312</v>
      </c>
      <c r="B830" s="34" t="s">
        <v>2692</v>
      </c>
      <c r="C830" s="34" t="s">
        <v>1845</v>
      </c>
    </row>
    <row r="831" spans="1:3" x14ac:dyDescent="0.3">
      <c r="A831" s="34" t="s">
        <v>312</v>
      </c>
      <c r="B831" s="34" t="s">
        <v>2693</v>
      </c>
      <c r="C831" s="34" t="s">
        <v>1845</v>
      </c>
    </row>
    <row r="832" spans="1:3" x14ac:dyDescent="0.3">
      <c r="A832" s="34" t="s">
        <v>312</v>
      </c>
      <c r="B832" s="34" t="s">
        <v>1849</v>
      </c>
      <c r="C832" s="34" t="s">
        <v>1845</v>
      </c>
    </row>
    <row r="833" spans="1:3" x14ac:dyDescent="0.3">
      <c r="A833" s="34" t="s">
        <v>312</v>
      </c>
      <c r="B833" s="34" t="s">
        <v>1850</v>
      </c>
      <c r="C833" s="34" t="s">
        <v>1845</v>
      </c>
    </row>
    <row r="834" spans="1:3" x14ac:dyDescent="0.3">
      <c r="A834" s="34" t="s">
        <v>312</v>
      </c>
      <c r="B834" s="34" t="s">
        <v>1851</v>
      </c>
      <c r="C834" s="34" t="s">
        <v>1845</v>
      </c>
    </row>
    <row r="835" spans="1:3" x14ac:dyDescent="0.3">
      <c r="A835" s="34" t="s">
        <v>312</v>
      </c>
      <c r="B835" s="34" t="s">
        <v>1852</v>
      </c>
      <c r="C835" s="34" t="s">
        <v>1845</v>
      </c>
    </row>
    <row r="836" spans="1:3" x14ac:dyDescent="0.3">
      <c r="A836" s="34" t="s">
        <v>312</v>
      </c>
      <c r="B836" s="34" t="s">
        <v>1853</v>
      </c>
      <c r="C836" s="34" t="s">
        <v>1845</v>
      </c>
    </row>
    <row r="837" spans="1:3" x14ac:dyDescent="0.3">
      <c r="A837" s="34" t="s">
        <v>312</v>
      </c>
      <c r="B837" s="34" t="s">
        <v>1854</v>
      </c>
      <c r="C837" s="34" t="s">
        <v>1845</v>
      </c>
    </row>
    <row r="838" spans="1:3" x14ac:dyDescent="0.3">
      <c r="A838" s="34" t="s">
        <v>312</v>
      </c>
      <c r="B838" s="34" t="s">
        <v>1855</v>
      </c>
      <c r="C838" s="34" t="s">
        <v>1845</v>
      </c>
    </row>
    <row r="839" spans="1:3" x14ac:dyDescent="0.3">
      <c r="A839" s="34" t="s">
        <v>312</v>
      </c>
      <c r="B839" s="34" t="s">
        <v>1856</v>
      </c>
      <c r="C839" s="34" t="s">
        <v>1845</v>
      </c>
    </row>
    <row r="840" spans="1:3" x14ac:dyDescent="0.3">
      <c r="A840" s="34" t="s">
        <v>312</v>
      </c>
      <c r="B840" s="34" t="s">
        <v>1857</v>
      </c>
      <c r="C840" s="34" t="s">
        <v>1845</v>
      </c>
    </row>
    <row r="841" spans="1:3" x14ac:dyDescent="0.3">
      <c r="A841" s="34" t="s">
        <v>312</v>
      </c>
      <c r="B841" s="34" t="s">
        <v>1858</v>
      </c>
      <c r="C841" s="34" t="s">
        <v>1845</v>
      </c>
    </row>
    <row r="842" spans="1:3" x14ac:dyDescent="0.3">
      <c r="A842" s="34" t="s">
        <v>312</v>
      </c>
      <c r="B842" s="34" t="s">
        <v>1859</v>
      </c>
      <c r="C842" s="34" t="s">
        <v>1845</v>
      </c>
    </row>
    <row r="843" spans="1:3" x14ac:dyDescent="0.3">
      <c r="A843" s="34" t="s">
        <v>312</v>
      </c>
      <c r="B843" s="34" t="s">
        <v>1860</v>
      </c>
      <c r="C843" s="34" t="s">
        <v>1845</v>
      </c>
    </row>
    <row r="844" spans="1:3" x14ac:dyDescent="0.3">
      <c r="A844" s="34" t="s">
        <v>307</v>
      </c>
      <c r="B844" s="34" t="s">
        <v>1861</v>
      </c>
      <c r="C844" s="34" t="s">
        <v>1846</v>
      </c>
    </row>
    <row r="845" spans="1:3" x14ac:dyDescent="0.3">
      <c r="A845" s="34" t="s">
        <v>307</v>
      </c>
      <c r="B845" s="34" t="s">
        <v>1862</v>
      </c>
      <c r="C845" s="34" t="s">
        <v>1846</v>
      </c>
    </row>
    <row r="846" spans="1:3" x14ac:dyDescent="0.3">
      <c r="A846" s="34" t="s">
        <v>307</v>
      </c>
      <c r="B846" s="34" t="s">
        <v>1863</v>
      </c>
      <c r="C846" s="34" t="s">
        <v>1846</v>
      </c>
    </row>
    <row r="847" spans="1:3" x14ac:dyDescent="0.3">
      <c r="A847" s="34" t="s">
        <v>307</v>
      </c>
      <c r="B847" s="34" t="s">
        <v>1864</v>
      </c>
      <c r="C847" s="34" t="s">
        <v>1846</v>
      </c>
    </row>
    <row r="848" spans="1:3" x14ac:dyDescent="0.3">
      <c r="A848" s="34" t="s">
        <v>307</v>
      </c>
      <c r="B848" s="34" t="s">
        <v>1865</v>
      </c>
      <c r="C848" s="34" t="s">
        <v>1846</v>
      </c>
    </row>
    <row r="849" spans="1:3" x14ac:dyDescent="0.3">
      <c r="A849" s="34" t="s">
        <v>307</v>
      </c>
      <c r="B849" s="34" t="s">
        <v>1866</v>
      </c>
      <c r="C849" s="34" t="s">
        <v>1846</v>
      </c>
    </row>
    <row r="850" spans="1:3" x14ac:dyDescent="0.3">
      <c r="A850" s="34" t="s">
        <v>307</v>
      </c>
      <c r="B850" s="34" t="s">
        <v>1867</v>
      </c>
      <c r="C850" s="34" t="s">
        <v>1846</v>
      </c>
    </row>
    <row r="851" spans="1:3" x14ac:dyDescent="0.3">
      <c r="A851" s="34" t="s">
        <v>307</v>
      </c>
      <c r="B851" s="34" t="s">
        <v>1868</v>
      </c>
      <c r="C851" s="34" t="s">
        <v>1846</v>
      </c>
    </row>
    <row r="852" spans="1:3" x14ac:dyDescent="0.3">
      <c r="A852" s="34" t="s">
        <v>307</v>
      </c>
      <c r="B852" s="34" t="s">
        <v>1869</v>
      </c>
      <c r="C852" s="34" t="s">
        <v>1846</v>
      </c>
    </row>
    <row r="853" spans="1:3" x14ac:dyDescent="0.3">
      <c r="A853" s="34" t="s">
        <v>307</v>
      </c>
      <c r="B853" s="34" t="s">
        <v>1870</v>
      </c>
      <c r="C853" s="34" t="s">
        <v>1846</v>
      </c>
    </row>
    <row r="854" spans="1:3" x14ac:dyDescent="0.3">
      <c r="A854" s="34" t="s">
        <v>307</v>
      </c>
      <c r="B854" s="34" t="s">
        <v>1871</v>
      </c>
      <c r="C854" s="34" t="s">
        <v>1846</v>
      </c>
    </row>
    <row r="855" spans="1:3" x14ac:dyDescent="0.3">
      <c r="A855" s="34" t="s">
        <v>307</v>
      </c>
      <c r="B855" s="34" t="s">
        <v>1872</v>
      </c>
      <c r="C855" s="34" t="s">
        <v>1846</v>
      </c>
    </row>
    <row r="856" spans="1:3" x14ac:dyDescent="0.3">
      <c r="A856" s="34" t="s">
        <v>307</v>
      </c>
      <c r="B856" s="34" t="s">
        <v>1873</v>
      </c>
      <c r="C856" s="34" t="s">
        <v>1846</v>
      </c>
    </row>
    <row r="857" spans="1:3" x14ac:dyDescent="0.3">
      <c r="A857" s="34" t="s">
        <v>307</v>
      </c>
      <c r="B857" s="34" t="s">
        <v>1874</v>
      </c>
      <c r="C857" s="34" t="s">
        <v>1846</v>
      </c>
    </row>
    <row r="858" spans="1:3" x14ac:dyDescent="0.3">
      <c r="A858" s="34" t="s">
        <v>307</v>
      </c>
      <c r="B858" s="34" t="s">
        <v>1875</v>
      </c>
      <c r="C858" s="34" t="s">
        <v>1846</v>
      </c>
    </row>
    <row r="859" spans="1:3" x14ac:dyDescent="0.3">
      <c r="A859" s="34" t="s">
        <v>307</v>
      </c>
      <c r="B859" s="34" t="s">
        <v>1876</v>
      </c>
      <c r="C859" s="34" t="s">
        <v>1846</v>
      </c>
    </row>
    <row r="860" spans="1:3" x14ac:dyDescent="0.3">
      <c r="A860" s="34" t="s">
        <v>307</v>
      </c>
      <c r="B860" s="34" t="s">
        <v>1877</v>
      </c>
      <c r="C860" s="34" t="s">
        <v>1846</v>
      </c>
    </row>
    <row r="861" spans="1:3" x14ac:dyDescent="0.3">
      <c r="A861" s="34" t="s">
        <v>310</v>
      </c>
      <c r="B861" s="34" t="s">
        <v>1878</v>
      </c>
      <c r="C861" s="34" t="s">
        <v>1847</v>
      </c>
    </row>
    <row r="862" spans="1:3" x14ac:dyDescent="0.3">
      <c r="A862" s="34" t="s">
        <v>310</v>
      </c>
      <c r="B862" s="34" t="s">
        <v>1879</v>
      </c>
      <c r="C862" s="34" t="s">
        <v>1847</v>
      </c>
    </row>
    <row r="863" spans="1:3" x14ac:dyDescent="0.3">
      <c r="A863" s="34" t="s">
        <v>310</v>
      </c>
      <c r="B863" s="34" t="s">
        <v>1880</v>
      </c>
      <c r="C863" s="34" t="s">
        <v>1847</v>
      </c>
    </row>
    <row r="864" spans="1:3" x14ac:dyDescent="0.3">
      <c r="A864" s="34" t="s">
        <v>310</v>
      </c>
      <c r="B864" s="34" t="s">
        <v>1881</v>
      </c>
      <c r="C864" s="34" t="s">
        <v>1847</v>
      </c>
    </row>
    <row r="865" spans="1:3" x14ac:dyDescent="0.3">
      <c r="A865" s="34" t="s">
        <v>310</v>
      </c>
      <c r="B865" s="34" t="s">
        <v>1882</v>
      </c>
      <c r="C865" s="34" t="s">
        <v>1847</v>
      </c>
    </row>
    <row r="866" spans="1:3" x14ac:dyDescent="0.3">
      <c r="A866" s="34" t="s">
        <v>310</v>
      </c>
      <c r="B866" s="34" t="s">
        <v>1883</v>
      </c>
      <c r="C866" s="34" t="s">
        <v>1847</v>
      </c>
    </row>
    <row r="867" spans="1:3" x14ac:dyDescent="0.3">
      <c r="A867" s="34" t="s">
        <v>310</v>
      </c>
      <c r="B867" s="34" t="s">
        <v>1884</v>
      </c>
      <c r="C867" s="34" t="s">
        <v>1847</v>
      </c>
    </row>
    <row r="868" spans="1:3" x14ac:dyDescent="0.3">
      <c r="A868" s="34" t="s">
        <v>310</v>
      </c>
      <c r="B868" s="34" t="s">
        <v>1885</v>
      </c>
      <c r="C868" s="34" t="s">
        <v>1847</v>
      </c>
    </row>
    <row r="869" spans="1:3" x14ac:dyDescent="0.3">
      <c r="A869" s="34" t="s">
        <v>310</v>
      </c>
      <c r="B869" s="34" t="s">
        <v>1886</v>
      </c>
      <c r="C869" s="34" t="s">
        <v>1847</v>
      </c>
    </row>
    <row r="870" spans="1:3" x14ac:dyDescent="0.3">
      <c r="A870" s="34" t="s">
        <v>310</v>
      </c>
      <c r="B870" s="34" t="s">
        <v>1887</v>
      </c>
      <c r="C870" s="34" t="s">
        <v>1847</v>
      </c>
    </row>
    <row r="871" spans="1:3" x14ac:dyDescent="0.3">
      <c r="A871" s="34" t="s">
        <v>310</v>
      </c>
      <c r="B871" s="34" t="s">
        <v>1888</v>
      </c>
      <c r="C871" s="34" t="s">
        <v>1847</v>
      </c>
    </row>
    <row r="872" spans="1:3" x14ac:dyDescent="0.3">
      <c r="A872" s="34" t="s">
        <v>310</v>
      </c>
      <c r="B872" s="34" t="s">
        <v>1889</v>
      </c>
      <c r="C872" s="34" t="s">
        <v>1847</v>
      </c>
    </row>
    <row r="873" spans="1:3" x14ac:dyDescent="0.3">
      <c r="A873" s="34" t="s">
        <v>310</v>
      </c>
      <c r="B873" s="34" t="s">
        <v>1890</v>
      </c>
      <c r="C873" s="34" t="s">
        <v>1847</v>
      </c>
    </row>
    <row r="874" spans="1:3" x14ac:dyDescent="0.3">
      <c r="A874" s="34" t="s">
        <v>310</v>
      </c>
      <c r="B874" s="34" t="s">
        <v>1891</v>
      </c>
      <c r="C874" s="34" t="s">
        <v>1847</v>
      </c>
    </row>
    <row r="875" spans="1:3" x14ac:dyDescent="0.3">
      <c r="A875" s="34" t="s">
        <v>310</v>
      </c>
      <c r="B875" s="34" t="s">
        <v>1892</v>
      </c>
      <c r="C875" s="34" t="s">
        <v>1847</v>
      </c>
    </row>
    <row r="876" spans="1:3" x14ac:dyDescent="0.3">
      <c r="A876" s="34" t="s">
        <v>310</v>
      </c>
      <c r="B876" s="34" t="s">
        <v>1893</v>
      </c>
      <c r="C876" s="34" t="s">
        <v>1847</v>
      </c>
    </row>
    <row r="877" spans="1:3" x14ac:dyDescent="0.3">
      <c r="A877" s="34" t="s">
        <v>310</v>
      </c>
      <c r="B877" s="34" t="s">
        <v>1894</v>
      </c>
      <c r="C877" s="34" t="s">
        <v>1847</v>
      </c>
    </row>
    <row r="878" spans="1:3" x14ac:dyDescent="0.3">
      <c r="A878" s="34" t="s">
        <v>310</v>
      </c>
      <c r="B878" s="34" t="s">
        <v>1895</v>
      </c>
      <c r="C878" s="34" t="s">
        <v>1847</v>
      </c>
    </row>
    <row r="879" spans="1:3" x14ac:dyDescent="0.3">
      <c r="A879" s="34" t="s">
        <v>310</v>
      </c>
      <c r="B879" s="34" t="s">
        <v>1896</v>
      </c>
      <c r="C879" s="34" t="s">
        <v>1847</v>
      </c>
    </row>
    <row r="880" spans="1:3" x14ac:dyDescent="0.3">
      <c r="A880" s="34" t="s">
        <v>310</v>
      </c>
      <c r="B880" s="34" t="s">
        <v>1897</v>
      </c>
      <c r="C880" s="34" t="s">
        <v>1847</v>
      </c>
    </row>
    <row r="881" spans="1:3" x14ac:dyDescent="0.3">
      <c r="A881" s="34" t="s">
        <v>310</v>
      </c>
      <c r="B881" s="34" t="s">
        <v>1898</v>
      </c>
      <c r="C881" s="34" t="s">
        <v>1847</v>
      </c>
    </row>
    <row r="882" spans="1:3" x14ac:dyDescent="0.3">
      <c r="A882" s="34" t="s">
        <v>310</v>
      </c>
      <c r="B882" s="34" t="s">
        <v>1899</v>
      </c>
      <c r="C882" s="34" t="s">
        <v>1847</v>
      </c>
    </row>
    <row r="883" spans="1:3" x14ac:dyDescent="0.3">
      <c r="A883" s="34" t="s">
        <v>310</v>
      </c>
      <c r="B883" s="34" t="s">
        <v>1900</v>
      </c>
      <c r="C883" s="34" t="s">
        <v>1847</v>
      </c>
    </row>
    <row r="884" spans="1:3" x14ac:dyDescent="0.3">
      <c r="A884" s="34" t="s">
        <v>310</v>
      </c>
      <c r="B884" s="34" t="s">
        <v>1901</v>
      </c>
      <c r="C884" s="34" t="s">
        <v>1847</v>
      </c>
    </row>
    <row r="885" spans="1:3" x14ac:dyDescent="0.3">
      <c r="A885" s="34" t="s">
        <v>310</v>
      </c>
      <c r="B885" s="34" t="s">
        <v>1902</v>
      </c>
      <c r="C885" s="34" t="s">
        <v>1847</v>
      </c>
    </row>
    <row r="886" spans="1:3" x14ac:dyDescent="0.3">
      <c r="A886" s="34" t="s">
        <v>310</v>
      </c>
      <c r="B886" s="34" t="s">
        <v>1903</v>
      </c>
      <c r="C886" s="34" t="s">
        <v>1847</v>
      </c>
    </row>
    <row r="887" spans="1:3" x14ac:dyDescent="0.3">
      <c r="A887" s="34" t="s">
        <v>310</v>
      </c>
      <c r="B887" s="34" t="s">
        <v>1904</v>
      </c>
      <c r="C887" s="34" t="s">
        <v>1847</v>
      </c>
    </row>
    <row r="888" spans="1:3" x14ac:dyDescent="0.3">
      <c r="A888" s="34" t="s">
        <v>310</v>
      </c>
      <c r="B888" s="34" t="s">
        <v>1905</v>
      </c>
      <c r="C888" s="34" t="s">
        <v>1847</v>
      </c>
    </row>
    <row r="889" spans="1:3" x14ac:dyDescent="0.3">
      <c r="A889" s="34" t="s">
        <v>310</v>
      </c>
      <c r="B889" s="34" t="s">
        <v>1906</v>
      </c>
      <c r="C889" s="34" t="s">
        <v>1847</v>
      </c>
    </row>
    <row r="890" spans="1:3" x14ac:dyDescent="0.3">
      <c r="A890" s="34" t="s">
        <v>310</v>
      </c>
      <c r="B890" s="34" t="s">
        <v>1907</v>
      </c>
      <c r="C890" s="34" t="s">
        <v>1847</v>
      </c>
    </row>
    <row r="891" spans="1:3" x14ac:dyDescent="0.3">
      <c r="A891" s="34" t="s">
        <v>310</v>
      </c>
      <c r="B891" s="34" t="s">
        <v>1908</v>
      </c>
      <c r="C891" s="34" t="s">
        <v>1847</v>
      </c>
    </row>
    <row r="892" spans="1:3" x14ac:dyDescent="0.3">
      <c r="A892" s="34" t="s">
        <v>310</v>
      </c>
      <c r="B892" s="34" t="s">
        <v>1909</v>
      </c>
      <c r="C892" s="34" t="s">
        <v>1847</v>
      </c>
    </row>
    <row r="893" spans="1:3" x14ac:dyDescent="0.3">
      <c r="A893" s="34" t="s">
        <v>310</v>
      </c>
      <c r="B893" s="34" t="s">
        <v>1910</v>
      </c>
      <c r="C893" s="34" t="s">
        <v>1847</v>
      </c>
    </row>
    <row r="894" spans="1:3" x14ac:dyDescent="0.3">
      <c r="A894" s="34" t="s">
        <v>310</v>
      </c>
      <c r="B894" s="34" t="s">
        <v>1911</v>
      </c>
      <c r="C894" s="34" t="s">
        <v>1847</v>
      </c>
    </row>
    <row r="895" spans="1:3" x14ac:dyDescent="0.3">
      <c r="A895" s="34" t="s">
        <v>310</v>
      </c>
      <c r="B895" s="34" t="s">
        <v>1853</v>
      </c>
      <c r="C895" s="34" t="s">
        <v>1847</v>
      </c>
    </row>
    <row r="896" spans="1:3" x14ac:dyDescent="0.3">
      <c r="A896" s="34" t="s">
        <v>310</v>
      </c>
      <c r="B896" s="34" t="s">
        <v>1856</v>
      </c>
      <c r="C896" s="34" t="s">
        <v>1847</v>
      </c>
    </row>
    <row r="897" spans="1:3" x14ac:dyDescent="0.3">
      <c r="A897" s="34" t="s">
        <v>309</v>
      </c>
      <c r="B897" s="34" t="s">
        <v>1912</v>
      </c>
      <c r="C897" s="34" t="s">
        <v>1848</v>
      </c>
    </row>
    <row r="898" spans="1:3" x14ac:dyDescent="0.3">
      <c r="A898" s="34" t="s">
        <v>309</v>
      </c>
      <c r="B898" s="34" t="s">
        <v>1913</v>
      </c>
      <c r="C898" s="34" t="s">
        <v>1848</v>
      </c>
    </row>
    <row r="899" spans="1:3" x14ac:dyDescent="0.3">
      <c r="A899" s="34" t="s">
        <v>309</v>
      </c>
      <c r="B899" s="34" t="s">
        <v>1914</v>
      </c>
      <c r="C899" s="34" t="s">
        <v>1848</v>
      </c>
    </row>
    <row r="900" spans="1:3" x14ac:dyDescent="0.3">
      <c r="A900" s="34" t="s">
        <v>309</v>
      </c>
      <c r="B900" s="34" t="s">
        <v>1915</v>
      </c>
      <c r="C900" s="34" t="s">
        <v>1848</v>
      </c>
    </row>
    <row r="901" spans="1:3" x14ac:dyDescent="0.3">
      <c r="A901" s="34" t="s">
        <v>309</v>
      </c>
      <c r="B901" s="34" t="s">
        <v>1916</v>
      </c>
      <c r="C901" s="34" t="s">
        <v>1848</v>
      </c>
    </row>
    <row r="902" spans="1:3" x14ac:dyDescent="0.3">
      <c r="A902" s="34" t="s">
        <v>309</v>
      </c>
      <c r="B902" s="34" t="s">
        <v>1917</v>
      </c>
      <c r="C902" s="34" t="s">
        <v>1848</v>
      </c>
    </row>
    <row r="903" spans="1:3" x14ac:dyDescent="0.3">
      <c r="A903" s="34" t="s">
        <v>309</v>
      </c>
      <c r="B903" s="34" t="s">
        <v>1918</v>
      </c>
      <c r="C903" s="34" t="s">
        <v>1848</v>
      </c>
    </row>
    <row r="904" spans="1:3" x14ac:dyDescent="0.3">
      <c r="A904" s="34" t="s">
        <v>309</v>
      </c>
      <c r="B904" s="34" t="s">
        <v>1919</v>
      </c>
      <c r="C904" s="34" t="s">
        <v>1848</v>
      </c>
    </row>
    <row r="905" spans="1:3" x14ac:dyDescent="0.3">
      <c r="A905" s="34" t="s">
        <v>309</v>
      </c>
      <c r="B905" s="34" t="s">
        <v>1920</v>
      </c>
      <c r="C905" s="34" t="s">
        <v>1848</v>
      </c>
    </row>
    <row r="906" spans="1:3" x14ac:dyDescent="0.3">
      <c r="A906" s="34" t="s">
        <v>309</v>
      </c>
      <c r="B906" s="34" t="s">
        <v>1921</v>
      </c>
      <c r="C906" s="34" t="s">
        <v>1848</v>
      </c>
    </row>
    <row r="907" spans="1:3" x14ac:dyDescent="0.3">
      <c r="A907" s="34" t="s">
        <v>309</v>
      </c>
      <c r="B907" s="34" t="s">
        <v>1922</v>
      </c>
      <c r="C907" s="34" t="s">
        <v>1848</v>
      </c>
    </row>
    <row r="908" spans="1:3" x14ac:dyDescent="0.3">
      <c r="A908" s="34" t="s">
        <v>309</v>
      </c>
      <c r="B908" s="34" t="s">
        <v>1923</v>
      </c>
      <c r="C908" s="34" t="s">
        <v>1848</v>
      </c>
    </row>
    <row r="909" spans="1:3" x14ac:dyDescent="0.3">
      <c r="A909" s="34" t="s">
        <v>309</v>
      </c>
      <c r="B909" s="34" t="s">
        <v>1924</v>
      </c>
      <c r="C909" s="34" t="s">
        <v>1848</v>
      </c>
    </row>
    <row r="910" spans="1:3" x14ac:dyDescent="0.3">
      <c r="A910" s="34" t="s">
        <v>309</v>
      </c>
      <c r="B910" s="34" t="s">
        <v>1925</v>
      </c>
      <c r="C910" s="34" t="s">
        <v>1848</v>
      </c>
    </row>
    <row r="911" spans="1:3" x14ac:dyDescent="0.3">
      <c r="A911" s="34" t="s">
        <v>309</v>
      </c>
      <c r="B911" s="34" t="s">
        <v>1926</v>
      </c>
      <c r="C911" s="34" t="s">
        <v>1848</v>
      </c>
    </row>
    <row r="912" spans="1:3" x14ac:dyDescent="0.3">
      <c r="A912" s="34" t="s">
        <v>309</v>
      </c>
      <c r="B912" s="34" t="s">
        <v>1927</v>
      </c>
      <c r="C912" s="34" t="s">
        <v>1848</v>
      </c>
    </row>
    <row r="913" spans="1:3" x14ac:dyDescent="0.3">
      <c r="A913" s="34" t="s">
        <v>309</v>
      </c>
      <c r="B913" s="34" t="s">
        <v>1928</v>
      </c>
      <c r="C913" s="34" t="s">
        <v>1848</v>
      </c>
    </row>
    <row r="914" spans="1:3" x14ac:dyDescent="0.3">
      <c r="A914" s="34" t="s">
        <v>309</v>
      </c>
      <c r="B914" s="34" t="s">
        <v>1929</v>
      </c>
      <c r="C914" s="34" t="s">
        <v>1848</v>
      </c>
    </row>
    <row r="915" spans="1:3" x14ac:dyDescent="0.3">
      <c r="A915" s="34" t="s">
        <v>309</v>
      </c>
      <c r="B915" s="34" t="s">
        <v>1930</v>
      </c>
      <c r="C915" s="34" t="s">
        <v>1848</v>
      </c>
    </row>
    <row r="916" spans="1:3" x14ac:dyDescent="0.3">
      <c r="A916" s="34" t="s">
        <v>309</v>
      </c>
      <c r="B916" s="34" t="s">
        <v>1931</v>
      </c>
      <c r="C916" s="34" t="s">
        <v>1848</v>
      </c>
    </row>
    <row r="917" spans="1:3" x14ac:dyDescent="0.3">
      <c r="A917" s="34" t="s">
        <v>309</v>
      </c>
      <c r="B917" s="34" t="s">
        <v>1932</v>
      </c>
      <c r="C917" s="34" t="s">
        <v>1848</v>
      </c>
    </row>
    <row r="918" spans="1:3" x14ac:dyDescent="0.3">
      <c r="A918" s="34" t="s">
        <v>309</v>
      </c>
      <c r="B918" s="34" t="s">
        <v>1933</v>
      </c>
      <c r="C918" s="34" t="s">
        <v>1848</v>
      </c>
    </row>
    <row r="919" spans="1:3" x14ac:dyDescent="0.3">
      <c r="A919" s="34" t="s">
        <v>309</v>
      </c>
      <c r="B919" s="34" t="s">
        <v>1934</v>
      </c>
      <c r="C919" s="34" t="s">
        <v>1848</v>
      </c>
    </row>
    <row r="920" spans="1:3" x14ac:dyDescent="0.3">
      <c r="A920" s="34" t="s">
        <v>309</v>
      </c>
      <c r="B920" s="34" t="s">
        <v>1893</v>
      </c>
      <c r="C920" s="34" t="s">
        <v>1848</v>
      </c>
    </row>
    <row r="921" spans="1:3" x14ac:dyDescent="0.3">
      <c r="A921" s="34" t="s">
        <v>309</v>
      </c>
      <c r="B921" s="34" t="s">
        <v>1935</v>
      </c>
      <c r="C921" s="34" t="s">
        <v>1848</v>
      </c>
    </row>
    <row r="922" spans="1:3" x14ac:dyDescent="0.3">
      <c r="A922" s="34" t="s">
        <v>309</v>
      </c>
      <c r="B922" s="34" t="s">
        <v>1936</v>
      </c>
      <c r="C922" s="34" t="s">
        <v>1848</v>
      </c>
    </row>
    <row r="923" spans="1:3" x14ac:dyDescent="0.3">
      <c r="A923" s="34" t="s">
        <v>309</v>
      </c>
      <c r="B923" s="34" t="s">
        <v>1937</v>
      </c>
      <c r="C923" s="34" t="s">
        <v>1848</v>
      </c>
    </row>
    <row r="924" spans="1:3" x14ac:dyDescent="0.3">
      <c r="A924" s="34" t="s">
        <v>309</v>
      </c>
      <c r="B924" s="34" t="s">
        <v>1938</v>
      </c>
      <c r="C924" s="34" t="s">
        <v>1848</v>
      </c>
    </row>
    <row r="925" spans="1:3" x14ac:dyDescent="0.3">
      <c r="A925" s="34" t="s">
        <v>309</v>
      </c>
      <c r="B925" s="34" t="s">
        <v>1939</v>
      </c>
      <c r="C925" s="34" t="s">
        <v>1848</v>
      </c>
    </row>
    <row r="926" spans="1:3" x14ac:dyDescent="0.3">
      <c r="A926" s="34" t="s">
        <v>309</v>
      </c>
      <c r="B926" s="34" t="s">
        <v>1940</v>
      </c>
      <c r="C926" s="34" t="s">
        <v>1848</v>
      </c>
    </row>
    <row r="927" spans="1:3" x14ac:dyDescent="0.3">
      <c r="A927" s="34" t="s">
        <v>309</v>
      </c>
      <c r="B927" s="34" t="s">
        <v>1941</v>
      </c>
      <c r="C927" s="34" t="s">
        <v>1848</v>
      </c>
    </row>
    <row r="928" spans="1:3" x14ac:dyDescent="0.3">
      <c r="A928" s="34" t="s">
        <v>309</v>
      </c>
      <c r="B928" s="34" t="s">
        <v>1942</v>
      </c>
      <c r="C928" s="34" t="s">
        <v>1848</v>
      </c>
    </row>
    <row r="929" spans="1:3" x14ac:dyDescent="0.3">
      <c r="A929" s="34" t="s">
        <v>309</v>
      </c>
      <c r="B929" s="34" t="s">
        <v>1943</v>
      </c>
      <c r="C929" s="34" t="s">
        <v>1848</v>
      </c>
    </row>
    <row r="930" spans="1:3" x14ac:dyDescent="0.3">
      <c r="A930" s="34" t="s">
        <v>309</v>
      </c>
      <c r="B930" s="34" t="s">
        <v>1944</v>
      </c>
      <c r="C930" s="34" t="s">
        <v>1848</v>
      </c>
    </row>
    <row r="931" spans="1:3" x14ac:dyDescent="0.3">
      <c r="A931" s="34" t="s">
        <v>309</v>
      </c>
      <c r="B931" s="34" t="s">
        <v>1945</v>
      </c>
      <c r="C931" s="34" t="s">
        <v>1848</v>
      </c>
    </row>
    <row r="932" spans="1:3" x14ac:dyDescent="0.3">
      <c r="A932" s="34" t="s">
        <v>309</v>
      </c>
      <c r="B932" s="34" t="s">
        <v>1946</v>
      </c>
      <c r="C932" s="34" t="s">
        <v>1848</v>
      </c>
    </row>
    <row r="933" spans="1:3" x14ac:dyDescent="0.3">
      <c r="A933" s="34" t="s">
        <v>309</v>
      </c>
      <c r="B933" s="34" t="s">
        <v>1947</v>
      </c>
      <c r="C933" s="34" t="s">
        <v>1848</v>
      </c>
    </row>
    <row r="934" spans="1:3" x14ac:dyDescent="0.3">
      <c r="A934" s="34" t="s">
        <v>309</v>
      </c>
      <c r="B934" s="34" t="s">
        <v>1907</v>
      </c>
      <c r="C934" s="34" t="s">
        <v>1848</v>
      </c>
    </row>
    <row r="935" spans="1:3" x14ac:dyDescent="0.3">
      <c r="A935" s="34" t="s">
        <v>309</v>
      </c>
      <c r="B935" s="34" t="s">
        <v>1948</v>
      </c>
      <c r="C935" s="34" t="s">
        <v>1848</v>
      </c>
    </row>
    <row r="936" spans="1:3" x14ac:dyDescent="0.3">
      <c r="A936" s="34" t="s">
        <v>309</v>
      </c>
      <c r="B936" s="34" t="s">
        <v>1949</v>
      </c>
      <c r="C936" s="34" t="s">
        <v>1848</v>
      </c>
    </row>
    <row r="937" spans="1:3" x14ac:dyDescent="0.3">
      <c r="A937" s="34" t="s">
        <v>309</v>
      </c>
      <c r="B937" s="34" t="s">
        <v>1950</v>
      </c>
      <c r="C937" s="34" t="s">
        <v>1848</v>
      </c>
    </row>
    <row r="938" spans="1:3" x14ac:dyDescent="0.3">
      <c r="A938" s="34" t="s">
        <v>309</v>
      </c>
      <c r="B938" s="34" t="s">
        <v>1951</v>
      </c>
      <c r="C938" s="34" t="s">
        <v>1848</v>
      </c>
    </row>
    <row r="939" spans="1:3" x14ac:dyDescent="0.3">
      <c r="A939" s="34" t="s">
        <v>309</v>
      </c>
      <c r="B939" s="34" t="s">
        <v>1952</v>
      </c>
      <c r="C939" s="34" t="s">
        <v>1848</v>
      </c>
    </row>
    <row r="940" spans="1:3" x14ac:dyDescent="0.3">
      <c r="A940" s="34" t="s">
        <v>309</v>
      </c>
      <c r="B940" s="34" t="s">
        <v>1953</v>
      </c>
      <c r="C940" s="34" t="s">
        <v>1848</v>
      </c>
    </row>
    <row r="941" spans="1:3" x14ac:dyDescent="0.3">
      <c r="A941" s="34" t="s">
        <v>309</v>
      </c>
      <c r="B941" s="34" t="s">
        <v>1954</v>
      </c>
      <c r="C941" s="34" t="s">
        <v>1848</v>
      </c>
    </row>
    <row r="942" spans="1:3" x14ac:dyDescent="0.3">
      <c r="A942" s="34" t="s">
        <v>309</v>
      </c>
      <c r="B942" s="34" t="s">
        <v>1853</v>
      </c>
      <c r="C942" s="34" t="s">
        <v>1848</v>
      </c>
    </row>
    <row r="943" spans="1:3" x14ac:dyDescent="0.3">
      <c r="A943" s="34" t="s">
        <v>309</v>
      </c>
      <c r="B943" s="34" t="s">
        <v>1955</v>
      </c>
      <c r="C943" s="34" t="s">
        <v>1848</v>
      </c>
    </row>
    <row r="944" spans="1:3" x14ac:dyDescent="0.3">
      <c r="A944" s="34" t="s">
        <v>309</v>
      </c>
      <c r="B944" s="34" t="s">
        <v>1956</v>
      </c>
      <c r="C944" s="34" t="s">
        <v>1848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67727-ECD1-407A-91BD-236D25145592}">
  <sheetPr published="0" codeName="Sayfa12"/>
  <dimension ref="A1:Q10"/>
  <sheetViews>
    <sheetView topLeftCell="A3" workbookViewId="0">
      <selection activeCell="J2" sqref="J2:Q8"/>
    </sheetView>
  </sheetViews>
  <sheetFormatPr defaultRowHeight="14.4" x14ac:dyDescent="0.3"/>
  <cols>
    <col min="1" max="1" width="12.88671875" bestFit="1" customWidth="1"/>
    <col min="2" max="2" width="11" bestFit="1" customWidth="1"/>
    <col min="3" max="4" width="11.44140625" customWidth="1"/>
    <col min="5" max="5" width="10.5546875" bestFit="1" customWidth="1"/>
    <col min="6" max="6" width="10.109375" bestFit="1" customWidth="1"/>
    <col min="7" max="7" width="11.6640625" bestFit="1" customWidth="1"/>
  </cols>
  <sheetData>
    <row r="1" spans="1:17" ht="37.200000000000003" customHeight="1" thickBot="1" x14ac:dyDescent="0.35">
      <c r="A1" s="98" t="s">
        <v>715</v>
      </c>
      <c r="B1" s="1060" t="s">
        <v>448</v>
      </c>
      <c r="C1" s="1061"/>
      <c r="D1" s="1062"/>
      <c r="E1" s="1063" t="s">
        <v>714</v>
      </c>
      <c r="F1" s="1064"/>
      <c r="G1" s="87" t="s">
        <v>475</v>
      </c>
    </row>
    <row r="2" spans="1:17" ht="37.200000000000003" customHeight="1" x14ac:dyDescent="0.3">
      <c r="A2" s="99" t="s">
        <v>80</v>
      </c>
      <c r="B2" s="99" t="s">
        <v>81</v>
      </c>
      <c r="C2" s="1065" t="s">
        <v>79</v>
      </c>
      <c r="D2" s="1066"/>
      <c r="E2" s="1066"/>
      <c r="F2" s="1066"/>
      <c r="G2" s="1067"/>
      <c r="J2" s="1058" t="str" cm="1">
        <f t="array" ref="J2">ImarDurumuJ2(A3,B3,C3,A5,B5,E5,F5,G5,A7,B7,C7,D7,E7,F7,G7,A9,B9,C9,D9,E9,F9,G10,B1)</f>
        <v>Konu taşınmazın yer aldığı imar planında iptal kararı bulunmaktadır. Belediyeden alınan sözlü bilgiye göre plan iptalinden önceki yapılaşma koşullarının bitişik nizam, 2 kat (Hmax: 6,50 metre) şeklinde olduğu bilgisi alınmıştır._x000D_
_x000D_
Minimum Cephe Şartı:_x000D_
Minimum cephe şartı bulunmaktadır._x000D_
_x000D_
18. Madde Uygulaması:_x000D_
18. Madde uygulaması yapılmıştır._x000D_
_x000D_
Tevhid Şartı:_x000D_
Tevhid şartı bulunmaktadır._x000D_
_x000D_
Kentsel Dönüşüm:_x000D_
Kentsel dönüşüm ve yenileme alanında yer almaktadır._x000D_
_x000D_
Ruhsat Durumu:_x000D_
Ruhsat almaya engel herhangi bir durum bulunmaktadır.</v>
      </c>
      <c r="K2" s="1058"/>
      <c r="L2" s="1058"/>
      <c r="M2" s="1058"/>
      <c r="N2" s="1058"/>
      <c r="O2" s="1058"/>
      <c r="P2" s="1058"/>
      <c r="Q2" s="1058"/>
    </row>
    <row r="3" spans="1:17" ht="52.95" customHeight="1" x14ac:dyDescent="0.3">
      <c r="A3" s="91" t="str">
        <f>+PLANÖLÇEĞİ</f>
        <v>1/1.000</v>
      </c>
      <c r="B3" s="12">
        <f>+İMARTARİHİ</f>
        <v>38425</v>
      </c>
      <c r="C3" s="1068" t="str">
        <f>+TEST!H35</f>
        <v>Fethiye İhsaniye Revizyon Uygulama İmar Planı</v>
      </c>
      <c r="D3" s="1069"/>
      <c r="E3" s="1069"/>
      <c r="F3" s="1069"/>
      <c r="G3" s="1070"/>
      <c r="J3" s="1059"/>
      <c r="K3" s="1059"/>
      <c r="L3" s="1059"/>
      <c r="M3" s="1059"/>
      <c r="N3" s="1059"/>
      <c r="O3" s="1059"/>
      <c r="P3" s="1059"/>
      <c r="Q3" s="1059"/>
    </row>
    <row r="4" spans="1:17" ht="55.95" customHeight="1" x14ac:dyDescent="0.3">
      <c r="A4" s="102" t="s">
        <v>21</v>
      </c>
      <c r="B4" s="868" t="s">
        <v>82</v>
      </c>
      <c r="C4" s="868"/>
      <c r="D4" s="869"/>
      <c r="E4" s="102" t="s">
        <v>701</v>
      </c>
      <c r="F4" s="102" t="s">
        <v>702</v>
      </c>
      <c r="G4" s="102" t="s">
        <v>703</v>
      </c>
      <c r="J4" s="1059"/>
      <c r="K4" s="1059"/>
      <c r="L4" s="1059"/>
      <c r="M4" s="1059"/>
      <c r="N4" s="1059"/>
      <c r="O4" s="1059"/>
      <c r="P4" s="1059"/>
      <c r="Q4" s="1059"/>
    </row>
    <row r="5" spans="1:17" ht="37.200000000000003" customHeight="1" x14ac:dyDescent="0.3">
      <c r="A5" s="125" t="str">
        <f>+İMARNİZAM</f>
        <v>bitişik</v>
      </c>
      <c r="B5" s="1071" t="str">
        <f>+TEST!G37</f>
        <v>Konut</v>
      </c>
      <c r="C5" s="1072"/>
      <c r="D5" s="1072"/>
      <c r="E5" s="89" t="s">
        <v>477</v>
      </c>
      <c r="F5" s="89">
        <v>0</v>
      </c>
      <c r="G5" s="89" t="str">
        <f>+TEST!L37</f>
        <v>HAYIR</v>
      </c>
      <c r="J5" s="1059"/>
      <c r="K5" s="1059"/>
      <c r="L5" s="1059"/>
      <c r="M5" s="1059"/>
      <c r="N5" s="1059"/>
      <c r="O5" s="1059"/>
      <c r="P5" s="1059"/>
      <c r="Q5" s="1059"/>
    </row>
    <row r="6" spans="1:17" ht="37.200000000000003" customHeight="1" x14ac:dyDescent="0.3">
      <c r="A6" s="99" t="s">
        <v>23</v>
      </c>
      <c r="B6" s="100" t="s">
        <v>22</v>
      </c>
      <c r="C6" s="100" t="s">
        <v>24</v>
      </c>
      <c r="D6" s="100" t="s">
        <v>25</v>
      </c>
      <c r="E6" s="100" t="s">
        <v>26</v>
      </c>
      <c r="F6" s="100" t="s">
        <v>27</v>
      </c>
      <c r="G6" s="101" t="s">
        <v>159</v>
      </c>
      <c r="J6" s="1059"/>
      <c r="K6" s="1059"/>
      <c r="L6" s="1059"/>
      <c r="M6" s="1059"/>
      <c r="N6" s="1059"/>
      <c r="O6" s="1059"/>
      <c r="P6" s="1059"/>
      <c r="Q6" s="1059"/>
    </row>
    <row r="7" spans="1:17" ht="37.200000000000003" customHeight="1" x14ac:dyDescent="0.3">
      <c r="A7" s="24">
        <f>+HMAX</f>
        <v>6.5</v>
      </c>
      <c r="B7" s="16">
        <f>+KATADEDİ</f>
        <v>2</v>
      </c>
      <c r="C7" s="86"/>
      <c r="D7" s="10"/>
      <c r="E7" s="35"/>
      <c r="F7" s="35"/>
      <c r="G7" s="90"/>
      <c r="J7" s="1059"/>
      <c r="K7" s="1059"/>
      <c r="L7" s="1059"/>
      <c r="M7" s="1059"/>
      <c r="N7" s="1059"/>
      <c r="O7" s="1059"/>
      <c r="P7" s="1059"/>
      <c r="Q7" s="1059"/>
    </row>
    <row r="8" spans="1:17" ht="55.2" customHeight="1" x14ac:dyDescent="0.3">
      <c r="A8" s="127" t="s">
        <v>708</v>
      </c>
      <c r="B8" s="128" t="s">
        <v>709</v>
      </c>
      <c r="C8" s="126" t="s">
        <v>710</v>
      </c>
      <c r="D8" s="129" t="s">
        <v>711</v>
      </c>
      <c r="E8" s="129" t="s">
        <v>712</v>
      </c>
      <c r="F8" s="875" t="s">
        <v>83</v>
      </c>
      <c r="G8" s="875"/>
      <c r="J8" s="1059"/>
      <c r="K8" s="1059"/>
      <c r="L8" s="1059"/>
      <c r="M8" s="1059"/>
      <c r="N8" s="1059"/>
      <c r="O8" s="1059"/>
      <c r="P8" s="1059"/>
      <c r="Q8" s="1059"/>
    </row>
    <row r="9" spans="1:17" ht="37.200000000000003" customHeight="1" x14ac:dyDescent="0.3">
      <c r="A9" s="89" t="s">
        <v>448</v>
      </c>
      <c r="B9" s="89" t="s">
        <v>448</v>
      </c>
      <c r="C9" s="89" t="s">
        <v>448</v>
      </c>
      <c r="D9" s="89" t="s">
        <v>448</v>
      </c>
      <c r="E9" s="124" t="s">
        <v>448</v>
      </c>
      <c r="F9" s="1060"/>
      <c r="G9" s="1062"/>
    </row>
    <row r="10" spans="1:17" ht="39" customHeight="1" x14ac:dyDescent="0.3">
      <c r="A10" s="1"/>
      <c r="B10" s="1"/>
      <c r="C10" s="1"/>
      <c r="D10" s="1"/>
      <c r="E10" s="1"/>
      <c r="F10" s="129" t="s">
        <v>713</v>
      </c>
      <c r="G10" s="7">
        <f>+YÜZÖLÇÜMÜ-TEST!K37</f>
        <v>113.39</v>
      </c>
    </row>
  </sheetData>
  <mergeCells count="9">
    <mergeCell ref="J2:Q8"/>
    <mergeCell ref="B1:D1"/>
    <mergeCell ref="E1:F1"/>
    <mergeCell ref="F8:G8"/>
    <mergeCell ref="F9:G9"/>
    <mergeCell ref="C2:G2"/>
    <mergeCell ref="C3:G3"/>
    <mergeCell ref="B4:D4"/>
    <mergeCell ref="B5:D5"/>
  </mergeCells>
  <dataValidations count="3">
    <dataValidation type="list" allowBlank="1" showInputMessage="1" showErrorMessage="1" sqref="A9:E9 B1:D1" xr:uid="{ABCD3B3F-28B8-41D3-BA68-0E3D5C352C24}">
      <formula1>"EVET,HAYIR"</formula1>
    </dataValidation>
    <dataValidation type="list" allowBlank="1" showInputMessage="1" showErrorMessage="1" sqref="A3" xr:uid="{9E34DDAE-6CAB-4CA5-977E-8A01FB48F654}">
      <formula1>PLAN_ÖLÇEĞİ</formula1>
    </dataValidation>
    <dataValidation type="list" allowBlank="1" showInputMessage="1" showErrorMessage="1" sqref="A5" xr:uid="{66BF24DD-889C-482F-8427-F15AE8B3CB3A}">
      <formula1>BÖLGE_YAPILAŞMA_NİZAMI</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2C40F86B-09E3-41B0-9D0F-1ECC92ED41AF}">
          <x14:formula1>
            <xm:f>VERİDOĞRULAMA!$Q$2:$Q$28</xm:f>
          </x14:formula1>
          <xm:sqref>B5:D5</xm:sqref>
        </x14:dataValidation>
        <x14:dataValidation type="list" allowBlank="1" showInputMessage="1" showErrorMessage="1" xr:uid="{D270947D-9FFC-4BB9-A99C-E2D1B75FB490}">
          <x14:formula1>
            <xm:f>Sayfa1!$C$85:$C$86</xm:f>
          </x14:formula1>
          <xm:sqref>G1</xm:sqref>
        </x14:dataValidation>
        <x14:dataValidation type="list" allowBlank="1" showInputMessage="1" showErrorMessage="1" xr:uid="{36E7D658-CBC2-4E0C-B590-7CA204D47746}">
          <x14:formula1>
            <xm:f>Sayfa1!$AB$177:$AB$198</xm:f>
          </x14:formula1>
          <xm:sqref>B7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988717-0857-46AE-AFFE-A82AC36F4B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24</vt:i4>
      </vt:variant>
      <vt:variant>
        <vt:lpstr>Adlandırılmış Aralıklar</vt:lpstr>
      </vt:variant>
      <vt:variant>
        <vt:i4>430</vt:i4>
      </vt:variant>
    </vt:vector>
  </HeadingPairs>
  <TitlesOfParts>
    <vt:vector size="454" baseType="lpstr">
      <vt:lpstr>YK KONUT</vt:lpstr>
      <vt:lpstr>TEST</vt:lpstr>
      <vt:lpstr>FATURA VE ÜCRETLENDİRME</vt:lpstr>
      <vt:lpstr>ADRESKODU_VERI</vt:lpstr>
      <vt:lpstr>PQ_EKB_Oku</vt:lpstr>
      <vt:lpstr>HATALAR</vt:lpstr>
      <vt:lpstr>VERİDOĞRULAMA</vt:lpstr>
      <vt:lpstr>Sayfa1</vt:lpstr>
      <vt:lpstr>TAPUTAKYIDAT</vt:lpstr>
      <vt:lpstr>TAPU_BILGILERI</vt:lpstr>
      <vt:lpstr>tblPDF</vt:lpstr>
      <vt:lpstr>tblBEYANLAR</vt:lpstr>
      <vt:lpstr>tblIPOTEKLER</vt:lpstr>
      <vt:lpstr>MALIKLER</vt:lpstr>
      <vt:lpstr>tblTakyidatTarihSaat</vt:lpstr>
      <vt:lpstr>PQ</vt:lpstr>
      <vt:lpstr>AYARLAR</vt:lpstr>
      <vt:lpstr>Sayfa2</vt:lpstr>
      <vt:lpstr>ÜFE</vt:lpstr>
      <vt:lpstr>İNCELENEN BELGELELER</vt:lpstr>
      <vt:lpstr>RİSK KODLARI</vt:lpstr>
      <vt:lpstr>KATLARDA YER ALAN DAİRELER</vt:lpstr>
      <vt:lpstr>PK</vt:lpstr>
      <vt:lpstr>İMAR DURUMU</vt:lpstr>
      <vt:lpstr>ACİLMEVCUT</vt:lpstr>
      <vt:lpstr>ACİLYASAL</vt:lpstr>
      <vt:lpstr>ADA</vt:lpstr>
      <vt:lpstr>ADRES2025</vt:lpstr>
      <vt:lpstr>ADRESAPTSİTE</vt:lpstr>
      <vt:lpstr>ALTYAPI</vt:lpstr>
      <vt:lpstr>ANA_GY_TOPLAM_KAT_ADEDİ</vt:lpstr>
      <vt:lpstr>ANAGAYRİMENKUL2025</vt:lpstr>
      <vt:lpstr>ANAGAYRİMENKULDIŞARDAN</vt:lpstr>
      <vt:lpstr>ANAGAYRNOTU</vt:lpstr>
      <vt:lpstr>ANAGAYRUYG</vt:lpstr>
      <vt:lpstr>ANAGY</vt:lpstr>
      <vt:lpstr>ANAGYKAT</vt:lpstr>
      <vt:lpstr>anagyuygaçıklama</vt:lpstr>
      <vt:lpstr>anagyuygunluk</vt:lpstr>
      <vt:lpstr>ANATAŞINMAZ1</vt:lpstr>
      <vt:lpstr>anataşınmaznitelik</vt:lpstr>
      <vt:lpstr>APARTMAN.BLOK.ADI</vt:lpstr>
      <vt:lpstr>APARTMAN.BLOK.ADI.</vt:lpstr>
      <vt:lpstr>APARTMAN_İÇ_DUVARLAR</vt:lpstr>
      <vt:lpstr>APTBLOK</vt:lpstr>
      <vt:lpstr>ARA</vt:lpstr>
      <vt:lpstr>arkabahçe</vt:lpstr>
      <vt:lpstr>ARSABİRİMDEĞERİ</vt:lpstr>
      <vt:lpstr>ARSADEĞERİ</vt:lpstr>
      <vt:lpstr>arsapay</vt:lpstr>
      <vt:lpstr>ARSAPAYI</vt:lpstr>
      <vt:lpstr>ASANSÖR</vt:lpstr>
      <vt:lpstr>ASMA</vt:lpstr>
      <vt:lpstr>aynasimetri4</vt:lpstr>
      <vt:lpstr>aynasimetri6</vt:lpstr>
      <vt:lpstr>aynasimetriaçıklama</vt:lpstr>
      <vt:lpstr>aynasimetriaçıklama2</vt:lpstr>
      <vt:lpstr>aynasimetriaçıklama3</vt:lpstr>
      <vt:lpstr>aynasimetribbözellik</vt:lpstr>
      <vt:lpstr>aynasimetribbözellik2</vt:lpstr>
      <vt:lpstr>aynasimetriyatay</vt:lpstr>
      <vt:lpstr>aynasimetriyatayetkisiz</vt:lpstr>
      <vt:lpstr>aynayön</vt:lpstr>
      <vt:lpstr>B.B.KULLANIMDURUMU</vt:lpstr>
      <vt:lpstr>BAĞIMSIZ.BÖLÜM.NİTELİK</vt:lpstr>
      <vt:lpstr>BAĞIMSIZBÖLÜM2025</vt:lpstr>
      <vt:lpstr>BB.NO</vt:lpstr>
      <vt:lpstr>BBÖZELLİK</vt:lpstr>
      <vt:lpstr>bbözellikyatay</vt:lpstr>
      <vt:lpstr>BBTÜRÜ</vt:lpstr>
      <vt:lpstr>BBVEBLOK</vt:lpstr>
      <vt:lpstr>BBYASALFİİLİTÜR</vt:lpstr>
      <vt:lpstr>BELEDİYEHARC</vt:lpstr>
      <vt:lpstr>BELGEKAPSAM</vt:lpstr>
      <vt:lpstr>BELGELER2025</vt:lpstr>
      <vt:lpstr>BELGENO</vt:lpstr>
      <vt:lpstr>BELGETARIH</vt:lpstr>
      <vt:lpstr>BELGETURU</vt:lpstr>
      <vt:lpstr>BELHARÇDHL</vt:lpstr>
      <vt:lpstr>BELHARÇHRÇ</vt:lpstr>
      <vt:lpstr>belprojetescil</vt:lpstr>
      <vt:lpstr>BELPROJEUYG</vt:lpstr>
      <vt:lpstr>beltadno</vt:lpstr>
      <vt:lpstr>BELTADPROJE</vt:lpstr>
      <vt:lpstr>BGGİRİŞ</vt:lpstr>
      <vt:lpstr>BGYÖN</vt:lpstr>
      <vt:lpstr>BİNA_YAPI_TARZI</vt:lpstr>
      <vt:lpstr>BİNABLOK</vt:lpstr>
      <vt:lpstr>BİNAGİRİŞKAPISI</vt:lpstr>
      <vt:lpstr>BİNAOTURUMU</vt:lpstr>
      <vt:lpstr>BİNASİTE</vt:lpstr>
      <vt:lpstr>birimmaliyet</vt:lpstr>
      <vt:lpstr>BİRİNCİİKİNCİEL</vt:lpstr>
      <vt:lpstr>BİRLİKDHL</vt:lpstr>
      <vt:lpstr>BİRLİKHRÇ</vt:lpstr>
      <vt:lpstr>BLOK</vt:lpstr>
      <vt:lpstr>BLOKADEDİ</vt:lpstr>
      <vt:lpstr>blokadet1</vt:lpstr>
      <vt:lpstr>BLOKADI</vt:lpstr>
      <vt:lpstr>BLOKBİNA</vt:lpstr>
      <vt:lpstr>BLOKİSMİ</vt:lpstr>
      <vt:lpstr>BLOKKATGIRISBBNO</vt:lpstr>
      <vt:lpstr>blokkonum1</vt:lpstr>
      <vt:lpstr>BLOKKONUMU</vt:lpstr>
      <vt:lpstr>BMPAYIDHL</vt:lpstr>
      <vt:lpstr>BMPAYIHRÇ</vt:lpstr>
      <vt:lpstr>BODRUM</vt:lpstr>
      <vt:lpstr>BOYLAM</vt:lpstr>
      <vt:lpstr>BÖLGE.GELİR.SEVİYESİ</vt:lpstr>
      <vt:lpstr>BÖLGE.YAP.KUL.AMACI</vt:lpstr>
      <vt:lpstr>BÖLGE_YAP.KAT.ADEDİ</vt:lpstr>
      <vt:lpstr>BÖLGEYAPIYAŞI</vt:lpstr>
      <vt:lpstr>CARPARK</vt:lpstr>
      <vt:lpstr>CEPHE_CHECK_LINKLERI</vt:lpstr>
      <vt:lpstr>CEPHECÜMLE</vt:lpstr>
      <vt:lpstr>CEPHELER</vt:lpstr>
      <vt:lpstr>CEPHESAYISI</vt:lpstr>
      <vt:lpstr>CEZAİ2025</vt:lpstr>
      <vt:lpstr>CEZAİKARAR</vt:lpstr>
      <vt:lpstr>CEZAİNOTU</vt:lpstr>
      <vt:lpstr>CEZAİVARYOK</vt:lpstr>
      <vt:lpstr>CILT</vt:lpstr>
      <vt:lpstr>ÇATI</vt:lpstr>
      <vt:lpstr>DAHAÖNCESATIŞ</vt:lpstr>
      <vt:lpstr>DEĞERLEME2025</vt:lpstr>
      <vt:lpstr>değerlememetodu</vt:lpstr>
      <vt:lpstr>DEĞÜCRKDVDHL</vt:lpstr>
      <vt:lpstr>DEĞÜCRKDVHRÇ</vt:lpstr>
      <vt:lpstr>DEPREMDERECE</vt:lpstr>
      <vt:lpstr>DIŞ.KAPI.NO</vt:lpstr>
      <vt:lpstr>DIŞARIDANBBÖZELLİK</vt:lpstr>
      <vt:lpstr>dışarıdanyataybbözellik</vt:lpstr>
      <vt:lpstr>DIŞCEPHEBOYA</vt:lpstr>
      <vt:lpstr>DIŞKAPI</vt:lpstr>
      <vt:lpstr>diğeriçhacimler</vt:lpstr>
      <vt:lpstr>DİĞERNOTLAR</vt:lpstr>
      <vt:lpstr>dikeybbaçıklama</vt:lpstr>
      <vt:lpstr>DUVARKAPLAMA</vt:lpstr>
      <vt:lpstr>EDINME</vt:lpstr>
      <vt:lpstr>EKB_BELGENO</vt:lpstr>
      <vt:lpstr>EKB_BİNAKODU</vt:lpstr>
      <vt:lpstr>EKB_GECERLILIK</vt:lpstr>
      <vt:lpstr>EKB_PDFYOL</vt:lpstr>
      <vt:lpstr>EKB_SINIF</vt:lpstr>
      <vt:lpstr>EKB_VERILIS</vt:lpstr>
      <vt:lpstr>EKBBELGENO</vt:lpstr>
      <vt:lpstr>EKBFAKTÖR</vt:lpstr>
      <vt:lpstr>EKBOLUMSUZ</vt:lpstr>
      <vt:lpstr>EKBSINIF</vt:lpstr>
      <vt:lpstr>EKBSON</vt:lpstr>
      <vt:lpstr>EKBVERILIS</vt:lpstr>
      <vt:lpstr>ELEVATOR</vt:lpstr>
      <vt:lpstr>EMSAL1</vt:lpstr>
      <vt:lpstr>EMSAL2</vt:lpstr>
      <vt:lpstr>EMSAL3</vt:lpstr>
      <vt:lpstr>EMSAL4</vt:lpstr>
      <vt:lpstr>EMSAL5</vt:lpstr>
      <vt:lpstr>EMSAL6</vt:lpstr>
      <vt:lpstr>EMSAL7</vt:lpstr>
      <vt:lpstr>ENLEM</vt:lpstr>
      <vt:lpstr>ESKIADAPARSEL</vt:lpstr>
      <vt:lpstr>ESKİADA</vt:lpstr>
      <vt:lpstr>ESKİPARSEL</vt:lpstr>
      <vt:lpstr>FATURATOPLAMBEDELİ</vt:lpstr>
      <vt:lpstr>FESIHSEVIYESI</vt:lpstr>
      <vt:lpstr>FESIHTARIHI</vt:lpstr>
      <vt:lpstr>FİİLİBBTÜRÜ</vt:lpstr>
      <vt:lpstr>geridönüşhızı</vt:lpstr>
      <vt:lpstr>GİRİŞEGÖREKONUM</vt:lpstr>
      <vt:lpstr>GİRİŞKAT</vt:lpstr>
      <vt:lpstr>GİRİŞKATT</vt:lpstr>
      <vt:lpstr>girişkonum</vt:lpstr>
      <vt:lpstr>HALKBANKDEĞERLEME</vt:lpstr>
      <vt:lpstr>HALKBANKPROJEUYGUNLUK</vt:lpstr>
      <vt:lpstr>HESAPLANANEMSAL</vt:lpstr>
      <vt:lpstr>HİSSE2025</vt:lpstr>
      <vt:lpstr>HİSSELİMİ</vt:lpstr>
      <vt:lpstr>HMAX</vt:lpstr>
      <vt:lpstr>Sayfa1!ILCE</vt:lpstr>
      <vt:lpstr>TEST!ILCE</vt:lpstr>
      <vt:lpstr>ISBANKMUSTERI</vt:lpstr>
      <vt:lpstr>ISBANKTAPUADEDI</vt:lpstr>
      <vt:lpstr>ISINMASİSTEMİ</vt:lpstr>
      <vt:lpstr>ısıtma</vt:lpstr>
      <vt:lpstr>içhacimdışarıdan</vt:lpstr>
      <vt:lpstr>İÇHACİMLER</vt:lpstr>
      <vt:lpstr>İÇİGÖRÜLDÜMÜ</vt:lpstr>
      <vt:lpstr>İÇKAPI</vt:lpstr>
      <vt:lpstr>İÇÖZELLİKLER2025</vt:lpstr>
      <vt:lpstr>İDARİMAHALLE</vt:lpstr>
      <vt:lpstr>İLAVE2AÇIKLAMA</vt:lpstr>
      <vt:lpstr>ilçeler</vt:lpstr>
      <vt:lpstr>İLKRUHSAT</vt:lpstr>
      <vt:lpstr>İMARDURUMU2025</vt:lpstr>
      <vt:lpstr>İMARDURUMUKISA</vt:lpstr>
      <vt:lpstr>İMARKENTSELDÖNÜŞÜM</vt:lpstr>
      <vt:lpstr>İMARLEJANT</vt:lpstr>
      <vt:lpstr>İMARMAKRO</vt:lpstr>
      <vt:lpstr>İMARNİZAM</vt:lpstr>
      <vt:lpstr>İMARPLANADI</vt:lpstr>
      <vt:lpstr>İMARPLANNO</vt:lpstr>
      <vt:lpstr>İMARTARİHİ</vt:lpstr>
      <vt:lpstr>İMARYAPILAŞMAENGELİ</vt:lpstr>
      <vt:lpstr>inşaaseviye</vt:lpstr>
      <vt:lpstr>İNŞASEVİYE</vt:lpstr>
      <vt:lpstr>İSKANTARİHİ</vt:lpstr>
      <vt:lpstr>İSKANVARMI</vt:lpstr>
      <vt:lpstr>İŞBANKKULLANIMDURUMU</vt:lpstr>
      <vt:lpstr>İŞBANKMİMARİPROJE</vt:lpstr>
      <vt:lpstr>KAKS</vt:lpstr>
      <vt:lpstr>kapılar</vt:lpstr>
      <vt:lpstr>kapıpencere</vt:lpstr>
      <vt:lpstr>kapitilizasyonoranı</vt:lpstr>
      <vt:lpstr>KAT</vt:lpstr>
      <vt:lpstr>KAT.</vt:lpstr>
      <vt:lpstr>kat.1</vt:lpstr>
      <vt:lpstr>kat.2</vt:lpstr>
      <vt:lpstr>kat.3</vt:lpstr>
      <vt:lpstr>kat1adedi</vt:lpstr>
      <vt:lpstr>KATADEDİ</vt:lpstr>
      <vt:lpstr>KATBAZLIİCHACİMLER</vt:lpstr>
      <vt:lpstr>KATDAĞILIM2025</vt:lpstr>
      <vt:lpstr>KATDAĞILIMALAN</vt:lpstr>
      <vt:lpstr>katdağılımalan2</vt:lpstr>
      <vt:lpstr>KATDAĞILIMALAN3</vt:lpstr>
      <vt:lpstr>katfaktör</vt:lpstr>
      <vt:lpstr>katfaktör2</vt:lpstr>
      <vt:lpstr>KATİLAVE1AÇIKLAMA</vt:lpstr>
      <vt:lpstr>KATLAR</vt:lpstr>
      <vt:lpstr>katlar1</vt:lpstr>
      <vt:lpstr>KATLARR</vt:lpstr>
      <vt:lpstr>KATMÜLKİYETİİRTİFAKI</vt:lpstr>
      <vt:lpstr>KENTSELDÖNÜŞÜM</vt:lpstr>
      <vt:lpstr>KISAEMSAL1</vt:lpstr>
      <vt:lpstr>KISAEMSAL2</vt:lpstr>
      <vt:lpstr>KISAEMSAL3</vt:lpstr>
      <vt:lpstr>KISAEMSAL4</vt:lpstr>
      <vt:lpstr>KISAEMSAL5</vt:lpstr>
      <vt:lpstr>KISAEMSAL6</vt:lpstr>
      <vt:lpstr>KISAEMSAL7</vt:lpstr>
      <vt:lpstr>KISAİMARMAKRO</vt:lpstr>
      <vt:lpstr>KİRAM2MEVCUT</vt:lpstr>
      <vt:lpstr>KİRAM2YASAL</vt:lpstr>
      <vt:lpstr>KONUMTEYİDİ</vt:lpstr>
      <vt:lpstr>KTDAGILIMMEVCUT2025</vt:lpstr>
      <vt:lpstr>KTDAGILIMYASAL2025</vt:lpstr>
      <vt:lpstr>KULLANIMDURUMUAÇIKLAMA</vt:lpstr>
      <vt:lpstr>MAHALLE</vt:lpstr>
      <vt:lpstr>malzemeveişçilik</vt:lpstr>
      <vt:lpstr>MANZARA</vt:lpstr>
      <vt:lpstr>manzara1</vt:lpstr>
      <vt:lpstr>manzarafaktör</vt:lpstr>
      <vt:lpstr>MERDİVEN_BASAMAK_VE_SAH_KAPLAMA</vt:lpstr>
      <vt:lpstr>MEVCUT_YAPI_NİZAMI</vt:lpstr>
      <vt:lpstr>MEVCUTDURUMDEĞERİ</vt:lpstr>
      <vt:lpstr>MEVCUTKATDAĞILIMI2025</vt:lpstr>
      <vt:lpstr>MEVCUTKIRA</vt:lpstr>
      <vt:lpstr>MEVCUTKULLANIMALANI</vt:lpstr>
      <vt:lpstr>MEVCUTM2BİRİM</vt:lpstr>
      <vt:lpstr>MEVCUTNATAMAMDEĞERİ</vt:lpstr>
      <vt:lpstr>MEVCUTŞEREFİYEORANI</vt:lpstr>
      <vt:lpstr>Mevkii</vt:lpstr>
      <vt:lpstr>MİMARİUYGUNLUK</vt:lpstr>
      <vt:lpstr>MİNİMUMCEPHEŞARTI</vt:lpstr>
      <vt:lpstr>MUTFAKDOLAP</vt:lpstr>
      <vt:lpstr>MUTFAKDOLAPLARI</vt:lpstr>
      <vt:lpstr>MUTFAKTEZGAHI</vt:lpstr>
      <vt:lpstr>müstakilbinabb</vt:lpstr>
      <vt:lpstr>NATAMAMDEĞER</vt:lpstr>
      <vt:lpstr>NATAMAMDURUMDEĞERİ</vt:lpstr>
      <vt:lpstr>NETKULLANIMALANIMEVCUT</vt:lpstr>
      <vt:lpstr>NETKULLANIMALANIYASAL</vt:lpstr>
      <vt:lpstr>NETPARSELALAN</vt:lpstr>
      <vt:lpstr>NİTELİK</vt:lpstr>
      <vt:lpstr>NORMALKATLAR</vt:lpstr>
      <vt:lpstr>NORMALKATSAYISI</vt:lpstr>
      <vt:lpstr>olumlufaktör</vt:lpstr>
      <vt:lpstr>olumsuzfaktör</vt:lpstr>
      <vt:lpstr>ONSEKİZPROBLEM</vt:lpstr>
      <vt:lpstr>ONSEKİZUYGULAMASI</vt:lpstr>
      <vt:lpstr>OTOPARK</vt:lpstr>
      <vt:lpstr>ÖNBAHÇE</vt:lpstr>
      <vt:lpstr>PAFTA</vt:lpstr>
      <vt:lpstr>PARSEL</vt:lpstr>
      <vt:lpstr>payda</vt:lpstr>
      <vt:lpstr>paypayda</vt:lpstr>
      <vt:lpstr>PDF_YOLU</vt:lpstr>
      <vt:lpstr>PDF_YOLU_ADRES</vt:lpstr>
      <vt:lpstr>PENCERE</vt:lpstr>
      <vt:lpstr>PENCERELER</vt:lpstr>
      <vt:lpstr>PLAN_ÖLÇEĞİ</vt:lpstr>
      <vt:lpstr>PLANCILIK</vt:lpstr>
      <vt:lpstr>PLANİPTALAÇIKLAMA</vt:lpstr>
      <vt:lpstr>PLANİPTALİ</vt:lpstr>
      <vt:lpstr>PLANÖLÇEĞİ</vt:lpstr>
      <vt:lpstr>POSTAKODU</vt:lpstr>
      <vt:lpstr>PROJE_NO</vt:lpstr>
      <vt:lpstr>PROJE_TARİHİ</vt:lpstr>
      <vt:lpstr>projeaçıklama1</vt:lpstr>
      <vt:lpstr>PROJEİNCELENENKURUM</vt:lpstr>
      <vt:lpstr>PROJEKURUM2025</vt:lpstr>
      <vt:lpstr>PROJEUYUMLULUK</vt:lpstr>
      <vt:lpstr>PROJEYEAYKIRILIK</vt:lpstr>
      <vt:lpstr>PROJEYEUYGUNLUK</vt:lpstr>
      <vt:lpstr>PROJEYEUYGUNLUK2025</vt:lpstr>
      <vt:lpstr>PROJEYEUYGUNMU2025</vt:lpstr>
      <vt:lpstr>projeyeuyumluluk</vt:lpstr>
      <vt:lpstr>RANDEVUSAATİ</vt:lpstr>
      <vt:lpstr>RANDEVUSEBEP</vt:lpstr>
      <vt:lpstr>RANDEVUTARİHİ</vt:lpstr>
      <vt:lpstr>RANDEVUTÜRÜ</vt:lpstr>
      <vt:lpstr>RESMİBELGELER2</vt:lpstr>
      <vt:lpstr>RİSKKODLARI</vt:lpstr>
      <vt:lpstr>RUHSATAENGEL</vt:lpstr>
      <vt:lpstr>RUHSATLAR</vt:lpstr>
      <vt:lpstr>RUHSATVEİSKANLAR2025</vt:lpstr>
      <vt:lpstr>sağlanmaktadır</vt:lpstr>
      <vt:lpstr>SAHIPLER</vt:lpstr>
      <vt:lpstr>salonoda</vt:lpstr>
      <vt:lpstr>satışaçıklama</vt:lpstr>
      <vt:lpstr>SATIŞDURUMU</vt:lpstr>
      <vt:lpstr>SATIŞGÖRMÜŞMÜ</vt:lpstr>
      <vt:lpstr>satışkabiliyeti</vt:lpstr>
      <vt:lpstr>SAYFANO</vt:lpstr>
      <vt:lpstr>TEST!SEHIR</vt:lpstr>
      <vt:lpstr>SEHIR</vt:lpstr>
      <vt:lpstr>SEVİYE2025</vt:lpstr>
      <vt:lpstr>seviyedurumu</vt:lpstr>
      <vt:lpstr>SEVİYETEST</vt:lpstr>
      <vt:lpstr>SİGORTAMEVCUT</vt:lpstr>
      <vt:lpstr>SİGORTAYASAL</vt:lpstr>
      <vt:lpstr>SİTEAPARTMAN</vt:lpstr>
      <vt:lpstr>SİTEİÇERİSİNDEMİYERALIYOR</vt:lpstr>
      <vt:lpstr>SİTEMİAPARTMANMI</vt:lpstr>
      <vt:lpstr>SOKAK</vt:lpstr>
      <vt:lpstr>SOKAK.</vt:lpstr>
      <vt:lpstr>SONDEPYÖN</vt:lpstr>
      <vt:lpstr>SOSYALİHTİYAÇ</vt:lpstr>
      <vt:lpstr>SOSYALTESİS</vt:lpstr>
      <vt:lpstr>sosyaltesisler</vt:lpstr>
      <vt:lpstr>SOSYALTESİSSON</vt:lpstr>
      <vt:lpstr>STATIKUYGMU</vt:lpstr>
      <vt:lpstr>STATİK2025SON</vt:lpstr>
      <vt:lpstr>STATİKAÇIKLAMA</vt:lpstr>
      <vt:lpstr>STATİKKONTROL</vt:lpstr>
      <vt:lpstr>STKAÇIKLAMA2025</vt:lpstr>
      <vt:lpstr>ŞEREFİYEMEVCUT</vt:lpstr>
      <vt:lpstr>ŞEREFİYEORANI</vt:lpstr>
      <vt:lpstr>ŞEREFİYEYASAL</vt:lpstr>
      <vt:lpstr>şerhler</vt:lpstr>
      <vt:lpstr>T7EVİYETEST2</vt:lpstr>
      <vt:lpstr>TAKBISARSAPAY</vt:lpstr>
      <vt:lpstr>TAKBISARSAPAYDA</vt:lpstr>
      <vt:lpstr>TAKBISBB</vt:lpstr>
      <vt:lpstr>TAKBISBLOK</vt:lpstr>
      <vt:lpstr>TAKBISNITELIK</vt:lpstr>
      <vt:lpstr>TAKBİSKAT</vt:lpstr>
      <vt:lpstr>TAKS</vt:lpstr>
      <vt:lpstr>TAKYİDAT2025</vt:lpstr>
      <vt:lpstr>takyidatalınmaşeki</vt:lpstr>
      <vt:lpstr>TAKYİDATİŞBANK</vt:lpstr>
      <vt:lpstr>takyidatlar</vt:lpstr>
      <vt:lpstr>takyidatsaat</vt:lpstr>
      <vt:lpstr>takyidattarih</vt:lpstr>
      <vt:lpstr>TAPUBELEDİYE2025</vt:lpstr>
      <vt:lpstr>TAPUBELEDİYEFARKVARMI</vt:lpstr>
      <vt:lpstr>TAPUHARÇDHL</vt:lpstr>
      <vt:lpstr>TAPUHARÇHRÇ</vt:lpstr>
      <vt:lpstr>TAPUKAT</vt:lpstr>
      <vt:lpstr>TAPUKAYIT</vt:lpstr>
      <vt:lpstr>TAPUKAYITNOTU</vt:lpstr>
      <vt:lpstr>TAPUNİTELİKBB</vt:lpstr>
      <vt:lpstr>TAPUPROJEUYG</vt:lpstr>
      <vt:lpstr>TAPUTARIH</vt:lpstr>
      <vt:lpstr>TAPUYEVMIYE</vt:lpstr>
      <vt:lpstr>TAŞINMAZID</vt:lpstr>
      <vt:lpstr>TEKBAŞINAYAPILAŞMAHAKKI</vt:lpstr>
      <vt:lpstr>TERAS</vt:lpstr>
      <vt:lpstr>TERKETKİLEME</vt:lpstr>
      <vt:lpstr>TERKMİKTARI</vt:lpstr>
      <vt:lpstr>TEVHİDŞARTI</vt:lpstr>
      <vt:lpstr>TEZGAH</vt:lpstr>
      <vt:lpstr>TOPLAM_BB</vt:lpstr>
      <vt:lpstr>TOPLAMHACİZ</vt:lpstr>
      <vt:lpstr>TOPLAMİCRAİHACİZ</vt:lpstr>
      <vt:lpstr>TOPLAMİHTİYATİHACİZ</vt:lpstr>
      <vt:lpstr>TOPLAMKAMUHACZİ</vt:lpstr>
      <vt:lpstr>TOPLAMTERASALANI</vt:lpstr>
      <vt:lpstr>TRAMPA2025İÇHACİMLER</vt:lpstr>
      <vt:lpstr>trampaaçıklama</vt:lpstr>
      <vt:lpstr>trampaaçıklama2</vt:lpstr>
      <vt:lpstr>trampabbno</vt:lpstr>
      <vt:lpstr>TRAMPABBÖZELLİK</vt:lpstr>
      <vt:lpstr>trampabbyatayözellik</vt:lpstr>
      <vt:lpstr>TRAMPAİÇHACİM</vt:lpstr>
      <vt:lpstr>trampakat</vt:lpstr>
      <vt:lpstr>trampakat.</vt:lpstr>
      <vt:lpstr>trampayön</vt:lpstr>
      <vt:lpstr>UAVT</vt:lpstr>
      <vt:lpstr>ULAŞIM_TARİFİ</vt:lpstr>
      <vt:lpstr>ULAŞIMANAARTERİ</vt:lpstr>
      <vt:lpstr>ULAŞIMBDLDHL</vt:lpstr>
      <vt:lpstr>ULAŞIMBDLHRÇ</vt:lpstr>
      <vt:lpstr>UYGAÇIKLAMA</vt:lpstr>
      <vt:lpstr>UYGUNLUK</vt:lpstr>
      <vt:lpstr>uygunluk2</vt:lpstr>
      <vt:lpstr>UYGUNLUK2025</vt:lpstr>
      <vt:lpstr>uygunluk3</vt:lpstr>
      <vt:lpstr>uygunluk4</vt:lpstr>
      <vt:lpstr>uygunluk5</vt:lpstr>
      <vt:lpstr>ÜFEORANI</vt:lpstr>
      <vt:lpstr>VAKIFMİMARİPROJE</vt:lpstr>
      <vt:lpstr>vitrifiye</vt:lpstr>
      <vt:lpstr>vitrifyeelemanları</vt:lpstr>
      <vt:lpstr>YAKIN_CEVRESI</vt:lpstr>
      <vt:lpstr>YANBAHÇE</vt:lpstr>
      <vt:lpstr>YAPI_NIZAM</vt:lpstr>
      <vt:lpstr>YAPIBİTİŞTARİHİ</vt:lpstr>
      <vt:lpstr>YAPIDENETİM</vt:lpstr>
      <vt:lpstr>YAPIDENETİMAÇIKLAMA</vt:lpstr>
      <vt:lpstr>YAPIKALİTESİ2025</vt:lpstr>
      <vt:lpstr>yapılaşma</vt:lpstr>
      <vt:lpstr>YAPILAŞMAHIZI</vt:lpstr>
      <vt:lpstr>YAPIMAŞAMASI</vt:lpstr>
      <vt:lpstr>YAPISINIFI</vt:lpstr>
      <vt:lpstr>YAPISINIFLARI</vt:lpstr>
      <vt:lpstr>YAPIYAŞI</vt:lpstr>
      <vt:lpstr>YAPIYILI</vt:lpstr>
      <vt:lpstr>YASALDURUMDEĞERİ</vt:lpstr>
      <vt:lpstr>YASALKATDAĞILIM2025</vt:lpstr>
      <vt:lpstr>YASALKIRA</vt:lpstr>
      <vt:lpstr>YASALKULLANIMALANI</vt:lpstr>
      <vt:lpstr>YASALM2BİRİM</vt:lpstr>
      <vt:lpstr>yataybbaçıklama</vt:lpstr>
      <vt:lpstr>YILLIKKIRAMEVCUT</vt:lpstr>
      <vt:lpstr>YIPRANMAMALİYET</vt:lpstr>
      <vt:lpstr>YIPRANMAORANI</vt:lpstr>
      <vt:lpstr>YIPRANMIŞMEVCUTYAPIDEĞERİ</vt:lpstr>
      <vt:lpstr>YIPRANMIŞYASALYAPIDEĞERİ</vt:lpstr>
      <vt:lpstr>YK_KONUT_ANATAŞINMAZ</vt:lpstr>
      <vt:lpstr>YOLATERKVARMI</vt:lpstr>
      <vt:lpstr>YOLKOTUALTIKATADEDİ</vt:lpstr>
      <vt:lpstr>YOLKOTUÜSTÜKATADEDİ</vt:lpstr>
      <vt:lpstr>YÜZÖLÇÜMÜ</vt:lpstr>
      <vt:lpstr>ZEMİN</vt:lpstr>
      <vt:lpstr>ZEMİNKAPLAMA</vt:lpstr>
      <vt:lpstr>ZEMİNTİPİ</vt:lpstr>
      <vt:lpstr>ZİRAATANAGAYRİMENKULNORMAL</vt:lpstr>
      <vt:lpstr>ZİRAATANAGYDİĞER</vt:lpstr>
      <vt:lpstr>ZRTDATE</vt:lpstr>
      <vt:lpstr>ZRTMEVCUT</vt:lpstr>
      <vt:lpstr>ZRTTBLBLGTR</vt:lpstr>
      <vt:lpstr>ZRTTBLNO</vt:lpstr>
      <vt:lpstr>ZRTYASAL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2026-06-19T14:50:31Z</dcterms:modified>
</cp:coreProperties>
</file>