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Data!$A$102:$B$102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Data!$D$36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5" i="1" l="1"/>
  <c r="D45" i="1"/>
  <c r="B52" i="1"/>
  <c r="B53" i="1"/>
  <c r="E4" i="1"/>
  <c r="C46" i="1"/>
  <c r="B46" i="1"/>
  <c r="C52" i="1"/>
  <c r="D52" i="1"/>
  <c r="Y49" i="1"/>
  <c r="AC44" i="1"/>
  <c r="AD43" i="1"/>
  <c r="AD49" i="1"/>
  <c r="T49" i="1"/>
  <c r="D58" i="1"/>
  <c r="C58" i="1"/>
  <c r="B58" i="1"/>
  <c r="D56" i="1"/>
  <c r="C56" i="1"/>
  <c r="B56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7" i="1"/>
  <c r="C37" i="1"/>
  <c r="B42" i="1"/>
  <c r="B40" i="1"/>
  <c r="B37" i="1"/>
  <c r="T43" i="1"/>
  <c r="B45" i="1"/>
  <c r="C45" i="1"/>
  <c r="D32" i="1"/>
  <c r="E16" i="1"/>
  <c r="E32" i="1"/>
  <c r="F32" i="1"/>
  <c r="D21" i="1"/>
  <c r="E5" i="1"/>
  <c r="E21" i="1"/>
  <c r="F21" i="1"/>
  <c r="D22" i="1"/>
  <c r="E6" i="1"/>
  <c r="E22" i="1"/>
  <c r="F22" i="1"/>
  <c r="D23" i="1"/>
  <c r="E7" i="1"/>
  <c r="E23" i="1"/>
  <c r="F23" i="1"/>
  <c r="D24" i="1"/>
  <c r="E8" i="1"/>
  <c r="E24" i="1"/>
  <c r="F24" i="1"/>
  <c r="D25" i="1"/>
  <c r="E9" i="1"/>
  <c r="E25" i="1"/>
  <c r="F25" i="1"/>
  <c r="D26" i="1"/>
  <c r="E10" i="1"/>
  <c r="E26" i="1"/>
  <c r="F26" i="1"/>
  <c r="D27" i="1"/>
  <c r="E11" i="1"/>
  <c r="E27" i="1"/>
  <c r="F27" i="1"/>
  <c r="D28" i="1"/>
  <c r="E12" i="1"/>
  <c r="E28" i="1"/>
  <c r="F28" i="1"/>
  <c r="D29" i="1"/>
  <c r="E13" i="1"/>
  <c r="E29" i="1"/>
  <c r="F29" i="1"/>
  <c r="D30" i="1"/>
  <c r="E14" i="1"/>
  <c r="E30" i="1"/>
  <c r="F30" i="1"/>
  <c r="D31" i="1"/>
  <c r="E15" i="1"/>
  <c r="E31" i="1"/>
  <c r="F31" i="1"/>
  <c r="D20" i="1"/>
  <c r="E20" i="1"/>
  <c r="F20" i="1"/>
  <c r="D36" i="1"/>
  <c r="D40" i="1"/>
  <c r="D42" i="1"/>
  <c r="P37" i="1"/>
  <c r="V4" i="1"/>
  <c r="V5" i="1"/>
  <c r="V6" i="1"/>
  <c r="V7" i="1"/>
  <c r="V8" i="1"/>
  <c r="V9" i="1"/>
  <c r="V10" i="1"/>
  <c r="V11" i="1"/>
  <c r="Q37" i="1"/>
  <c r="X27" i="1"/>
  <c r="W4" i="1"/>
  <c r="W5" i="1"/>
  <c r="W6" i="1"/>
  <c r="W7" i="1"/>
  <c r="W8" i="1"/>
  <c r="W9" i="1"/>
  <c r="W10" i="1"/>
  <c r="W11" i="1"/>
  <c r="N5" i="1"/>
  <c r="N6" i="1"/>
  <c r="N7" i="1"/>
  <c r="N8" i="1"/>
  <c r="N9" i="1"/>
  <c r="N10" i="1"/>
  <c r="N11" i="1"/>
  <c r="N4" i="1"/>
  <c r="M4" i="1"/>
  <c r="R37" i="1"/>
  <c r="M5" i="1"/>
  <c r="M6" i="1"/>
  <c r="M7" i="1"/>
  <c r="M8" i="1"/>
  <c r="M9" i="1"/>
  <c r="M10" i="1"/>
  <c r="M11" i="1"/>
  <c r="K37" i="1"/>
  <c r="J37" i="1"/>
  <c r="Q21" i="1"/>
  <c r="R21" i="1"/>
  <c r="K65" i="1"/>
  <c r="Q22" i="1"/>
  <c r="R22" i="1"/>
  <c r="K66" i="1"/>
  <c r="Q23" i="1"/>
  <c r="R23" i="1"/>
  <c r="K67" i="1"/>
  <c r="Q24" i="1"/>
  <c r="R24" i="1"/>
  <c r="K68" i="1"/>
  <c r="Q25" i="1"/>
  <c r="R25" i="1"/>
  <c r="K69" i="1"/>
  <c r="Q26" i="1"/>
  <c r="R26" i="1"/>
  <c r="K70" i="1"/>
  <c r="Q27" i="1"/>
  <c r="R27" i="1"/>
  <c r="K71" i="1"/>
  <c r="J21" i="1"/>
  <c r="J22" i="1"/>
  <c r="J23" i="1"/>
  <c r="J24" i="1"/>
  <c r="J25" i="1"/>
  <c r="J26" i="1"/>
  <c r="J27" i="1"/>
  <c r="J20" i="1"/>
  <c r="Q20" i="1"/>
  <c r="G99" i="1" a="1"/>
  <c r="G99" i="1"/>
  <c r="H99" i="1"/>
  <c r="G100" i="1"/>
  <c r="H100" i="1"/>
  <c r="R20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R36" i="1"/>
  <c r="U36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36" i="1"/>
  <c r="N36" i="1"/>
  <c r="D99" i="1" a="1"/>
  <c r="D99" i="1"/>
  <c r="E99" i="1"/>
  <c r="D100" i="1"/>
  <c r="E100" i="1"/>
  <c r="G36" i="1"/>
  <c r="A99" i="1" a="1"/>
  <c r="A99" i="1"/>
  <c r="B99" i="1"/>
  <c r="A100" i="1"/>
  <c r="B100" i="1"/>
  <c r="D44" i="1"/>
  <c r="AD42" i="1"/>
  <c r="AD46" i="1"/>
  <c r="X26" i="1"/>
  <c r="C40" i="1"/>
  <c r="C42" i="1"/>
  <c r="C44" i="1"/>
  <c r="Y42" i="1"/>
  <c r="I37" i="1"/>
  <c r="X44" i="1"/>
  <c r="Y43" i="1"/>
  <c r="Y46" i="1"/>
  <c r="B44" i="1"/>
  <c r="T42" i="1"/>
  <c r="S44" i="1"/>
  <c r="T46" i="1"/>
  <c r="Y25" i="1"/>
  <c r="AF46" i="1"/>
  <c r="AE46" i="1"/>
  <c r="T45" i="1"/>
  <c r="K64" i="1"/>
  <c r="G71" i="1"/>
  <c r="G70" i="1"/>
  <c r="G69" i="1"/>
  <c r="G68" i="1"/>
  <c r="G67" i="1"/>
  <c r="G66" i="1"/>
  <c r="G65" i="1"/>
  <c r="G64" i="1"/>
  <c r="C76" i="1"/>
  <c r="C75" i="1"/>
  <c r="C65" i="1"/>
  <c r="C66" i="1"/>
  <c r="C67" i="1"/>
  <c r="C68" i="1"/>
  <c r="C69" i="1"/>
  <c r="C70" i="1"/>
  <c r="C71" i="1"/>
  <c r="C72" i="1"/>
  <c r="C73" i="1"/>
  <c r="C74" i="1"/>
  <c r="C64" i="1"/>
  <c r="G37" i="1"/>
  <c r="AJ31" i="1"/>
  <c r="AF31" i="1"/>
  <c r="AB32" i="1"/>
  <c r="AB31" i="1"/>
  <c r="Z12" i="1"/>
  <c r="Q12" i="1"/>
  <c r="H17" i="1"/>
  <c r="U37" i="1"/>
  <c r="N37" i="1"/>
  <c r="F37" i="1"/>
  <c r="F36" i="1"/>
  <c r="G35" i="1"/>
  <c r="T36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5" i="1"/>
  <c r="Y6" i="1"/>
  <c r="Y7" i="1"/>
  <c r="Y8" i="1"/>
  <c r="Y9" i="1"/>
  <c r="Y10" i="1"/>
  <c r="Y11" i="1"/>
  <c r="P11" i="1"/>
  <c r="P10" i="1"/>
  <c r="P9" i="1"/>
  <c r="P8" i="1"/>
  <c r="P7" i="1"/>
  <c r="P6" i="1"/>
  <c r="P5" i="1"/>
  <c r="P4" i="1"/>
  <c r="G5" i="1"/>
  <c r="G6" i="1"/>
  <c r="G7" i="1"/>
  <c r="G8" i="1"/>
  <c r="G9" i="1"/>
  <c r="G10" i="1"/>
  <c r="G11" i="1"/>
  <c r="G12" i="1"/>
  <c r="G13" i="1"/>
  <c r="G14" i="1"/>
  <c r="G15" i="1"/>
  <c r="G16" i="1"/>
  <c r="G4" i="1"/>
</calcChain>
</file>

<file path=xl/sharedStrings.xml><?xml version="1.0" encoding="utf-8"?>
<sst xmlns="http://schemas.openxmlformats.org/spreadsheetml/2006/main" count="187" uniqueCount="84">
  <si>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</si>
  <si>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</si>
  <si>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</si>
  <si>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</si>
  <si>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</si>
  <si>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</si>
  <si>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</si>
  <si>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</si>
  <si>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</si>
  <si>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</si>
  <si>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</si>
  <si>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</si>
  <si>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</si>
  <si>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</si>
  <si>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</si>
  <si>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</si>
  <si>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</si>
  <si>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</si>
  <si>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</si>
  <si>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</si>
  <si>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</si>
  <si>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</si>
  <si>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</si>
  <si>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</si>
  <si>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</si>
  <si>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</si>
  <si>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</si>
  <si>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</si>
  <si>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</si>
  <si>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</si>
  <si>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</si>
  <si>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</si>
  <si>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</si>
  <si>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</si>
  <si>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</si>
  <si>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</si>
  <si>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</si>
  <si>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</si>
  <si>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</si>
  <si>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</si>
  <si>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</si>
  <si>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</si>
  <si>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</si>
  <si>
    <t>Numerator calculations</t>
  </si>
  <si>
    <t>Calculcating viscosity</t>
  </si>
  <si>
    <t>Denominator calculations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</si>
  <si>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/m</t>
    </r>
  </si>
  <si>
    <r>
      <t>L</t>
    </r>
    <r>
      <rPr>
        <vertAlign val="subscript"/>
        <sz val="11"/>
        <color rgb="FF000000"/>
        <rFont val="Calibri"/>
        <family val="2"/>
        <scheme val="minor"/>
      </rPr>
      <t xml:space="preserve">blue </t>
    </r>
    <r>
      <rPr>
        <sz val="11"/>
        <color rgb="FF000000"/>
        <rFont val="Calibri"/>
        <family val="2"/>
        <scheme val="minor"/>
      </rPr>
      <t>/m</t>
    </r>
  </si>
  <si>
    <t>Viscosity (Pa)</t>
  </si>
  <si>
    <t>η (Pa)</t>
  </si>
  <si>
    <t>Changing the model to have +c (the error on dV/dt) shifts the model to match data more!</t>
  </si>
  <si>
    <t>Look over to the right for uncertainty calculations</t>
  </si>
  <si>
    <t>Error on numerator</t>
  </si>
  <si>
    <t>Error on rho*g</t>
  </si>
  <si>
    <t>Error on h*a^4</t>
  </si>
  <si>
    <t>a^4</t>
  </si>
  <si>
    <t>Uncertainty on viscosity_blue</t>
  </si>
  <si>
    <t>Error on denominator</t>
  </si>
  <si>
    <t>Error on LV'</t>
  </si>
  <si>
    <t>Total Error</t>
  </si>
  <si>
    <t>Uncertainty on viscosity_red</t>
  </si>
  <si>
    <t>Uncertainty on viscosity_black</t>
  </si>
  <si>
    <t>Calculating a LINEST model</t>
  </si>
  <si>
    <t>Chi^2 - new</t>
  </si>
  <si>
    <t>old model</t>
  </si>
  <si>
    <t>Normalised Residuals</t>
  </si>
  <si>
    <t>old V' error</t>
  </si>
  <si>
    <t>old v' error</t>
  </si>
  <si>
    <t>^ standard error</t>
  </si>
  <si>
    <t>^ average h (cm)</t>
  </si>
  <si>
    <t>^ average V' (cm^3s^-1)</t>
  </si>
  <si>
    <t>Viscosity_LINEST (Pa)</t>
  </si>
  <si>
    <t>Averaging all viscosities</t>
  </si>
  <si>
    <t>Viscosity_average (Pa)</t>
  </si>
  <si>
    <t>Standard Error</t>
  </si>
  <si>
    <t>Standard Dev</t>
  </si>
  <si>
    <t>1 sigma</t>
  </si>
  <si>
    <t>2 sigma</t>
  </si>
  <si>
    <t>3 sigma</t>
  </si>
  <si>
    <t>(-)1 sigma</t>
  </si>
  <si>
    <t>(-)2 sigma</t>
  </si>
  <si>
    <t>(-)3 sigma</t>
  </si>
  <si>
    <t>non-LINEST</t>
  </si>
  <si>
    <t>LINEST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</si>
</sst>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0.000000"/>
    <numFmt numFmtId="166" formatCode="0.000"/>
    <numFmt numFmtId="167" formatCode="0.0"/>
    <numFmt numFmtId="168" formatCode="0.0E+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vertAlign val="subscript"/>
      <sz val="11"/>
      <color rgb="FF000000"/>
      <name val="Calibri"/>
      <family val="2"/>
      <scheme val="minor"/>
    </font>
    <font>
      <i/>
      <u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74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49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9" fillId="12" borderId="6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0" fillId="13" borderId="17" xfId="0" applyNumberFormat="1" applyFill="1" applyBorder="1" applyAlignment="1">
      <alignment horizontal="center"/>
    </xf>
    <xf numFmtId="166" fontId="0" fillId="10" borderId="1" xfId="1" applyNumberFormat="1" applyFont="1" applyFill="1" applyBorder="1" applyAlignment="1">
      <alignment horizontal="center"/>
    </xf>
    <xf numFmtId="166" fontId="0" fillId="11" borderId="18" xfId="1" applyNumberFormat="1" applyFont="1" applyFill="1" applyBorder="1" applyAlignment="1">
      <alignment horizontal="center"/>
    </xf>
    <xf numFmtId="167" fontId="0" fillId="9" borderId="12" xfId="1" applyNumberFormat="1" applyFont="1" applyFill="1" applyBorder="1" applyAlignment="1">
      <alignment horizontal="center"/>
    </xf>
    <xf numFmtId="2" fontId="0" fillId="5" borderId="20" xfId="1" applyNumberFormat="1" applyFon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66" fontId="0" fillId="12" borderId="0" xfId="1" applyNumberFormat="1" applyFont="1" applyFill="1" applyBorder="1" applyAlignment="1">
      <alignment horizontal="center"/>
    </xf>
    <xf numFmtId="167" fontId="0" fillId="12" borderId="0" xfId="1" applyNumberFormat="1" applyFont="1" applyFill="1" applyBorder="1" applyAlignment="1">
      <alignment horizontal="center"/>
    </xf>
    <xf numFmtId="2" fontId="0" fillId="12" borderId="0" xfId="1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66" fontId="0" fillId="11" borderId="28" xfId="1" applyNumberFormat="1" applyFont="1" applyFill="1" applyBorder="1" applyAlignment="1">
      <alignment horizontal="center"/>
    </xf>
    <xf numFmtId="167" fontId="0" fillId="9" borderId="9" xfId="1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166" fontId="0" fillId="11" borderId="9" xfId="1" applyNumberFormat="1" applyFont="1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1" fontId="0" fillId="8" borderId="12" xfId="0" applyNumberFormat="1" applyFont="1" applyFill="1" applyBorder="1" applyAlignment="1">
      <alignment horizontal="center"/>
    </xf>
    <xf numFmtId="2" fontId="0" fillId="2" borderId="18" xfId="0" applyNumberFormat="1" applyFont="1" applyFill="1" applyBorder="1" applyAlignment="1">
      <alignment horizontal="center"/>
    </xf>
    <xf numFmtId="166" fontId="0" fillId="11" borderId="9" xfId="0" applyNumberFormat="1" applyFont="1" applyFill="1" applyBorder="1" applyAlignment="1">
      <alignment horizontal="center"/>
    </xf>
    <xf numFmtId="0" fontId="0" fillId="16" borderId="12" xfId="0" applyFont="1" applyFill="1" applyBorder="1" applyAlignment="1">
      <alignment horizontal="center"/>
    </xf>
    <xf numFmtId="2" fontId="0" fillId="4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" fontId="0" fillId="8" borderId="17" xfId="0" applyNumberFormat="1" applyFont="1" applyFill="1" applyBorder="1" applyAlignment="1">
      <alignment horizontal="center"/>
    </xf>
    <xf numFmtId="2" fontId="0" fillId="2" borderId="12" xfId="0" applyNumberFormat="1" applyFont="1" applyFill="1" applyBorder="1" applyAlignment="1">
      <alignment horizontal="center"/>
    </xf>
    <xf numFmtId="167" fontId="0" fillId="3" borderId="12" xfId="0" applyNumberFormat="1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167" fontId="17" fillId="12" borderId="1" xfId="0" applyNumberFormat="1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11" fontId="0" fillId="21" borderId="1" xfId="0" applyNumberFormat="1" applyFill="1" applyBorder="1" applyAlignment="1">
      <alignment horizontal="center"/>
    </xf>
    <xf numFmtId="11" fontId="0" fillId="22" borderId="3" xfId="0" applyNumberFormat="1" applyFill="1" applyBorder="1" applyAlignment="1">
      <alignment horizontal="center"/>
    </xf>
    <xf numFmtId="11" fontId="0" fillId="22" borderId="1" xfId="0" applyNumberFormat="1" applyFill="1" applyBorder="1" applyAlignment="1">
      <alignment horizontal="center"/>
    </xf>
    <xf numFmtId="11" fontId="0" fillId="22" borderId="4" xfId="0" applyNumberFormat="1" applyFill="1" applyBorder="1" applyAlignment="1">
      <alignment horizontal="center"/>
    </xf>
    <xf numFmtId="0" fontId="20" fillId="12" borderId="0" xfId="0" applyFont="1" applyFill="1" applyAlignment="1">
      <alignment horizontal="center"/>
    </xf>
    <xf numFmtId="11" fontId="9" fillId="12" borderId="0" xfId="0" applyNumberFormat="1" applyFont="1" applyFill="1" applyAlignment="1">
      <alignment horizontal="center"/>
    </xf>
    <xf numFmtId="168" fontId="0" fillId="12" borderId="0" xfId="0" applyNumberFormat="1" applyFill="1" applyAlignment="1">
      <alignment horizontal="center"/>
    </xf>
    <xf numFmtId="168" fontId="16" fillId="19" borderId="0" xfId="0" applyNumberFormat="1" applyFont="1" applyFill="1" applyAlignment="1">
      <alignment horizontal="center"/>
    </xf>
  </cellXfs>
  <cellStyles count="27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Data!$B$20:$B$33</c:f>
              <c:numCache>
                <c:formatCode>0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Data!$C$20:$C$33</c:f>
              <c:numCache>
                <c:formatCode>0.000</c:formatCode>
                <c:ptCount val="14"/>
                <c:pt idx="0">
                  <c:v>0.0321779832178224</c:v>
                </c:pt>
                <c:pt idx="1">
                  <c:v>0.0573172176151192</c:v>
                </c:pt>
                <c:pt idx="2">
                  <c:v>0.082456452012416</c:v>
                </c:pt>
                <c:pt idx="3">
                  <c:v>0.107595686409713</c:v>
                </c:pt>
                <c:pt idx="4">
                  <c:v>0.13273492080701</c:v>
                </c:pt>
                <c:pt idx="5">
                  <c:v>0.157874155204306</c:v>
                </c:pt>
                <c:pt idx="6">
                  <c:v>0.183013389601603</c:v>
                </c:pt>
                <c:pt idx="7">
                  <c:v>0.2081526239989</c:v>
                </c:pt>
                <c:pt idx="8">
                  <c:v>0.233291858396197</c:v>
                </c:pt>
                <c:pt idx="9">
                  <c:v>0.258431092793494</c:v>
                </c:pt>
                <c:pt idx="10">
                  <c:v>0.283570327190791</c:v>
                </c:pt>
                <c:pt idx="11">
                  <c:v>0.333848795985384</c:v>
                </c:pt>
                <c:pt idx="12">
                  <c:v>0.384127264779978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plus>
            <c:min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minus>
          </c:errBars>
          <c:xVal>
            <c:numRef>
              <c:f>Data!$K$4:$K$11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Data!$M$4:$M$11</c:f>
              <c:numCache>
                <c:formatCode>0.000</c:formatCode>
                <c:ptCount val="8"/>
                <c:pt idx="0">
                  <c:v>0.0211111111111111</c:v>
                </c:pt>
                <c:pt idx="1">
                  <c:v>0.045</c:v>
                </c:pt>
                <c:pt idx="2">
                  <c:v>0.0455555555555555</c:v>
                </c:pt>
                <c:pt idx="3">
                  <c:v>0.0911111111111111</c:v>
                </c:pt>
                <c:pt idx="4">
                  <c:v>0.1</c:v>
                </c:pt>
                <c:pt idx="5">
                  <c:v>0.121111111111111</c:v>
                </c:pt>
                <c:pt idx="6">
                  <c:v>0.156111111111111</c:v>
                </c:pt>
                <c:pt idx="7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plus>
            <c:min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minus>
          </c:errBars>
          <c:xVal>
            <c:numRef>
              <c:f>Data!$T$4:$T$11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Data!$V$4:$V$11</c:f>
              <c:numCache>
                <c:formatCode>0.000</c:formatCode>
                <c:ptCount val="8"/>
                <c:pt idx="0">
                  <c:v>0.0188888888888889</c:v>
                </c:pt>
                <c:pt idx="1">
                  <c:v>0.0288888888888889</c:v>
                </c:pt>
                <c:pt idx="2">
                  <c:v>0.06</c:v>
                </c:pt>
                <c:pt idx="3">
                  <c:v>0.0755555555555555</c:v>
                </c:pt>
                <c:pt idx="4">
                  <c:v>0.0877777777777778</c:v>
                </c:pt>
                <c:pt idx="5">
                  <c:v>0.0988888888888889</c:v>
                </c:pt>
                <c:pt idx="6">
                  <c:v>0.111666666666667</c:v>
                </c:pt>
                <c:pt idx="7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Data!$I$20:$I$34</c:f>
              <c:numCache>
                <c:formatCode>0</c:formatCode>
                <c:ptCount val="1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Data!$J$20:$J$34</c:f>
              <c:numCache>
                <c:formatCode>0.000</c:formatCode>
                <c:ptCount val="15"/>
                <c:pt idx="0">
                  <c:v>0.0141044018579755</c:v>
                </c:pt>
                <c:pt idx="1">
                  <c:v>0.0377701995904998</c:v>
                </c:pt>
                <c:pt idx="2">
                  <c:v>0.0614359973230241</c:v>
                </c:pt>
                <c:pt idx="3">
                  <c:v>0.0851017950555484</c:v>
                </c:pt>
                <c:pt idx="4">
                  <c:v>0.108767592788073</c:v>
                </c:pt>
                <c:pt idx="5">
                  <c:v>0.132433390520597</c:v>
                </c:pt>
                <c:pt idx="6">
                  <c:v>0.156099188253121</c:v>
                </c:pt>
                <c:pt idx="7">
                  <c:v>0.179764985985646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0.0175236595473039</c:v>
                </c:pt>
                <c:pt idx="1">
                  <c:v>0.034833239232482</c:v>
                </c:pt>
                <c:pt idx="2">
                  <c:v>0.0521428189176602</c:v>
                </c:pt>
                <c:pt idx="3">
                  <c:v>0.0694523986028384</c:v>
                </c:pt>
                <c:pt idx="4">
                  <c:v>0.0867619782880166</c:v>
                </c:pt>
                <c:pt idx="5">
                  <c:v>0.104071557973195</c:v>
                </c:pt>
                <c:pt idx="6">
                  <c:v>0.121381137658373</c:v>
                </c:pt>
                <c:pt idx="7">
                  <c:v>0.138690717343551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6002048"/>
        <c:axId val="-2002349728"/>
      </c:scatterChart>
      <c:valAx>
        <c:axId val="-204600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2002349728"/>
        <c:crosses val="autoZero"/>
        <c:crossBetween val="midCat"/>
      </c:valAx>
      <c:valAx>
        <c:axId val="-20023497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046002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0.0100442390043998</c:v>
                </c:pt>
                <c:pt idx="1">
                  <c:v>0.0204605601626586</c:v>
                </c:pt>
                <c:pt idx="2">
                  <c:v>0.00309910354313951</c:v>
                </c:pt>
                <c:pt idx="3">
                  <c:v>-0.00537346418749064</c:v>
                </c:pt>
                <c:pt idx="4">
                  <c:v>-0.0182904763625652</c:v>
                </c:pt>
                <c:pt idx="5">
                  <c:v>0.0132369559068046</c:v>
                </c:pt>
                <c:pt idx="6">
                  <c:v>0.00365327706506335</c:v>
                </c:pt>
                <c:pt idx="7">
                  <c:v>-0.0114859573322335</c:v>
                </c:pt>
                <c:pt idx="8">
                  <c:v>-0.0355140806184192</c:v>
                </c:pt>
                <c:pt idx="9">
                  <c:v>-0.0228755372379382</c:v>
                </c:pt>
                <c:pt idx="10">
                  <c:v>0.00420745058698707</c:v>
                </c:pt>
                <c:pt idx="11">
                  <c:v>0.0161512040146157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5179792"/>
        <c:axId val="-1925178432"/>
      </c:scatterChart>
      <c:valAx>
        <c:axId val="-192517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178432"/>
        <c:crosses val="autoZero"/>
        <c:crossBetween val="midCat"/>
      </c:valAx>
      <c:valAx>
        <c:axId val="-19251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517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0.00700670925313559</c:v>
                </c:pt>
                <c:pt idx="1">
                  <c:v>0.00722980040950017</c:v>
                </c:pt>
                <c:pt idx="2">
                  <c:v>-0.0158804417674686</c:v>
                </c:pt>
                <c:pt idx="3">
                  <c:v>0.00600931605556265</c:v>
                </c:pt>
                <c:pt idx="4">
                  <c:v>-0.00876759278807275</c:v>
                </c:pt>
                <c:pt idx="5">
                  <c:v>-0.0113222794094859</c:v>
                </c:pt>
                <c:pt idx="6">
                  <c:v>1.19228579897601E-5</c:v>
                </c:pt>
                <c:pt idx="7">
                  <c:v>0.0202350140143543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2301616"/>
        <c:axId val="-1923379600"/>
      </c:scatterChart>
      <c:valAx>
        <c:axId val="-192230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3379600"/>
        <c:crosses val="autoZero"/>
        <c:crossBetween val="midCat"/>
      </c:valAx>
      <c:valAx>
        <c:axId val="-19233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230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-0.00136522934158503</c:v>
                </c:pt>
                <c:pt idx="1">
                  <c:v>0.00594435034359315</c:v>
                </c:pt>
                <c:pt idx="2">
                  <c:v>-0.00785718108233978</c:v>
                </c:pt>
                <c:pt idx="3">
                  <c:v>-0.00610315695271714</c:v>
                </c:pt>
                <c:pt idx="4">
                  <c:v>-0.00101579948976119</c:v>
                </c:pt>
                <c:pt idx="5">
                  <c:v>0.0051826690843059</c:v>
                </c:pt>
                <c:pt idx="6">
                  <c:v>0.00971447099170629</c:v>
                </c:pt>
                <c:pt idx="7">
                  <c:v>-0.0101981715453378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5834496"/>
        <c:axId val="-2045832864"/>
      </c:scatterChart>
      <c:valAx>
        <c:axId val="-204583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832864"/>
        <c:crosses val="autoZero"/>
        <c:crossBetween val="midCat"/>
      </c:valAx>
      <c:valAx>
        <c:axId val="-204583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583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492632</xdr:colOff>
      <xdr:row>39</xdr:row>
      <xdr:rowOff>188472</xdr:rowOff>
    </xdr:from>
    <xdr:ext cx="50956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𝜋𝜌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𝑔h</m:t>
                    </m:r>
                    <m:sSup>
                      <m:sSupPr>
                        <m:ctrlP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544286</xdr:colOff>
      <xdr:row>42</xdr:row>
      <xdr:rowOff>10673</xdr:rowOff>
    </xdr:from>
    <xdr:ext cx="3096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8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𝐿𝑉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′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8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981850</xdr:colOff>
      <xdr:row>38</xdr:row>
      <xdr:rowOff>21344</xdr:rowOff>
    </xdr:from>
    <xdr:ext cx="68781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𝜂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𝜌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𝑔h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𝐿𝑉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′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𝜂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=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(𝜌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)/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abSelected="1" topLeftCell="A29" zoomScale="119" zoomScaleNormal="70" zoomScalePageLayoutView="70" workbookViewId="0">
      <selection activeCell="D45" sqref="D45"/>
    </sheetView>
  </sheetViews>
  <sheetFormatPr baseColWidth="10" defaultColWidth="9.1640625" defaultRowHeight="15" x14ac:dyDescent="0.2"/>
  <cols>
    <col min="1" max="1" width="21.1640625" style="2" bestFit="1" customWidth="1"/>
    <col min="2" max="2" width="18.33203125" style="2" bestFit="1" customWidth="1"/>
    <col min="3" max="3" width="19.1640625" style="2" bestFit="1" customWidth="1"/>
    <col min="4" max="4" width="13.5" style="2" bestFit="1" customWidth="1"/>
    <col min="5" max="6" width="9.1640625" style="2" customWidth="1"/>
    <col min="7" max="7" width="12.5" style="2" bestFit="1" customWidth="1"/>
    <col min="8" max="8" width="11" style="2" bestFit="1" customWidth="1"/>
    <col min="9" max="9" width="13.6640625" style="2" bestFit="1" customWidth="1"/>
    <col min="10" max="10" width="19.1640625" style="2" bestFit="1" customWidth="1"/>
    <col min="11" max="11" width="13.5" style="2" bestFit="1" customWidth="1"/>
    <col min="12" max="12" width="9.1640625" style="2" customWidth="1"/>
    <col min="13" max="13" width="17" style="2" bestFit="1" customWidth="1"/>
    <col min="14" max="14" width="8.83203125" style="2" bestFit="1" customWidth="1"/>
    <col min="15" max="15" width="9.1640625" style="2" customWidth="1"/>
    <col min="16" max="16" width="13.6640625" style="2" bestFit="1" customWidth="1"/>
    <col min="17" max="17" width="23.6640625" style="2" bestFit="1" customWidth="1"/>
    <col min="18" max="18" width="13.5" style="2" bestFit="1" customWidth="1"/>
    <col min="19" max="19" width="9.1640625" style="2" customWidth="1"/>
    <col min="20" max="20" width="12.1640625" style="2" bestFit="1" customWidth="1"/>
    <col min="21" max="21" width="9.1640625" style="2"/>
    <col min="22" max="22" width="22.83203125" style="2" bestFit="1" customWidth="1"/>
    <col min="23" max="23" width="12.83203125" style="2" bestFit="1" customWidth="1"/>
    <col min="24" max="24" width="11.83203125" style="2" bestFit="1" customWidth="1"/>
    <col min="25" max="25" width="12.5" style="2" bestFit="1" customWidth="1"/>
    <col min="26" max="26" width="11.1640625" style="2" bestFit="1" customWidth="1"/>
    <col min="27" max="27" width="23.6640625" style="2" bestFit="1" customWidth="1"/>
    <col min="28" max="28" width="12.83203125" style="2" bestFit="1" customWidth="1"/>
    <col min="29" max="29" width="11.83203125" style="2" bestFit="1" customWidth="1"/>
    <col min="30" max="30" width="12.1640625" style="2" bestFit="1" customWidth="1"/>
    <col min="31" max="31" width="9.1640625" style="2"/>
    <col min="32" max="32" width="11.83203125" style="2" bestFit="1" customWidth="1"/>
    <col min="33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</row>
    <row r="2" spans="1:36" s="66" customFormat="1" ht="15" customHeight="1" thickBot="1" x14ac:dyDescent="0.25">
      <c r="A2" s="63"/>
      <c r="B2" s="67" t="s">
        <v>1</v>
      </c>
      <c r="C2" s="108"/>
      <c r="D2" s="63"/>
      <c r="E2" s="63"/>
      <c r="F2" s="63"/>
      <c r="G2" s="63"/>
      <c r="H2" s="63"/>
      <c r="I2" s="63"/>
      <c r="J2" s="63"/>
      <c r="K2" s="67" t="s">
        <v>1</v>
      </c>
      <c r="L2" s="68"/>
      <c r="M2" s="63"/>
      <c r="N2" s="63"/>
      <c r="O2" s="63"/>
      <c r="P2" s="63"/>
      <c r="Q2" s="63"/>
      <c r="R2" s="63"/>
      <c r="S2" s="63"/>
      <c r="T2" s="67" t="s">
        <v>1</v>
      </c>
      <c r="U2" s="68"/>
      <c r="V2" s="63"/>
      <c r="W2" s="63"/>
      <c r="X2" s="63"/>
      <c r="Y2" s="63"/>
      <c r="Z2" s="63"/>
      <c r="AA2" s="63"/>
      <c r="AB2" s="63"/>
      <c r="AC2" s="63"/>
      <c r="AD2" s="67" t="s">
        <v>1</v>
      </c>
      <c r="AE2" s="68"/>
      <c r="AF2" s="63"/>
      <c r="AG2" s="63"/>
      <c r="AH2" s="63"/>
      <c r="AI2" s="63"/>
      <c r="AJ2" s="63"/>
    </row>
    <row r="3" spans="1:36" s="66" customFormat="1" ht="18.75" customHeight="1" thickBot="1" x14ac:dyDescent="0.3">
      <c r="A3" s="56" t="s">
        <v>23</v>
      </c>
      <c r="B3" s="57" t="s">
        <v>21</v>
      </c>
      <c r="C3" s="58" t="s">
        <v>31</v>
      </c>
      <c r="D3" s="59" t="s">
        <v>32</v>
      </c>
      <c r="E3" s="60" t="s">
        <v>33</v>
      </c>
      <c r="F3" s="61" t="s">
        <v>5</v>
      </c>
      <c r="G3" s="62" t="s">
        <v>34</v>
      </c>
      <c r="H3" s="89" t="s">
        <v>39</v>
      </c>
      <c r="I3" s="63" t="s">
        <v>66</v>
      </c>
      <c r="J3" s="56" t="s">
        <v>22</v>
      </c>
      <c r="K3" s="64" t="s">
        <v>21</v>
      </c>
      <c r="L3" s="65" t="s">
        <v>31</v>
      </c>
      <c r="M3" s="59" t="s">
        <v>32</v>
      </c>
      <c r="N3" s="60" t="s">
        <v>33</v>
      </c>
      <c r="O3" s="61" t="s">
        <v>5</v>
      </c>
      <c r="P3" s="62" t="s">
        <v>34</v>
      </c>
      <c r="Q3" s="89" t="s">
        <v>39</v>
      </c>
      <c r="R3" s="63" t="s">
        <v>66</v>
      </c>
      <c r="S3" s="56" t="s">
        <v>25</v>
      </c>
      <c r="T3" s="57" t="s">
        <v>21</v>
      </c>
      <c r="U3" s="58" t="s">
        <v>31</v>
      </c>
      <c r="V3" s="59" t="s">
        <v>32</v>
      </c>
      <c r="W3" s="60" t="s">
        <v>33</v>
      </c>
      <c r="X3" s="61" t="s">
        <v>5</v>
      </c>
      <c r="Y3" s="62" t="s">
        <v>34</v>
      </c>
      <c r="Z3" s="89" t="s">
        <v>39</v>
      </c>
      <c r="AA3" s="63" t="s">
        <v>67</v>
      </c>
      <c r="AB3" s="63">
        <v>5.6527221077931351E-4</v>
      </c>
      <c r="AC3" s="56" t="s">
        <v>29</v>
      </c>
      <c r="AD3" s="64" t="s">
        <v>21</v>
      </c>
      <c r="AE3" s="65" t="s">
        <v>31</v>
      </c>
      <c r="AF3" s="59" t="s">
        <v>32</v>
      </c>
      <c r="AG3" s="60" t="s">
        <v>33</v>
      </c>
      <c r="AH3" s="61" t="s">
        <v>5</v>
      </c>
      <c r="AI3" s="62" t="s">
        <v>34</v>
      </c>
      <c r="AJ3" s="55" t="s">
        <v>30</v>
      </c>
    </row>
    <row r="4" spans="1:36" ht="15.75" customHeight="1" thickBot="1" x14ac:dyDescent="0.3">
      <c r="A4" s="14" t="s">
        <v>16</v>
      </c>
      <c r="B4" s="16">
        <v>2</v>
      </c>
      <c r="C4" s="48">
        <v>3.8</v>
      </c>
      <c r="D4" s="31">
        <f t="shared" ref="D4:D16" si="0">C4/$X$32</f>
        <v>4.2222222222222223E-2</v>
      </c>
      <c r="E4" s="32">
        <f>SQRT( ((C4+$A$7)/$X$32 - C4/$X$32)^2 + (C4/($X$32+$Y$32) - C4/$X$32)^2)</f>
        <v>5.5604508208997785E-3</v>
      </c>
      <c r="F4" s="18">
        <v>4.2</v>
      </c>
      <c r="G4" s="22">
        <f t="shared" ref="G4:G16" si="1">F4/1.001</f>
        <v>4.1958041958041967</v>
      </c>
      <c r="H4" s="90"/>
      <c r="I4" s="1">
        <v>6.0427286189751201E-3</v>
      </c>
      <c r="J4" s="14" t="s">
        <v>16</v>
      </c>
      <c r="K4" s="46">
        <v>2</v>
      </c>
      <c r="L4" s="17">
        <v>1.9</v>
      </c>
      <c r="M4" s="31">
        <f>L4/90</f>
        <v>2.1111111111111112E-2</v>
      </c>
      <c r="N4" s="32">
        <f>SQRT( ((L4+$J$7)/$X$32 - L4/$X$32)^2 + (L4/($X$32+$Y$32) - L4/$X$32)^2)</f>
        <v>5.5567797761886693E-3</v>
      </c>
      <c r="O4" s="18">
        <v>1.4</v>
      </c>
      <c r="P4" s="22">
        <f t="shared" ref="P4" si="2">O4/1.001</f>
        <v>1.3986013986013988</v>
      </c>
      <c r="Q4" s="25">
        <v>12.4</v>
      </c>
      <c r="R4" s="1">
        <v>5.7948205706175315E-3</v>
      </c>
      <c r="S4" s="14" t="s">
        <v>16</v>
      </c>
      <c r="T4" s="16">
        <v>2</v>
      </c>
      <c r="U4" s="48">
        <v>1.7</v>
      </c>
      <c r="V4" s="31">
        <f>U4/90</f>
        <v>1.8888888888888889E-2</v>
      </c>
      <c r="W4" s="32">
        <f>SQRT( ((U4+$S$7)/$X$32 - U4/$X$32)^2 + (U4/($X$32+$Y$32) - U4/$X$32)^2)</f>
        <v>5.5565356318334628E-3</v>
      </c>
      <c r="X4" s="18">
        <v>1.3</v>
      </c>
      <c r="Y4" s="22">
        <f t="shared" ref="Y4" si="3">X4/1.001</f>
        <v>1.2987012987012989</v>
      </c>
      <c r="Z4" s="25">
        <v>12.6</v>
      </c>
      <c r="AA4" s="1">
        <v>7.9337827403024844E-4</v>
      </c>
      <c r="AB4" s="1">
        <v>5.7802803423466227E-4</v>
      </c>
      <c r="AC4" s="14" t="s">
        <v>16</v>
      </c>
      <c r="AD4" s="46">
        <v>2</v>
      </c>
      <c r="AE4" s="17">
        <v>2.25</v>
      </c>
      <c r="AF4" s="31">
        <f>AE4/90</f>
        <v>2.5000000000000001E-2</v>
      </c>
      <c r="AG4" s="32">
        <f>((AF4/($X$32+$Y$32))^2+((AF4+$J$7)/$X$32)^2)^0.5</f>
        <v>5.8398705486267192E-3</v>
      </c>
      <c r="AH4" s="18">
        <v>1.9</v>
      </c>
      <c r="AI4" s="22">
        <f t="shared" ref="AI4" si="4">AH4/1.001</f>
        <v>1.8981018981018982</v>
      </c>
      <c r="AJ4" s="25"/>
    </row>
    <row r="5" spans="1:36" ht="16" thickBot="1" x14ac:dyDescent="0.25">
      <c r="A5" s="50">
        <v>0.05</v>
      </c>
      <c r="B5" s="19">
        <v>3</v>
      </c>
      <c r="C5" s="49">
        <v>7</v>
      </c>
      <c r="D5" s="31">
        <f t="shared" si="0"/>
        <v>7.7777777777777779E-2</v>
      </c>
      <c r="E5" s="32">
        <f t="shared" ref="E5:E16" si="5">SQRT( ((C5+$A$7)/$X$32 - C5/$X$32)^2 + (C5/($X$32+$Y$32) - C5/$X$32)^2)</f>
        <v>5.5721494493976521E-3</v>
      </c>
      <c r="F5" s="21">
        <v>6.8</v>
      </c>
      <c r="G5" s="23">
        <f t="shared" si="1"/>
        <v>6.7932067932067941</v>
      </c>
      <c r="H5" s="91"/>
      <c r="I5" s="1">
        <v>6.477023815984439E-3</v>
      </c>
      <c r="J5" s="50">
        <v>0.05</v>
      </c>
      <c r="K5" s="47">
        <v>4</v>
      </c>
      <c r="L5" s="20">
        <v>4.05</v>
      </c>
      <c r="M5" s="31">
        <f t="shared" ref="M5" si="6">L5/90</f>
        <v>4.4999999999999998E-2</v>
      </c>
      <c r="N5" s="32">
        <f t="shared" ref="N5:N11" si="7">SQRT( ((L5+$J$7)/$X$32 - L5/$X$32)^2 + (L5/($X$32+$Y$32) - L5/$X$32)^2)</f>
        <v>5.5611157900987435E-3</v>
      </c>
      <c r="O5" s="21">
        <v>3.5</v>
      </c>
      <c r="P5" s="23">
        <f t="shared" ref="P5:P11" si="8">O5/1.001</f>
        <v>3.4965034965034967</v>
      </c>
      <c r="Q5" s="26">
        <v>12.3</v>
      </c>
      <c r="R5" s="1">
        <v>6.0759360008565948E-3</v>
      </c>
      <c r="S5" s="50">
        <v>0.05</v>
      </c>
      <c r="T5" s="19">
        <v>4</v>
      </c>
      <c r="U5" s="49">
        <v>2.6</v>
      </c>
      <c r="V5" s="31">
        <f t="shared" ref="V5" si="9">U5/90</f>
        <v>2.8888888888888891E-2</v>
      </c>
      <c r="W5" s="32">
        <f t="shared" ref="W5:W11" si="10">SQRT( ((U5+$S$7)/$X$32 - U5/$X$32)^2 + (U5/($X$32+$Y$32) - U5/$X$32)^2)</f>
        <v>5.5578477816432435E-3</v>
      </c>
      <c r="X5" s="21">
        <v>2.5</v>
      </c>
      <c r="Y5" s="23">
        <f t="shared" ref="Y5:Y11" si="11">X5/1.001</f>
        <v>2.4975024975024978</v>
      </c>
      <c r="Z5" s="26">
        <v>12.1</v>
      </c>
      <c r="AA5" s="1">
        <v>9.328589019733215E-4</v>
      </c>
      <c r="AB5" s="1">
        <v>6.4693796526574211E-4</v>
      </c>
      <c r="AC5" s="50">
        <v>0.05</v>
      </c>
      <c r="AD5" s="47"/>
      <c r="AE5" s="20"/>
      <c r="AF5" s="31"/>
      <c r="AG5" s="32"/>
      <c r="AH5" s="21"/>
      <c r="AI5" s="23"/>
      <c r="AJ5" s="26"/>
    </row>
    <row r="6" spans="1:36" ht="15.75" customHeight="1" thickBot="1" x14ac:dyDescent="0.3">
      <c r="A6" s="15" t="s">
        <v>6</v>
      </c>
      <c r="B6" s="19">
        <v>4</v>
      </c>
      <c r="C6" s="49">
        <v>7.7</v>
      </c>
      <c r="D6" s="31">
        <f t="shared" si="0"/>
        <v>8.5555555555555551E-2</v>
      </c>
      <c r="E6" s="32">
        <f t="shared" si="5"/>
        <v>5.5756278926314485E-3</v>
      </c>
      <c r="F6" s="21">
        <v>7.5</v>
      </c>
      <c r="G6" s="23">
        <f t="shared" si="1"/>
        <v>7.4925074925074933</v>
      </c>
      <c r="H6" s="91"/>
      <c r="I6" s="1">
        <v>6.5744962151050457E-3</v>
      </c>
      <c r="J6" s="15" t="s">
        <v>6</v>
      </c>
      <c r="K6" s="47">
        <v>6</v>
      </c>
      <c r="L6" s="20">
        <v>4.0999999999999996</v>
      </c>
      <c r="M6" s="31">
        <f t="shared" ref="M6:M11" si="12">L6/90</f>
        <v>4.5555555555555551E-2</v>
      </c>
      <c r="N6" s="32">
        <f t="shared" si="7"/>
        <v>5.5612538565365383E-3</v>
      </c>
      <c r="O6" s="21">
        <v>4</v>
      </c>
      <c r="P6" s="23">
        <f t="shared" si="8"/>
        <v>3.9960039960039966</v>
      </c>
      <c r="Q6" s="26">
        <v>12.5</v>
      </c>
      <c r="R6" s="1">
        <v>6.0825931015818305E-3</v>
      </c>
      <c r="S6" s="51" t="s">
        <v>6</v>
      </c>
      <c r="T6" s="19">
        <v>6</v>
      </c>
      <c r="U6" s="49">
        <v>5.4</v>
      </c>
      <c r="V6" s="31">
        <f t="shared" ref="V6:V11" si="13">U6/90</f>
        <v>6.0000000000000005E-2</v>
      </c>
      <c r="W6" s="32">
        <f t="shared" si="10"/>
        <v>5.5654365764473274E-3</v>
      </c>
      <c r="X6" s="21">
        <v>5.3</v>
      </c>
      <c r="Y6" s="23">
        <f t="shared" si="11"/>
        <v>5.2947052947052953</v>
      </c>
      <c r="Z6" s="26">
        <v>12.1</v>
      </c>
      <c r="AA6" s="1">
        <v>1.3904582636195852E-3</v>
      </c>
      <c r="AB6" s="1">
        <v>6.9490512074647922E-4</v>
      </c>
      <c r="AC6" s="15" t="s">
        <v>6</v>
      </c>
      <c r="AD6" s="47">
        <v>4</v>
      </c>
      <c r="AE6" s="20">
        <v>4</v>
      </c>
      <c r="AF6" s="31">
        <f t="shared" ref="AF6:AF16" si="14">AE6/90</f>
        <v>4.4444444444444446E-2</v>
      </c>
      <c r="AG6" s="32">
        <f>((AF6/($X$32+$Y$32))^2+((AF6+$J$7)/$X$32)^2)^0.5</f>
        <v>6.069284085428844E-3</v>
      </c>
      <c r="AH6" s="21">
        <v>3.9</v>
      </c>
      <c r="AI6" s="23">
        <f t="shared" ref="AI6" si="15">AH6/1.001</f>
        <v>3.8961038961038965</v>
      </c>
      <c r="AJ6" s="26"/>
    </row>
    <row r="7" spans="1:36" ht="16" thickBot="1" x14ac:dyDescent="0.25">
      <c r="A7" s="50">
        <v>0.5</v>
      </c>
      <c r="B7" s="19">
        <v>5</v>
      </c>
      <c r="C7" s="49">
        <v>9.1999999999999993</v>
      </c>
      <c r="D7" s="31">
        <f t="shared" si="0"/>
        <v>0.10222222222222221</v>
      </c>
      <c r="E7" s="32">
        <f t="shared" si="5"/>
        <v>5.5841879911977246E-3</v>
      </c>
      <c r="F7" s="21">
        <v>8.6</v>
      </c>
      <c r="G7" s="23">
        <f t="shared" si="1"/>
        <v>8.5914085914085927</v>
      </c>
      <c r="H7" s="91"/>
      <c r="I7" s="1">
        <v>6.7860227066590655E-3</v>
      </c>
      <c r="J7" s="50">
        <v>0.5</v>
      </c>
      <c r="K7" s="47">
        <v>8</v>
      </c>
      <c r="L7" s="20">
        <v>8.1999999999999993</v>
      </c>
      <c r="M7" s="31">
        <f t="shared" si="12"/>
        <v>9.1111111111111101E-2</v>
      </c>
      <c r="N7" s="32">
        <f t="shared" si="7"/>
        <v>5.5783138343748206E-3</v>
      </c>
      <c r="O7" s="21">
        <v>7.9</v>
      </c>
      <c r="P7" s="23">
        <f t="shared" si="8"/>
        <v>7.8921078921078935</v>
      </c>
      <c r="Q7" s="26">
        <v>12.6</v>
      </c>
      <c r="R7" s="1">
        <v>6.6446126631047103E-3</v>
      </c>
      <c r="S7" s="50">
        <v>0.5</v>
      </c>
      <c r="T7" s="19">
        <v>8</v>
      </c>
      <c r="U7" s="49">
        <v>6.8</v>
      </c>
      <c r="V7" s="31">
        <f t="shared" si="13"/>
        <v>7.5555555555555556E-2</v>
      </c>
      <c r="W7" s="32">
        <f t="shared" si="10"/>
        <v>5.5712160864927127E-3</v>
      </c>
      <c r="X7" s="21">
        <v>6.8</v>
      </c>
      <c r="Y7" s="23">
        <f t="shared" si="11"/>
        <v>6.7932067932067941</v>
      </c>
      <c r="Z7" s="26">
        <v>12.4</v>
      </c>
      <c r="AA7" s="1">
        <v>1.6257926780979199E-3</v>
      </c>
      <c r="AB7" s="1">
        <v>7.3744713178231403E-4</v>
      </c>
      <c r="AC7" s="50">
        <v>0.5</v>
      </c>
      <c r="AD7" s="47"/>
      <c r="AE7" s="20"/>
      <c r="AF7" s="31"/>
      <c r="AG7" s="32"/>
      <c r="AH7" s="21"/>
      <c r="AI7" s="23"/>
      <c r="AJ7" s="26"/>
    </row>
    <row r="8" spans="1:36" x14ac:dyDescent="0.2">
      <c r="A8" s="1"/>
      <c r="B8" s="19">
        <v>6</v>
      </c>
      <c r="C8" s="49">
        <v>10.3</v>
      </c>
      <c r="D8" s="31">
        <f t="shared" si="0"/>
        <v>0.11444444444444445</v>
      </c>
      <c r="E8" s="32">
        <f t="shared" si="5"/>
        <v>5.5914209157140486E-3</v>
      </c>
      <c r="F8" s="21">
        <v>10.6</v>
      </c>
      <c r="G8" s="23">
        <f t="shared" si="1"/>
        <v>10.589410589410591</v>
      </c>
      <c r="H8" s="91"/>
      <c r="I8" s="1">
        <v>6.9432904095792615E-3</v>
      </c>
      <c r="J8" s="1"/>
      <c r="K8" s="47">
        <v>10</v>
      </c>
      <c r="L8" s="20">
        <v>9</v>
      </c>
      <c r="M8" s="31">
        <f t="shared" si="12"/>
        <v>0.1</v>
      </c>
      <c r="N8" s="32">
        <f t="shared" si="7"/>
        <v>5.5829596558298698E-3</v>
      </c>
      <c r="O8" s="21">
        <v>9</v>
      </c>
      <c r="P8" s="23">
        <f t="shared" si="8"/>
        <v>8.9910089910089912</v>
      </c>
      <c r="Q8" s="26">
        <v>12.9</v>
      </c>
      <c r="R8" s="1">
        <v>6.7576185446859742E-3</v>
      </c>
      <c r="T8" s="19">
        <v>10</v>
      </c>
      <c r="U8" s="49">
        <v>7.9</v>
      </c>
      <c r="V8" s="31">
        <f t="shared" si="13"/>
        <v>8.7777777777777788E-2</v>
      </c>
      <c r="W8" s="32">
        <f t="shared" si="10"/>
        <v>5.5766821522953468E-3</v>
      </c>
      <c r="X8" s="21">
        <v>7.8</v>
      </c>
      <c r="Y8" s="23">
        <f t="shared" si="11"/>
        <v>7.792207792207793</v>
      </c>
      <c r="Z8" s="26">
        <v>12.4</v>
      </c>
      <c r="AA8" s="1">
        <v>1.8122611232223463E-3</v>
      </c>
      <c r="AB8" s="1">
        <v>7.7919029388187622E-4</v>
      </c>
      <c r="AC8" s="1"/>
      <c r="AD8" s="47">
        <v>6</v>
      </c>
      <c r="AE8" s="20">
        <v>4.8</v>
      </c>
      <c r="AF8" s="31">
        <f t="shared" si="14"/>
        <v>5.333333333333333E-2</v>
      </c>
      <c r="AG8" s="32">
        <f>((AF8/($X$32+$Y$32))^2+((AF8+$J$7)/$X$32)^2)^0.5</f>
        <v>6.1763275548109963E-3</v>
      </c>
      <c r="AH8" s="21">
        <v>4.5999999999999996</v>
      </c>
      <c r="AI8" s="23">
        <f t="shared" ref="AI8" si="16">AH8/1.001</f>
        <v>4.5954045954045952</v>
      </c>
      <c r="AJ8" s="26"/>
    </row>
    <row r="9" spans="1:36" x14ac:dyDescent="0.2">
      <c r="A9" s="1"/>
      <c r="B9" s="19">
        <v>7</v>
      </c>
      <c r="C9" s="49">
        <v>15.4</v>
      </c>
      <c r="D9" s="31">
        <f t="shared" si="0"/>
        <v>0.1711111111111111</v>
      </c>
      <c r="E9" s="32">
        <f t="shared" si="5"/>
        <v>5.6354159558782346E-3</v>
      </c>
      <c r="F9" s="21">
        <v>15.3</v>
      </c>
      <c r="G9" s="23">
        <f t="shared" si="1"/>
        <v>15.284715284715286</v>
      </c>
      <c r="H9" s="92">
        <v>11.7</v>
      </c>
      <c r="I9" s="1">
        <v>7.6927615850807271E-3</v>
      </c>
      <c r="J9" s="1"/>
      <c r="K9" s="47">
        <v>12</v>
      </c>
      <c r="L9" s="20">
        <v>10.9</v>
      </c>
      <c r="M9" s="31">
        <f t="shared" si="12"/>
        <v>0.12111111111111111</v>
      </c>
      <c r="N9" s="32">
        <f t="shared" si="7"/>
        <v>5.5957056746209063E-3</v>
      </c>
      <c r="O9" s="21">
        <v>10.9</v>
      </c>
      <c r="P9" s="23">
        <f t="shared" si="8"/>
        <v>10.88911088911089</v>
      </c>
      <c r="Q9" s="26">
        <v>12.9</v>
      </c>
      <c r="R9" s="1">
        <v>7.0297892163048705E-3</v>
      </c>
      <c r="S9" s="1"/>
      <c r="T9" s="19">
        <v>12</v>
      </c>
      <c r="U9" s="49">
        <v>8.9</v>
      </c>
      <c r="V9" s="31">
        <f t="shared" si="13"/>
        <v>9.8888888888888887E-2</v>
      </c>
      <c r="W9" s="32">
        <f t="shared" si="10"/>
        <v>5.5823555126519259E-3</v>
      </c>
      <c r="X9" s="21">
        <v>8.6999999999999993</v>
      </c>
      <c r="Y9" s="23">
        <f t="shared" si="11"/>
        <v>8.6913086913086914</v>
      </c>
      <c r="Z9" s="26">
        <v>12.5</v>
      </c>
      <c r="AA9" s="1">
        <v>1.9826144570434887E-3</v>
      </c>
      <c r="AB9" s="1">
        <v>8.3021715786444467E-4</v>
      </c>
      <c r="AC9" s="1"/>
      <c r="AD9" s="47"/>
      <c r="AE9" s="20"/>
      <c r="AF9" s="31"/>
      <c r="AG9" s="32"/>
      <c r="AH9" s="21"/>
      <c r="AI9" s="23"/>
      <c r="AJ9" s="26"/>
    </row>
    <row r="10" spans="1:36" x14ac:dyDescent="0.2">
      <c r="A10" s="1"/>
      <c r="B10" s="19">
        <v>8</v>
      </c>
      <c r="C10" s="49">
        <v>16.8</v>
      </c>
      <c r="D10" s="31">
        <f t="shared" si="0"/>
        <v>0.18666666666666668</v>
      </c>
      <c r="E10" s="32">
        <f t="shared" si="5"/>
        <v>5.6504683695142287E-3</v>
      </c>
      <c r="F10" s="21">
        <v>16.600000000000001</v>
      </c>
      <c r="G10" s="23">
        <f t="shared" si="1"/>
        <v>16.583416583416586</v>
      </c>
      <c r="H10" s="92">
        <v>12.2</v>
      </c>
      <c r="I10" s="1">
        <v>7.9035200601623289E-3</v>
      </c>
      <c r="J10" s="1"/>
      <c r="K10" s="47">
        <v>14</v>
      </c>
      <c r="L10" s="20">
        <v>14.05</v>
      </c>
      <c r="M10" s="31">
        <f t="shared" si="12"/>
        <v>0.15611111111111112</v>
      </c>
      <c r="N10" s="32">
        <f t="shared" si="7"/>
        <v>5.6221073045856149E-3</v>
      </c>
      <c r="O10" s="21">
        <v>13.9</v>
      </c>
      <c r="P10" s="23">
        <f t="shared" si="8"/>
        <v>13.886113886113888</v>
      </c>
      <c r="Q10" s="26">
        <v>12.9</v>
      </c>
      <c r="R10" s="1">
        <v>7.4914265710133007E-3</v>
      </c>
      <c r="S10" s="1"/>
      <c r="T10" s="19">
        <v>14</v>
      </c>
      <c r="U10" s="49">
        <v>10.050000000000001</v>
      </c>
      <c r="V10" s="31">
        <f t="shared" si="13"/>
        <v>0.11166666666666668</v>
      </c>
      <c r="W10" s="32">
        <f t="shared" si="10"/>
        <v>5.5897062610452079E-3</v>
      </c>
      <c r="X10" s="21">
        <v>10</v>
      </c>
      <c r="Y10" s="23">
        <f t="shared" si="11"/>
        <v>9.990009990009991</v>
      </c>
      <c r="Z10" s="26">
        <v>12.4</v>
      </c>
      <c r="AA10" s="1">
        <v>2.1792555150103999E-3</v>
      </c>
      <c r="AB10" s="1">
        <v>9.9262136902690382E-4</v>
      </c>
      <c r="AC10" s="1"/>
      <c r="AD10" s="47">
        <v>8</v>
      </c>
      <c r="AE10" s="20">
        <v>4.8</v>
      </c>
      <c r="AF10" s="31">
        <f t="shared" si="14"/>
        <v>5.333333333333333E-2</v>
      </c>
      <c r="AG10" s="32">
        <f>((AF10/($X$32+$Y$32))^2+((AF10+$J$7)/$X$32)^2)^0.5</f>
        <v>6.1763275548109963E-3</v>
      </c>
      <c r="AH10" s="21">
        <v>4.7</v>
      </c>
      <c r="AI10" s="23">
        <f t="shared" ref="AI10" si="17">AH10/1.001</f>
        <v>4.6953046953046957</v>
      </c>
      <c r="AJ10" s="26"/>
    </row>
    <row r="11" spans="1:36" ht="16" thickBot="1" x14ac:dyDescent="0.25">
      <c r="A11" s="1"/>
      <c r="B11" s="19">
        <v>9</v>
      </c>
      <c r="C11" s="49">
        <v>17.7</v>
      </c>
      <c r="D11" s="31">
        <f t="shared" si="0"/>
        <v>0.19666666666666666</v>
      </c>
      <c r="E11" s="32">
        <f t="shared" si="5"/>
        <v>5.6608128250445382E-3</v>
      </c>
      <c r="F11" s="21">
        <v>17.600000000000001</v>
      </c>
      <c r="G11" s="23">
        <f t="shared" si="1"/>
        <v>17.582417582417587</v>
      </c>
      <c r="H11" s="92">
        <v>12.5</v>
      </c>
      <c r="I11" s="1">
        <v>8.039992814217016E-3</v>
      </c>
      <c r="J11" s="1"/>
      <c r="K11" s="129">
        <v>16</v>
      </c>
      <c r="L11" s="130">
        <v>18</v>
      </c>
      <c r="M11" s="131">
        <f t="shared" si="12"/>
        <v>0.2</v>
      </c>
      <c r="N11" s="32">
        <f t="shared" si="7"/>
        <v>5.6643765307316371E-3</v>
      </c>
      <c r="O11" s="132">
        <v>17.3</v>
      </c>
      <c r="P11" s="133">
        <f t="shared" si="8"/>
        <v>17.282717282717286</v>
      </c>
      <c r="Q11" s="134">
        <v>12.8</v>
      </c>
      <c r="R11" s="1">
        <v>8.0856467251946649E-3</v>
      </c>
      <c r="S11" s="1"/>
      <c r="T11" s="135">
        <v>16</v>
      </c>
      <c r="U11" s="136">
        <v>13.4</v>
      </c>
      <c r="V11" s="131">
        <f t="shared" si="13"/>
        <v>0.1488888888888889</v>
      </c>
      <c r="W11" s="32">
        <f t="shared" si="10"/>
        <v>5.6161243520602517E-3</v>
      </c>
      <c r="X11" s="132">
        <v>13.5</v>
      </c>
      <c r="Y11" s="133">
        <f t="shared" si="11"/>
        <v>13.486513486513488</v>
      </c>
      <c r="Z11" s="134">
        <v>12.5</v>
      </c>
      <c r="AA11" s="1">
        <v>2.7550272528579526E-3</v>
      </c>
      <c r="AB11" s="1"/>
      <c r="AC11" s="1"/>
      <c r="AD11" s="47"/>
      <c r="AE11" s="20"/>
      <c r="AF11" s="31"/>
      <c r="AG11" s="32"/>
      <c r="AH11" s="21"/>
      <c r="AI11" s="23"/>
      <c r="AJ11" s="26"/>
    </row>
    <row r="12" spans="1:36" ht="16" thickBot="1" x14ac:dyDescent="0.25">
      <c r="A12" s="1"/>
      <c r="B12" s="19">
        <v>10</v>
      </c>
      <c r="C12" s="49">
        <v>17.8</v>
      </c>
      <c r="D12" s="31">
        <f t="shared" si="0"/>
        <v>0.19777777777777777</v>
      </c>
      <c r="E12" s="32">
        <f t="shared" si="5"/>
        <v>5.6619943205507136E-3</v>
      </c>
      <c r="F12" s="21">
        <v>17.600000000000001</v>
      </c>
      <c r="G12" s="23">
        <f t="shared" si="1"/>
        <v>17.582417582417587</v>
      </c>
      <c r="H12" s="92">
        <v>12.7</v>
      </c>
      <c r="I12" s="1">
        <v>8.0552019001696572E-3</v>
      </c>
      <c r="J12" s="1"/>
      <c r="K12" s="1"/>
      <c r="L12" s="1"/>
      <c r="M12" s="1"/>
      <c r="N12" s="1"/>
      <c r="O12" s="1"/>
      <c r="P12" s="140" t="s">
        <v>42</v>
      </c>
      <c r="Q12" s="139">
        <f>AVERAGE(Q4:Q11)</f>
        <v>12.662500000000001</v>
      </c>
      <c r="R12" s="1"/>
      <c r="S12" s="1"/>
      <c r="T12" s="1"/>
      <c r="U12" s="1"/>
      <c r="V12" s="1"/>
      <c r="W12" s="1"/>
      <c r="X12" s="1"/>
      <c r="Y12" s="138" t="s">
        <v>42</v>
      </c>
      <c r="Z12" s="139">
        <f>AVERAGE(Z4:Z11)</f>
        <v>12.375</v>
      </c>
      <c r="AA12" s="1"/>
      <c r="AB12" s="1"/>
      <c r="AC12" s="1"/>
      <c r="AD12" s="47">
        <v>10</v>
      </c>
      <c r="AE12" s="20">
        <v>10.199999999999999</v>
      </c>
      <c r="AF12" s="31">
        <f t="shared" si="14"/>
        <v>0.11333333333333333</v>
      </c>
      <c r="AG12" s="32">
        <f>((AF12/($X$32+$Y$32))^2+((AF12+$J$7)/$X$32)^2)^0.5</f>
        <v>6.9289220896181893E-3</v>
      </c>
      <c r="AH12" s="21">
        <v>9.6999999999999993</v>
      </c>
      <c r="AI12" s="23">
        <f t="shared" ref="AI12" si="18">AH12/1.001</f>
        <v>9.6903096903096912</v>
      </c>
      <c r="AJ12" s="26"/>
    </row>
    <row r="13" spans="1:36" x14ac:dyDescent="0.2">
      <c r="A13" s="1"/>
      <c r="B13" s="19">
        <v>11</v>
      </c>
      <c r="C13" s="49">
        <v>21.2</v>
      </c>
      <c r="D13" s="31">
        <f t="shared" si="0"/>
        <v>0.23555555555555555</v>
      </c>
      <c r="E13" s="32">
        <f t="shared" si="5"/>
        <v>5.7059504456429657E-3</v>
      </c>
      <c r="F13" s="21">
        <v>21.2</v>
      </c>
      <c r="G13" s="23">
        <f t="shared" si="1"/>
        <v>21.178821178821181</v>
      </c>
      <c r="H13" s="92">
        <v>13</v>
      </c>
      <c r="I13" s="1">
        <v>8.5772954608509949E-3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7"/>
      <c r="AE13" s="20"/>
      <c r="AF13" s="31"/>
      <c r="AG13" s="32"/>
      <c r="AH13" s="21"/>
      <c r="AI13" s="23"/>
      <c r="AJ13" s="26"/>
    </row>
    <row r="14" spans="1:36" x14ac:dyDescent="0.2">
      <c r="A14" s="1"/>
      <c r="B14" s="19">
        <v>12</v>
      </c>
      <c r="C14" s="49">
        <v>25.9</v>
      </c>
      <c r="D14" s="31">
        <f t="shared" si="0"/>
        <v>0.28777777777777774</v>
      </c>
      <c r="E14" s="32">
        <f t="shared" si="5"/>
        <v>5.7785883053267737E-3</v>
      </c>
      <c r="F14" s="21">
        <v>25.7</v>
      </c>
      <c r="G14" s="23">
        <f t="shared" si="1"/>
        <v>25.674325674325676</v>
      </c>
      <c r="H14" s="92">
        <v>13.2</v>
      </c>
      <c r="I14" s="1">
        <v>9.3127902885249674E-3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7">
        <v>12</v>
      </c>
      <c r="AE14" s="20">
        <v>10.9</v>
      </c>
      <c r="AF14" s="31">
        <f t="shared" si="14"/>
        <v>0.12111111111111111</v>
      </c>
      <c r="AG14" s="32">
        <f>((AF14/($X$32+$Y$32))^2+((AF14+$J$7)/$X$32)^2)^0.5</f>
        <v>7.0297892163048705E-3</v>
      </c>
      <c r="AH14" s="21">
        <v>13.2</v>
      </c>
      <c r="AI14" s="23">
        <f t="shared" ref="AI14:AI16" si="19">AH14/1.001</f>
        <v>13.186813186813188</v>
      </c>
      <c r="AJ14" s="26"/>
    </row>
    <row r="15" spans="1:36" x14ac:dyDescent="0.2">
      <c r="A15" s="1"/>
      <c r="B15" s="19">
        <v>14</v>
      </c>
      <c r="C15" s="49">
        <v>31.5</v>
      </c>
      <c r="D15" s="31">
        <f t="shared" si="0"/>
        <v>0.35</v>
      </c>
      <c r="E15" s="32">
        <f t="shared" si="5"/>
        <v>5.8824654381409254E-3</v>
      </c>
      <c r="F15" s="21">
        <v>31.3</v>
      </c>
      <c r="G15" s="23">
        <f t="shared" si="1"/>
        <v>31.268731268731273</v>
      </c>
      <c r="H15" s="92">
        <v>13.5</v>
      </c>
      <c r="I15" s="1">
        <v>1.0205603326821473E-2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7">
        <v>14</v>
      </c>
      <c r="AE15" s="20">
        <v>14.05</v>
      </c>
      <c r="AF15" s="31">
        <f t="shared" si="14"/>
        <v>0.15611111111111112</v>
      </c>
      <c r="AG15" s="32">
        <f>((AF15/($X$32+$Y$32))^2+((AF15+$J$7)/$X$32)^2)^0.5</f>
        <v>7.4914265710133007E-3</v>
      </c>
      <c r="AH15" s="21">
        <v>13.9</v>
      </c>
      <c r="AI15" s="23">
        <f t="shared" si="19"/>
        <v>13.886113886113888</v>
      </c>
      <c r="AJ15" s="26"/>
    </row>
    <row r="16" spans="1:36" ht="16" thickBot="1" x14ac:dyDescent="0.25">
      <c r="A16" s="1"/>
      <c r="B16" s="135">
        <v>16</v>
      </c>
      <c r="C16" s="136">
        <v>36.9</v>
      </c>
      <c r="D16" s="131">
        <f t="shared" si="0"/>
        <v>0.41</v>
      </c>
      <c r="E16" s="32">
        <f t="shared" si="5"/>
        <v>5.9996081984665783E-3</v>
      </c>
      <c r="F16" s="132">
        <v>36.5</v>
      </c>
      <c r="G16" s="133">
        <f t="shared" si="1"/>
        <v>36.463536463536471</v>
      </c>
      <c r="H16" s="137">
        <v>13.6</v>
      </c>
      <c r="I16" s="1">
        <v>1.1079664792682402E-2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7">
        <v>16</v>
      </c>
      <c r="AE16" s="20">
        <v>18</v>
      </c>
      <c r="AF16" s="31">
        <f t="shared" si="14"/>
        <v>0.2</v>
      </c>
      <c r="AG16" s="32">
        <f>((AF16/($X$32+$Y$32))^2+((AF16+$J$7)/$X$32)^2)^0.5</f>
        <v>8.0856467251946649E-3</v>
      </c>
      <c r="AH16" s="21">
        <v>17.3</v>
      </c>
      <c r="AI16" s="24">
        <f t="shared" si="19"/>
        <v>17.282717282717286</v>
      </c>
      <c r="AJ16" s="26"/>
    </row>
    <row r="17" spans="1:36" ht="16" thickBot="1" x14ac:dyDescent="0.25">
      <c r="A17" s="1"/>
      <c r="B17" s="1"/>
      <c r="C17" s="1"/>
      <c r="D17" s="1"/>
      <c r="E17" s="1"/>
      <c r="F17" s="1"/>
      <c r="G17" s="138" t="s">
        <v>42</v>
      </c>
      <c r="H17" s="139">
        <f>AVERAGE(H9:H16)</f>
        <v>12.799999999999999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" thickBot="1" x14ac:dyDescent="0.25">
      <c r="A18" s="1"/>
      <c r="B18" s="1" t="s">
        <v>7</v>
      </c>
      <c r="C18" s="1" t="s">
        <v>41</v>
      </c>
      <c r="D18" s="1"/>
      <c r="E18" s="1"/>
      <c r="F18" s="1"/>
      <c r="G18" s="1"/>
      <c r="H18" s="1"/>
      <c r="I18" s="1"/>
      <c r="J18" s="98" t="s">
        <v>41</v>
      </c>
      <c r="K18" s="1"/>
      <c r="L18" s="1"/>
      <c r="M18" s="1"/>
      <c r="N18" s="1"/>
      <c r="O18" s="1"/>
      <c r="P18" s="1"/>
      <c r="Q18" s="98" t="s">
        <v>41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66" customFormat="1" ht="19" thickBot="1" x14ac:dyDescent="0.3">
      <c r="A19" s="56" t="s">
        <v>23</v>
      </c>
      <c r="B19" s="69" t="s">
        <v>24</v>
      </c>
      <c r="C19" s="70" t="s">
        <v>35</v>
      </c>
      <c r="D19" s="71" t="s">
        <v>18</v>
      </c>
      <c r="E19" s="72" t="s">
        <v>36</v>
      </c>
      <c r="F19" s="73" t="s">
        <v>37</v>
      </c>
      <c r="G19" s="63" t="s">
        <v>64</v>
      </c>
      <c r="H19" s="56" t="s">
        <v>22</v>
      </c>
      <c r="I19" s="69" t="s">
        <v>24</v>
      </c>
      <c r="J19" s="70" t="s">
        <v>35</v>
      </c>
      <c r="K19" s="71" t="s">
        <v>18</v>
      </c>
      <c r="L19" s="72" t="s">
        <v>36</v>
      </c>
      <c r="M19" s="73" t="s">
        <v>37</v>
      </c>
      <c r="N19" s="63" t="s">
        <v>64</v>
      </c>
      <c r="O19" s="56" t="s">
        <v>25</v>
      </c>
      <c r="P19" s="69" t="s">
        <v>24</v>
      </c>
      <c r="Q19" s="70" t="s">
        <v>35</v>
      </c>
      <c r="R19" s="71" t="s">
        <v>18</v>
      </c>
      <c r="S19" s="72" t="s">
        <v>36</v>
      </c>
      <c r="T19" s="73" t="s">
        <v>37</v>
      </c>
      <c r="U19" s="63"/>
      <c r="V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</row>
    <row r="20" spans="1:36" ht="16" thickBot="1" x14ac:dyDescent="0.25">
      <c r="A20" s="1"/>
      <c r="B20" s="33">
        <v>2</v>
      </c>
      <c r="C20" s="35">
        <f>$A$102*B20+$B$102</f>
        <v>3.2177983217822392E-2</v>
      </c>
      <c r="D20" s="36">
        <f>D4-C20</f>
        <v>1.0044239004399831E-2</v>
      </c>
      <c r="E20" s="38">
        <f t="shared" ref="E20:E30" si="20">D20/E4</f>
        <v>1.8063713407278184</v>
      </c>
      <c r="F20" s="40">
        <f>E20^2</f>
        <v>3.2629774206028159</v>
      </c>
      <c r="G20" s="1">
        <v>4.0483057814126255E-2</v>
      </c>
      <c r="H20" s="1"/>
      <c r="I20" s="33">
        <v>2</v>
      </c>
      <c r="J20" s="35">
        <f>$D$102*I20+$E$102</f>
        <v>1.4104401857975521E-2</v>
      </c>
      <c r="K20" s="42">
        <f t="shared" ref="K20:K27" si="21">M4-J20</f>
        <v>7.0067092531355905E-3</v>
      </c>
      <c r="L20" s="38">
        <f t="shared" ref="L20:L27" si="22">K20/N4</f>
        <v>1.2609298074327162</v>
      </c>
      <c r="M20" s="40">
        <f>L20^2</f>
        <v>1.5899439792723067</v>
      </c>
      <c r="N20" s="1">
        <v>2.0158404142797091E-2</v>
      </c>
      <c r="O20" s="1"/>
      <c r="P20" s="33">
        <v>2</v>
      </c>
      <c r="Q20" s="35">
        <f>$G$102*P20+$H$102</f>
        <v>1.7523659547303859E-2</v>
      </c>
      <c r="R20" s="42">
        <f t="shared" ref="R20:R27" si="23">Q20-V4</f>
        <v>-1.3652293415850301E-3</v>
      </c>
      <c r="S20" s="38">
        <f t="shared" ref="S20:S27" si="24">R20/W4</f>
        <v>-0.24569793699578096</v>
      </c>
      <c r="T20" s="40">
        <f>S20^2</f>
        <v>6.0367476243982754E-2</v>
      </c>
      <c r="U20" s="1">
        <v>1.8136449430132328E-2</v>
      </c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8" thickBot="1" x14ac:dyDescent="0.25">
      <c r="A21" s="1"/>
      <c r="B21" s="34">
        <v>3</v>
      </c>
      <c r="C21" s="35">
        <f t="shared" ref="C21:C30" si="25">$A$102*B21+$B$102</f>
        <v>5.7317217615119223E-2</v>
      </c>
      <c r="D21" s="37">
        <f t="shared" ref="D21:D30" si="26">D5-C21</f>
        <v>2.0460560162658556E-2</v>
      </c>
      <c r="E21" s="39">
        <f t="shared" si="20"/>
        <v>3.6719331289418911</v>
      </c>
      <c r="F21" s="41">
        <f t="shared" ref="F21:F30" si="27">E21^2</f>
        <v>13.483092903420987</v>
      </c>
      <c r="G21" s="1">
        <v>6.0724586721189383E-2</v>
      </c>
      <c r="H21" s="1"/>
      <c r="I21" s="34">
        <v>4</v>
      </c>
      <c r="J21" s="35">
        <f t="shared" ref="J21:J27" si="28">$D$102*I21+$E$102</f>
        <v>3.7770199590499827E-2</v>
      </c>
      <c r="K21" s="44">
        <f t="shared" si="21"/>
        <v>7.2298004095001714E-3</v>
      </c>
      <c r="L21" s="39">
        <f t="shared" si="22"/>
        <v>1.3000629158580779</v>
      </c>
      <c r="M21" s="41">
        <f t="shared" ref="M21" si="29">L21^2</f>
        <v>1.6901635851894077</v>
      </c>
      <c r="N21" s="1">
        <v>4.0316808285594183E-2</v>
      </c>
      <c r="O21" s="1"/>
      <c r="P21" s="34">
        <v>4</v>
      </c>
      <c r="Q21" s="35">
        <f t="shared" ref="Q21:Q27" si="30">$G$102*P21+$H$102</f>
        <v>3.4833239232482043E-2</v>
      </c>
      <c r="R21" s="45">
        <f t="shared" si="23"/>
        <v>5.9443503435931515E-3</v>
      </c>
      <c r="S21" s="43">
        <f t="shared" si="24"/>
        <v>1.0695417681690509</v>
      </c>
      <c r="T21" s="41">
        <f t="shared" ref="T21" si="31">S21^2</f>
        <v>1.1439195938581799</v>
      </c>
      <c r="U21" s="1">
        <v>3.6272898860264656E-2</v>
      </c>
      <c r="V21" s="1"/>
      <c r="W21" s="6" t="s">
        <v>19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8" thickBot="1" x14ac:dyDescent="0.25">
      <c r="A22" s="1"/>
      <c r="B22" s="34">
        <v>4</v>
      </c>
      <c r="C22" s="35">
        <f t="shared" si="25"/>
        <v>8.245645201241604E-2</v>
      </c>
      <c r="D22" s="37">
        <f t="shared" si="26"/>
        <v>3.0991035431395114E-3</v>
      </c>
      <c r="E22" s="39">
        <f t="shared" si="20"/>
        <v>0.55583041099912289</v>
      </c>
      <c r="F22" s="41">
        <f t="shared" si="27"/>
        <v>0.30894744579145389</v>
      </c>
      <c r="G22" s="1">
        <v>8.0966115628252511E-2</v>
      </c>
      <c r="H22" s="1"/>
      <c r="I22" s="34">
        <v>6</v>
      </c>
      <c r="J22" s="35">
        <f t="shared" si="28"/>
        <v>6.1435997323024134E-2</v>
      </c>
      <c r="K22" s="44">
        <f t="shared" si="21"/>
        <v>-1.5880441767468584E-2</v>
      </c>
      <c r="L22" s="39">
        <f t="shared" si="22"/>
        <v>-2.8555505965265673</v>
      </c>
      <c r="M22" s="41">
        <f t="shared" ref="M22:M27" si="32">L22^2</f>
        <v>8.1541692093232339</v>
      </c>
      <c r="N22" s="1">
        <v>6.047521242839126E-2</v>
      </c>
      <c r="O22" s="1"/>
      <c r="P22" s="34">
        <v>6</v>
      </c>
      <c r="Q22" s="35">
        <f t="shared" si="30"/>
        <v>5.2142818917660226E-2</v>
      </c>
      <c r="R22" s="45">
        <f t="shared" si="23"/>
        <v>-7.8571810823397786E-3</v>
      </c>
      <c r="S22" s="43">
        <f t="shared" si="24"/>
        <v>-1.4117816229531766</v>
      </c>
      <c r="T22" s="41">
        <f t="shared" ref="T22:T27" si="33">S22^2</f>
        <v>1.9931273509083052</v>
      </c>
      <c r="U22" s="1">
        <v>5.4409348290396994E-2</v>
      </c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8" thickBot="1" x14ac:dyDescent="0.3">
      <c r="A23" s="1"/>
      <c r="B23" s="34">
        <v>5</v>
      </c>
      <c r="C23" s="35">
        <f t="shared" si="25"/>
        <v>0.10759568640971286</v>
      </c>
      <c r="D23" s="37">
        <f t="shared" si="26"/>
        <v>-5.3734641874906425E-3</v>
      </c>
      <c r="E23" s="39">
        <f t="shared" si="20"/>
        <v>-0.96226419955072373</v>
      </c>
      <c r="F23" s="41">
        <f t="shared" si="27"/>
        <v>0.92595238973699501</v>
      </c>
      <c r="G23" s="1">
        <v>0.10120764453531564</v>
      </c>
      <c r="H23" s="1"/>
      <c r="I23" s="34">
        <v>8</v>
      </c>
      <c r="J23" s="35">
        <f t="shared" si="28"/>
        <v>8.5101795055548449E-2</v>
      </c>
      <c r="K23" s="44">
        <f t="shared" si="21"/>
        <v>6.0093160555626524E-3</v>
      </c>
      <c r="L23" s="39">
        <f t="shared" si="22"/>
        <v>1.0772638890504689</v>
      </c>
      <c r="M23" s="41">
        <f t="shared" si="32"/>
        <v>1.1604974866521409</v>
      </c>
      <c r="N23" s="1">
        <v>8.0633616571188366E-2</v>
      </c>
      <c r="O23" s="1"/>
      <c r="P23" s="34">
        <v>8</v>
      </c>
      <c r="Q23" s="35">
        <f t="shared" si="30"/>
        <v>6.9452398602838417E-2</v>
      </c>
      <c r="R23" s="45">
        <f t="shared" si="23"/>
        <v>-6.1031569527171398E-3</v>
      </c>
      <c r="S23" s="43">
        <f t="shared" si="24"/>
        <v>-1.0954802071874588</v>
      </c>
      <c r="T23" s="41">
        <f t="shared" si="33"/>
        <v>1.2000768843394776</v>
      </c>
      <c r="U23" s="1">
        <v>7.2545797720529312E-2</v>
      </c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26</v>
      </c>
      <c r="AC23" s="1"/>
      <c r="AD23" s="1"/>
      <c r="AE23" s="1"/>
      <c r="AF23" s="1"/>
      <c r="AG23" s="1"/>
      <c r="AH23" s="1"/>
      <c r="AI23" s="1"/>
      <c r="AJ23" s="1"/>
    </row>
    <row r="24" spans="1:36" ht="18" thickBot="1" x14ac:dyDescent="0.25">
      <c r="A24" s="1"/>
      <c r="B24" s="34">
        <v>6</v>
      </c>
      <c r="C24" s="35">
        <f t="shared" si="25"/>
        <v>0.13273492080700969</v>
      </c>
      <c r="D24" s="37">
        <f t="shared" si="26"/>
        <v>-1.8290476362565242E-2</v>
      </c>
      <c r="E24" s="39">
        <f t="shared" si="20"/>
        <v>-3.2711678548760212</v>
      </c>
      <c r="F24" s="41">
        <f t="shared" si="27"/>
        <v>10.700539134774191</v>
      </c>
      <c r="G24" s="1">
        <v>0.12144917344237877</v>
      </c>
      <c r="H24" s="1"/>
      <c r="I24" s="34">
        <v>10</v>
      </c>
      <c r="J24" s="35">
        <f t="shared" si="28"/>
        <v>0.10876759278807276</v>
      </c>
      <c r="K24" s="44">
        <f t="shared" si="21"/>
        <v>-8.7675927880727506E-3</v>
      </c>
      <c r="L24" s="39">
        <f t="shared" si="22"/>
        <v>-1.5704202302299293</v>
      </c>
      <c r="M24" s="41">
        <f t="shared" si="32"/>
        <v>2.466219699515424</v>
      </c>
      <c r="N24" s="1">
        <v>0.10079202071398545</v>
      </c>
      <c r="O24" s="1"/>
      <c r="P24" s="34">
        <v>10</v>
      </c>
      <c r="Q24" s="35">
        <f t="shared" si="30"/>
        <v>8.67619782880166E-2</v>
      </c>
      <c r="R24" s="45">
        <f t="shared" si="23"/>
        <v>-1.0157994897611877E-3</v>
      </c>
      <c r="S24" s="43">
        <f t="shared" si="24"/>
        <v>-0.18215122576836973</v>
      </c>
      <c r="T24" s="41">
        <f t="shared" si="33"/>
        <v>3.3179069048919603E-2</v>
      </c>
      <c r="U24" s="1">
        <v>9.0682247150661657E-2</v>
      </c>
      <c r="V24" s="1"/>
      <c r="W24" s="10" t="s">
        <v>9</v>
      </c>
      <c r="X24" s="7">
        <v>4.0099999999999997E-2</v>
      </c>
      <c r="Y24" s="8">
        <v>3.0000000000000001E-3</v>
      </c>
      <c r="Z24" s="1"/>
      <c r="AA24" s="103" t="s">
        <v>23</v>
      </c>
      <c r="AB24" s="50" t="s">
        <v>27</v>
      </c>
      <c r="AC24" s="102" t="s">
        <v>28</v>
      </c>
      <c r="AD24" s="1"/>
      <c r="AE24" s="103" t="s">
        <v>25</v>
      </c>
      <c r="AF24" s="50" t="s">
        <v>27</v>
      </c>
      <c r="AG24" s="50" t="s">
        <v>28</v>
      </c>
      <c r="AH24" s="1"/>
      <c r="AI24" s="2" t="s">
        <v>22</v>
      </c>
      <c r="AJ24" s="50" t="s">
        <v>28</v>
      </c>
    </row>
    <row r="25" spans="1:36" ht="18" thickBot="1" x14ac:dyDescent="0.3">
      <c r="A25" s="1"/>
      <c r="B25" s="34">
        <v>7</v>
      </c>
      <c r="C25" s="35">
        <f t="shared" si="25"/>
        <v>0.1578741552043065</v>
      </c>
      <c r="D25" s="37">
        <f t="shared" si="26"/>
        <v>1.3236955906804598E-2</v>
      </c>
      <c r="E25" s="39">
        <f t="shared" si="20"/>
        <v>2.3488871115178798</v>
      </c>
      <c r="F25" s="41">
        <f t="shared" si="27"/>
        <v>5.5172706626548083</v>
      </c>
      <c r="G25" s="1">
        <v>0.14169070234944187</v>
      </c>
      <c r="H25" s="1"/>
      <c r="I25" s="34">
        <v>12</v>
      </c>
      <c r="J25" s="35">
        <f t="shared" si="28"/>
        <v>0.13243339052059705</v>
      </c>
      <c r="K25" s="44">
        <f t="shared" si="21"/>
        <v>-1.1322279409485936E-2</v>
      </c>
      <c r="L25" s="39">
        <f t="shared" si="22"/>
        <v>-2.0233872308255365</v>
      </c>
      <c r="M25" s="41">
        <f t="shared" si="32"/>
        <v>4.0940958858678327</v>
      </c>
      <c r="N25" s="1">
        <v>0.12095042485678252</v>
      </c>
      <c r="O25" s="1"/>
      <c r="P25" s="34">
        <v>12</v>
      </c>
      <c r="Q25" s="35">
        <f t="shared" si="30"/>
        <v>0.10407155797319478</v>
      </c>
      <c r="R25" s="45">
        <f t="shared" si="23"/>
        <v>5.1826690843058965E-3</v>
      </c>
      <c r="S25" s="43">
        <f t="shared" si="24"/>
        <v>0.92840183190766434</v>
      </c>
      <c r="T25" s="41">
        <f t="shared" si="33"/>
        <v>0.86192996148950707</v>
      </c>
      <c r="U25" s="1">
        <v>0.10881869658079399</v>
      </c>
      <c r="V25" s="1"/>
      <c r="W25" s="3" t="s">
        <v>13</v>
      </c>
      <c r="X25" s="11">
        <f>46*0.00001</f>
        <v>4.6000000000000001E-4</v>
      </c>
      <c r="Y25" s="9">
        <f>3*0.001</f>
        <v>3.0000000000000001E-3</v>
      </c>
      <c r="Z25" s="1">
        <v>3.0000000000000001E-5</v>
      </c>
      <c r="AA25" s="1"/>
      <c r="AB25" s="54">
        <v>65</v>
      </c>
      <c r="AC25" s="52">
        <v>65</v>
      </c>
      <c r="AD25" s="1"/>
      <c r="AE25" s="1"/>
      <c r="AF25" s="54">
        <v>52</v>
      </c>
      <c r="AG25" s="54">
        <v>47</v>
      </c>
      <c r="AH25" s="1"/>
      <c r="AI25" s="1"/>
      <c r="AJ25" s="54">
        <v>53</v>
      </c>
    </row>
    <row r="26" spans="1:36" ht="18" thickBot="1" x14ac:dyDescent="0.3">
      <c r="A26" s="1"/>
      <c r="B26" s="34">
        <v>8</v>
      </c>
      <c r="C26" s="35">
        <f t="shared" si="25"/>
        <v>0.18301338960160332</v>
      </c>
      <c r="D26" s="37">
        <f t="shared" si="26"/>
        <v>3.6532770650633539E-3</v>
      </c>
      <c r="E26" s="39">
        <f t="shared" si="20"/>
        <v>0.64654411389571698</v>
      </c>
      <c r="F26" s="41">
        <f t="shared" si="27"/>
        <v>0.41801929121319786</v>
      </c>
      <c r="G26" s="1">
        <v>0.16193223125650502</v>
      </c>
      <c r="H26" s="1"/>
      <c r="I26" s="34">
        <v>14</v>
      </c>
      <c r="J26" s="35">
        <f t="shared" si="28"/>
        <v>0.15609918825312136</v>
      </c>
      <c r="K26" s="44">
        <f t="shared" si="21"/>
        <v>1.1922857989760116E-5</v>
      </c>
      <c r="L26" s="39">
        <f t="shared" si="22"/>
        <v>2.1207097879535949E-3</v>
      </c>
      <c r="M26" s="41">
        <f t="shared" si="32"/>
        <v>4.4974100047221809E-6</v>
      </c>
      <c r="N26" s="1">
        <v>0.14110882899957961</v>
      </c>
      <c r="O26" s="1"/>
      <c r="P26" s="34">
        <v>14</v>
      </c>
      <c r="Q26" s="35">
        <f t="shared" si="30"/>
        <v>0.12138113765837297</v>
      </c>
      <c r="R26" s="45">
        <f t="shared" si="23"/>
        <v>9.7144709917062894E-3</v>
      </c>
      <c r="S26" s="43">
        <f t="shared" si="24"/>
        <v>1.7379215540191553</v>
      </c>
      <c r="T26" s="41">
        <f t="shared" si="33"/>
        <v>3.0203713279243556</v>
      </c>
      <c r="U26" s="1">
        <v>0.12695514601092628</v>
      </c>
      <c r="V26" s="1"/>
      <c r="W26" s="10" t="s">
        <v>12</v>
      </c>
      <c r="X26" s="11">
        <f>47*0.00001</f>
        <v>4.7000000000000004E-4</v>
      </c>
      <c r="Y26" s="9">
        <v>3.0000000000000001E-3</v>
      </c>
      <c r="Z26" s="1">
        <v>3.0000000000000001E-5</v>
      </c>
      <c r="AA26" s="1"/>
      <c r="AB26" s="54">
        <v>66</v>
      </c>
      <c r="AC26" s="52">
        <v>61</v>
      </c>
      <c r="AD26" s="1"/>
      <c r="AE26" s="1"/>
      <c r="AF26" s="54">
        <v>50</v>
      </c>
      <c r="AG26" s="54">
        <v>50</v>
      </c>
      <c r="AH26" s="1"/>
      <c r="AI26" s="1"/>
      <c r="AJ26" s="54">
        <v>50</v>
      </c>
    </row>
    <row r="27" spans="1:36" ht="18" thickBot="1" x14ac:dyDescent="0.3">
      <c r="A27" s="1"/>
      <c r="B27" s="34">
        <v>9</v>
      </c>
      <c r="C27" s="35">
        <f t="shared" si="25"/>
        <v>0.20815262399890014</v>
      </c>
      <c r="D27" s="100">
        <f t="shared" si="26"/>
        <v>-1.1485957332233482E-2</v>
      </c>
      <c r="E27" s="39">
        <f t="shared" si="20"/>
        <v>-2.0290296971871902</v>
      </c>
      <c r="F27" s="41">
        <f t="shared" si="27"/>
        <v>4.1169615120675402</v>
      </c>
      <c r="G27" s="1">
        <v>0.18217376016356815</v>
      </c>
      <c r="H27" s="1"/>
      <c r="I27" s="112">
        <v>16</v>
      </c>
      <c r="J27" s="35">
        <f t="shared" si="28"/>
        <v>0.17976498598564566</v>
      </c>
      <c r="K27" s="122">
        <f t="shared" si="21"/>
        <v>2.0235014014354347E-2</v>
      </c>
      <c r="L27" s="123">
        <f t="shared" si="22"/>
        <v>3.5723285527667241</v>
      </c>
      <c r="M27" s="116">
        <f t="shared" si="32"/>
        <v>12.761531288912398</v>
      </c>
      <c r="N27" s="1">
        <v>0.16126723314237673</v>
      </c>
      <c r="O27" s="1"/>
      <c r="P27" s="112">
        <v>16</v>
      </c>
      <c r="Q27" s="35">
        <f t="shared" si="30"/>
        <v>0.13869071734355115</v>
      </c>
      <c r="R27" s="127">
        <f t="shared" si="23"/>
        <v>-1.0198171545337753E-2</v>
      </c>
      <c r="S27" s="123">
        <f t="shared" si="24"/>
        <v>-1.8158735287968821</v>
      </c>
      <c r="T27" s="116">
        <f t="shared" si="33"/>
        <v>3.2973966725852413</v>
      </c>
      <c r="U27" s="1">
        <v>0.14509159544105862</v>
      </c>
      <c r="V27" s="1"/>
      <c r="W27" s="10" t="s">
        <v>14</v>
      </c>
      <c r="X27" s="11">
        <f>55*0.00001</f>
        <v>5.5000000000000003E-4</v>
      </c>
      <c r="Y27" s="9">
        <v>3.0000000000000001E-3</v>
      </c>
      <c r="Z27" s="1">
        <v>3.0000000000000001E-5</v>
      </c>
      <c r="AA27" s="1"/>
      <c r="AB27" s="54">
        <v>68</v>
      </c>
      <c r="AC27" s="52">
        <v>65</v>
      </c>
      <c r="AD27" s="1"/>
      <c r="AE27" s="1"/>
      <c r="AF27" s="54">
        <v>53</v>
      </c>
      <c r="AG27" s="54">
        <v>51</v>
      </c>
      <c r="AH27" s="1"/>
      <c r="AI27" s="1"/>
      <c r="AJ27" s="54">
        <v>47</v>
      </c>
    </row>
    <row r="28" spans="1:36" ht="18" thickBot="1" x14ac:dyDescent="0.3">
      <c r="A28" s="1"/>
      <c r="B28" s="34">
        <v>10</v>
      </c>
      <c r="C28" s="35">
        <f t="shared" si="25"/>
        <v>0.23329185839619695</v>
      </c>
      <c r="D28" s="37">
        <f t="shared" si="26"/>
        <v>-3.551408061841918E-2</v>
      </c>
      <c r="E28" s="39">
        <f t="shared" si="20"/>
        <v>-6.2723624588455795</v>
      </c>
      <c r="F28" s="41">
        <f t="shared" si="27"/>
        <v>39.342530815135362</v>
      </c>
      <c r="G28" s="1">
        <v>0.20241528907063128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7" t="s">
        <v>17</v>
      </c>
      <c r="X28" s="7">
        <v>0.154</v>
      </c>
      <c r="Y28" s="28">
        <v>5.0000000000000001E-3</v>
      </c>
      <c r="Z28" s="1"/>
      <c r="AA28" s="1"/>
      <c r="AB28" s="54">
        <v>66</v>
      </c>
      <c r="AC28" s="52">
        <v>68</v>
      </c>
      <c r="AD28" s="1"/>
      <c r="AE28" s="1"/>
      <c r="AF28" s="54">
        <v>53</v>
      </c>
      <c r="AG28" s="54">
        <v>47</v>
      </c>
      <c r="AH28" s="1"/>
      <c r="AI28" s="1"/>
      <c r="AJ28" s="54">
        <v>56</v>
      </c>
    </row>
    <row r="29" spans="1:36" ht="18" thickBot="1" x14ac:dyDescent="0.3">
      <c r="A29" s="1"/>
      <c r="B29" s="34">
        <v>11</v>
      </c>
      <c r="C29" s="35">
        <f t="shared" si="25"/>
        <v>0.2584310927934938</v>
      </c>
      <c r="D29" s="37">
        <f t="shared" si="26"/>
        <v>-2.2875537237938254E-2</v>
      </c>
      <c r="E29" s="39">
        <f t="shared" si="20"/>
        <v>-4.009066930366683</v>
      </c>
      <c r="F29" s="41">
        <f t="shared" si="27"/>
        <v>16.072617652159739</v>
      </c>
      <c r="G29" s="1">
        <v>0.22265681797769438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7" t="s">
        <v>46</v>
      </c>
      <c r="X29" s="7">
        <v>0.151</v>
      </c>
      <c r="Y29" s="29">
        <v>5.0000000000000001E-3</v>
      </c>
      <c r="Z29" s="1"/>
      <c r="AA29" s="1"/>
      <c r="AB29" s="54">
        <v>61</v>
      </c>
      <c r="AC29" s="52">
        <v>66</v>
      </c>
      <c r="AD29" s="1"/>
      <c r="AE29" s="1"/>
      <c r="AF29" s="54">
        <v>52</v>
      </c>
      <c r="AG29" s="54">
        <v>47</v>
      </c>
      <c r="AH29" s="1"/>
      <c r="AI29" s="1"/>
      <c r="AJ29" s="54">
        <v>56</v>
      </c>
    </row>
    <row r="30" spans="1:36" ht="18" thickBot="1" x14ac:dyDescent="0.3">
      <c r="A30" s="1"/>
      <c r="B30" s="34">
        <v>12</v>
      </c>
      <c r="C30" s="35">
        <f t="shared" si="25"/>
        <v>0.28357032719079067</v>
      </c>
      <c r="D30" s="37">
        <f t="shared" si="26"/>
        <v>4.2074505869870715E-3</v>
      </c>
      <c r="E30" s="39">
        <f t="shared" si="20"/>
        <v>0.728110459627067</v>
      </c>
      <c r="F30" s="41">
        <f t="shared" si="27"/>
        <v>0.53014484141833873</v>
      </c>
      <c r="G30" s="1">
        <v>0.24289834688475753</v>
      </c>
      <c r="H30" s="121"/>
      <c r="I30" s="121"/>
      <c r="J30" s="121"/>
      <c r="K30" s="121"/>
      <c r="L30" s="121"/>
      <c r="M30" s="121"/>
      <c r="N30" s="121"/>
      <c r="O30" s="1"/>
      <c r="P30" s="1"/>
      <c r="Q30" s="1"/>
      <c r="R30" s="1"/>
      <c r="S30" s="1"/>
      <c r="T30" s="1"/>
      <c r="U30" s="1"/>
      <c r="V30" s="1"/>
      <c r="W30" s="106" t="s">
        <v>47</v>
      </c>
      <c r="X30" s="7">
        <v>0.14099999999999999</v>
      </c>
      <c r="Y30" s="8">
        <v>5.0000000000000001E-3</v>
      </c>
      <c r="Z30" s="1"/>
      <c r="AA30" s="1"/>
      <c r="AB30" s="104">
        <v>65</v>
      </c>
      <c r="AC30" s="101"/>
      <c r="AE30" s="1"/>
      <c r="AF30" s="104">
        <v>50</v>
      </c>
      <c r="AG30" s="104"/>
      <c r="AH30" s="1"/>
      <c r="AI30" s="1"/>
      <c r="AJ30" s="53">
        <v>52</v>
      </c>
    </row>
    <row r="31" spans="1:36" ht="16" thickBot="1" x14ac:dyDescent="0.25">
      <c r="A31" s="1"/>
      <c r="B31" s="34">
        <v>14</v>
      </c>
      <c r="C31" s="35">
        <f>$A$102*B31+$B$102</f>
        <v>0.33384879598538431</v>
      </c>
      <c r="D31" s="37">
        <f>D15-C31</f>
        <v>1.6151204014615672E-2</v>
      </c>
      <c r="E31" s="39">
        <f>D31/E15</f>
        <v>2.7456521733037236</v>
      </c>
      <c r="F31" s="41">
        <f>E31^2</f>
        <v>7.5386058567674601</v>
      </c>
      <c r="G31" s="1">
        <v>0.28338140469888373</v>
      </c>
      <c r="H31" s="121"/>
      <c r="I31" s="121"/>
      <c r="J31" s="121"/>
      <c r="K31" s="121"/>
      <c r="L31" s="121"/>
      <c r="M31" s="121"/>
      <c r="N31" s="121"/>
      <c r="O31" s="1"/>
      <c r="P31" s="1"/>
      <c r="Q31" s="1"/>
      <c r="R31" s="1"/>
      <c r="S31" s="1"/>
      <c r="T31" s="1"/>
      <c r="U31" s="1"/>
      <c r="V31" s="1"/>
      <c r="W31" s="30" t="s">
        <v>4</v>
      </c>
      <c r="X31" s="12">
        <v>1.307E-3</v>
      </c>
      <c r="Y31" s="8" t="s">
        <v>8</v>
      </c>
      <c r="Z31" s="1"/>
      <c r="AA31" s="1"/>
      <c r="AB31" s="50">
        <f>SUM(AB25:AB30)/6</f>
        <v>65.166666666666671</v>
      </c>
      <c r="AC31" s="50">
        <f>SUM(AC25:AC29)/5</f>
        <v>65</v>
      </c>
      <c r="AD31" s="1"/>
      <c r="AE31" s="1"/>
      <c r="AF31" s="50">
        <f>SUM(AF25:AF30)/6</f>
        <v>51.666666666666664</v>
      </c>
      <c r="AG31" s="50">
        <f>SUM(AG25:AG29)/5</f>
        <v>48.4</v>
      </c>
      <c r="AH31" s="1"/>
      <c r="AI31" s="1"/>
      <c r="AJ31" s="50">
        <f>SUM(AJ25:AJ30)/6</f>
        <v>52.333333333333336</v>
      </c>
    </row>
    <row r="32" spans="1:36" ht="16" thickBot="1" x14ac:dyDescent="0.25">
      <c r="A32" s="1"/>
      <c r="B32" s="112">
        <v>16</v>
      </c>
      <c r="C32" s="113">
        <f>$A$102*B32+$B$102</f>
        <v>0.38412726477997794</v>
      </c>
      <c r="D32" s="114">
        <f>D16-C32</f>
        <v>2.5872735220022036E-2</v>
      </c>
      <c r="E32" s="115">
        <f>D32/E16</f>
        <v>4.3124041377626581</v>
      </c>
      <c r="F32" s="116">
        <f>E32^2</f>
        <v>18.596829447392494</v>
      </c>
      <c r="G32" s="1">
        <v>0.32386446251301004</v>
      </c>
      <c r="H32" s="121"/>
      <c r="I32" s="121"/>
      <c r="J32" s="121"/>
      <c r="K32" s="121"/>
      <c r="L32" s="121"/>
      <c r="M32" s="121"/>
      <c r="N32" s="121"/>
      <c r="O32" s="1"/>
      <c r="P32" s="121"/>
      <c r="Q32" s="121"/>
      <c r="R32" s="121"/>
      <c r="S32" s="121"/>
      <c r="T32" s="121"/>
      <c r="U32" s="1"/>
      <c r="V32" s="1"/>
      <c r="W32" s="13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17"/>
      <c r="C33" s="118"/>
      <c r="D33" s="118"/>
      <c r="E33" s="119"/>
      <c r="F33" s="120"/>
      <c r="G33" s="1"/>
      <c r="H33" s="121"/>
      <c r="I33" s="121"/>
      <c r="J33" s="121"/>
      <c r="K33" s="121"/>
      <c r="L33" s="121"/>
      <c r="M33" s="121"/>
      <c r="N33" s="121"/>
      <c r="O33" s="1"/>
      <c r="P33" s="121"/>
      <c r="Q33" s="121"/>
      <c r="R33" s="121"/>
      <c r="S33" s="121"/>
      <c r="T33" s="12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21"/>
      <c r="C34" s="121"/>
      <c r="D34" s="121"/>
      <c r="E34" s="121"/>
      <c r="F34" s="121"/>
      <c r="G34" s="1"/>
      <c r="H34" s="121"/>
      <c r="I34" s="117"/>
      <c r="J34" s="118"/>
      <c r="K34" s="118"/>
      <c r="L34" s="119"/>
      <c r="M34" s="120"/>
      <c r="N34" s="121"/>
      <c r="O34" s="1"/>
      <c r="P34" s="121"/>
      <c r="Q34" s="121"/>
      <c r="R34" s="121"/>
      <c r="S34" s="121"/>
      <c r="T34" s="12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" thickBot="1" x14ac:dyDescent="0.25">
      <c r="A35" s="1"/>
      <c r="B35" s="121"/>
      <c r="C35" s="121"/>
      <c r="D35" s="121"/>
      <c r="E35" s="121"/>
      <c r="F35" s="121"/>
      <c r="G35" s="94">
        <f>SUM(F20:F33)</f>
        <v>120.81448937313539</v>
      </c>
      <c r="H35" s="1"/>
      <c r="I35" s="1"/>
      <c r="J35" s="1"/>
      <c r="K35" s="1"/>
      <c r="L35" s="1"/>
      <c r="M35" s="1"/>
      <c r="N35" s="1"/>
      <c r="O35" s="1"/>
      <c r="P35" s="117"/>
      <c r="Q35" s="118"/>
      <c r="R35" s="118"/>
      <c r="S35" s="119"/>
      <c r="T35" s="120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thickBot="1" x14ac:dyDescent="0.3">
      <c r="A36" s="1"/>
      <c r="B36" s="1"/>
      <c r="C36" s="103" t="s">
        <v>63</v>
      </c>
      <c r="D36" s="126">
        <f>SUM(F20:F33)</f>
        <v>120.81448937313539</v>
      </c>
      <c r="E36" s="125" t="s">
        <v>20</v>
      </c>
      <c r="F36" s="29">
        <f>SUM(F20:F33)/11</f>
        <v>10.983135397557762</v>
      </c>
      <c r="G36" s="124">
        <f>D36/11</f>
        <v>10.983135397557762</v>
      </c>
      <c r="H36" s="1"/>
      <c r="I36" s="1"/>
      <c r="J36" s="103" t="s">
        <v>63</v>
      </c>
      <c r="K36" s="126">
        <f>SUM(M20:M27)</f>
        <v>31.916625632142747</v>
      </c>
      <c r="L36" s="125" t="s">
        <v>20</v>
      </c>
      <c r="M36" s="29">
        <f>SUM(M20:M34)/6</f>
        <v>5.3194376053571242</v>
      </c>
      <c r="N36" s="128">
        <f>K36/6</f>
        <v>5.3194376053571242</v>
      </c>
      <c r="O36" s="1"/>
      <c r="P36" s="1"/>
      <c r="Q36" s="103" t="s">
        <v>63</v>
      </c>
      <c r="R36" s="126">
        <f>SUM(T20:T27)</f>
        <v>11.610368336397968</v>
      </c>
      <c r="S36" s="125" t="s">
        <v>20</v>
      </c>
      <c r="T36" s="29">
        <f>SUM(T20:T35)/6</f>
        <v>1.9350613893996613</v>
      </c>
      <c r="U36" s="128">
        <f>R36/6</f>
        <v>1.9350613893996613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" thickBot="1" x14ac:dyDescent="0.25">
      <c r="A37" s="145" t="s">
        <v>40</v>
      </c>
      <c r="B37" s="95">
        <f>SUM(B20:B32)/13</f>
        <v>8.2307692307692299</v>
      </c>
      <c r="C37" s="96">
        <f>AVERAGE(D4:D16)</f>
        <v>0.18905982905982907</v>
      </c>
      <c r="D37" s="1">
        <f>STDEV(D4:D16)/SQRT(13)</f>
        <v>3.0471873536520113E-2</v>
      </c>
      <c r="E37" s="1"/>
      <c r="F37" s="97">
        <f>2.15384512*10^-3</f>
        <v>2.1538451200000001E-3</v>
      </c>
      <c r="G37" s="97">
        <f>1.47803503*10^-3</f>
        <v>1.47803503E-3</v>
      </c>
      <c r="H37" s="145" t="s">
        <v>40</v>
      </c>
      <c r="I37" s="95">
        <f>SUM(I20:I34)/8</f>
        <v>9</v>
      </c>
      <c r="J37" s="96">
        <f>AVERAGE(M4:M11)</f>
        <v>9.7500000000000003E-2</v>
      </c>
      <c r="K37" s="1">
        <f>STDEV(M4:M11)/SQRT(8)</f>
        <v>2.1479143733405252E-2</v>
      </c>
      <c r="L37" s="1"/>
      <c r="M37" s="1"/>
      <c r="N37" s="97">
        <f>2.46907554*10^-3</f>
        <v>2.4690755399999998E-3</v>
      </c>
      <c r="O37" s="145" t="s">
        <v>40</v>
      </c>
      <c r="P37" s="95">
        <f>SUM(P20:P35)/8</f>
        <v>9</v>
      </c>
      <c r="Q37" s="96">
        <f>AVERAGE(V4:V11)</f>
        <v>7.8819444444444442E-2</v>
      </c>
      <c r="R37" s="1">
        <f>STDEV(V4:V11)/SQRT(8)</f>
        <v>1.5190021228736108E-2</v>
      </c>
      <c r="S37" s="1"/>
      <c r="T37" s="1"/>
      <c r="U37" s="97">
        <f>2.46883066*10^-3</f>
        <v>2.4688306599999999E-3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" thickBot="1" x14ac:dyDescent="0.25">
      <c r="A38" s="1"/>
      <c r="B38" s="63" t="s">
        <v>69</v>
      </c>
      <c r="C38" s="63" t="s">
        <v>70</v>
      </c>
      <c r="D38" s="63" t="s">
        <v>68</v>
      </c>
      <c r="E38" s="93" t="s">
        <v>49</v>
      </c>
      <c r="F38" s="141">
        <v>2.1292993709564399E-3</v>
      </c>
      <c r="G38" s="1"/>
      <c r="H38" s="1"/>
      <c r="I38" s="63" t="s">
        <v>69</v>
      </c>
      <c r="J38" s="63" t="s">
        <v>70</v>
      </c>
      <c r="K38" s="63" t="s">
        <v>68</v>
      </c>
      <c r="L38" s="93" t="s">
        <v>49</v>
      </c>
      <c r="M38" s="141">
        <v>1.7083014917976815E-3</v>
      </c>
      <c r="N38" s="1"/>
      <c r="O38" s="1"/>
      <c r="P38" s="63" t="s">
        <v>69</v>
      </c>
      <c r="Q38" s="63" t="s">
        <v>70</v>
      </c>
      <c r="R38" s="63" t="s">
        <v>68</v>
      </c>
      <c r="S38" s="93" t="s">
        <v>49</v>
      </c>
      <c r="T38" s="141">
        <v>1.8023969417446609E-3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63" t="s">
        <v>44</v>
      </c>
      <c r="B39" s="1" t="s">
        <v>23</v>
      </c>
      <c r="C39" s="1" t="s">
        <v>22</v>
      </c>
      <c r="D39" s="1" t="s">
        <v>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 t="s">
        <v>43</v>
      </c>
      <c r="B40" s="1">
        <f>PI()*X21*X22*B37*(X27)^4</f>
        <v>2.3227972801439052E-8</v>
      </c>
      <c r="C40" s="1">
        <f>PI()*X$21*X$22*9*(X26)^4</f>
        <v>1.3544222096142278E-8</v>
      </c>
      <c r="D40" s="1">
        <f>PI()*X$21*X$22*9*(X25)^4</f>
        <v>1.2427791589184787E-8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9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82</v>
      </c>
      <c r="Q41" s="63" t="s">
        <v>56</v>
      </c>
      <c r="R41" s="1"/>
      <c r="S41" s="1"/>
      <c r="T41" s="1"/>
      <c r="U41" s="1"/>
      <c r="V41" s="63" t="s">
        <v>60</v>
      </c>
      <c r="W41" s="1"/>
      <c r="X41" s="1"/>
      <c r="Y41" s="1"/>
      <c r="Z41" s="1"/>
      <c r="AA41" s="63" t="s">
        <v>61</v>
      </c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 t="s">
        <v>45</v>
      </c>
      <c r="B42" s="1">
        <f>8*X30*C37*10^-6*100</f>
        <v>2.1325948717948717E-5</v>
      </c>
      <c r="C42" s="1">
        <f>8*X29*J37*10^-6*100</f>
        <v>1.1777999999999998E-5</v>
      </c>
      <c r="D42" s="1">
        <f>8*X28*Q37*10^-6*100</f>
        <v>9.7105555555555559E-6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09" t="s">
        <v>52</v>
      </c>
      <c r="R42" s="99" t="s">
        <v>53</v>
      </c>
      <c r="T42" s="63">
        <f>X21*X22*SQRT((Y21/X21)^2+(Y22/X22)^2)</f>
        <v>9.8579536416033129</v>
      </c>
      <c r="U42" s="1"/>
      <c r="V42" s="109" t="s">
        <v>52</v>
      </c>
      <c r="W42" s="99" t="s">
        <v>53</v>
      </c>
      <c r="Y42" s="63">
        <f>X21*X22*SQRT((Y21/X21)^2+(Y22/X22)^2)</f>
        <v>9.8579536416033129</v>
      </c>
      <c r="Z42" s="1"/>
      <c r="AA42" s="109" t="s">
        <v>52</v>
      </c>
      <c r="AB42" s="99" t="s">
        <v>53</v>
      </c>
      <c r="AD42" s="63">
        <f>X21*X22*SQRT((Y21/X21)^2+(Y22/X22)^2)</f>
        <v>9.8579536416033129</v>
      </c>
      <c r="AE42" s="1"/>
      <c r="AF42" s="1"/>
      <c r="AG42" s="1"/>
      <c r="AH42" s="1"/>
      <c r="AI42" s="1"/>
      <c r="AJ42" s="1"/>
    </row>
    <row r="43" spans="1:36" ht="16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99" t="s">
        <v>54</v>
      </c>
      <c r="S43" s="1" t="s">
        <v>55</v>
      </c>
      <c r="T43" s="63">
        <f>B37*10^-2*(X27^4)*SQRT((0.5/B37)^2+(S44/X27^4)^2)</f>
        <v>1.705778781104631E-15</v>
      </c>
      <c r="U43" s="1"/>
      <c r="V43" s="1"/>
      <c r="W43" s="99" t="s">
        <v>54</v>
      </c>
      <c r="X43" s="1" t="s">
        <v>55</v>
      </c>
      <c r="Y43" s="66">
        <f>I37*10^-2*X26^4*SQRT((0.5/I37)^2+(X44/X26^4)^2)</f>
        <v>1.1475259877793456E-15</v>
      </c>
      <c r="Z43" s="1"/>
      <c r="AA43" s="1"/>
      <c r="AB43" s="99" t="s">
        <v>54</v>
      </c>
      <c r="AC43" s="1" t="s">
        <v>55</v>
      </c>
      <c r="AD43" s="66">
        <f>P37*10^-2*X25^4*SQRT((0.5/P37)^2+(AC44/X25^4)^2)</f>
        <v>1.0748027821555357E-15</v>
      </c>
      <c r="AE43" s="1"/>
      <c r="AF43" s="1"/>
      <c r="AG43" s="1"/>
      <c r="AH43" s="1"/>
      <c r="AI43" s="1"/>
      <c r="AJ43" s="1"/>
    </row>
    <row r="44" spans="1:36" ht="16" thickBot="1" x14ac:dyDescent="0.25">
      <c r="A44" s="1" t="s">
        <v>48</v>
      </c>
      <c r="B44" s="142">
        <f>B40/B42</f>
        <v>1.0891882517699914E-3</v>
      </c>
      <c r="C44" s="143">
        <f>C40/C42</f>
        <v>1.1499594240229479E-3</v>
      </c>
      <c r="D44" s="144">
        <f>D40/D42</f>
        <v>1.2798229223944515E-3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f>X27^4*ABS(4*Z27/X27)</f>
        <v>1.9965000000000003E-14</v>
      </c>
      <c r="T44" s="1"/>
      <c r="U44" s="1"/>
      <c r="V44" s="1"/>
      <c r="W44" s="1"/>
      <c r="X44" s="110">
        <f>X26^4*ABS(4*Z26/X26)</f>
        <v>1.2458760000000002E-14</v>
      </c>
      <c r="Y44" s="110"/>
      <c r="Z44" s="1"/>
      <c r="AA44" s="1"/>
      <c r="AB44" s="1"/>
      <c r="AC44" s="110">
        <f>X25^4*ABS(4*Z25/X25)</f>
        <v>1.1680320000000001E-14</v>
      </c>
      <c r="AD44" s="110"/>
      <c r="AE44" s="1"/>
      <c r="AF44" s="1"/>
      <c r="AG44" s="1"/>
      <c r="AH44" s="1"/>
      <c r="AI44" s="1"/>
      <c r="AJ44" s="1"/>
    </row>
    <row r="45" spans="1:36" x14ac:dyDescent="0.2">
      <c r="A45" s="1" t="s">
        <v>71</v>
      </c>
      <c r="B45" s="97">
        <f>(PI()*$X$21*$X$22*($X$27)^4)*10^-2/(8*$X$30*$A$102)*10^6</f>
        <v>9.9519855432909378E-4</v>
      </c>
      <c r="C45" s="97">
        <f>(PI()*$X$21*$X$22*($X$26)^4)*10^-2/(8*$X$29*$D$102)*10^6</f>
        <v>1.0528184091700831E-3</v>
      </c>
      <c r="D45" s="97">
        <f>(PI()*$X$21*$X$22*($X$25)^4)*10^-2/(8*$X$29*$D$102)*10^6</f>
        <v>9.6603612060891736E-4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09" t="s">
        <v>57</v>
      </c>
      <c r="R45" s="99" t="s">
        <v>58</v>
      </c>
      <c r="S45" s="1"/>
      <c r="T45" s="63">
        <f>X30*C37*10^-6*SQRT((Y30/X30)^2+(D37/C37)^2)</f>
        <v>4.399294981752705E-9</v>
      </c>
      <c r="U45" s="1"/>
      <c r="V45" s="109" t="s">
        <v>57</v>
      </c>
      <c r="W45" s="99" t="s">
        <v>58</v>
      </c>
      <c r="X45" s="1"/>
      <c r="Y45" s="1"/>
      <c r="Z45" s="1"/>
      <c r="AA45" s="109" t="s">
        <v>57</v>
      </c>
      <c r="AB45" s="99" t="s">
        <v>58</v>
      </c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47">
        <f>1*10^-3</f>
        <v>1E-3</v>
      </c>
      <c r="C46" s="147">
        <f>1.1*10^-3</f>
        <v>1.1000000000000001E-3</v>
      </c>
      <c r="D46" s="148">
        <v>1E-3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59</v>
      </c>
      <c r="R46" s="1"/>
      <c r="S46" s="1"/>
      <c r="T46" s="97">
        <f>B44*SQRT((T42/(X21*X22))^2+(T43/(B37*10^-2*X27^4))^2+(Y30/X30)^2+(D37/C37)^2)</f>
        <v>3.0522491032608002E-4</v>
      </c>
      <c r="U46" s="1"/>
      <c r="V46" s="1" t="s">
        <v>59</v>
      </c>
      <c r="W46" s="1"/>
      <c r="X46" s="1"/>
      <c r="Y46" s="97">
        <f>C44*SQRT((Y42/(X21*X22))^2+(Y43/(I37*10^-2*X26^4))^2+(Y29/X29)^2+(K37/J37)^2)</f>
        <v>3.9486222382218242E-4</v>
      </c>
      <c r="Z46" s="1"/>
      <c r="AA46" s="1" t="s">
        <v>59</v>
      </c>
      <c r="AB46" s="1"/>
      <c r="AC46" s="1"/>
      <c r="AD46" s="97">
        <f>D44*SQRT((AD42/(X21*X22))^2 + (AD43/(P37*10^-2*X25^4))^2+(Y28/X28)^2+(R37/Q37)^2)</f>
        <v>4.2318461798020342E-4</v>
      </c>
      <c r="AE46" s="97">
        <f>T38*SQRT((AD42/(X21*X22))^2+(AD43/(P37*10^-2*X25^4))^2+(Y28/X28)^2+(R37/Q37)^2)</f>
        <v>5.9597827784945454E-4</v>
      </c>
      <c r="AF46" s="1">
        <f>T38*SQRT((AD42/(X21*X22))^2+(AD43/(P37*10^-2*X25^4))^2+(Y28/X28)^2+(R37/Q37)^2)</f>
        <v>5.9597827784945454E-4</v>
      </c>
      <c r="AG46" s="1"/>
      <c r="AH46" s="1"/>
      <c r="AI46" s="1"/>
      <c r="AJ46" s="1"/>
    </row>
    <row r="47" spans="1:36" ht="60" x14ac:dyDescent="0.2">
      <c r="A47" s="1"/>
      <c r="B47" s="107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2.6028167053712123E-4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83</v>
      </c>
      <c r="Q48" s="63" t="s">
        <v>56</v>
      </c>
      <c r="R48" s="1"/>
      <c r="S48" s="1"/>
      <c r="T48" s="1"/>
      <c r="U48" s="1"/>
      <c r="V48" s="63" t="s">
        <v>60</v>
      </c>
      <c r="W48" s="1"/>
      <c r="X48" s="1"/>
      <c r="Y48" s="1"/>
      <c r="Z48" s="1"/>
      <c r="AA48" s="63" t="s">
        <v>61</v>
      </c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10" t="s">
        <v>59</v>
      </c>
      <c r="R49" s="1"/>
      <c r="S49" s="1"/>
      <c r="T49" s="146">
        <f>B45*SQRT((T42/(X21*X22))^2+(T43/(B37*10^-2*X27^4))^2+(Y30/X30)^2+(A103/A102)^2)</f>
        <v>2.3365869480949361E-4</v>
      </c>
      <c r="U49" s="1"/>
      <c r="V49" s="110" t="s">
        <v>59</v>
      </c>
      <c r="W49" s="1"/>
      <c r="X49" s="1"/>
      <c r="Y49" s="146">
        <f>C45*SQRT((Y42/(X21*X22))^2+(Y43/(I37*10^-2*X26^4))^2+(Y29/X29)^2+(D103/D102)^2)</f>
        <v>2.9088877216567856E-4</v>
      </c>
      <c r="Z49" s="1"/>
      <c r="AA49" s="110" t="s">
        <v>59</v>
      </c>
      <c r="AB49" s="1"/>
      <c r="AC49" s="1"/>
      <c r="AD49" s="146">
        <f>D45*SQRT((AD42/(X21*X22))^2 + (AD43/(P37*10^-2*X25^4))^2+(Y28/X28)^2+(G103/G102)^2)</f>
        <v>2.8200689959286018E-4</v>
      </c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 t="s">
        <v>72</v>
      </c>
      <c r="B51" s="1" t="s">
        <v>73</v>
      </c>
      <c r="C51" s="1" t="s">
        <v>74</v>
      </c>
      <c r="D51" s="1" t="s">
        <v>75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97">
        <f>SUM(B45:D45)/3</f>
        <v>1.0046843613693648E-3</v>
      </c>
      <c r="C52" s="97">
        <f>STDEV(B46:D46)/SQRT(3)</f>
        <v>3.3333333333333348E-5</v>
      </c>
      <c r="D52" s="1">
        <f>STDEV(B45:D45)</f>
        <v>4.4161938401550028E-5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97">
        <f>ABS(B52-$X$31)/C52</f>
        <v>9.0694691589190519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99" t="s">
        <v>76</v>
      </c>
      <c r="C55" s="99" t="s">
        <v>77</v>
      </c>
      <c r="D55" s="99" t="s">
        <v>78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97">
        <f>$B$52+1*$C$52</f>
        <v>1.0380176947026982E-3</v>
      </c>
      <c r="C56" s="97">
        <f>$B$52+2*$C$52</f>
        <v>1.0713510280360315E-3</v>
      </c>
      <c r="D56" s="97">
        <f>$B$52+3*$C$52</f>
        <v>1.1046843613693649E-3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99" t="s">
        <v>79</v>
      </c>
      <c r="C57" s="99" t="s">
        <v>80</v>
      </c>
      <c r="D57" s="99" t="s">
        <v>81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B58" s="97">
        <f>$B$52-1*$C$52</f>
        <v>9.7135102803603147E-4</v>
      </c>
      <c r="C58" s="97">
        <f>$B$52-2*$C$52</f>
        <v>9.3801769470269812E-4</v>
      </c>
      <c r="D58" s="97">
        <f>$B$52-3*$C$52</f>
        <v>9.0468436136936477E-4</v>
      </c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</row>
    <row r="59" spans="1:36" x14ac:dyDescent="0.2">
      <c r="F59" s="74"/>
      <c r="G59" s="75"/>
      <c r="H59" s="76"/>
      <c r="I59" s="75"/>
      <c r="J59" s="77"/>
      <c r="K59" s="77"/>
      <c r="L59" s="77"/>
      <c r="M59" s="74"/>
      <c r="N59" s="74"/>
      <c r="O59" s="74"/>
      <c r="P59" s="74"/>
      <c r="Q59" s="74"/>
    </row>
    <row r="60" spans="1:36" x14ac:dyDescent="0.2">
      <c r="F60" s="74"/>
      <c r="G60" s="75"/>
      <c r="H60" s="76"/>
      <c r="I60" s="78"/>
      <c r="J60" s="78"/>
      <c r="K60" s="79"/>
      <c r="L60" s="80"/>
      <c r="M60" s="74"/>
      <c r="N60" s="74"/>
      <c r="O60" s="74"/>
      <c r="P60" s="74"/>
      <c r="Q60" s="74"/>
    </row>
    <row r="61" spans="1:36" x14ac:dyDescent="0.2">
      <c r="F61" s="74"/>
      <c r="G61" s="75"/>
      <c r="H61" s="76"/>
      <c r="I61" s="78"/>
      <c r="J61" s="78"/>
      <c r="K61" s="79"/>
      <c r="L61" s="80"/>
      <c r="M61" s="74"/>
      <c r="N61" s="74"/>
      <c r="O61" s="74"/>
      <c r="P61" s="74"/>
      <c r="Q61" s="74"/>
    </row>
    <row r="62" spans="1:36" x14ac:dyDescent="0.2">
      <c r="B62" s="66" t="s">
        <v>38</v>
      </c>
      <c r="F62" s="74"/>
      <c r="G62" s="75"/>
      <c r="H62" s="76"/>
      <c r="I62" s="78"/>
      <c r="J62" s="78"/>
      <c r="K62" s="79"/>
      <c r="L62" s="80"/>
      <c r="M62" s="81" t="s">
        <v>65</v>
      </c>
      <c r="N62" s="74"/>
      <c r="O62" s="74"/>
      <c r="P62" s="74"/>
      <c r="Q62" s="74"/>
    </row>
    <row r="63" spans="1:36" s="66" customFormat="1" x14ac:dyDescent="0.2">
      <c r="A63" s="66" t="s">
        <v>23</v>
      </c>
      <c r="B63" s="82" t="s">
        <v>24</v>
      </c>
      <c r="C63" s="83" t="s">
        <v>18</v>
      </c>
      <c r="E63" s="66" t="s">
        <v>22</v>
      </c>
      <c r="F63" s="82" t="s">
        <v>24</v>
      </c>
      <c r="G63" s="83" t="s">
        <v>18</v>
      </c>
      <c r="H63" s="86"/>
      <c r="I63" s="87" t="s">
        <v>25</v>
      </c>
      <c r="J63" s="82" t="s">
        <v>24</v>
      </c>
      <c r="K63" s="83" t="s">
        <v>18</v>
      </c>
      <c r="L63" s="88"/>
      <c r="M63" s="81"/>
      <c r="N63" s="81"/>
      <c r="O63" s="81"/>
      <c r="P63" s="81"/>
      <c r="Q63" s="81"/>
    </row>
    <row r="64" spans="1:36" x14ac:dyDescent="0.2">
      <c r="B64" s="84">
        <v>2</v>
      </c>
      <c r="C64" s="85">
        <f>D20</f>
        <v>1.0044239004399831E-2</v>
      </c>
      <c r="F64" s="84">
        <v>2</v>
      </c>
      <c r="G64" s="85">
        <f t="shared" ref="G64:G71" si="34">K20</f>
        <v>7.0067092531355905E-3</v>
      </c>
      <c r="H64" s="76"/>
      <c r="I64" s="78"/>
      <c r="J64" s="84">
        <v>2</v>
      </c>
      <c r="K64" s="85">
        <f>R20</f>
        <v>-1.3652293415850301E-3</v>
      </c>
      <c r="L64" s="80"/>
      <c r="M64" s="74"/>
      <c r="N64" s="74"/>
      <c r="O64" s="74"/>
      <c r="P64" s="74"/>
      <c r="Q64" s="74"/>
    </row>
    <row r="65" spans="1:17" x14ac:dyDescent="0.2">
      <c r="B65" s="84">
        <v>3</v>
      </c>
      <c r="C65" s="85">
        <f t="shared" ref="C65:C74" si="35">D21</f>
        <v>2.0460560162658556E-2</v>
      </c>
      <c r="F65" s="84">
        <v>4</v>
      </c>
      <c r="G65" s="85">
        <f t="shared" si="34"/>
        <v>7.2298004095001714E-3</v>
      </c>
      <c r="H65" s="76"/>
      <c r="I65" s="78"/>
      <c r="J65" s="84">
        <v>4</v>
      </c>
      <c r="K65" s="85">
        <f t="shared" ref="K65:K71" si="36">R21</f>
        <v>5.9443503435931515E-3</v>
      </c>
      <c r="L65" s="80"/>
      <c r="M65" s="74"/>
      <c r="N65" s="74"/>
      <c r="O65" s="74"/>
      <c r="P65" s="74"/>
      <c r="Q65" s="74"/>
    </row>
    <row r="66" spans="1:17" x14ac:dyDescent="0.2">
      <c r="B66" s="84">
        <v>4</v>
      </c>
      <c r="C66" s="85">
        <f t="shared" si="35"/>
        <v>3.0991035431395114E-3</v>
      </c>
      <c r="F66" s="84">
        <v>6</v>
      </c>
      <c r="G66" s="105">
        <f t="shared" si="34"/>
        <v>-1.5880441767468584E-2</v>
      </c>
      <c r="H66" s="76"/>
      <c r="I66" s="78"/>
      <c r="J66" s="84">
        <v>6</v>
      </c>
      <c r="K66" s="85">
        <f t="shared" si="36"/>
        <v>-7.8571810823397786E-3</v>
      </c>
      <c r="L66" s="80"/>
      <c r="M66" s="74"/>
      <c r="N66" s="74"/>
      <c r="O66" s="74"/>
      <c r="P66" s="74"/>
      <c r="Q66" s="74"/>
    </row>
    <row r="67" spans="1:17" x14ac:dyDescent="0.2">
      <c r="B67" s="84">
        <v>5</v>
      </c>
      <c r="C67" s="85">
        <f t="shared" si="35"/>
        <v>-5.3734641874906425E-3</v>
      </c>
      <c r="F67" s="84">
        <v>8</v>
      </c>
      <c r="G67" s="105">
        <f t="shared" si="34"/>
        <v>6.0093160555626524E-3</v>
      </c>
      <c r="H67" s="76"/>
      <c r="I67" s="78"/>
      <c r="J67" s="84">
        <v>8</v>
      </c>
      <c r="K67" s="85">
        <f t="shared" si="36"/>
        <v>-6.1031569527171398E-3</v>
      </c>
      <c r="L67" s="80"/>
      <c r="M67" s="74"/>
      <c r="N67" s="74"/>
      <c r="O67" s="74"/>
      <c r="P67" s="74"/>
      <c r="Q67" s="74"/>
    </row>
    <row r="68" spans="1:17" x14ac:dyDescent="0.2">
      <c r="B68" s="84">
        <v>6</v>
      </c>
      <c r="C68" s="85">
        <f t="shared" si="35"/>
        <v>-1.8290476362565242E-2</v>
      </c>
      <c r="F68" s="84">
        <v>10</v>
      </c>
      <c r="G68" s="105">
        <f t="shared" si="34"/>
        <v>-8.7675927880727506E-3</v>
      </c>
      <c r="H68" s="76"/>
      <c r="I68" s="78"/>
      <c r="J68" s="84">
        <v>10</v>
      </c>
      <c r="K68" s="85">
        <f t="shared" si="36"/>
        <v>-1.0157994897611877E-3</v>
      </c>
      <c r="L68" s="80"/>
      <c r="M68" s="74"/>
      <c r="N68" s="74"/>
      <c r="O68" s="74"/>
      <c r="P68" s="74"/>
      <c r="Q68" s="74"/>
    </row>
    <row r="69" spans="1:17" x14ac:dyDescent="0.2">
      <c r="B69" s="84">
        <v>7</v>
      </c>
      <c r="C69" s="85">
        <f t="shared" si="35"/>
        <v>1.3236955906804598E-2</v>
      </c>
      <c r="F69" s="84">
        <v>12</v>
      </c>
      <c r="G69" s="105">
        <f t="shared" si="34"/>
        <v>-1.1322279409485936E-2</v>
      </c>
      <c r="H69" s="76"/>
      <c r="I69" s="78"/>
      <c r="J69" s="84">
        <v>12</v>
      </c>
      <c r="K69" s="85">
        <f t="shared" si="36"/>
        <v>5.1826690843058965E-3</v>
      </c>
      <c r="L69" s="80"/>
      <c r="M69" s="74"/>
      <c r="N69" s="74"/>
      <c r="O69" s="74"/>
      <c r="P69" s="74"/>
      <c r="Q69" s="74"/>
    </row>
    <row r="70" spans="1:17" x14ac:dyDescent="0.2">
      <c r="B70" s="84">
        <v>8</v>
      </c>
      <c r="C70" s="85">
        <f t="shared" si="35"/>
        <v>3.6532770650633539E-3</v>
      </c>
      <c r="F70" s="84">
        <v>14</v>
      </c>
      <c r="G70" s="105">
        <f t="shared" si="34"/>
        <v>1.1922857989760116E-5</v>
      </c>
      <c r="H70" s="76"/>
      <c r="I70" s="78"/>
      <c r="J70" s="84">
        <v>14</v>
      </c>
      <c r="K70" s="85">
        <f t="shared" si="36"/>
        <v>9.7144709917062894E-3</v>
      </c>
      <c r="L70" s="80"/>
      <c r="M70" s="74"/>
      <c r="N70" s="74"/>
      <c r="O70" s="74"/>
      <c r="P70" s="74"/>
      <c r="Q70" s="74"/>
    </row>
    <row r="71" spans="1:17" x14ac:dyDescent="0.2">
      <c r="B71" s="84">
        <v>9</v>
      </c>
      <c r="C71" s="85">
        <f t="shared" si="35"/>
        <v>-1.1485957332233482E-2</v>
      </c>
      <c r="F71" s="84">
        <v>16</v>
      </c>
      <c r="G71" s="105">
        <f t="shared" si="34"/>
        <v>2.0235014014354347E-2</v>
      </c>
      <c r="H71" s="76"/>
      <c r="I71" s="78"/>
      <c r="J71" s="84">
        <v>16</v>
      </c>
      <c r="K71" s="85">
        <f t="shared" si="36"/>
        <v>-1.0198171545337753E-2</v>
      </c>
      <c r="L71" s="80"/>
      <c r="M71" s="74"/>
      <c r="N71" s="74"/>
      <c r="O71" s="74"/>
      <c r="P71" s="74"/>
      <c r="Q71" s="74"/>
    </row>
    <row r="72" spans="1:17" x14ac:dyDescent="0.2">
      <c r="B72" s="84">
        <v>10</v>
      </c>
      <c r="C72" s="85">
        <f t="shared" si="35"/>
        <v>-3.551408061841918E-2</v>
      </c>
      <c r="H72" s="76"/>
      <c r="I72" s="78"/>
      <c r="L72" s="80"/>
      <c r="M72" s="74"/>
      <c r="N72" s="74"/>
      <c r="O72" s="74"/>
      <c r="P72" s="74"/>
      <c r="Q72" s="74"/>
    </row>
    <row r="73" spans="1:17" x14ac:dyDescent="0.2">
      <c r="B73" s="84">
        <v>11</v>
      </c>
      <c r="C73" s="85">
        <f t="shared" si="35"/>
        <v>-2.2875537237938254E-2</v>
      </c>
      <c r="F73" s="76"/>
      <c r="G73" s="78"/>
      <c r="H73" s="76"/>
      <c r="I73" s="78"/>
      <c r="J73" s="76"/>
      <c r="K73" s="78"/>
      <c r="L73" s="80"/>
      <c r="M73" s="74"/>
      <c r="N73" s="74"/>
      <c r="O73" s="74"/>
      <c r="P73" s="74"/>
      <c r="Q73" s="74"/>
    </row>
    <row r="74" spans="1:17" x14ac:dyDescent="0.2">
      <c r="B74" s="84">
        <v>12</v>
      </c>
      <c r="C74" s="85">
        <f t="shared" si="35"/>
        <v>4.2074505869870715E-3</v>
      </c>
      <c r="F74" s="74"/>
      <c r="H74" s="76"/>
      <c r="I74" s="78"/>
      <c r="J74" s="74"/>
      <c r="L74" s="80"/>
      <c r="M74" s="74"/>
      <c r="N74" s="74"/>
      <c r="O74" s="74"/>
      <c r="P74" s="74"/>
      <c r="Q74" s="74"/>
    </row>
    <row r="75" spans="1:17" x14ac:dyDescent="0.2">
      <c r="B75" s="84">
        <v>14</v>
      </c>
      <c r="C75" s="85">
        <f>D31</f>
        <v>1.6151204014615672E-2</v>
      </c>
      <c r="F75" s="76"/>
      <c r="G75" s="78"/>
      <c r="H75" s="76"/>
      <c r="I75" s="78"/>
      <c r="J75" s="76"/>
      <c r="K75" s="78"/>
      <c r="L75" s="80"/>
      <c r="M75" s="74"/>
      <c r="N75" s="74"/>
      <c r="O75" s="74"/>
      <c r="P75" s="74"/>
      <c r="Q75" s="74"/>
    </row>
    <row r="76" spans="1:17" x14ac:dyDescent="0.2">
      <c r="B76" s="84">
        <v>16</v>
      </c>
      <c r="C76" s="85">
        <f>D32</f>
        <v>2.5872735220022036E-2</v>
      </c>
      <c r="F76" s="74"/>
      <c r="H76" s="75"/>
      <c r="I76" s="75"/>
      <c r="J76" s="74"/>
      <c r="L76" s="75"/>
      <c r="M76" s="74"/>
      <c r="N76" s="74"/>
      <c r="O76" s="74"/>
      <c r="P76" s="74"/>
      <c r="Q76" s="74"/>
    </row>
    <row r="77" spans="1:17" x14ac:dyDescent="0.2">
      <c r="A77" s="74"/>
      <c r="B77" s="76"/>
      <c r="C77" s="78"/>
      <c r="D77" s="74"/>
      <c r="E77" s="74"/>
      <c r="F77" s="76"/>
      <c r="G77" s="78"/>
      <c r="H77" s="74"/>
      <c r="I77" s="74"/>
      <c r="J77" s="76"/>
      <c r="L77" s="74"/>
      <c r="M77" s="74"/>
    </row>
    <row r="78" spans="1:17" x14ac:dyDescent="0.2">
      <c r="A78" s="74"/>
      <c r="B78" s="74"/>
      <c r="D78" s="74"/>
      <c r="E78" s="74"/>
      <c r="F78" s="74"/>
      <c r="H78" s="74"/>
      <c r="I78" s="74"/>
      <c r="J78" s="74"/>
      <c r="L78" s="74"/>
      <c r="M78" s="74"/>
    </row>
    <row r="79" spans="1:17" x14ac:dyDescent="0.2">
      <c r="A79" s="74"/>
      <c r="B79" s="76"/>
      <c r="C79" s="78"/>
      <c r="D79" s="74"/>
      <c r="E79" s="74"/>
      <c r="F79" s="76"/>
      <c r="G79" s="78"/>
      <c r="H79" s="74"/>
      <c r="I79" s="74"/>
      <c r="J79" s="76"/>
      <c r="K79" s="78"/>
      <c r="L79" s="74"/>
      <c r="M79" s="74"/>
    </row>
    <row r="80" spans="1:17" x14ac:dyDescent="0.2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</row>
    <row r="81" spans="1:13" x14ac:dyDescent="0.2">
      <c r="A81" s="74"/>
      <c r="B81" s="74"/>
      <c r="C81" s="74"/>
      <c r="D81" s="74"/>
      <c r="E81" s="74"/>
      <c r="F81" s="74"/>
      <c r="J81" s="74"/>
      <c r="K81" s="74"/>
      <c r="L81" s="74"/>
      <c r="M81" s="74"/>
    </row>
    <row r="82" spans="1:13" x14ac:dyDescent="0.2">
      <c r="A82" s="74"/>
      <c r="B82" s="74"/>
      <c r="C82" s="74"/>
      <c r="D82" s="74"/>
      <c r="E82" s="74"/>
      <c r="F82" s="74"/>
      <c r="J82" s="74"/>
      <c r="K82" s="74"/>
      <c r="L82" s="74"/>
      <c r="M82" s="74"/>
    </row>
    <row r="83" spans="1:13" x14ac:dyDescent="0.2">
      <c r="A83" s="74"/>
      <c r="B83" s="74"/>
      <c r="C83" s="74"/>
      <c r="D83" s="74"/>
      <c r="E83" s="74"/>
      <c r="F83" s="74"/>
    </row>
    <row r="97" spans="1:11" x14ac:dyDescent="0.2">
      <c r="A97" s="66" t="s">
        <v>62</v>
      </c>
    </row>
    <row r="98" spans="1:11" x14ac:dyDescent="0.2">
      <c r="A98" s="111" t="s">
        <v>23</v>
      </c>
      <c r="D98" s="111" t="s">
        <v>22</v>
      </c>
      <c r="G98" s="111" t="s">
        <v>25</v>
      </c>
    </row>
    <row r="99" spans="1:11" x14ac:dyDescent="0.2">
      <c r="A99" s="2">
        <f t="array" ref="A99:B100">LINEST(D4:D16,B4:B16,1,1)</f>
        <v>2.5290580384854128E-2</v>
      </c>
      <c r="B99" s="2">
        <v>-1.9101101800124115E-2</v>
      </c>
      <c r="D99" s="2">
        <f t="array" ref="D99:E100">LINEST(M4:M11,K4:K11,1,1)</f>
        <v>1.2162698412698413E-2</v>
      </c>
      <c r="E99" s="2">
        <v>-1.1964285714285719E-2</v>
      </c>
      <c r="G99" s="2">
        <f t="array" ref="G99:H100">LINEST(M4:M11,K4:K11,1,1)</f>
        <v>1.2162698412698413E-2</v>
      </c>
      <c r="H99" s="2">
        <v>-1.1964285714285719E-2</v>
      </c>
    </row>
    <row r="100" spans="1:11" x14ac:dyDescent="0.2">
      <c r="A100" s="2">
        <v>1.2750312093211308E-3</v>
      </c>
      <c r="B100" s="2">
        <v>1.1733911236575871E-2</v>
      </c>
      <c r="D100" s="2">
        <v>9.8769983872499124E-4</v>
      </c>
      <c r="E100" s="2">
        <v>9.9752793988224769E-3</v>
      </c>
      <c r="G100" s="2">
        <v>9.8769983872499124E-4</v>
      </c>
      <c r="H100" s="2">
        <v>9.9752793988224769E-3</v>
      </c>
    </row>
    <row r="102" spans="1:11" x14ac:dyDescent="0.2">
      <c r="A102" s="2">
        <v>2.5139234397296824E-2</v>
      </c>
      <c r="B102" s="2">
        <v>-1.8100485576771259E-2</v>
      </c>
      <c r="D102" s="2">
        <v>1.1832898866262154E-2</v>
      </c>
      <c r="E102" s="2">
        <v>-9.5613958745487861E-3</v>
      </c>
      <c r="G102" s="2">
        <v>8.6547898425890918E-3</v>
      </c>
      <c r="H102" s="2">
        <v>2.1407986212567626E-4</v>
      </c>
      <c r="K102" s="2">
        <v>1.8062457327625761</v>
      </c>
    </row>
    <row r="103" spans="1:11" x14ac:dyDescent="0.2">
      <c r="A103" s="2">
        <v>1.2750312093211308E-3</v>
      </c>
      <c r="B103" s="2">
        <v>1.1733911236575871E-2</v>
      </c>
      <c r="D103" s="2">
        <v>9.8769983872499124E-4</v>
      </c>
      <c r="E103" s="2">
        <v>9.9752793988224769E-3</v>
      </c>
      <c r="G103" s="2">
        <v>9.8769983872499124E-4</v>
      </c>
      <c r="H103" s="2">
        <v>9.9752793988224769E-3</v>
      </c>
      <c r="K103" s="2">
        <v>3.6718204935211189</v>
      </c>
    </row>
    <row r="104" spans="1:11" x14ac:dyDescent="0.2">
      <c r="K104" s="2">
        <v>0.55573054675190792</v>
      </c>
    </row>
    <row r="105" spans="1:11" x14ac:dyDescent="0.2">
      <c r="K105" s="2">
        <v>-0.9623512292795624</v>
      </c>
    </row>
    <row r="106" spans="1:11" x14ac:dyDescent="0.2">
      <c r="K106" s="2">
        <v>-3.2712421069949928</v>
      </c>
    </row>
    <row r="107" spans="1:11" x14ac:dyDescent="0.2">
      <c r="K107" s="2">
        <v>2.3488260052325303</v>
      </c>
    </row>
    <row r="108" spans="1:11" x14ac:dyDescent="0.2">
      <c r="K108" s="2">
        <v>0.64649570307346571</v>
      </c>
    </row>
    <row r="109" spans="1:11" x14ac:dyDescent="0.2">
      <c r="K109" s="2">
        <v>-2.0290655097657981</v>
      </c>
    </row>
    <row r="110" spans="1:11" x14ac:dyDescent="0.2">
      <c r="K110" s="2">
        <v>-6.2723857567828825</v>
      </c>
    </row>
    <row r="111" spans="1:11" x14ac:dyDescent="0.2">
      <c r="K111" s="2">
        <v>-4.0090776380084083</v>
      </c>
    </row>
    <row r="112" spans="1:11" x14ac:dyDescent="0.2">
      <c r="K112" s="2">
        <v>0.72811214139465985</v>
      </c>
    </row>
    <row r="113" spans="11:11" x14ac:dyDescent="0.2">
      <c r="K113" s="2">
        <v>2.7456779021882052</v>
      </c>
    </row>
    <row r="114" spans="11:11" x14ac:dyDescent="0.2">
      <c r="K114" s="2">
        <v>4.3124529710022985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2016-12-01T21:36:46Z</dcterms:modified>
</cp:coreProperties>
</file>