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Data!$A$102:$B$102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Data!$D$36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7" i="1" l="1"/>
  <c r="K77" i="1"/>
  <c r="D5" i="1"/>
  <c r="E5" i="1"/>
  <c r="G5" i="1"/>
  <c r="D7" i="1"/>
  <c r="E7" i="1"/>
  <c r="G7" i="1"/>
  <c r="D9" i="1"/>
  <c r="E9" i="1"/>
  <c r="G9" i="1"/>
  <c r="D11" i="1"/>
  <c r="E11" i="1"/>
  <c r="G11" i="1"/>
  <c r="D13" i="1"/>
  <c r="E13" i="1"/>
  <c r="G13" i="1"/>
  <c r="C21" i="1"/>
  <c r="D21" i="1"/>
  <c r="E21" i="1"/>
  <c r="F21" i="1"/>
  <c r="C23" i="1"/>
  <c r="D23" i="1"/>
  <c r="E23" i="1"/>
  <c r="F23" i="1"/>
  <c r="C25" i="1"/>
  <c r="D25" i="1"/>
  <c r="E25" i="1"/>
  <c r="F25" i="1"/>
  <c r="C27" i="1"/>
  <c r="D27" i="1"/>
  <c r="E27" i="1"/>
  <c r="F27" i="1"/>
  <c r="C29" i="1"/>
  <c r="D29" i="1"/>
  <c r="E29" i="1"/>
  <c r="F29" i="1"/>
  <c r="K76" i="1"/>
  <c r="J76" i="1"/>
  <c r="X25" i="1"/>
  <c r="D45" i="1"/>
  <c r="B45" i="1"/>
  <c r="C45" i="1"/>
  <c r="B52" i="1"/>
  <c r="B53" i="1"/>
  <c r="E4" i="1"/>
  <c r="C46" i="1"/>
  <c r="B46" i="1"/>
  <c r="C52" i="1"/>
  <c r="D52" i="1"/>
  <c r="Y42" i="1"/>
  <c r="X44" i="1"/>
  <c r="Y43" i="1"/>
  <c r="Y49" i="1"/>
  <c r="AC44" i="1"/>
  <c r="AD43" i="1"/>
  <c r="AD42" i="1"/>
  <c r="AD49" i="1"/>
  <c r="T42" i="1"/>
  <c r="B37" i="1"/>
  <c r="S44" i="1"/>
  <c r="T43" i="1"/>
  <c r="T49" i="1"/>
  <c r="D58" i="1"/>
  <c r="C58" i="1"/>
  <c r="B58" i="1"/>
  <c r="D56" i="1"/>
  <c r="C56" i="1"/>
  <c r="B56" i="1"/>
  <c r="C20" i="1"/>
  <c r="C22" i="1"/>
  <c r="C24" i="1"/>
  <c r="C26" i="1"/>
  <c r="C28" i="1"/>
  <c r="C30" i="1"/>
  <c r="C31" i="1"/>
  <c r="C32" i="1"/>
  <c r="D4" i="1"/>
  <c r="D6" i="1"/>
  <c r="D8" i="1"/>
  <c r="D10" i="1"/>
  <c r="D12" i="1"/>
  <c r="D14" i="1"/>
  <c r="D15" i="1"/>
  <c r="D16" i="1"/>
  <c r="D37" i="1"/>
  <c r="C37" i="1"/>
  <c r="B42" i="1"/>
  <c r="B40" i="1"/>
  <c r="D32" i="1"/>
  <c r="E16" i="1"/>
  <c r="E32" i="1"/>
  <c r="F32" i="1"/>
  <c r="D22" i="1"/>
  <c r="E6" i="1"/>
  <c r="E22" i="1"/>
  <c r="F22" i="1"/>
  <c r="D24" i="1"/>
  <c r="E8" i="1"/>
  <c r="E24" i="1"/>
  <c r="F24" i="1"/>
  <c r="D26" i="1"/>
  <c r="E10" i="1"/>
  <c r="E26" i="1"/>
  <c r="F26" i="1"/>
  <c r="D28" i="1"/>
  <c r="E12" i="1"/>
  <c r="E28" i="1"/>
  <c r="F28" i="1"/>
  <c r="D30" i="1"/>
  <c r="E14" i="1"/>
  <c r="E30" i="1"/>
  <c r="F30" i="1"/>
  <c r="D31" i="1"/>
  <c r="E15" i="1"/>
  <c r="E31" i="1"/>
  <c r="F31" i="1"/>
  <c r="D20" i="1"/>
  <c r="E20" i="1"/>
  <c r="F20" i="1"/>
  <c r="D36" i="1"/>
  <c r="D40" i="1"/>
  <c r="D42" i="1"/>
  <c r="P37" i="1"/>
  <c r="V4" i="1"/>
  <c r="V5" i="1"/>
  <c r="V6" i="1"/>
  <c r="V7" i="1"/>
  <c r="V8" i="1"/>
  <c r="V9" i="1"/>
  <c r="V10" i="1"/>
  <c r="V11" i="1"/>
  <c r="Q37" i="1"/>
  <c r="X27" i="1"/>
  <c r="W4" i="1"/>
  <c r="W5" i="1"/>
  <c r="W6" i="1"/>
  <c r="W7" i="1"/>
  <c r="W8" i="1"/>
  <c r="W9" i="1"/>
  <c r="W10" i="1"/>
  <c r="W11" i="1"/>
  <c r="N5" i="1"/>
  <c r="N6" i="1"/>
  <c r="N7" i="1"/>
  <c r="N8" i="1"/>
  <c r="N9" i="1"/>
  <c r="N10" i="1"/>
  <c r="N11" i="1"/>
  <c r="N4" i="1"/>
  <c r="M4" i="1"/>
  <c r="R37" i="1"/>
  <c r="M5" i="1"/>
  <c r="M6" i="1"/>
  <c r="M7" i="1"/>
  <c r="M8" i="1"/>
  <c r="M9" i="1"/>
  <c r="M10" i="1"/>
  <c r="M11" i="1"/>
  <c r="K37" i="1"/>
  <c r="J37" i="1"/>
  <c r="Q21" i="1"/>
  <c r="R21" i="1"/>
  <c r="K65" i="1"/>
  <c r="Q22" i="1"/>
  <c r="R22" i="1"/>
  <c r="K66" i="1"/>
  <c r="Q23" i="1"/>
  <c r="R23" i="1"/>
  <c r="K67" i="1"/>
  <c r="Q24" i="1"/>
  <c r="R24" i="1"/>
  <c r="K68" i="1"/>
  <c r="Q25" i="1"/>
  <c r="R25" i="1"/>
  <c r="K69" i="1"/>
  <c r="Q26" i="1"/>
  <c r="R26" i="1"/>
  <c r="K70" i="1"/>
  <c r="Q27" i="1"/>
  <c r="R27" i="1"/>
  <c r="K71" i="1"/>
  <c r="J21" i="1"/>
  <c r="J22" i="1"/>
  <c r="J23" i="1"/>
  <c r="J24" i="1"/>
  <c r="J25" i="1"/>
  <c r="J26" i="1"/>
  <c r="J27" i="1"/>
  <c r="J20" i="1"/>
  <c r="Q20" i="1"/>
  <c r="G99" i="1" a="1"/>
  <c r="G99" i="1"/>
  <c r="H99" i="1"/>
  <c r="G100" i="1"/>
  <c r="H100" i="1"/>
  <c r="R20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R36" i="1"/>
  <c r="U36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36" i="1"/>
  <c r="N36" i="1"/>
  <c r="D99" i="1" a="1"/>
  <c r="D99" i="1"/>
  <c r="E99" i="1"/>
  <c r="D100" i="1"/>
  <c r="E100" i="1"/>
  <c r="G36" i="1"/>
  <c r="A99" i="1" a="1"/>
  <c r="A99" i="1"/>
  <c r="B99" i="1"/>
  <c r="A100" i="1"/>
  <c r="B100" i="1"/>
  <c r="D44" i="1"/>
  <c r="AD46" i="1"/>
  <c r="X26" i="1"/>
  <c r="C40" i="1"/>
  <c r="C42" i="1"/>
  <c r="C44" i="1"/>
  <c r="I37" i="1"/>
  <c r="Y46" i="1"/>
  <c r="B44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6" i="1"/>
  <c r="G8" i="1"/>
  <c r="G10" i="1"/>
  <c r="G12" i="1"/>
  <c r="G14" i="1"/>
  <c r="G15" i="1"/>
  <c r="G16" i="1"/>
  <c r="G4" i="1"/>
</calcChain>
</file>

<file path=xl/sharedStrings.xml><?xml version="1.0" encoding="utf-8"?>
<sst xmlns="http://schemas.openxmlformats.org/spreadsheetml/2006/main" count="187" uniqueCount="84">
  <si>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</si>
  <si>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</si>
  <si>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</si>
  <si>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</si>
  <si>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</si>
  <si>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</si>
  <si>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</si>
  <si>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</si>
  <si>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</si>
  <si>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</si>
  <si>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</si>
  <si>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</si>
  <si>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</si>
  <si>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</si>
  <si>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</si>
  <si>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</si>
  <si>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</si>
  <si>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</si>
  <si>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</si>
  <si>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</si>
  <si>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</si>
  <si>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</si>
  <si>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</si>
  <si>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</si>
  <si>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</si>
  <si>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</si>
  <si>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</si>
  <si>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</si>
  <si>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</si>
  <si>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</si>
  <si>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</si>
  <si>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</si>
  <si>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</si>
  <si>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</si>
  <si>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</si>
  <si>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</si>
  <si>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</si>
  <si>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</si>
  <si>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</si>
  <si>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</si>
  <si>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</si>
  <si>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</si>
  <si>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</si>
  <si>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</si>
  <si>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</si>
  <si>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</si>
  <si>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</si>
  <si>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</si>
  <si>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</si>
  <si>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</si>
  <si>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</si>
  <si>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</si>
  <si>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</si>
  <si>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</si>
  <si>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</si>
  <si>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</si>
  <si>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</si>
  <si>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</si>
  <si>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</si>
  <si>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</si>
  <si>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</si>
  <si>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</si>
  <si>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</si>
  <si>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</si>
  <si>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</si>
  <si>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</si>
  <si>
    <t>old V' error</t>
  </si>
  <si>
    <t>old v' error</t>
  </si>
  <si>
    <t>^ standard error</t>
  </si>
  <si>
    <t>^ average h (cm)</t>
  </si>
  <si>
    <t>^ average V' (cm^3s^-1)</t>
  </si>
  <si>
    <t>Viscosity_LINEST (Pa)</t>
  </si>
  <si>
    <t>Averaging all viscosities</t>
  </si>
  <si>
    <t>Viscosity_average (Pa)</t>
  </si>
  <si>
    <t>Standard Error</t>
  </si>
  <si>
    <t>Standard Dev</t>
  </si>
  <si>
    <t>1 sigma</t>
  </si>
  <si>
    <t>2 sigma</t>
  </si>
  <si>
    <t>3 sigma</t>
  </si>
  <si>
    <t>(-)1 sigma</t>
  </si>
  <si>
    <t>(-)2 sigma</t>
  </si>
  <si>
    <t>(-)3 sigma</t>
  </si>
  <si>
    <t>non-LINEST</t>
  </si>
  <si>
    <t>LINEST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</si>
</sst>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00000"/>
    <numFmt numFmtId="166" formatCode="0.000"/>
    <numFmt numFmtId="167" formatCode="0.0"/>
    <numFmt numFmtId="168" formatCode="0.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94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50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  <xf numFmtId="0" fontId="20" fillId="12" borderId="0" xfId="0" applyFont="1" applyFill="1" applyAlignment="1">
      <alignment horizontal="center"/>
    </xf>
    <xf numFmtId="11" fontId="9" fillId="12" borderId="0" xfId="0" applyNumberFormat="1" applyFont="1" applyFill="1" applyAlignment="1">
      <alignment horizontal="center"/>
    </xf>
    <xf numFmtId="168" fontId="0" fillId="12" borderId="0" xfId="0" applyNumberFormat="1" applyFill="1" applyAlignment="1">
      <alignment horizontal="center"/>
    </xf>
    <xf numFmtId="168" fontId="16" fillId="19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9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0.0321779832178224</c:v>
                </c:pt>
                <c:pt idx="1">
                  <c:v>0.0573172176151192</c:v>
                </c:pt>
                <c:pt idx="2">
                  <c:v>0.082456452012416</c:v>
                </c:pt>
                <c:pt idx="3">
                  <c:v>0.107595686409713</c:v>
                </c:pt>
                <c:pt idx="4">
                  <c:v>0.13273492080701</c:v>
                </c:pt>
                <c:pt idx="5">
                  <c:v>0.157874155204306</c:v>
                </c:pt>
                <c:pt idx="6">
                  <c:v>0.183013389601603</c:v>
                </c:pt>
                <c:pt idx="7">
                  <c:v>0.2081526239989</c:v>
                </c:pt>
                <c:pt idx="8">
                  <c:v>0.233291858396197</c:v>
                </c:pt>
                <c:pt idx="9">
                  <c:v>0.258431092793494</c:v>
                </c:pt>
                <c:pt idx="10">
                  <c:v>0.283570327190791</c:v>
                </c:pt>
                <c:pt idx="11">
                  <c:v>0.333848795985384</c:v>
                </c:pt>
                <c:pt idx="12">
                  <c:v>0.384127264779978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002048"/>
        <c:axId val="-2002349728"/>
      </c:scatterChart>
      <c:valAx>
        <c:axId val="-20460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02349728"/>
        <c:crosses val="autoZero"/>
        <c:crossBetween val="midCat"/>
      </c:valAx>
      <c:valAx>
        <c:axId val="-2002349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46002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0.0100442390043998</c:v>
                </c:pt>
                <c:pt idx="1">
                  <c:v>0.0204605601626586</c:v>
                </c:pt>
                <c:pt idx="2">
                  <c:v>0.00309910354313951</c:v>
                </c:pt>
                <c:pt idx="3">
                  <c:v>-0.00537346418749064</c:v>
                </c:pt>
                <c:pt idx="4">
                  <c:v>-0.0182904763625652</c:v>
                </c:pt>
                <c:pt idx="5">
                  <c:v>0.0132369559068046</c:v>
                </c:pt>
                <c:pt idx="6">
                  <c:v>0.00365327706506335</c:v>
                </c:pt>
                <c:pt idx="7">
                  <c:v>-0.0114859573322335</c:v>
                </c:pt>
                <c:pt idx="8">
                  <c:v>-0.0355140806184192</c:v>
                </c:pt>
                <c:pt idx="9">
                  <c:v>-0.0228755372379382</c:v>
                </c:pt>
                <c:pt idx="10">
                  <c:v>0.00420745058698707</c:v>
                </c:pt>
                <c:pt idx="11">
                  <c:v>0.0161512040146157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5179792"/>
        <c:axId val="-1925178432"/>
      </c:scatterChart>
      <c:valAx>
        <c:axId val="-19251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8432"/>
        <c:crosses val="autoZero"/>
        <c:crossBetween val="midCat"/>
      </c:valAx>
      <c:valAx>
        <c:axId val="-19251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2301616"/>
        <c:axId val="-1923379600"/>
      </c:scatterChart>
      <c:valAx>
        <c:axId val="-19223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3379600"/>
        <c:crosses val="autoZero"/>
        <c:crossBetween val="midCat"/>
      </c:valAx>
      <c:valAx>
        <c:axId val="-19233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30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5834496"/>
        <c:axId val="-2045832864"/>
      </c:scatterChart>
      <c:valAx>
        <c:axId val="-204583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2864"/>
        <c:crosses val="autoZero"/>
        <c:crossBetween val="midCat"/>
      </c:valAx>
      <c:valAx>
        <c:axId val="-20458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topLeftCell="Q31" zoomScale="119" zoomScaleNormal="70" zoomScalePageLayoutView="70" workbookViewId="0">
      <selection activeCell="Z25" sqref="Z25:Z27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9.1640625" style="2" bestFit="1" customWidth="1"/>
    <col min="4" max="4" width="13.5" style="2" bestFit="1" customWidth="1"/>
    <col min="5" max="6" width="9.1640625" style="2" customWidth="1"/>
    <col min="7" max="7" width="12.5" style="2" bestFit="1" customWidth="1"/>
    <col min="8" max="8" width="11" style="2" bestFit="1" customWidth="1"/>
    <col min="9" max="9" width="13.6640625" style="2" bestFit="1" customWidth="1"/>
    <col min="10" max="10" width="19.1640625" style="2" bestFit="1" customWidth="1"/>
    <col min="11" max="11" width="13.5" style="2" bestFit="1" customWidth="1"/>
    <col min="12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3.6640625" style="2" bestFit="1" customWidth="1"/>
    <col min="17" max="17" width="23.6640625" style="2" bestFit="1" customWidth="1"/>
    <col min="18" max="18" width="13.5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 t="s">
        <v>66</v>
      </c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 t="s">
        <v>66</v>
      </c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 t="s">
        <v>67</v>
      </c>
      <c r="AB3" s="63">
        <v>5.6527221077931351E-4</v>
      </c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SQRT( ((C4+$A$7)/$X$32 - C4/$X$32)^2 + (C4/($X$32+$Y$32) - C4/$X$32)^2)</f>
        <v>5.5604508208997785E-3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SQRT( ((L4+$J$7)/$X$32 - L4/$X$32)^2 + (L4/($X$32+$Y$32) - L4/$X$32)^2)</f>
        <v>5.5567797761886693E-3</v>
      </c>
      <c r="O4" s="18">
        <v>1.4</v>
      </c>
      <c r="P4" s="22">
        <f t="shared" ref="P4" si="2">O4/1.001</f>
        <v>1.3986013986013988</v>
      </c>
      <c r="Q4" s="25">
        <v>12.4</v>
      </c>
      <c r="R4" s="1">
        <v>5.7948205706175315E-3</v>
      </c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>SQRT( ((U4+$S$7)/$X$32 - U4/$X$32)^2 + (U4/($X$32+$Y$32) - U4/$X$32)^2)</f>
        <v>5.5565356318334628E-3</v>
      </c>
      <c r="X4" s="18">
        <v>1.3</v>
      </c>
      <c r="Y4" s="22">
        <f t="shared" ref="Y4" si="3">X4/1.001</f>
        <v>1.2987012987012989</v>
      </c>
      <c r="Z4" s="25">
        <v>12.6</v>
      </c>
      <c r="AA4" s="1">
        <v>7.9337827403024844E-4</v>
      </c>
      <c r="AB4" s="1">
        <v>5.7802803423466227E-4</v>
      </c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4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5">SQRT( ((C5+$A$7)/$X$32 - C5/$X$32)^2 + (C5/($X$32+$Y$32) - C5/$X$32)^2)</f>
        <v>5.5721494493976521E-3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6">L5/90</f>
        <v>4.4999999999999998E-2</v>
      </c>
      <c r="N5" s="32">
        <f t="shared" ref="N5:N11" si="7">SQRT( ((L5+$J$7)/$X$32 - L5/$X$32)^2 + (L5/($X$32+$Y$32) - L5/$X$32)^2)</f>
        <v>5.5611157900987435E-3</v>
      </c>
      <c r="O5" s="21">
        <v>3.5</v>
      </c>
      <c r="P5" s="23">
        <f t="shared" ref="P5:P11" si="8">O5/1.001</f>
        <v>3.4965034965034967</v>
      </c>
      <c r="Q5" s="26">
        <v>12.3</v>
      </c>
      <c r="R5" s="1">
        <v>6.0759360008565948E-3</v>
      </c>
      <c r="S5" s="50">
        <v>0.05</v>
      </c>
      <c r="T5" s="19">
        <v>4</v>
      </c>
      <c r="U5" s="49">
        <v>2.6</v>
      </c>
      <c r="V5" s="31">
        <f t="shared" ref="V5" si="9">U5/90</f>
        <v>2.8888888888888891E-2</v>
      </c>
      <c r="W5" s="32">
        <f t="shared" ref="W5:W11" si="10">SQRT( ((U5+$S$7)/$X$32 - U5/$X$32)^2 + (U5/($X$32+$Y$32) - U5/$X$32)^2)</f>
        <v>5.5578477816432435E-3</v>
      </c>
      <c r="X5" s="21">
        <v>2.5</v>
      </c>
      <c r="Y5" s="23">
        <f t="shared" ref="Y5:Y11" si="11">X5/1.001</f>
        <v>2.4975024975024978</v>
      </c>
      <c r="Z5" s="26">
        <v>12.1</v>
      </c>
      <c r="AA5" s="1">
        <v>9.328589019733215E-4</v>
      </c>
      <c r="AB5" s="1">
        <v>6.4693796526574211E-4</v>
      </c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5"/>
        <v>5.5756278926314485E-3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7"/>
        <v>5.5612538565365383E-3</v>
      </c>
      <c r="O6" s="21">
        <v>4</v>
      </c>
      <c r="P6" s="23">
        <f t="shared" si="8"/>
        <v>3.9960039960039966</v>
      </c>
      <c r="Q6" s="26">
        <v>12.5</v>
      </c>
      <c r="R6" s="1">
        <v>6.0825931015818305E-3</v>
      </c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10"/>
        <v>5.5654365764473274E-3</v>
      </c>
      <c r="X6" s="21">
        <v>5.3</v>
      </c>
      <c r="Y6" s="23">
        <f t="shared" si="11"/>
        <v>5.2947052947052953</v>
      </c>
      <c r="Z6" s="26">
        <v>12.1</v>
      </c>
      <c r="AA6" s="1">
        <v>1.3904582636195852E-3</v>
      </c>
      <c r="AB6" s="1">
        <v>6.9490512074647922E-4</v>
      </c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5"/>
        <v>5.5841879911977246E-3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7"/>
        <v>5.5783138343748206E-3</v>
      </c>
      <c r="O7" s="21">
        <v>7.9</v>
      </c>
      <c r="P7" s="23">
        <f t="shared" si="8"/>
        <v>7.8921078921078935</v>
      </c>
      <c r="Q7" s="26">
        <v>12.6</v>
      </c>
      <c r="R7" s="1">
        <v>6.6446126631047103E-3</v>
      </c>
      <c r="S7" s="50">
        <v>0.5</v>
      </c>
      <c r="T7" s="19">
        <v>8</v>
      </c>
      <c r="U7" s="49">
        <v>6.8</v>
      </c>
      <c r="V7" s="31">
        <f t="shared" si="13"/>
        <v>7.5555555555555556E-2</v>
      </c>
      <c r="W7" s="32">
        <f t="shared" si="10"/>
        <v>5.5712160864927127E-3</v>
      </c>
      <c r="X7" s="21">
        <v>6.8</v>
      </c>
      <c r="Y7" s="23">
        <f t="shared" si="11"/>
        <v>6.7932067932067941</v>
      </c>
      <c r="Z7" s="26">
        <v>12.4</v>
      </c>
      <c r="AA7" s="1">
        <v>1.6257926780979199E-3</v>
      </c>
      <c r="AB7" s="1">
        <v>7.3744713178231403E-4</v>
      </c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5"/>
        <v>5.5914209157140486E-3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7"/>
        <v>5.5829596558298698E-3</v>
      </c>
      <c r="O8" s="21">
        <v>9</v>
      </c>
      <c r="P8" s="23">
        <f t="shared" si="8"/>
        <v>8.9910089910089912</v>
      </c>
      <c r="Q8" s="26">
        <v>12.9</v>
      </c>
      <c r="R8" s="1">
        <v>6.7576185446859742E-3</v>
      </c>
      <c r="T8" s="19">
        <v>10</v>
      </c>
      <c r="U8" s="49">
        <v>7.9</v>
      </c>
      <c r="V8" s="31">
        <f t="shared" si="13"/>
        <v>8.7777777777777788E-2</v>
      </c>
      <c r="W8" s="32">
        <f t="shared" si="10"/>
        <v>5.5766821522953468E-3</v>
      </c>
      <c r="X8" s="21">
        <v>7.8</v>
      </c>
      <c r="Y8" s="23">
        <f t="shared" si="11"/>
        <v>7.792207792207793</v>
      </c>
      <c r="Z8" s="26">
        <v>12.4</v>
      </c>
      <c r="AA8" s="1">
        <v>1.8122611232223463E-3</v>
      </c>
      <c r="AB8" s="1">
        <v>7.7919029388187622E-4</v>
      </c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5"/>
        <v>5.6354159558782346E-3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7"/>
        <v>5.5957056746209063E-3</v>
      </c>
      <c r="O9" s="21">
        <v>10.9</v>
      </c>
      <c r="P9" s="23">
        <f t="shared" si="8"/>
        <v>10.88911088911089</v>
      </c>
      <c r="Q9" s="26">
        <v>12.9</v>
      </c>
      <c r="R9" s="1">
        <v>7.0297892163048705E-3</v>
      </c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10"/>
        <v>5.5823555126519259E-3</v>
      </c>
      <c r="X9" s="21">
        <v>8.6999999999999993</v>
      </c>
      <c r="Y9" s="23">
        <f t="shared" si="11"/>
        <v>8.6913086913086914</v>
      </c>
      <c r="Z9" s="26">
        <v>12.5</v>
      </c>
      <c r="AA9" s="1">
        <v>1.9826144570434887E-3</v>
      </c>
      <c r="AB9" s="1">
        <v>8.3021715786444467E-4</v>
      </c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5"/>
        <v>5.6504683695142287E-3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7"/>
        <v>5.6221073045856149E-3</v>
      </c>
      <c r="O10" s="21">
        <v>13.9</v>
      </c>
      <c r="P10" s="23">
        <f t="shared" si="8"/>
        <v>13.886113886113888</v>
      </c>
      <c r="Q10" s="26">
        <v>12.9</v>
      </c>
      <c r="R10" s="1">
        <v>7.4914265710133007E-3</v>
      </c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10"/>
        <v>5.5897062610452079E-3</v>
      </c>
      <c r="X10" s="21">
        <v>10</v>
      </c>
      <c r="Y10" s="23">
        <f t="shared" si="11"/>
        <v>9.990009990009991</v>
      </c>
      <c r="Z10" s="26">
        <v>12.4</v>
      </c>
      <c r="AA10" s="1">
        <v>2.1792555150103999E-3</v>
      </c>
      <c r="AB10" s="1">
        <v>9.9262136902690382E-4</v>
      </c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5"/>
        <v>5.6608128250445382E-3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32">
        <f t="shared" si="7"/>
        <v>5.6643765307316371E-3</v>
      </c>
      <c r="O11" s="132">
        <v>17.3</v>
      </c>
      <c r="P11" s="133">
        <f t="shared" si="8"/>
        <v>17.282717282717286</v>
      </c>
      <c r="Q11" s="134">
        <v>12.8</v>
      </c>
      <c r="R11" s="1">
        <v>8.0856467251946649E-3</v>
      </c>
      <c r="S11" s="1"/>
      <c r="T11" s="135">
        <v>16</v>
      </c>
      <c r="U11" s="136">
        <v>13.4</v>
      </c>
      <c r="V11" s="131">
        <f t="shared" si="13"/>
        <v>0.1488888888888889</v>
      </c>
      <c r="W11" s="32">
        <f t="shared" si="10"/>
        <v>5.6161243520602517E-3</v>
      </c>
      <c r="X11" s="132">
        <v>13.5</v>
      </c>
      <c r="Y11" s="133">
        <f t="shared" si="11"/>
        <v>13.486513486513488</v>
      </c>
      <c r="Z11" s="134">
        <v>12.5</v>
      </c>
      <c r="AA11" s="1">
        <v>2.7550272528579526E-3</v>
      </c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5"/>
        <v>5.6619943205507136E-3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0" t="s">
        <v>42</v>
      </c>
      <c r="Q12" s="139">
        <f>AVERAGE(Q4:Q11)</f>
        <v>12.662500000000001</v>
      </c>
      <c r="R12" s="1"/>
      <c r="S12" s="1"/>
      <c r="T12" s="1"/>
      <c r="U12" s="1"/>
      <c r="V12" s="1"/>
      <c r="W12" s="1"/>
      <c r="X12" s="1"/>
      <c r="Y12" s="138" t="s">
        <v>42</v>
      </c>
      <c r="Z12" s="139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5"/>
        <v>5.7059504456429657E-3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5"/>
        <v>5.7785883053267737E-3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5"/>
        <v>5.8824654381409254E-3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5">
        <v>16</v>
      </c>
      <c r="C16" s="136">
        <v>36.9</v>
      </c>
      <c r="D16" s="131">
        <f t="shared" si="0"/>
        <v>0.41</v>
      </c>
      <c r="E16" s="32">
        <f t="shared" si="5"/>
        <v>5.9996081984665783E-3</v>
      </c>
      <c r="F16" s="132">
        <v>36.5</v>
      </c>
      <c r="G16" s="133">
        <f t="shared" si="1"/>
        <v>36.463536463536471</v>
      </c>
      <c r="H16" s="137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8" t="s">
        <v>42</v>
      </c>
      <c r="H17" s="139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56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56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56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3.2177983217822392E-2</v>
      </c>
      <c r="D20" s="36">
        <f>D4-C20</f>
        <v>1.0044239004399831E-2</v>
      </c>
      <c r="E20" s="38">
        <f t="shared" ref="E20:E30" si="20">D20/E4</f>
        <v>1.8063713407278184</v>
      </c>
      <c r="F20" s="40">
        <f>E20^2</f>
        <v>3.2629774206028159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1.2609298074327162</v>
      </c>
      <c r="M20" s="40">
        <f>L20^2</f>
        <v>1.5899439792723067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-0.24569793699578096</v>
      </c>
      <c r="T20" s="40">
        <f>S20^2</f>
        <v>6.0367476243982754E-2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5.7317217615119223E-2</v>
      </c>
      <c r="D21" s="37">
        <f t="shared" ref="D21:D30" si="26">D5-C21</f>
        <v>2.0460560162658556E-2</v>
      </c>
      <c r="E21" s="39">
        <f t="shared" si="20"/>
        <v>3.6719331289418911</v>
      </c>
      <c r="F21" s="41">
        <f t="shared" ref="F21:F30" si="27">E21^2</f>
        <v>13.483092903420987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1.3000629158580779</v>
      </c>
      <c r="M21" s="41">
        <f t="shared" ref="M21" si="29">L21^2</f>
        <v>1.6901635851894077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1.0695417681690509</v>
      </c>
      <c r="T21" s="41">
        <f t="shared" ref="T21" si="31">S21^2</f>
        <v>1.1439195938581799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8.245645201241604E-2</v>
      </c>
      <c r="D22" s="37">
        <f t="shared" si="26"/>
        <v>3.0991035431395114E-3</v>
      </c>
      <c r="E22" s="39">
        <f t="shared" si="20"/>
        <v>0.55583041099912289</v>
      </c>
      <c r="F22" s="41">
        <f t="shared" si="27"/>
        <v>0.30894744579145389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-2.8555505965265673</v>
      </c>
      <c r="M22" s="41">
        <f t="shared" ref="M22:M27" si="32">L22^2</f>
        <v>8.1541692093232339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-1.4117816229531766</v>
      </c>
      <c r="T22" s="41">
        <f t="shared" ref="T22:T27" si="33">S22^2</f>
        <v>1.9931273509083052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0.10759568640971286</v>
      </c>
      <c r="D23" s="37">
        <f t="shared" si="26"/>
        <v>-5.3734641874906425E-3</v>
      </c>
      <c r="E23" s="39">
        <f t="shared" si="20"/>
        <v>-0.96226419955072373</v>
      </c>
      <c r="F23" s="41">
        <f t="shared" si="27"/>
        <v>0.92595238973699501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1.0772638890504689</v>
      </c>
      <c r="M23" s="41">
        <f t="shared" si="32"/>
        <v>1.1604974866521409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-1.0954802071874588</v>
      </c>
      <c r="T23" s="41">
        <f t="shared" si="33"/>
        <v>1.2000768843394776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0.13273492080700969</v>
      </c>
      <c r="D24" s="37">
        <f t="shared" si="26"/>
        <v>-1.8290476362565242E-2</v>
      </c>
      <c r="E24" s="39">
        <f t="shared" si="20"/>
        <v>-3.2711678548760212</v>
      </c>
      <c r="F24" s="41">
        <f t="shared" si="27"/>
        <v>10.700539134774191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-1.5704202302299293</v>
      </c>
      <c r="M24" s="41">
        <f t="shared" si="32"/>
        <v>2.466219699515424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-0.18215122576836973</v>
      </c>
      <c r="T24" s="41">
        <f t="shared" si="33"/>
        <v>3.3179069048919603E-2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0.1578741552043065</v>
      </c>
      <c r="D25" s="37">
        <f t="shared" si="26"/>
        <v>1.3236955906804598E-2</v>
      </c>
      <c r="E25" s="39">
        <f t="shared" si="20"/>
        <v>2.3488871115178798</v>
      </c>
      <c r="F25" s="41">
        <f t="shared" si="27"/>
        <v>5.5172706626548083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-2.0233872308255365</v>
      </c>
      <c r="M25" s="41">
        <f t="shared" si="32"/>
        <v>4.0940958858678327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0.92840183190766434</v>
      </c>
      <c r="T25" s="41">
        <f t="shared" si="33"/>
        <v>0.86192996148950707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2.9999999999999997E-4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0.18301338960160332</v>
      </c>
      <c r="D26" s="37">
        <f t="shared" si="26"/>
        <v>3.6532770650633539E-3</v>
      </c>
      <c r="E26" s="39">
        <f t="shared" si="20"/>
        <v>0.64654411389571698</v>
      </c>
      <c r="F26" s="41">
        <f t="shared" si="27"/>
        <v>0.41801929121319786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2.1207097879535949E-3</v>
      </c>
      <c r="M26" s="41">
        <f t="shared" si="32"/>
        <v>4.4974100047221809E-6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1.7379215540191553</v>
      </c>
      <c r="T26" s="41">
        <f t="shared" si="33"/>
        <v>3.0203713279243556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2.9999999999999997E-4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0.20815262399890014</v>
      </c>
      <c r="D27" s="100">
        <f t="shared" si="26"/>
        <v>-1.1485957332233482E-2</v>
      </c>
      <c r="E27" s="39">
        <f t="shared" si="20"/>
        <v>-2.0290296971871902</v>
      </c>
      <c r="F27" s="41">
        <f t="shared" si="27"/>
        <v>4.1169615120675402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3.5723285527667241</v>
      </c>
      <c r="M27" s="116">
        <f t="shared" si="32"/>
        <v>12.761531288912398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-1.8158735287968821</v>
      </c>
      <c r="T27" s="116">
        <f t="shared" si="33"/>
        <v>3.2973966725852413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2.9999999999999997E-4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0.23329185839619695</v>
      </c>
      <c r="D28" s="37">
        <f t="shared" si="26"/>
        <v>-3.551408061841918E-2</v>
      </c>
      <c r="E28" s="39">
        <f t="shared" si="20"/>
        <v>-6.2723624588455795</v>
      </c>
      <c r="F28" s="41">
        <f t="shared" si="27"/>
        <v>39.342530815135362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0.2584310927934938</v>
      </c>
      <c r="D29" s="37">
        <f t="shared" si="26"/>
        <v>-2.2875537237938254E-2</v>
      </c>
      <c r="E29" s="39">
        <f t="shared" si="20"/>
        <v>-4.009066930366683</v>
      </c>
      <c r="F29" s="41">
        <f t="shared" si="27"/>
        <v>16.072617652159739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0.28357032719079067</v>
      </c>
      <c r="D30" s="37">
        <f t="shared" si="26"/>
        <v>4.2074505869870715E-3</v>
      </c>
      <c r="E30" s="39">
        <f t="shared" si="20"/>
        <v>0.728110459627067</v>
      </c>
      <c r="F30" s="41">
        <f t="shared" si="27"/>
        <v>0.53014484141833873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0.33384879598538431</v>
      </c>
      <c r="D31" s="37">
        <f>D15-C31</f>
        <v>1.6151204014615672E-2</v>
      </c>
      <c r="E31" s="39">
        <f>D31/E15</f>
        <v>2.7456521733037236</v>
      </c>
      <c r="F31" s="41">
        <f>E31^2</f>
        <v>7.5386058567674601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1.307E-3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0.38412726477997794</v>
      </c>
      <c r="D32" s="114">
        <f>D16-C32</f>
        <v>2.5872735220022036E-2</v>
      </c>
      <c r="E32" s="115">
        <f>D32/E16</f>
        <v>4.3124041377626581</v>
      </c>
      <c r="F32" s="116">
        <f>E32^2</f>
        <v>18.596829447392494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120.81448937313539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120.81448937313539</v>
      </c>
      <c r="E36" s="125" t="s">
        <v>20</v>
      </c>
      <c r="F36" s="29">
        <f>SUM(F20:F33)/11</f>
        <v>10.983135397557762</v>
      </c>
      <c r="G36" s="124">
        <f>D36/11</f>
        <v>10.983135397557762</v>
      </c>
      <c r="H36" s="1"/>
      <c r="I36" s="1"/>
      <c r="J36" s="103" t="s">
        <v>63</v>
      </c>
      <c r="K36" s="126">
        <f>SUM(M20:M27)</f>
        <v>31.916625632142747</v>
      </c>
      <c r="L36" s="125" t="s">
        <v>20</v>
      </c>
      <c r="M36" s="29">
        <f>SUM(M20:M34)/6</f>
        <v>5.3194376053571242</v>
      </c>
      <c r="N36" s="128">
        <f>K36/6</f>
        <v>5.3194376053571242</v>
      </c>
      <c r="O36" s="1"/>
      <c r="P36" s="1"/>
      <c r="Q36" s="103" t="s">
        <v>63</v>
      </c>
      <c r="R36" s="126">
        <f>SUM(T20:T27)</f>
        <v>11.610368336397968</v>
      </c>
      <c r="S36" s="125" t="s">
        <v>20</v>
      </c>
      <c r="T36" s="29">
        <f>SUM(T20:T35)/6</f>
        <v>1.9350613893996613</v>
      </c>
      <c r="U36" s="128">
        <f>R36/6</f>
        <v>1.9350613893996613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145" t="s">
        <v>40</v>
      </c>
      <c r="B37" s="95">
        <f>SUM(B20:B32)/13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145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145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63" t="s">
        <v>69</v>
      </c>
      <c r="C38" s="63" t="s">
        <v>70</v>
      </c>
      <c r="D38" s="63" t="s">
        <v>68</v>
      </c>
      <c r="E38" s="93" t="s">
        <v>49</v>
      </c>
      <c r="F38" s="141">
        <v>2.1292993709564399E-3</v>
      </c>
      <c r="G38" s="1"/>
      <c r="H38" s="1"/>
      <c r="I38" s="63" t="s">
        <v>69</v>
      </c>
      <c r="J38" s="63" t="s">
        <v>70</v>
      </c>
      <c r="K38" s="63" t="s">
        <v>68</v>
      </c>
      <c r="L38" s="93" t="s">
        <v>49</v>
      </c>
      <c r="M38" s="141">
        <v>1.7083014917976815E-3</v>
      </c>
      <c r="N38" s="1"/>
      <c r="O38" s="1"/>
      <c r="P38" s="63" t="s">
        <v>69</v>
      </c>
      <c r="Q38" s="63" t="s">
        <v>70</v>
      </c>
      <c r="R38" s="63" t="s">
        <v>68</v>
      </c>
      <c r="S38" s="93" t="s">
        <v>49</v>
      </c>
      <c r="T38" s="141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82</v>
      </c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1.6439098983178802E-14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1.1215538141975641E-14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1.0514671560515991E-14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2">
        <f>B40/B42</f>
        <v>1.0891882517699914E-3</v>
      </c>
      <c r="C44" s="143">
        <f>C40/C42</f>
        <v>1.1499594240229479E-3</v>
      </c>
      <c r="D44" s="144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1.9965000000000001E-13</v>
      </c>
      <c r="T44" s="1"/>
      <c r="U44" s="1"/>
      <c r="V44" s="1"/>
      <c r="W44" s="1"/>
      <c r="X44" s="110">
        <f>X26^4*ABS(4*Z26/X26)</f>
        <v>1.2458760000000001E-13</v>
      </c>
      <c r="Y44" s="110"/>
      <c r="Z44" s="1"/>
      <c r="AA44" s="1"/>
      <c r="AB44" s="1"/>
      <c r="AC44" s="110">
        <f>X25^4*ABS(4*Z25/X25)</f>
        <v>1.168032E-13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 t="s">
        <v>71</v>
      </c>
      <c r="B45" s="97">
        <f>(PI()*$X$21*$X$22*($X$27)^4)*10^-2/(8*$X$30*$A$102)*10^6</f>
        <v>9.9519855432909378E-4</v>
      </c>
      <c r="C45" s="97">
        <f>(PI()*$X$21*$X$22*($X$26)^4)*10^-2/(8*$X$29*$D$102)*10^6</f>
        <v>1.0528184091700831E-3</v>
      </c>
      <c r="D45" s="97">
        <f>(PI()*$X$21*$X$22*($X$25)^4)*10^-2/(8*$X$29*$D$102)*10^6</f>
        <v>9.6603612060891736E-4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47">
        <f>1*10^-3</f>
        <v>1E-3</v>
      </c>
      <c r="C46" s="147">
        <f>1.1*10^-3</f>
        <v>1.1000000000000001E-3</v>
      </c>
      <c r="D46" s="148">
        <v>1E-3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2.3841176416662803E-3</v>
      </c>
      <c r="U46" s="1"/>
      <c r="V46" s="1" t="s">
        <v>59</v>
      </c>
      <c r="W46" s="1"/>
      <c r="X46" s="1"/>
      <c r="Y46" s="97">
        <f>C44*SQRT((Y42/(X21*X22))^2+(Y43/(I37*10^-2*X26^4))^2+(Y29/X29)^2+(K37/J37)^2)</f>
        <v>2.947914257418379E-3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3.3487796964455311E-3</v>
      </c>
      <c r="AE46" s="97">
        <f>T38*SQRT((AD42/(X21*X22))^2+(AD43/(P37*10^-2*X25^4))^2+(Y28/X28)^2+(R37/Q37)^2)</f>
        <v>4.7161448492870081E-3</v>
      </c>
      <c r="AF46" s="1">
        <f>T38*SQRT((AD42/(X21*X22))^2+(AD43/(P37*10^-2*X25^4))^2+(Y28/X28)^2+(R37/Q37)^2)</f>
        <v>4.7161448492870081E-3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83</v>
      </c>
      <c r="Q48" s="63" t="s">
        <v>56</v>
      </c>
      <c r="R48" s="1"/>
      <c r="S48" s="1"/>
      <c r="T48" s="1"/>
      <c r="U48" s="1"/>
      <c r="V48" s="63" t="s">
        <v>60</v>
      </c>
      <c r="W48" s="1"/>
      <c r="X48" s="1"/>
      <c r="Y48" s="1"/>
      <c r="Z48" s="1"/>
      <c r="AA48" s="63" t="s">
        <v>61</v>
      </c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10" t="s">
        <v>59</v>
      </c>
      <c r="R49" s="1"/>
      <c r="S49" s="1"/>
      <c r="T49" s="146">
        <f>B45*SQRT((T42/(X21*X22))^2+(T43/(B37*10^-2*X27^4))^2+(Y30/X30)^2+(A103/A102)^2)</f>
        <v>2.1730569475085712E-3</v>
      </c>
      <c r="U49" s="1"/>
      <c r="V49" s="110" t="s">
        <v>59</v>
      </c>
      <c r="W49" s="1"/>
      <c r="X49" s="1"/>
      <c r="Y49" s="146">
        <f>C45*SQRT((Y42/(X21*X22))^2+(Y43/(I37*10^-2*X26^4))^2+(Y29/X29)^2+(D103/D102)^2)</f>
        <v>2.6903451445138972E-3</v>
      </c>
      <c r="Z49" s="1"/>
      <c r="AA49" s="110" t="s">
        <v>59</v>
      </c>
      <c r="AB49" s="1"/>
      <c r="AC49" s="1"/>
      <c r="AD49" s="146">
        <f>D45*SQRT((AD42/(X21*X22))^2 + (AD43/(P37*10^-2*X25^4))^2+(Y28/X28)^2+(G103/G102)^2)</f>
        <v>2.5232705084111376E-3</v>
      </c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 t="s">
        <v>72</v>
      </c>
      <c r="B51" s="1" t="s">
        <v>73</v>
      </c>
      <c r="C51" s="1" t="s">
        <v>74</v>
      </c>
      <c r="D51" s="1" t="s">
        <v>75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97">
        <f>SUM(B45:D45)/3</f>
        <v>1.0046843613693648E-3</v>
      </c>
      <c r="C52" s="97">
        <f>STDEV(B46:D46)/SQRT(3)</f>
        <v>3.3333333333333348E-5</v>
      </c>
      <c r="D52" s="1">
        <f>STDEV(B45:D45)</f>
        <v>4.4161938401550028E-5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97">
        <f>ABS(B52-$X$31)/C52</f>
        <v>9.0694691589190519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99" t="s">
        <v>76</v>
      </c>
      <c r="C55" s="99" t="s">
        <v>77</v>
      </c>
      <c r="D55" s="99" t="s">
        <v>78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97">
        <f>$B$52+1*$C$52</f>
        <v>1.0380176947026982E-3</v>
      </c>
      <c r="C56" s="97">
        <f>$B$52+2*$C$52</f>
        <v>1.0713510280360315E-3</v>
      </c>
      <c r="D56" s="97">
        <f>$B$52+3*$C$52</f>
        <v>1.1046843613693649E-3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99" t="s">
        <v>79</v>
      </c>
      <c r="C57" s="99" t="s">
        <v>80</v>
      </c>
      <c r="D57" s="99" t="s">
        <v>81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B58" s="97">
        <f>$B$52-1*$C$52</f>
        <v>9.7135102803603147E-4</v>
      </c>
      <c r="C58" s="97">
        <f>$B$52-2*$C$52</f>
        <v>9.3801769470269812E-4</v>
      </c>
      <c r="D58" s="97">
        <f>$B$52-3*$C$52</f>
        <v>9.0468436136936477E-4</v>
      </c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81" t="s">
        <v>65</v>
      </c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1.0044239004399831E-2</v>
      </c>
      <c r="D64" s="2">
        <v>1.0044239004399831E-2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D74" si="35">D21</f>
        <v>2.0460560162658556E-2</v>
      </c>
      <c r="D65" s="2">
        <v>2.0460560162658556E-2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3.0991035431395114E-3</v>
      </c>
      <c r="D66" s="2">
        <v>3.0991035431395114E-3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-5.3734641874906425E-3</v>
      </c>
      <c r="D67" s="2">
        <v>-5.3734641874906425E-3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-1.8290476362565242E-2</v>
      </c>
      <c r="D68" s="2">
        <v>-1.8290476362565242E-2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1.3236955906804598E-2</v>
      </c>
      <c r="D69" s="2">
        <v>1.3236955906804598E-2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3.6532770650633539E-3</v>
      </c>
      <c r="D70" s="2">
        <v>3.6532770650633539E-3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-1.1485957332233482E-2</v>
      </c>
      <c r="D71" s="2">
        <v>-1.1485957332233482E-2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-3.551408061841918E-2</v>
      </c>
      <c r="D72" s="2">
        <v>-3.551408061841918E-2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-2.2875537237938254E-2</v>
      </c>
      <c r="D73" s="2">
        <v>-2.2875537237938254E-2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4.2074505869870715E-3</v>
      </c>
      <c r="D74" s="2">
        <v>4.2074505869870715E-3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1.6151204014615672E-2</v>
      </c>
      <c r="D75" s="2">
        <v>1.6151204014615672E-2</v>
      </c>
      <c r="F75" s="76"/>
      <c r="G75" s="78"/>
      <c r="H75" s="76"/>
      <c r="I75" s="78"/>
      <c r="J75" s="76">
        <v>15</v>
      </c>
      <c r="K75" s="78">
        <v>24</v>
      </c>
      <c r="L75" s="80">
        <v>18</v>
      </c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2.5872735220022036E-2</v>
      </c>
      <c r="D76" s="2">
        <v>2.5872735220022036E-2</v>
      </c>
      <c r="F76" s="74"/>
      <c r="H76" s="75"/>
      <c r="I76" s="75"/>
      <c r="J76" s="149">
        <f>AVERAGE(J75:L75)</f>
        <v>19</v>
      </c>
      <c r="K76" s="2">
        <f>STDEV(J75:L75)/SQRT(3)</f>
        <v>2.6457513110645907</v>
      </c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>
        <f>J76+2*K76</f>
        <v>24.29150262212918</v>
      </c>
      <c r="K77" s="2">
        <f>J76+3*K76</f>
        <v>26.937253933193773</v>
      </c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11" x14ac:dyDescent="0.2">
      <c r="A97" s="66" t="s">
        <v>62</v>
      </c>
    </row>
    <row r="98" spans="1:11" x14ac:dyDescent="0.2">
      <c r="A98" s="111" t="s">
        <v>23</v>
      </c>
      <c r="D98" s="111" t="s">
        <v>22</v>
      </c>
      <c r="G98" s="111" t="s">
        <v>25</v>
      </c>
    </row>
    <row r="99" spans="1:11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1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1" x14ac:dyDescent="0.2">
      <c r="A102" s="2">
        <v>2.5139234397296824E-2</v>
      </c>
      <c r="B102" s="2">
        <v>-1.8100485576771259E-2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  <c r="K102" s="2">
        <v>1.8062457327625761</v>
      </c>
    </row>
    <row r="103" spans="1:11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  <c r="K103" s="2">
        <v>3.6718204935211189</v>
      </c>
    </row>
    <row r="104" spans="1:11" x14ac:dyDescent="0.2">
      <c r="K104" s="2">
        <v>0.55573054675190792</v>
      </c>
    </row>
    <row r="105" spans="1:11" x14ac:dyDescent="0.2">
      <c r="K105" s="2">
        <v>-0.9623512292795624</v>
      </c>
    </row>
    <row r="106" spans="1:11" x14ac:dyDescent="0.2">
      <c r="K106" s="2">
        <v>-3.2712421069949928</v>
      </c>
    </row>
    <row r="107" spans="1:11" x14ac:dyDescent="0.2">
      <c r="K107" s="2">
        <v>2.3488260052325303</v>
      </c>
    </row>
    <row r="108" spans="1:11" x14ac:dyDescent="0.2">
      <c r="K108" s="2">
        <v>0.64649570307346571</v>
      </c>
    </row>
    <row r="109" spans="1:11" x14ac:dyDescent="0.2">
      <c r="K109" s="2">
        <v>-2.0290655097657981</v>
      </c>
    </row>
    <row r="110" spans="1:11" x14ac:dyDescent="0.2">
      <c r="K110" s="2">
        <v>-6.2723857567828825</v>
      </c>
    </row>
    <row r="111" spans="1:11" x14ac:dyDescent="0.2">
      <c r="K111" s="2">
        <v>-4.0090776380084083</v>
      </c>
    </row>
    <row r="112" spans="1:11" x14ac:dyDescent="0.2">
      <c r="K112" s="2">
        <v>0.72811214139465985</v>
      </c>
    </row>
    <row r="113" spans="11:11" x14ac:dyDescent="0.2">
      <c r="K113" s="2">
        <v>2.7456779021882052</v>
      </c>
    </row>
    <row r="114" spans="11:11" x14ac:dyDescent="0.2">
      <c r="K114" s="2">
        <v>4.3124529710022985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2016-12-05T21:30:45Z</dcterms:modified>
</cp:coreProperties>
</file>